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3040" windowHeight="9840" tabRatio="686"/>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Total Annuel" sheetId="26" r:id="rId13"/>
    <sheet name="mois-fériée" sheetId="27" r:id="rId14"/>
  </sheets>
  <definedNames>
    <definedName name="AnnéeCalendrier">Janvier!$AH$4</definedName>
    <definedName name="CléCongés">Janvier!$F$2</definedName>
    <definedName name="CléMaladie">Janvier!$J$2</definedName>
    <definedName name="CléPanier_Repas">Janvier!$P$2</definedName>
    <definedName name="CléPersonnalisée1">Janvier!$M$2</definedName>
    <definedName name="CléTravail">Janvier!$C$2</definedName>
    <definedName name="ÉtiquetteCléCongé">Janvier!$D$2</definedName>
    <definedName name="ÉtiquetteCléMaladie">Janvier!$K$2</definedName>
    <definedName name="ÉtiquetteCléPersonnalisée1">Janvier!$N$2</definedName>
    <definedName name="ÉtiquetteCléPersonnalisée2">Janvier!$Q$2</definedName>
    <definedName name="ÉtiquetteCléPersonnel">Janvier!$G$2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Nom_clé">Janvier!$B$2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Janvier!$B$4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#REF!</definedName>
  </definedNames>
  <calcPr calcId="14562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17" i="4" l="1"/>
  <c r="E17" i="4"/>
  <c r="F17" i="4"/>
  <c r="G17" i="4"/>
  <c r="H17" i="4"/>
  <c r="I17" i="4"/>
  <c r="J17" i="4"/>
  <c r="K17" i="4"/>
  <c r="L17" i="4"/>
  <c r="M17" i="4"/>
  <c r="N17" i="4"/>
  <c r="O17" i="4"/>
  <c r="P17" i="4"/>
  <c r="Q17" i="4"/>
  <c r="R17" i="4"/>
  <c r="S17" i="4"/>
  <c r="T17" i="4"/>
  <c r="U17" i="4"/>
  <c r="V17" i="4"/>
  <c r="W17" i="4"/>
  <c r="X17" i="4"/>
  <c r="Y17" i="4"/>
  <c r="Z17" i="4"/>
  <c r="AA17" i="4"/>
  <c r="AB17" i="4"/>
  <c r="AC17" i="4"/>
  <c r="AD17" i="4"/>
  <c r="AE17" i="4"/>
  <c r="AF17" i="4"/>
  <c r="AG17" i="4"/>
  <c r="C2" i="27"/>
  <c r="C17" i="4" s="1"/>
  <c r="C1" i="27"/>
  <c r="AH4" i="5"/>
  <c r="AK8" i="15" l="1"/>
  <c r="AK9" i="15"/>
  <c r="AK10" i="15"/>
  <c r="AK11" i="15"/>
  <c r="AK12" i="15"/>
  <c r="AK7" i="15"/>
  <c r="AK8" i="25"/>
  <c r="AK9" i="25"/>
  <c r="AK10" i="25"/>
  <c r="AK11" i="25"/>
  <c r="AK12" i="25"/>
  <c r="AK7" i="25"/>
  <c r="AK8" i="24"/>
  <c r="AK9" i="24"/>
  <c r="AK10" i="24"/>
  <c r="AK11" i="24"/>
  <c r="AK12" i="24"/>
  <c r="AK7" i="24"/>
  <c r="AK8" i="23"/>
  <c r="AK9" i="23"/>
  <c r="AK10" i="23"/>
  <c r="AK11" i="23"/>
  <c r="AK12" i="23"/>
  <c r="AK7" i="23"/>
  <c r="AK7" i="22"/>
  <c r="AK8" i="22"/>
  <c r="AK9" i="22"/>
  <c r="AK10" i="22"/>
  <c r="AK11" i="22"/>
  <c r="AK12" i="22"/>
  <c r="AJ7" i="22"/>
  <c r="AK7" i="20"/>
  <c r="AJ7" i="20"/>
  <c r="AK8" i="19"/>
  <c r="AK9" i="19"/>
  <c r="AK10" i="19"/>
  <c r="AK11" i="19"/>
  <c r="AK12" i="19"/>
  <c r="AK7" i="19"/>
  <c r="AK7" i="5" l="1"/>
  <c r="AK7" i="4"/>
  <c r="AK8" i="4"/>
  <c r="AK9" i="4"/>
  <c r="AK10" i="4"/>
  <c r="AK11" i="4"/>
  <c r="AK12" i="4"/>
  <c r="AK13" i="4"/>
  <c r="AJ7" i="4"/>
  <c r="A14" i="26" l="1"/>
  <c r="A13" i="26"/>
  <c r="A12" i="26"/>
  <c r="A11" i="26"/>
  <c r="A10" i="26"/>
  <c r="A9" i="26"/>
  <c r="A8" i="26"/>
  <c r="B11" i="15"/>
  <c r="B12" i="15"/>
  <c r="B11" i="25"/>
  <c r="B12" i="25"/>
  <c r="B11" i="24"/>
  <c r="B12" i="24"/>
  <c r="B11" i="23"/>
  <c r="B12" i="23"/>
  <c r="B11" i="22"/>
  <c r="B12" i="22"/>
  <c r="B11" i="21"/>
  <c r="B12" i="21"/>
  <c r="B13" i="21"/>
  <c r="B10" i="20"/>
  <c r="B11" i="20"/>
  <c r="B12" i="20"/>
  <c r="B12" i="19"/>
  <c r="B12" i="18"/>
  <c r="B12" i="17"/>
  <c r="B12" i="5"/>
  <c r="B13" i="5"/>
  <c r="AH13" i="5"/>
  <c r="AI13" i="5"/>
  <c r="AJ13" i="5"/>
  <c r="AK13" i="5"/>
  <c r="AH12" i="4" l="1"/>
  <c r="AI12" i="4"/>
  <c r="AJ12" i="4"/>
  <c r="AJ13" i="4"/>
  <c r="AI13" i="4"/>
  <c r="AH13" i="4"/>
  <c r="B10" i="15"/>
  <c r="B9" i="15"/>
  <c r="B8" i="15"/>
  <c r="B7" i="15"/>
  <c r="B10" i="25"/>
  <c r="B9" i="25"/>
  <c r="B8" i="25"/>
  <c r="B7" i="25"/>
  <c r="B10" i="24"/>
  <c r="B9" i="24"/>
  <c r="B8" i="24"/>
  <c r="B7" i="24"/>
  <c r="B10" i="23"/>
  <c r="B9" i="23"/>
  <c r="B8" i="23"/>
  <c r="B7" i="23"/>
  <c r="B10" i="22"/>
  <c r="B9" i="22"/>
  <c r="B8" i="22"/>
  <c r="B7" i="22"/>
  <c r="B7" i="21"/>
  <c r="B8" i="21"/>
  <c r="B9" i="21"/>
  <c r="B10" i="21"/>
  <c r="B9" i="20"/>
  <c r="B8" i="20"/>
  <c r="B7" i="20"/>
  <c r="B11" i="19"/>
  <c r="B10" i="19"/>
  <c r="B9" i="19"/>
  <c r="B8" i="19"/>
  <c r="B7" i="19"/>
  <c r="B11" i="18"/>
  <c r="B10" i="18"/>
  <c r="B9" i="18"/>
  <c r="B8" i="18"/>
  <c r="B7" i="18"/>
  <c r="B11" i="17"/>
  <c r="B10" i="17"/>
  <c r="B9" i="17"/>
  <c r="B8" i="17"/>
  <c r="B7" i="17"/>
  <c r="B8" i="5"/>
  <c r="B9" i="5"/>
  <c r="B10" i="5"/>
  <c r="B11" i="5"/>
  <c r="B7" i="5"/>
  <c r="AH12" i="5" l="1"/>
  <c r="AI12" i="5"/>
  <c r="AJ12" i="5"/>
  <c r="AK12" i="5"/>
  <c r="AH8" i="24"/>
  <c r="AI8" i="24"/>
  <c r="AJ8" i="24"/>
  <c r="AH9" i="24"/>
  <c r="AI9" i="24"/>
  <c r="AJ9" i="24"/>
  <c r="AH10" i="24"/>
  <c r="AI10" i="24"/>
  <c r="AJ10" i="24"/>
  <c r="AH11" i="24"/>
  <c r="AI11" i="24"/>
  <c r="AJ11" i="24"/>
  <c r="AH12" i="24"/>
  <c r="AI12" i="24"/>
  <c r="AJ12" i="24"/>
  <c r="AI7" i="24"/>
  <c r="AJ7" i="24"/>
  <c r="AH8" i="15"/>
  <c r="AI8" i="15"/>
  <c r="AJ8" i="15"/>
  <c r="AH9" i="15"/>
  <c r="AI9" i="15"/>
  <c r="AJ9" i="15"/>
  <c r="AH10" i="15"/>
  <c r="AI10" i="15"/>
  <c r="AJ10" i="15"/>
  <c r="AH11" i="15"/>
  <c r="AI11" i="15"/>
  <c r="AJ11" i="15"/>
  <c r="AH12" i="15"/>
  <c r="AI12" i="15"/>
  <c r="AJ12" i="15"/>
  <c r="AI7" i="15"/>
  <c r="AJ7" i="15"/>
  <c r="AH7" i="15"/>
  <c r="AH7" i="24"/>
  <c r="AH7" i="22"/>
  <c r="AH8" i="25"/>
  <c r="AI8" i="25"/>
  <c r="AJ8" i="25"/>
  <c r="AH9" i="25"/>
  <c r="AI9" i="25"/>
  <c r="AJ9" i="25"/>
  <c r="AH10" i="25"/>
  <c r="AI10" i="25"/>
  <c r="AJ10" i="25"/>
  <c r="AH11" i="25"/>
  <c r="AI11" i="25"/>
  <c r="AJ11" i="25"/>
  <c r="AH12" i="25"/>
  <c r="AI12" i="25"/>
  <c r="AJ12" i="25"/>
  <c r="AI7" i="25"/>
  <c r="AJ7" i="25"/>
  <c r="AH7" i="25"/>
  <c r="AH8" i="23"/>
  <c r="AI8" i="23"/>
  <c r="AJ8" i="23"/>
  <c r="AH9" i="23"/>
  <c r="AI9" i="23"/>
  <c r="AJ9" i="23"/>
  <c r="AH10" i="23"/>
  <c r="AI10" i="23"/>
  <c r="AJ10" i="23"/>
  <c r="AH11" i="23"/>
  <c r="AI11" i="23"/>
  <c r="AJ11" i="23"/>
  <c r="AH12" i="23"/>
  <c r="AI12" i="23"/>
  <c r="AJ12" i="23"/>
  <c r="AI7" i="23"/>
  <c r="AJ7" i="23"/>
  <c r="AH7" i="23"/>
  <c r="AH8" i="22"/>
  <c r="AI8" i="22"/>
  <c r="AJ8" i="22"/>
  <c r="AH9" i="22"/>
  <c r="AI9" i="22"/>
  <c r="AJ9" i="22"/>
  <c r="AH10" i="22"/>
  <c r="AI10" i="22"/>
  <c r="AJ10" i="22"/>
  <c r="AH11" i="22"/>
  <c r="AI11" i="22"/>
  <c r="AJ11" i="22"/>
  <c r="AH12" i="22"/>
  <c r="AI12" i="22"/>
  <c r="AJ12" i="22"/>
  <c r="AI7" i="22"/>
  <c r="AH8" i="21"/>
  <c r="AI8" i="21"/>
  <c r="AJ8" i="21"/>
  <c r="AK8" i="21"/>
  <c r="AH9" i="21"/>
  <c r="AI9" i="21"/>
  <c r="AJ9" i="21"/>
  <c r="AK9" i="21"/>
  <c r="AH10" i="21"/>
  <c r="AI10" i="21"/>
  <c r="AJ10" i="21"/>
  <c r="AK10" i="21"/>
  <c r="AH11" i="21"/>
  <c r="AI11" i="21"/>
  <c r="AJ11" i="21"/>
  <c r="AK11" i="21"/>
  <c r="AH12" i="21"/>
  <c r="AI12" i="21"/>
  <c r="AJ12" i="21"/>
  <c r="AK12" i="21"/>
  <c r="AH13" i="21"/>
  <c r="B14" i="26" s="1"/>
  <c r="AI13" i="21"/>
  <c r="C14" i="26" s="1"/>
  <c r="AJ13" i="21"/>
  <c r="D14" i="26" s="1"/>
  <c r="AK13" i="21"/>
  <c r="E14" i="26" s="1"/>
  <c r="AI7" i="21"/>
  <c r="AJ7" i="21"/>
  <c r="AK7" i="21"/>
  <c r="AH7" i="21"/>
  <c r="AH8" i="20"/>
  <c r="AI8" i="20"/>
  <c r="AJ8" i="20"/>
  <c r="AK8" i="20"/>
  <c r="AH9" i="20"/>
  <c r="AI9" i="20"/>
  <c r="AJ9" i="20"/>
  <c r="AK9" i="20"/>
  <c r="AH10" i="20"/>
  <c r="AI10" i="20"/>
  <c r="AJ10" i="20"/>
  <c r="AK10" i="20"/>
  <c r="AH11" i="20"/>
  <c r="AI11" i="20"/>
  <c r="AJ11" i="20"/>
  <c r="AK11" i="20"/>
  <c r="AH12" i="20"/>
  <c r="AI12" i="20"/>
  <c r="AJ12" i="20"/>
  <c r="AK12" i="20"/>
  <c r="AI7" i="20"/>
  <c r="AH7" i="20"/>
  <c r="AH8" i="19"/>
  <c r="AI8" i="19"/>
  <c r="AJ8" i="19"/>
  <c r="AH9" i="19"/>
  <c r="AI9" i="19"/>
  <c r="AJ9" i="19"/>
  <c r="AH10" i="19"/>
  <c r="AI10" i="19"/>
  <c r="AJ10" i="19"/>
  <c r="AH11" i="19"/>
  <c r="AI11" i="19"/>
  <c r="AJ11" i="19"/>
  <c r="AH12" i="19"/>
  <c r="AI12" i="19"/>
  <c r="AJ12" i="19"/>
  <c r="AI7" i="19"/>
  <c r="AJ7" i="19"/>
  <c r="AH7" i="19"/>
  <c r="AH8" i="18"/>
  <c r="AI8" i="18"/>
  <c r="AJ8" i="18"/>
  <c r="AK8" i="18"/>
  <c r="AH9" i="18"/>
  <c r="AI9" i="18"/>
  <c r="AJ9" i="18"/>
  <c r="AK9" i="18"/>
  <c r="AH10" i="18"/>
  <c r="AI10" i="18"/>
  <c r="AJ10" i="18"/>
  <c r="AK10" i="18"/>
  <c r="AH11" i="18"/>
  <c r="AI11" i="18"/>
  <c r="AJ11" i="18"/>
  <c r="AK11" i="18"/>
  <c r="AH12" i="18"/>
  <c r="AI12" i="18"/>
  <c r="AJ12" i="18"/>
  <c r="AK12" i="18"/>
  <c r="AI7" i="18"/>
  <c r="AJ7" i="18"/>
  <c r="AK7" i="18"/>
  <c r="AH7" i="18"/>
  <c r="AH8" i="17"/>
  <c r="AI8" i="17"/>
  <c r="AJ8" i="17"/>
  <c r="AK8" i="17"/>
  <c r="AH9" i="17"/>
  <c r="AI9" i="17"/>
  <c r="AJ9" i="17"/>
  <c r="AK9" i="17"/>
  <c r="AH10" i="17"/>
  <c r="AI10" i="17"/>
  <c r="AJ10" i="17"/>
  <c r="AK10" i="17"/>
  <c r="AH11" i="17"/>
  <c r="AI11" i="17"/>
  <c r="AJ11" i="17"/>
  <c r="AK11" i="17"/>
  <c r="AH12" i="17"/>
  <c r="AI12" i="17"/>
  <c r="AJ12" i="17"/>
  <c r="AK12" i="17"/>
  <c r="AI7" i="17"/>
  <c r="AJ7" i="17"/>
  <c r="AK7" i="17"/>
  <c r="AH7" i="17"/>
  <c r="AH8" i="5"/>
  <c r="AI8" i="5"/>
  <c r="AJ8" i="5"/>
  <c r="AK8" i="5"/>
  <c r="AH9" i="5"/>
  <c r="AI9" i="5"/>
  <c r="AJ9" i="5"/>
  <c r="AK9" i="5"/>
  <c r="AH10" i="5"/>
  <c r="AI10" i="5"/>
  <c r="AJ10" i="5"/>
  <c r="AK10" i="5"/>
  <c r="AH11" i="5"/>
  <c r="AI11" i="5"/>
  <c r="AJ11" i="5"/>
  <c r="AK11" i="5"/>
  <c r="AI7" i="5"/>
  <c r="AJ7" i="5"/>
  <c r="AH7" i="5"/>
  <c r="AH8" i="4"/>
  <c r="AI8" i="4"/>
  <c r="AJ8" i="4"/>
  <c r="AH9" i="4"/>
  <c r="AI9" i="4"/>
  <c r="AJ9" i="4"/>
  <c r="AH10" i="4"/>
  <c r="AI10" i="4"/>
  <c r="AJ10" i="4"/>
  <c r="AH11" i="4"/>
  <c r="AI11" i="4"/>
  <c r="AJ11" i="4"/>
  <c r="AI7" i="4"/>
  <c r="AH7" i="4"/>
  <c r="AI14" i="18" l="1"/>
  <c r="AI14" i="15"/>
  <c r="AI15" i="21"/>
  <c r="AJ14" i="15"/>
  <c r="AK14" i="15"/>
  <c r="AK14" i="25"/>
  <c r="AJ14" i="25"/>
  <c r="AI14" i="25"/>
  <c r="AK14" i="24"/>
  <c r="AJ14" i="24"/>
  <c r="AI14" i="24"/>
  <c r="AK14" i="23"/>
  <c r="AJ14" i="23"/>
  <c r="AI14" i="23"/>
  <c r="AK14" i="22"/>
  <c r="AJ14" i="22"/>
  <c r="AI14" i="22"/>
  <c r="AH15" i="21"/>
  <c r="AK15" i="21"/>
  <c r="AJ15" i="21"/>
  <c r="AH14" i="20"/>
  <c r="AK14" i="20"/>
  <c r="AJ14" i="20"/>
  <c r="AI14" i="20"/>
  <c r="AK14" i="19"/>
  <c r="AJ14" i="19"/>
  <c r="AI14" i="19"/>
  <c r="AJ14" i="18"/>
  <c r="AH14" i="18"/>
  <c r="AK14" i="18"/>
  <c r="B12" i="26"/>
  <c r="B9" i="26"/>
  <c r="AK14" i="17"/>
  <c r="AH14" i="17"/>
  <c r="AJ14" i="17"/>
  <c r="AI14" i="17"/>
  <c r="B10" i="26"/>
  <c r="D10" i="26"/>
  <c r="AK15" i="5"/>
  <c r="AH15" i="5"/>
  <c r="C11" i="26"/>
  <c r="AJ15" i="5"/>
  <c r="AI15" i="5"/>
  <c r="E8" i="26"/>
  <c r="D9" i="26"/>
  <c r="D11" i="26"/>
  <c r="E10" i="26"/>
  <c r="D12" i="26"/>
  <c r="C8" i="26"/>
  <c r="C12" i="26"/>
  <c r="C9" i="26"/>
  <c r="E11" i="26"/>
  <c r="E13" i="26"/>
  <c r="D13" i="26"/>
  <c r="B11" i="26"/>
  <c r="B13" i="26"/>
  <c r="D8" i="26"/>
  <c r="C10" i="26"/>
  <c r="E12" i="26"/>
  <c r="E9" i="26"/>
  <c r="C13" i="26"/>
  <c r="B8" i="26"/>
  <c r="AH15" i="4"/>
  <c r="AI15" i="4"/>
  <c r="AJ15" i="4"/>
  <c r="AK15" i="4"/>
  <c r="A1" i="26" l="1"/>
  <c r="AH4" i="23"/>
  <c r="B1" i="5"/>
  <c r="C5" i="5"/>
  <c r="D5" i="5"/>
  <c r="E5" i="5"/>
  <c r="F5" i="5"/>
  <c r="G5" i="5"/>
  <c r="H5" i="5"/>
  <c r="I5" i="5"/>
  <c r="J5" i="5"/>
  <c r="K5" i="5"/>
  <c r="L5" i="5"/>
  <c r="M5" i="5"/>
  <c r="N5" i="5"/>
  <c r="O5" i="5"/>
  <c r="P5" i="5"/>
  <c r="Q5" i="5"/>
  <c r="R5" i="5"/>
  <c r="S5" i="5"/>
  <c r="T5" i="5"/>
  <c r="U5" i="5"/>
  <c r="V5" i="5"/>
  <c r="W5" i="5"/>
  <c r="X5" i="5"/>
  <c r="Y5" i="5"/>
  <c r="Z5" i="5"/>
  <c r="AA5" i="5"/>
  <c r="AB5" i="5"/>
  <c r="AC5" i="5"/>
  <c r="AD5" i="5"/>
  <c r="AE5" i="5"/>
  <c r="AG5" i="17" l="1"/>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H4" i="25" l="1"/>
  <c r="B1" i="25"/>
  <c r="AH4" i="24"/>
  <c r="B1" i="24"/>
  <c r="B1" i="23"/>
  <c r="AH4" i="22"/>
  <c r="B1" i="22"/>
  <c r="AH4" i="21"/>
  <c r="B1" i="21"/>
  <c r="AH4" i="20"/>
  <c r="B1" i="20"/>
  <c r="AH4" i="19"/>
  <c r="B1" i="19"/>
  <c r="AH4" i="18"/>
  <c r="B1" i="18"/>
  <c r="AH4" i="17"/>
  <c r="B1" i="17"/>
  <c r="B1" i="15"/>
  <c r="AH4" i="15" l="1"/>
  <c r="AH14" i="24" l="1"/>
  <c r="AH14" i="19"/>
  <c r="AH14" i="15"/>
  <c r="AH14" i="25"/>
  <c r="AH14" i="23"/>
  <c r="AH14" i="22"/>
</calcChain>
</file>

<file path=xl/sharedStrings.xml><?xml version="1.0" encoding="utf-8"?>
<sst xmlns="http://schemas.openxmlformats.org/spreadsheetml/2006/main" count="629" uniqueCount="71">
  <si>
    <t>Calendrier  des employés</t>
  </si>
  <si>
    <t>Clé de motif d’absence</t>
  </si>
  <si>
    <t>T</t>
  </si>
  <si>
    <t>Travaillé</t>
  </si>
  <si>
    <t>P</t>
  </si>
  <si>
    <t>Personnel</t>
  </si>
  <si>
    <t>M</t>
  </si>
  <si>
    <t>Maladie</t>
  </si>
  <si>
    <t>C</t>
  </si>
  <si>
    <t>Congés</t>
  </si>
  <si>
    <t>Entrez l’année :</t>
  </si>
  <si>
    <t>Janvier</t>
  </si>
  <si>
    <t xml:space="preserve">Dates </t>
  </si>
  <si>
    <t>Nom de l’employé</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</si>
  <si>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</si>
  <si>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</si>
  <si>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</si>
  <si>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</si>
  <si>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</si>
  <si>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</si>
  <si>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</si>
  <si>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</si>
  <si>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</si>
  <si>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</si>
  <si>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</si>
  <si>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</si>
  <si>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</si>
  <si>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</si>
  <si>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</si>
  <si>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</si>
  <si>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</si>
  <si>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</si>
  <si>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</si>
  <si>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</si>
  <si>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</si>
  <si>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</si>
  <si>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</si>
  <si>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</si>
  <si>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</si>
  <si>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</si>
  <si>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</si>
  <si>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</si>
  <si>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</si>
  <si>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</si>
  <si>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</si>
  <si>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Amandine KRUSE</t>
  </si>
  <si>
    <t>Nakani KANTE</t>
  </si>
  <si>
    <t>Jérémie THORIN</t>
  </si>
  <si>
    <t>Employé 4</t>
  </si>
  <si>
    <t xml:space="preserve">Remplacement </t>
  </si>
  <si>
    <t>Employé 5</t>
  </si>
  <si>
    <t>Employé 6</t>
  </si>
  <si>
    <t xml:space="preserve"> </t>
  </si>
  <si>
    <t>Total par catégorie</t>
  </si>
  <si>
    <t>Février</t>
  </si>
  <si>
    <t>Dates d’absence</t>
  </si>
  <si>
    <t xml:space="preserve">  </t>
  </si>
  <si>
    <t>Mars</t>
  </si>
  <si>
    <t>Avril</t>
  </si>
  <si>
    <t>Mai</t>
  </si>
  <si>
    <t>Juin</t>
  </si>
  <si>
    <t>Juillet</t>
  </si>
  <si>
    <t>Août</t>
  </si>
  <si>
    <t>Septembre</t>
  </si>
  <si>
    <t>Octobre</t>
  </si>
  <si>
    <t>Novembre</t>
  </si>
  <si>
    <t>Décembre</t>
  </si>
  <si>
    <t>R</t>
  </si>
  <si>
    <t>Panier Repas</t>
  </si>
  <si>
    <t>Repas</t>
  </si>
  <si>
    <t>temporaire :Test formule mfc</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</si>
</sst>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_-* #,##0\ &quot;€&quot;_-;\-* #,##0\ &quot;€&quot;_-;_-* &quot;-&quot;\ &quot;€&quot;_-;_-@_-"/>
    <numFmt numFmtId="165" formatCode="_-* #,##0.00\ &quot;€&quot;_-;\-* #,##0.00\ &quot;€&quot;_-;_-* &quot;-&quot;??\ &quot;€&quot;_-;_-@_-"/>
    <numFmt numFmtId="166" formatCode="_(* #,##0_);_(* \(#,##0\);_(* &quot;-&quot;_);_(@_)"/>
    <numFmt numFmtId="167" formatCode="_(* #,##0.00_);_(* \(#,##0.00\);_(* &quot;-&quot;??_);_(@_)"/>
    <numFmt numFmtId="168" formatCode="0;0;"/>
  </numFmts>
  <fonts count="20"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rgb="FF4A5359"/>
      <name val="Arial"/>
      <family val="2"/>
    </font>
  </fonts>
  <fills count="34">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2" tint="-9.9978637043366805E-2"/>
        <bgColor indexed="64"/>
      </patternFill>
    </fill>
  </fills>
  <borders count="22">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theme="0"/>
      </left>
      <right style="thin">
        <color theme="0"/>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right/>
      <top style="thin">
        <color theme="0" tint="-0.14996795556505021"/>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right/>
      <top style="thin">
        <color theme="2" tint="-9.9917600024414813E-2"/>
      </top>
      <bottom style="thin">
        <color theme="2" tint="-9.9917600024414813E-2"/>
      </bottom>
      <diagonal/>
    </border>
    <border>
      <left style="thin">
        <color indexed="64"/>
      </left>
      <right style="medium">
        <color indexed="64"/>
      </right>
      <top style="thin">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7" fontId="1" fillId="0" borderId="0" applyFont="0" applyFill="0" applyBorder="0" applyAlignment="0" applyProtection="0"/>
    <xf numFmtId="166" fontId="1" fillId="0" borderId="0" applyFont="0" applyFill="0" applyBorder="0" applyAlignment="0" applyProtection="0"/>
    <xf numFmtId="165" fontId="1" fillId="0" borderId="0" applyFont="0" applyFill="0" applyBorder="0" applyAlignment="0" applyProtection="0"/>
    <xf numFmtId="164"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60">
    <xf numFmtId="0" fontId="0" fillId="0" borderId="0" xfId="0">
      <alignment horizontal="left" vertical="center"/>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8" fontId="2" fillId="9" borderId="0" xfId="8" applyNumberFormat="1" applyFont="1" applyAlignment="1" applyProtection="1">
      <alignment horizontal="center" vertical="center"/>
    </xf>
    <xf numFmtId="168" fontId="2" fillId="14" borderId="0" xfId="24" applyNumberFormat="1" applyFont="1" applyAlignment="1" applyProtection="1">
      <alignment horizontal="center" vertical="center"/>
    </xf>
    <xf numFmtId="1" fontId="1" fillId="0" borderId="0" xfId="25" applyFill="1" applyBorder="1" applyProtection="1">
      <alignment horizontal="center" vertical="center"/>
    </xf>
    <xf numFmtId="0" fontId="0" fillId="0" borderId="0" xfId="0" applyProtection="1">
      <alignment horizontal="left" vertical="center"/>
    </xf>
    <xf numFmtId="0" fontId="6" fillId="0" borderId="0" xfId="1" applyAlignment="1" applyProtection="1">
      <alignment vertical="top"/>
    </xf>
    <xf numFmtId="0" fontId="1" fillId="2" borderId="0" xfId="21" applyBorder="1" applyAlignment="1" applyProtection="1">
      <alignment horizontal="left" vertical="center" indent="1"/>
    </xf>
    <xf numFmtId="0" fontId="0" fillId="0" borderId="0" xfId="0" applyAlignment="1" applyProtection="1">
      <alignment horizontal="left" vertical="center" wrapText="1"/>
    </xf>
    <xf numFmtId="0" fontId="2" fillId="20" borderId="0" xfId="4" applyProtection="1">
      <alignment horizontal="right" vertical="center" indent="1"/>
    </xf>
    <xf numFmtId="0" fontId="8" fillId="0" borderId="0" xfId="0" applyFont="1" applyFill="1" applyBorder="1" applyAlignment="1" applyProtection="1">
      <alignment horizontal="center" vertical="center"/>
    </xf>
    <xf numFmtId="0" fontId="0" fillId="0" borderId="0" xfId="26" applyFont="1">
      <alignment horizontal="left" vertical="center" wrapText="1" indent="2"/>
    </xf>
    <xf numFmtId="0" fontId="16" fillId="15" borderId="6" xfId="12" applyFont="1" applyFill="1" applyBorder="1" applyAlignment="1">
      <alignment horizontal="center" vertical="center"/>
    </xf>
    <xf numFmtId="168" fontId="16" fillId="9" borderId="6" xfId="8" applyNumberFormat="1" applyFont="1" applyFill="1" applyBorder="1" applyAlignment="1">
      <alignment horizontal="center" vertical="center"/>
    </xf>
    <xf numFmtId="0" fontId="16" fillId="13" borderId="6" xfId="23" applyFont="1" applyFill="1" applyBorder="1" applyAlignment="1">
      <alignment horizontal="center" vertical="center"/>
    </xf>
    <xf numFmtId="0" fontId="1" fillId="2" borderId="0" xfId="21" applyAlignment="1" applyProtection="1">
      <alignment vertical="center"/>
    </xf>
    <xf numFmtId="0" fontId="1" fillId="0" borderId="7" xfId="26" applyFill="1" applyBorder="1">
      <alignment horizontal="left" vertical="center" wrapText="1" indent="2"/>
    </xf>
    <xf numFmtId="0" fontId="0" fillId="0" borderId="8" xfId="0" applyFont="1" applyFill="1" applyBorder="1" applyAlignment="1" applyProtection="1">
      <alignment horizontal="center" vertical="center"/>
    </xf>
    <xf numFmtId="0" fontId="1" fillId="0" borderId="9" xfId="26" applyFill="1" applyBorder="1">
      <alignment horizontal="left" vertical="center" wrapText="1" indent="2"/>
    </xf>
    <xf numFmtId="1" fontId="0" fillId="0" borderId="8" xfId="25" applyFont="1" applyFill="1" applyBorder="1" applyProtection="1">
      <alignment horizontal="center" vertical="center"/>
    </xf>
    <xf numFmtId="0" fontId="0" fillId="2" borderId="10" xfId="21" applyFont="1" applyFill="1" applyBorder="1" applyAlignment="1">
      <alignment horizontal="left" vertical="center" indent="1"/>
    </xf>
    <xf numFmtId="0" fontId="2" fillId="10" borderId="0" xfId="19" applyFont="1" applyFill="1" applyBorder="1" applyAlignment="1">
      <alignment horizontal="center" vertical="center"/>
    </xf>
    <xf numFmtId="0" fontId="1" fillId="0" borderId="11" xfId="26" applyFill="1" applyBorder="1">
      <alignment horizontal="left" vertical="center" wrapText="1" indent="2"/>
    </xf>
    <xf numFmtId="0" fontId="0" fillId="0" borderId="0" xfId="0" applyBorder="1" applyProtection="1">
      <alignment horizontal="left" vertical="center"/>
    </xf>
    <xf numFmtId="0" fontId="1" fillId="0" borderId="0" xfId="26" applyFill="1" applyBorder="1">
      <alignment horizontal="left" vertical="center" wrapText="1" indent="2"/>
    </xf>
    <xf numFmtId="1" fontId="0" fillId="0" borderId="0" xfId="0" applyNumberFormat="1" applyBorder="1" applyProtection="1">
      <alignment horizontal="left" vertical="center"/>
    </xf>
    <xf numFmtId="1" fontId="2" fillId="33" borderId="14" xfId="0" applyNumberFormat="1" applyFont="1" applyFill="1" applyBorder="1" applyAlignment="1" applyProtection="1">
      <alignment horizontal="center" vertical="center"/>
    </xf>
    <xf numFmtId="1" fontId="2" fillId="33" borderId="15" xfId="0" applyNumberFormat="1" applyFont="1" applyFill="1" applyBorder="1" applyAlignment="1" applyProtection="1">
      <alignment horizontal="center" vertical="center"/>
    </xf>
    <xf numFmtId="1" fontId="2" fillId="33" borderId="16" xfId="0" applyNumberFormat="1" applyFont="1" applyFill="1" applyBorder="1" applyAlignment="1" applyProtection="1">
      <alignment horizontal="center" vertical="center"/>
    </xf>
    <xf numFmtId="0" fontId="5" fillId="2" borderId="0" xfId="3" applyProtection="1">
      <alignment horizontal="center" vertical="center"/>
    </xf>
    <xf numFmtId="0" fontId="0" fillId="0" borderId="0" xfId="0" applyAlignment="1">
      <alignment horizontal="center" vertical="center"/>
    </xf>
    <xf numFmtId="0" fontId="0" fillId="0" borderId="17" xfId="26" applyFont="1" applyFill="1" applyBorder="1" applyAlignment="1">
      <alignment horizontal="left" vertical="center" wrapText="1" indent="2"/>
    </xf>
    <xf numFmtId="1" fontId="0" fillId="0" borderId="17" xfId="26" applyNumberFormat="1" applyFont="1" applyFill="1" applyBorder="1" applyAlignment="1">
      <alignment horizontal="left" vertical="center" wrapText="1" indent="2"/>
    </xf>
    <xf numFmtId="1" fontId="0" fillId="0" borderId="12" xfId="25" applyNumberFormat="1" applyFont="1" applyFill="1" applyBorder="1" applyProtection="1">
      <alignment horizontal="center" vertical="center"/>
    </xf>
    <xf numFmtId="1" fontId="1" fillId="0" borderId="12" xfId="25" applyFill="1" applyBorder="1" applyProtection="1">
      <alignment horizontal="center" vertical="center"/>
    </xf>
    <xf numFmtId="1" fontId="1" fillId="0" borderId="18" xfId="25" applyFill="1" applyBorder="1" applyProtection="1">
      <alignment horizontal="center" vertical="center"/>
    </xf>
    <xf numFmtId="0" fontId="1" fillId="0" borderId="0" xfId="26" applyFill="1" applyProtection="1">
      <alignment horizontal="left" vertical="center" wrapText="1" indent="2"/>
    </xf>
    <xf numFmtId="1" fontId="1" fillId="0" borderId="0" xfId="25" applyNumberFormat="1" applyFill="1" applyBorder="1" applyProtection="1">
      <alignment horizontal="center" vertical="center"/>
    </xf>
    <xf numFmtId="0" fontId="0" fillId="2" borderId="0" xfId="21" applyFont="1" applyAlignment="1" applyProtection="1">
      <alignment vertical="center"/>
    </xf>
    <xf numFmtId="1" fontId="1" fillId="0" borderId="0" xfId="25" applyNumberFormat="1" applyFill="1" applyProtection="1">
      <alignment horizontal="center" vertical="center"/>
    </xf>
    <xf numFmtId="0" fontId="0" fillId="2" borderId="0" xfId="21" applyFont="1" applyAlignment="1" applyProtection="1">
      <alignment horizontal="left" vertical="center"/>
    </xf>
    <xf numFmtId="0" fontId="1" fillId="2" borderId="0" xfId="21" applyAlignment="1" applyProtection="1">
      <alignment horizontal="left" vertical="center"/>
    </xf>
    <xf numFmtId="0" fontId="0" fillId="2" borderId="0" xfId="21" applyFont="1" applyAlignment="1" applyProtection="1">
      <alignment horizontal="center" vertical="center"/>
    </xf>
    <xf numFmtId="0" fontId="1" fillId="2" borderId="0" xfId="21" applyAlignment="1" applyProtection="1">
      <alignment horizontal="center" vertical="center"/>
    </xf>
    <xf numFmtId="0" fontId="0" fillId="33" borderId="13" xfId="0" applyFill="1" applyBorder="1" applyAlignment="1" applyProtection="1">
      <alignment horizontal="center" vertical="center"/>
    </xf>
    <xf numFmtId="0" fontId="0" fillId="33" borderId="14" xfId="0" applyFill="1" applyBorder="1" applyAlignment="1" applyProtection="1">
      <alignment horizontal="center" vertical="center"/>
    </xf>
    <xf numFmtId="0" fontId="0" fillId="33" borderId="15" xfId="0" applyFill="1" applyBorder="1" applyAlignment="1" applyProtection="1">
      <alignment horizontal="center" vertical="center"/>
    </xf>
    <xf numFmtId="0" fontId="7" fillId="0" borderId="0" xfId="27" applyAlignment="1" applyProtection="1">
      <alignment horizontal="center"/>
    </xf>
    <xf numFmtId="0" fontId="5" fillId="2" borderId="0" xfId="3" applyAlignment="1" applyProtection="1">
      <alignment horizontal="center" vertical="center"/>
    </xf>
    <xf numFmtId="0" fontId="0" fillId="33" borderId="19" xfId="0" applyFill="1" applyBorder="1" applyAlignment="1" applyProtection="1">
      <alignment horizontal="center" vertical="center"/>
    </xf>
    <xf numFmtId="0" fontId="0" fillId="33" borderId="20" xfId="0" applyFill="1" applyBorder="1" applyAlignment="1" applyProtection="1">
      <alignment horizontal="center" vertical="center"/>
    </xf>
    <xf numFmtId="0" fontId="0" fillId="33" borderId="21" xfId="0" applyFill="1" applyBorder="1" applyAlignment="1" applyProtection="1">
      <alignment horizontal="center" vertical="center"/>
    </xf>
    <xf numFmtId="0" fontId="0" fillId="0" borderId="0" xfId="0" applyAlignment="1">
      <alignment horizontal="center" vertical="center"/>
    </xf>
    <xf numFmtId="14" fontId="0" fillId="0" borderId="0" xfId="0" applyNumberFormat="1">
      <alignment horizontal="left" vertical="center"/>
    </xf>
    <xf numFmtId="0" fontId="0" fillId="0" borderId="0" xfId="0" applyNumberFormat="1" applyProtection="1">
      <alignment horizontal="left" vertical="center"/>
    </xf>
    <xf numFmtId="0" fontId="19" fillId="0" borderId="0" xfId="0" applyFont="1" applyAlignment="1">
      <alignment horizontal="left" vertical="center" wrapText="1"/>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Commentaire" xfId="42" builtinId="10" customBuiltin="1"/>
    <cellStyle name="Employé" xfId="26"/>
    <cellStyle name="Entrée" xfId="36" builtinId="20" customBuiltin="1"/>
    <cellStyle name="Étiquette" xfId="27"/>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1015">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medium">
          <color indexed="64"/>
        </top>
        <bottom style="thin">
          <color indexed="64"/>
        </bottom>
        <vertical/>
        <horizontal/>
      </border>
      <protection locked="1" hidden="0"/>
    </dxf>
    <dxf>
      <fill>
        <patternFill>
          <bgColor rgb="FFFFFF0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FFFF0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FFFF0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fill>
        <patternFill>
          <bgColor rgb="FFFFFF00"/>
        </patternFill>
      </fill>
    </dxf>
    <dxf>
      <fill>
        <patternFill>
          <bgColor rgb="FFFFFF00"/>
        </patternFill>
      </fill>
    </dxf>
    <dxf>
      <fill>
        <patternFill>
          <bgColor rgb="FFFFFF00"/>
        </patternFill>
      </fill>
    </dxf>
    <dxf>
      <fill>
        <patternFill>
          <bgColor rgb="FFFFFF0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FFFF0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theme="8" tint="0.39994506668294322"/>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theme="8" tint="0.39994506668294322"/>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theme="8" tint="0.39994506668294322"/>
        </patternFill>
      </fill>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border diagonalUp="0" diagonalDown="0">
        <left style="thin">
          <color indexed="64"/>
        </left>
        <right style="thin">
          <color indexed="64"/>
        </right>
        <top style="medium">
          <color indexed="64"/>
        </top>
        <bottom style="thin">
          <color indexed="64"/>
        </bottom>
        <vertical/>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numFmt numFmtId="1" formatCode="0"/>
      <fill>
        <patternFill patternType="none">
          <fgColor indexed="64"/>
          <bgColor indexed="65"/>
        </patternFill>
      </fill>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medium">
          <color indexed="64"/>
        </right>
        <top style="thin">
          <color indexed="64"/>
        </top>
        <bottom style="medium">
          <color indexed="64"/>
        </bottom>
      </border>
      <protection locked="1" hidden="0"/>
    </dxf>
    <dxf>
      <numFmt numFmtId="1" formatCode="0"/>
      <fill>
        <patternFill patternType="none">
          <fgColor indexed="64"/>
          <bgColor indexed="65"/>
        </patternFill>
      </fill>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fill>
        <patternFill patternType="none">
          <fgColor indexed="64"/>
          <bgColor indexed="65"/>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fill>
        <patternFill patternType="none">
          <fgColor indexed="64"/>
          <bgColor indexed="65"/>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medium">
          <color indexed="64"/>
        </bottom>
      </border>
      <protection locked="1" hidden="0"/>
    </dxf>
    <dxf>
      <numFmt numFmtId="1" formatCode="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style="medium">
          <color indexed="64"/>
        </left>
        <right style="thin">
          <color indexed="64"/>
        </right>
        <top style="thin">
          <color indexed="64"/>
        </top>
        <bottom style="medium">
          <color indexed="64"/>
        </bottom>
      </border>
      <protection locked="1" hidden="0"/>
    </dxf>
    <dxf>
      <fill>
        <patternFill patternType="none">
          <fgColor indexed="64"/>
          <bgColor indexed="65"/>
        </patternFill>
      </fill>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tableStyleElement type="wholeTable" dxfId="1014"/>
      <tableStyleElement type="headerRow" dxfId="1013"/>
      <tableStyleElement type="totalRow" dxfId="1012"/>
      <tableStyleElement type="firstColumn" dxfId="1011"/>
      <tableStyleElement type="lastColumn" dxfId="1010"/>
      <tableStyleElement type="firstRowStripe" dxfId="1009"/>
      <tableStyleElement type="secondRowStripe" dxfId="1008"/>
      <tableStyleElement type="firstColumnStripe" dxfId="1007"/>
      <tableStyleElement type="secondColumnStripe" dxfId="1006"/>
      <tableStyleElement type="firstHeaderCell" dxfId="1005"/>
      <tableStyleElement type="lastHeaderCell" dxfId="1004"/>
      <tableStyleElement type="firstTotalCell" dxfId="1003"/>
      <tableStyleElement type="lastTotalCell" dxfId="1002"/>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xdr:row>
      <xdr:rowOff>0</xdr:rowOff>
    </xdr:from>
    <xdr:to>
      <xdr:col>2</xdr:col>
      <xdr:colOff>2004</xdr:colOff>
      <xdr:row>4</xdr:row>
      <xdr:rowOff>160020</xdr:rowOff>
    </xdr:to>
    <xdr:pic>
      <xdr:nvPicPr>
        <xdr:cNvPr id="2" name="Image 1">
          <a:extLst>
            <a:ext uri="{FF2B5EF4-FFF2-40B4-BE49-F238E27FC236}">
              <a16:creationId xmlns:a16="http://schemas.microsoft.com/office/drawing/2014/main" xmlns="" id="{00000000-0008-0000-0C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422910"/>
          <a:ext cx="2543274" cy="708660"/>
        </a:xfrm>
        <a:prstGeom prst="rect">
          <a:avLst/>
        </a:prstGeom>
      </xdr:spPr>
    </xdr:pic>
    <xdr:clientData/>
  </xdr:twoCellAnchor>
</xdr:wsDr>
</file>

<file path=xl/tables/table1.xml><?xml version="1.0" encoding="utf-8"?>
<table xmlns="http://schemas.openxmlformats.org/spreadsheetml/2006/main" id="3" name="Janvier" displayName="Janvier" ref="B6:AK13" totalsRowShown="0" headerRowDxfId="1001" dataDxfId="1000" totalsRowDxfId="999">
  <autoFilter ref="B6:AK13">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6">
    <tableColumn id="1" name="Nom de l’employé" dataDxfId="998" totalsRowDxfId="997" dataCellStyle="Employé"/>
    <tableColumn id="2" name="1" dataDxfId="30"/>
    <tableColumn id="3" name="2" dataDxfId="29"/>
    <tableColumn id="4" name="3" dataDxfId="28"/>
    <tableColumn id="5" name="4" dataDxfId="27"/>
    <tableColumn id="6" name="5" dataDxfId="26"/>
    <tableColumn id="7" name="6" dataDxfId="25"/>
    <tableColumn id="8" name="7" dataDxfId="24"/>
    <tableColumn id="9" name="8" dataDxfId="23"/>
    <tableColumn id="10" name="9" dataDxfId="22"/>
    <tableColumn id="11" name="10" dataDxfId="21"/>
    <tableColumn id="12" name="11" dataDxfId="20"/>
    <tableColumn id="13" name="12" dataDxfId="19"/>
    <tableColumn id="14" name="13" dataDxfId="18"/>
    <tableColumn id="15" name="14" dataDxfId="17"/>
    <tableColumn id="16" name="15" dataDxfId="16"/>
    <tableColumn id="17" name="16" dataDxfId="15"/>
    <tableColumn id="18" name="17" dataDxfId="14"/>
    <tableColumn id="19" name="18" dataDxfId="13"/>
    <tableColumn id="20" name="19" dataDxfId="12"/>
    <tableColumn id="21" name="20" dataDxfId="11"/>
    <tableColumn id="22" name="21" dataDxfId="10"/>
    <tableColumn id="23" name="22" dataDxfId="9"/>
    <tableColumn id="24" name="23" dataDxfId="8"/>
    <tableColumn id="25" name="24" dataDxfId="7"/>
    <tableColumn id="26" name="25" dataDxfId="6"/>
    <tableColumn id="27" name="26" dataDxfId="5"/>
    <tableColumn id="28" name="27" dataDxfId="4"/>
    <tableColumn id="29" name="28" dataDxfId="3"/>
    <tableColumn id="30" name="29" dataDxfId="2"/>
    <tableColumn id="31" name="30" dataDxfId="1"/>
    <tableColumn id="32" name="31" dataDxfId="0"/>
    <tableColumn id="33" name="Travaillé" dataDxfId="996" totalsRowDxfId="995">
      <calculatedColumnFormula>SUMPRODUCT(--(Janvier[[#This Row],[1]:[31]]=LEFT(Janvier[[#Headers],[Travaillé]],1)))</calculatedColumnFormula>
    </tableColumn>
    <tableColumn id="34" name="Congés" dataDxfId="994" totalsRowDxfId="993" dataCellStyle="Total">
      <calculatedColumnFormula>SUMPRODUCT(--(Janvier[[#This Row],[1]:[31]]=LEFT(Janvier[[#Headers],[Congés]],1)))</calculatedColumnFormula>
    </tableColumn>
    <tableColumn id="35" name="Maladie" dataDxfId="992" totalsRowDxfId="991" dataCellStyle="Total">
      <calculatedColumnFormula>SUMPRODUCT(--(Janvier[[#This Row],[1]:[31]]=LEFT(Janvier[[#Headers],[Maladie]],1)))</calculatedColumnFormula>
    </tableColumn>
    <tableColumn id="36" name="Repas" dataDxfId="990" totalsRowDxfId="989" dataCellStyle="Total">
      <calculatedColumnFormula>SUMPRODUCT(--(Janvier[[#This Row],[1]:[31]]=LEFT(Janvier[[#Headers],[Repas]],1)))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2" name="Février" displayName="Février" ref="B6:AK13" totalsRowShown="0" headerRowDxfId="988" dataDxfId="987" totalsRowDxfId="986">
  <tableColumns count="36">
    <tableColumn id="1" name="Nom de l’employé" dataDxfId="985" totalsRowDxfId="984" dataCellStyle="Employé">
      <calculatedColumnFormula>Janvier!B7</calculatedColumnFormula>
    </tableColumn>
    <tableColumn id="2" name="1" dataDxfId="983" totalsRowDxfId="982"/>
    <tableColumn id="3" name="2" dataDxfId="981" totalsRowDxfId="980"/>
    <tableColumn id="4" name="3" dataDxfId="979" totalsRowDxfId="978"/>
    <tableColumn id="5" name="4" dataDxfId="977" totalsRowDxfId="976"/>
    <tableColumn id="6" name="5" dataDxfId="975" totalsRowDxfId="974"/>
    <tableColumn id="7" name="6" dataDxfId="973" totalsRowDxfId="972"/>
    <tableColumn id="8" name="7" dataDxfId="971" totalsRowDxfId="970"/>
    <tableColumn id="9" name="8" dataDxfId="969" totalsRowDxfId="968"/>
    <tableColumn id="10" name="9" dataDxfId="967" totalsRowDxfId="966"/>
    <tableColumn id="11" name="10" dataDxfId="965" totalsRowDxfId="964"/>
    <tableColumn id="12" name="11" dataDxfId="963" totalsRowDxfId="962"/>
    <tableColumn id="13" name="12" dataDxfId="961" totalsRowDxfId="960"/>
    <tableColumn id="14" name="13" dataDxfId="959" totalsRowDxfId="958"/>
    <tableColumn id="15" name="14" dataDxfId="957" totalsRowDxfId="956"/>
    <tableColumn id="16" name="15" dataDxfId="955" totalsRowDxfId="954"/>
    <tableColumn id="17" name="16" dataDxfId="953" totalsRowDxfId="952"/>
    <tableColumn id="18" name="17" dataDxfId="951" totalsRowDxfId="950"/>
    <tableColumn id="19" name="18" dataDxfId="949" totalsRowDxfId="948"/>
    <tableColumn id="20" name="19" dataDxfId="947" totalsRowDxfId="946"/>
    <tableColumn id="21" name="20" dataDxfId="945" totalsRowDxfId="944"/>
    <tableColumn id="22" name="21" dataDxfId="943" totalsRowDxfId="942"/>
    <tableColumn id="23" name="22" dataDxfId="941" totalsRowDxfId="940"/>
    <tableColumn id="24" name="23" dataDxfId="939" totalsRowDxfId="938"/>
    <tableColumn id="25" name="24" dataDxfId="937" totalsRowDxfId="936"/>
    <tableColumn id="26" name="25" dataDxfId="935" totalsRowDxfId="934"/>
    <tableColumn id="27" name="26" dataDxfId="933" totalsRowDxfId="932"/>
    <tableColumn id="28" name="27" dataDxfId="931" totalsRowDxfId="930"/>
    <tableColumn id="29" name="28" dataDxfId="929" totalsRowDxfId="928"/>
    <tableColumn id="30" name="29" dataDxfId="927" totalsRowDxfId="926"/>
    <tableColumn id="31" name=" " dataDxfId="925" totalsRowDxfId="924"/>
    <tableColumn id="32" name="  " dataDxfId="923" totalsRowDxfId="922"/>
    <tableColumn id="33" name="Travaillé" dataDxfId="921" totalsRowDxfId="920" dataCellStyle="Total">
      <calculatedColumnFormula>SUMPRODUCT(--(Février[[#This Row],[1]:[29]]=LEFT(Février[[#Headers],[Travaillé]],1)))</calculatedColumnFormula>
    </tableColumn>
    <tableColumn id="34" name="Congés" dataDxfId="919" totalsRowDxfId="918" dataCellStyle="Total">
      <calculatedColumnFormula>SUMPRODUCT(--(Février[[#This Row],[1]:[29]]=LEFT(Février[[#Headers],[Congés]],1)))</calculatedColumnFormula>
    </tableColumn>
    <tableColumn id="35" name="Maladie" dataDxfId="917" totalsRowDxfId="916" dataCellStyle="Total">
      <calculatedColumnFormula>SUMPRODUCT(--(Février[[#This Row],[1]:[29]]=LEFT(Février[[#Headers],[Maladie]],1)))</calculatedColumnFormula>
    </tableColumn>
    <tableColumn id="36" name="Repas" dataDxfId="915" totalsRowDxfId="914" dataCellStyle="Total">
      <calculatedColumnFormula>SUMPRODUCT(--(Février[[#This Row],[1]:[29]]=LEFT(Février[[#Headers],[Repas]],1)))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4" name="Mars" displayName="Mars" ref="B6:AK12" totalsRowShown="0" headerRowDxfId="913" dataDxfId="912" totalsRowDxfId="911">
  <tableColumns count="36">
    <tableColumn id="1" name="Nom de l’employé" dataDxfId="910" totalsRowDxfId="909" dataCellStyle="Employé">
      <calculatedColumnFormula>Janvier!B7</calculatedColumnFormula>
    </tableColumn>
    <tableColumn id="2" name="1" dataDxfId="908" totalsRowDxfId="907"/>
    <tableColumn id="3" name="2" dataDxfId="906" totalsRowDxfId="905"/>
    <tableColumn id="4" name="3" dataDxfId="904" totalsRowDxfId="903"/>
    <tableColumn id="5" name="4" dataDxfId="902" totalsRowDxfId="901"/>
    <tableColumn id="6" name="5" dataDxfId="900" totalsRowDxfId="899"/>
    <tableColumn id="7" name="6" dataDxfId="898" totalsRowDxfId="897"/>
    <tableColumn id="8" name="7" dataDxfId="896" totalsRowDxfId="895"/>
    <tableColumn id="9" name="8" dataDxfId="894" totalsRowDxfId="893"/>
    <tableColumn id="10" name="9" dataDxfId="892" totalsRowDxfId="891"/>
    <tableColumn id="11" name="10" dataDxfId="890" totalsRowDxfId="889"/>
    <tableColumn id="12" name="11" dataDxfId="888" totalsRowDxfId="887"/>
    <tableColumn id="13" name="12" dataDxfId="886" totalsRowDxfId="885"/>
    <tableColumn id="14" name="13" dataDxfId="884" totalsRowDxfId="883"/>
    <tableColumn id="15" name="14" dataDxfId="882" totalsRowDxfId="881"/>
    <tableColumn id="16" name="15" dataDxfId="880" totalsRowDxfId="879"/>
    <tableColumn id="17" name="16" dataDxfId="878" totalsRowDxfId="877"/>
    <tableColumn id="18" name="17" dataDxfId="876" totalsRowDxfId="875"/>
    <tableColumn id="19" name="18" dataDxfId="874" totalsRowDxfId="873"/>
    <tableColumn id="20" name="19" dataDxfId="872" totalsRowDxfId="871"/>
    <tableColumn id="21" name="20" dataDxfId="870" totalsRowDxfId="869"/>
    <tableColumn id="22" name="21" dataDxfId="868" totalsRowDxfId="867"/>
    <tableColumn id="23" name="22" dataDxfId="866" totalsRowDxfId="865"/>
    <tableColumn id="24" name="23" dataDxfId="864" totalsRowDxfId="863"/>
    <tableColumn id="25" name="24" dataDxfId="862" totalsRowDxfId="861"/>
    <tableColumn id="26" name="25" dataDxfId="860" totalsRowDxfId="859"/>
    <tableColumn id="27" name="26" dataDxfId="858" totalsRowDxfId="857"/>
    <tableColumn id="28" name="27" dataDxfId="856" totalsRowDxfId="855"/>
    <tableColumn id="29" name="28" dataDxfId="854" totalsRowDxfId="853"/>
    <tableColumn id="30" name="29" dataDxfId="852" totalsRowDxfId="851"/>
    <tableColumn id="31" name="30" dataDxfId="850" totalsRowDxfId="849"/>
    <tableColumn id="32" name="31" dataDxfId="848" totalsRowDxfId="847"/>
    <tableColumn id="33" name="Travaillé" dataDxfId="846" totalsRowDxfId="845" dataCellStyle="Total">
      <calculatedColumnFormula>SUMPRODUCT(--(Mars[[#This Row],[1]:[31]]=LEFT(Mars[[#Headers],[Travaillé]],1)))</calculatedColumnFormula>
    </tableColumn>
    <tableColumn id="34" name="Congés" dataDxfId="844" totalsRowDxfId="843" dataCellStyle="Total">
      <calculatedColumnFormula>SUMPRODUCT(--(Mars[[#This Row],[1]:[31]]=LEFT(Mars[[#Headers],[Congés]],1)))</calculatedColumnFormula>
    </tableColumn>
    <tableColumn id="35" name="Maladie" dataDxfId="842" totalsRowDxfId="841" dataCellStyle="Total">
      <calculatedColumnFormula>SUMPRODUCT(--(Mars[[#This Row],[1]:[31]]=LEFT(Mars[[#Headers],[Maladie]],1)))</calculatedColumnFormula>
    </tableColumn>
    <tableColumn id="36" name="Repas" dataDxfId="840" totalsRowDxfId="839" dataCellStyle="Total">
      <calculatedColumnFormula>SUMPRODUCT(--(Mars[[#This Row],[1]:[31]]=LEFT(Mars[[#Headers],[Repas]],1)))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5" name="Avril" displayName="Avril" ref="B6:AK12" totalsRowShown="0" headerRowDxfId="838" dataDxfId="837" totalsRowDxfId="836">
  <tableColumns count="36">
    <tableColumn id="1" name="Nom de l’employé" dataDxfId="835" totalsRowDxfId="834" dataCellStyle="Employé">
      <calculatedColumnFormula>Janvier!B7</calculatedColumnFormula>
    </tableColumn>
    <tableColumn id="2" name="1" dataDxfId="833" totalsRowDxfId="832"/>
    <tableColumn id="3" name="2" dataDxfId="831" totalsRowDxfId="830"/>
    <tableColumn id="4" name="3" dataDxfId="829" totalsRowDxfId="828"/>
    <tableColumn id="5" name="4" dataDxfId="827" totalsRowDxfId="826"/>
    <tableColumn id="6" name="5" dataDxfId="825" totalsRowDxfId="824"/>
    <tableColumn id="7" name="6" dataDxfId="823" totalsRowDxfId="822"/>
    <tableColumn id="8" name="7" dataDxfId="821" totalsRowDxfId="820"/>
    <tableColumn id="9" name="8" dataDxfId="819" totalsRowDxfId="818"/>
    <tableColumn id="10" name="9" dataDxfId="817" totalsRowDxfId="816"/>
    <tableColumn id="11" name="10" dataDxfId="815" totalsRowDxfId="814"/>
    <tableColumn id="12" name="11" dataDxfId="813" totalsRowDxfId="812"/>
    <tableColumn id="13" name="12" dataDxfId="811" totalsRowDxfId="810"/>
    <tableColumn id="14" name="13" dataDxfId="809" totalsRowDxfId="808"/>
    <tableColumn id="15" name="14" dataDxfId="807" totalsRowDxfId="806"/>
    <tableColumn id="16" name="15" dataDxfId="805" totalsRowDxfId="804"/>
    <tableColumn id="17" name="16" dataDxfId="803" totalsRowDxfId="802"/>
    <tableColumn id="18" name="17" dataDxfId="801" totalsRowDxfId="800"/>
    <tableColumn id="19" name="18" dataDxfId="799" totalsRowDxfId="798"/>
    <tableColumn id="20" name="19" dataDxfId="797" totalsRowDxfId="796"/>
    <tableColumn id="21" name="20" dataDxfId="795" totalsRowDxfId="794"/>
    <tableColumn id="22" name="21" dataDxfId="793" totalsRowDxfId="792"/>
    <tableColumn id="23" name="22" dataDxfId="791" totalsRowDxfId="790"/>
    <tableColumn id="24" name="23" dataDxfId="789" totalsRowDxfId="788"/>
    <tableColumn id="25" name="24" dataDxfId="787" totalsRowDxfId="786"/>
    <tableColumn id="26" name="25" dataDxfId="785" totalsRowDxfId="784"/>
    <tableColumn id="27" name="26" dataDxfId="783" totalsRowDxfId="782"/>
    <tableColumn id="28" name="27" dataDxfId="781" totalsRowDxfId="780"/>
    <tableColumn id="29" name="28" dataDxfId="779" totalsRowDxfId="778"/>
    <tableColumn id="30" name="29" dataDxfId="777" totalsRowDxfId="776"/>
    <tableColumn id="31" name="30" dataDxfId="775" totalsRowDxfId="774"/>
    <tableColumn id="32" name=" " dataDxfId="773" totalsRowDxfId="772"/>
    <tableColumn id="33" name="Travaillé" dataDxfId="771" totalsRowDxfId="770" dataCellStyle="Total">
      <calculatedColumnFormula>SUMPRODUCT(--(Avril[[#This Row],[1]:[30]]=LEFT(Avril[[#Headers],[Travaillé]],1)))</calculatedColumnFormula>
    </tableColumn>
    <tableColumn id="34" name="Congés" dataDxfId="769" totalsRowDxfId="768" dataCellStyle="Total">
      <calculatedColumnFormula>SUMPRODUCT(--(Avril[[#This Row],[1]:[30]]=LEFT(Avril[[#Headers],[Congés]],1)))</calculatedColumnFormula>
    </tableColumn>
    <tableColumn id="35" name="Maladie" dataDxfId="767" totalsRowDxfId="766" dataCellStyle="Total">
      <calculatedColumnFormula>SUMPRODUCT(--(Avril[[#This Row],[1]:[30]]=LEFT(Avril[[#Headers],[Maladie]],1)))</calculatedColumnFormula>
    </tableColumn>
    <tableColumn id="36" name="Repas" dataDxfId="765" totalsRowDxfId="764" dataCellStyle="Total">
      <calculatedColumnFormula>SUMPRODUCT(--(Avril[[#This Row],[1]:[30]]=LEFT(Avril[[#Headers],[Repas]],1)))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6" name="Mai" displayName="Mai" ref="B6:AK12" totalsRowShown="0" headerRowDxfId="763" dataDxfId="762" totalsRowDxfId="761">
  <tableColumns count="36">
    <tableColumn id="1" name="Nom de l’employé" dataDxfId="760" totalsRowDxfId="759" dataCellStyle="Employé">
      <calculatedColumnFormula>Janvier!B7</calculatedColumnFormula>
    </tableColumn>
    <tableColumn id="2" name="1" dataDxfId="758" totalsRowDxfId="757"/>
    <tableColumn id="3" name="2" dataDxfId="756" totalsRowDxfId="755"/>
    <tableColumn id="4" name="3" dataDxfId="754" totalsRowDxfId="753"/>
    <tableColumn id="5" name="4" dataDxfId="752" totalsRowDxfId="751"/>
    <tableColumn id="6" name="5" dataDxfId="750" totalsRowDxfId="749"/>
    <tableColumn id="7" name="6" dataDxfId="748" totalsRowDxfId="747"/>
    <tableColumn id="8" name="7" dataDxfId="746" totalsRowDxfId="745"/>
    <tableColumn id="9" name="8" dataDxfId="744" totalsRowDxfId="743"/>
    <tableColumn id="10" name="9" dataDxfId="742" totalsRowDxfId="741"/>
    <tableColumn id="11" name="10" dataDxfId="740" totalsRowDxfId="739"/>
    <tableColumn id="12" name="11" dataDxfId="738" totalsRowDxfId="737"/>
    <tableColumn id="13" name="12" dataDxfId="736" totalsRowDxfId="735"/>
    <tableColumn id="14" name="13" dataDxfId="734" totalsRowDxfId="733"/>
    <tableColumn id="15" name="14" dataDxfId="732" totalsRowDxfId="731"/>
    <tableColumn id="16" name="15" dataDxfId="730" totalsRowDxfId="729"/>
    <tableColumn id="17" name="16" dataDxfId="728" totalsRowDxfId="727"/>
    <tableColumn id="18" name="17" dataDxfId="726" totalsRowDxfId="725"/>
    <tableColumn id="19" name="18" dataDxfId="724" totalsRowDxfId="723"/>
    <tableColumn id="20" name="19" dataDxfId="722" totalsRowDxfId="721"/>
    <tableColumn id="21" name="20" dataDxfId="720" totalsRowDxfId="719"/>
    <tableColumn id="22" name="21" dataDxfId="718" totalsRowDxfId="717"/>
    <tableColumn id="23" name="22" dataDxfId="716" totalsRowDxfId="715"/>
    <tableColumn id="24" name="23" dataDxfId="714" totalsRowDxfId="713"/>
    <tableColumn id="25" name="24" dataDxfId="712" totalsRowDxfId="711"/>
    <tableColumn id="26" name="25" dataDxfId="710" totalsRowDxfId="709"/>
    <tableColumn id="27" name="26" dataDxfId="708" totalsRowDxfId="707"/>
    <tableColumn id="28" name="27" dataDxfId="706" totalsRowDxfId="705"/>
    <tableColumn id="29" name="28" dataDxfId="704" totalsRowDxfId="703"/>
    <tableColumn id="30" name="29" dataDxfId="702" totalsRowDxfId="701"/>
    <tableColumn id="31" name="30" dataDxfId="700" totalsRowDxfId="699"/>
    <tableColumn id="32" name="31" dataDxfId="698" totalsRowDxfId="697"/>
    <tableColumn id="33" name="Travaillé" dataDxfId="696" totalsRowDxfId="695" dataCellStyle="Total">
      <calculatedColumnFormula>SUMPRODUCT(--(Mai[[#This Row],[1]:[31]]=LEFT(Mai[[#Headers],[Travaillé]],1)))</calculatedColumnFormula>
    </tableColumn>
    <tableColumn id="34" name="Congés" dataDxfId="694" totalsRowDxfId="693" dataCellStyle="Total">
      <calculatedColumnFormula>SUMPRODUCT(--(Mai[[#This Row],[1]:[31]]=LEFT(Mai[[#Headers],[Congés]],1)))</calculatedColumnFormula>
    </tableColumn>
    <tableColumn id="35" name="Maladie" dataDxfId="692" totalsRowDxfId="691" dataCellStyle="Total">
      <calculatedColumnFormula>SUMPRODUCT(--(Mai[[#This Row],[1]:[31]]=LEFT(Mai[[#Headers],[Maladie]],1)))</calculatedColumnFormula>
    </tableColumn>
    <tableColumn id="36" name="Repas" dataDxfId="690" totalsRowDxfId="689" dataCellStyle="Total">
      <calculatedColumnFormula>SUMPRODUCT(--(Mai[[#This Row],[1]:[31]]=LEFT(Mai[[#Headers],[Repas]],1)))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7" name="Juin" displayName="Juin" ref="B6:AK12" totalsRowShown="0" headerRowDxfId="688" dataDxfId="687" totalsRowDxfId="686">
  <tableColumns count="36">
    <tableColumn id="1" name="Nom de l’employé" dataDxfId="685" totalsRowDxfId="684" dataCellStyle="Employé">
      <calculatedColumnFormula>Janvier!B7</calculatedColumnFormula>
    </tableColumn>
    <tableColumn id="2" name="1" dataDxfId="683" totalsRowDxfId="682"/>
    <tableColumn id="3" name="2" dataDxfId="681" totalsRowDxfId="680"/>
    <tableColumn id="4" name="3" dataDxfId="679" totalsRowDxfId="678"/>
    <tableColumn id="5" name="4" dataDxfId="677" totalsRowDxfId="676"/>
    <tableColumn id="6" name="5" dataDxfId="675" totalsRowDxfId="674"/>
    <tableColumn id="7" name="6" dataDxfId="673" totalsRowDxfId="672"/>
    <tableColumn id="8" name="7" dataDxfId="671" totalsRowDxfId="670"/>
    <tableColumn id="9" name="8" dataDxfId="669" totalsRowDxfId="668"/>
    <tableColumn id="10" name="9" dataDxfId="667" totalsRowDxfId="666"/>
    <tableColumn id="11" name="10" dataDxfId="665" totalsRowDxfId="664"/>
    <tableColumn id="12" name="11" dataDxfId="663" totalsRowDxfId="662"/>
    <tableColumn id="13" name="12" dataDxfId="661" totalsRowDxfId="660"/>
    <tableColumn id="14" name="13" dataDxfId="659" totalsRowDxfId="658"/>
    <tableColumn id="15" name="14" dataDxfId="657" totalsRowDxfId="656"/>
    <tableColumn id="16" name="15" dataDxfId="655" totalsRowDxfId="654"/>
    <tableColumn id="17" name="16" dataDxfId="653" totalsRowDxfId="652"/>
    <tableColumn id="18" name="17" dataDxfId="651" totalsRowDxfId="650"/>
    <tableColumn id="19" name="18" dataDxfId="649" totalsRowDxfId="648"/>
    <tableColumn id="20" name="19" dataDxfId="647" totalsRowDxfId="646"/>
    <tableColumn id="21" name="20" dataDxfId="645" totalsRowDxfId="644"/>
    <tableColumn id="22" name="21" dataDxfId="643" totalsRowDxfId="642"/>
    <tableColumn id="23" name="22" dataDxfId="641" totalsRowDxfId="640"/>
    <tableColumn id="24" name="23" dataDxfId="639" totalsRowDxfId="638"/>
    <tableColumn id="25" name="24" dataDxfId="637" totalsRowDxfId="636"/>
    <tableColumn id="26" name="25" dataDxfId="635" totalsRowDxfId="634"/>
    <tableColumn id="27" name="26" dataDxfId="633" totalsRowDxfId="632"/>
    <tableColumn id="28" name="27" dataDxfId="631" totalsRowDxfId="630"/>
    <tableColumn id="29" name="28" dataDxfId="629" totalsRowDxfId="628"/>
    <tableColumn id="30" name="29" dataDxfId="627" totalsRowDxfId="626"/>
    <tableColumn id="31" name="30" dataDxfId="625" totalsRowDxfId="624"/>
    <tableColumn id="32" name=" " dataDxfId="623" totalsRowDxfId="622"/>
    <tableColumn id="33" name="Travaillé" dataDxfId="621" totalsRowDxfId="620" dataCellStyle="Total">
      <calculatedColumnFormula>SUMPRODUCT(--(Juin[[#This Row],[1]:[30]]=LEFT(Juin[[#Headers],[Travaillé]],1)))</calculatedColumnFormula>
    </tableColumn>
    <tableColumn id="34" name="Congés" dataDxfId="619" totalsRowDxfId="618" dataCellStyle="Total">
      <calculatedColumnFormula>SUMPRODUCT(--(Juin[[#This Row],[1]:[30]]=LEFT(Juin[[#Headers],[Congés]],1)))</calculatedColumnFormula>
    </tableColumn>
    <tableColumn id="35" name="Maladie" dataDxfId="617" totalsRowDxfId="616" dataCellStyle="Total">
      <calculatedColumnFormula>SUMPRODUCT(--(Juin[[#This Row],[1]:[30]]=LEFT(Juin[[#Headers],[Maladie]],1)))</calculatedColumnFormula>
    </tableColumn>
    <tableColumn id="36" name="Repas" dataDxfId="615" totalsRowDxfId="614" dataCellStyle="Total">
      <calculatedColumnFormula>SUMPRODUCT(--(Juin[[#This Row],[1]:[30]]=LEFT(Juin[[#Headers],[Repas]],1)))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8" name="Juillet" displayName="Juillet" ref="B6:AK13" totalsRowShown="0" headerRowDxfId="613" dataDxfId="612" totalsRowDxfId="611">
  <tableColumns count="36">
    <tableColumn id="1" name="Nom de l’employé" dataDxfId="610" totalsRowDxfId="609" dataCellStyle="Employé">
      <calculatedColumnFormula>Janvier!B7</calculatedColumnFormula>
    </tableColumn>
    <tableColumn id="2" name="1" dataDxfId="608" totalsRowDxfId="607"/>
    <tableColumn id="3" name="2" dataDxfId="606" totalsRowDxfId="605"/>
    <tableColumn id="4" name="3" dataDxfId="604" totalsRowDxfId="603"/>
    <tableColumn id="5" name="4" dataDxfId="602" totalsRowDxfId="601"/>
    <tableColumn id="6" name="5" dataDxfId="600" totalsRowDxfId="599"/>
    <tableColumn id="7" name="6" dataDxfId="598" totalsRowDxfId="597"/>
    <tableColumn id="8" name="7" dataDxfId="596" totalsRowDxfId="595"/>
    <tableColumn id="9" name="8" dataDxfId="594" totalsRowDxfId="593"/>
    <tableColumn id="10" name="9" dataDxfId="592" totalsRowDxfId="591"/>
    <tableColumn id="11" name="10" dataDxfId="590" totalsRowDxfId="589"/>
    <tableColumn id="12" name="11" dataDxfId="588" totalsRowDxfId="587"/>
    <tableColumn id="13" name="12" dataDxfId="586" totalsRowDxfId="585"/>
    <tableColumn id="14" name="13" dataDxfId="584" totalsRowDxfId="583"/>
    <tableColumn id="15" name="14" dataDxfId="582" totalsRowDxfId="581"/>
    <tableColumn id="16" name="15" dataDxfId="580" totalsRowDxfId="579"/>
    <tableColumn id="17" name="16" dataDxfId="578" totalsRowDxfId="577"/>
    <tableColumn id="18" name="17" dataDxfId="576" totalsRowDxfId="575"/>
    <tableColumn id="19" name="18" dataDxfId="574" totalsRowDxfId="573"/>
    <tableColumn id="20" name="19" dataDxfId="572" totalsRowDxfId="571"/>
    <tableColumn id="21" name="20" dataDxfId="570" totalsRowDxfId="569"/>
    <tableColumn id="22" name="21" dataDxfId="568" totalsRowDxfId="567"/>
    <tableColumn id="23" name="22" dataDxfId="566" totalsRowDxfId="565"/>
    <tableColumn id="24" name="23" dataDxfId="564" totalsRowDxfId="563"/>
    <tableColumn id="25" name="24" dataDxfId="562" totalsRowDxfId="561"/>
    <tableColumn id="26" name="25" dataDxfId="560" totalsRowDxfId="559"/>
    <tableColumn id="27" name="26" dataDxfId="558" totalsRowDxfId="557"/>
    <tableColumn id="28" name="27" dataDxfId="556" totalsRowDxfId="555"/>
    <tableColumn id="29" name="28" dataDxfId="554" totalsRowDxfId="553"/>
    <tableColumn id="30" name="29" dataDxfId="552" totalsRowDxfId="551"/>
    <tableColumn id="31" name="30" dataDxfId="550" totalsRowDxfId="549"/>
    <tableColumn id="32" name="31" dataDxfId="548" totalsRowDxfId="547"/>
    <tableColumn id="33" name="Travaillé" dataDxfId="546" totalsRowDxfId="545" dataCellStyle="Total">
      <calculatedColumnFormula>SUMPRODUCT(--(Juillet[[#This Row],[1]:[31]]=LEFT(Juillet[[#Headers],[Travaillé]],1)))</calculatedColumnFormula>
    </tableColumn>
    <tableColumn id="34" name="Congés" dataDxfId="544" totalsRowDxfId="543" dataCellStyle="Total">
      <calculatedColumnFormula>SUMPRODUCT(--(Juillet[[#This Row],[1]:[31]]=LEFT(Juillet[[#Headers],[Congés]],1)))</calculatedColumnFormula>
    </tableColumn>
    <tableColumn id="35" name="Maladie" dataDxfId="542" totalsRowDxfId="541" dataCellStyle="Total">
      <calculatedColumnFormula>SUMPRODUCT(--(Juillet[[#This Row],[1]:[31]]=LEFT(Juillet[[#Headers],[Maladie]],1)))</calculatedColumnFormula>
    </tableColumn>
    <tableColumn id="36" name="Repas" dataDxfId="540" totalsRowDxfId="539" dataCellStyle="Total">
      <calculatedColumnFormula>SUMPRODUCT(--(Juillet[[#This Row],[1]:[31]]=LEFT(Juillet[[#Headers],[Repas]],1)))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9" name="Août" displayName="Août" ref="B6:AK12" totalsRowShown="0" headerRowDxfId="538" dataDxfId="537" totalsRowDxfId="536">
  <tableColumns count="36">
    <tableColumn id="1" name="Nom de l’employé" dataDxfId="535" totalsRowDxfId="534" dataCellStyle="Employé">
      <calculatedColumnFormula>Janvier!B7</calculatedColumnFormula>
    </tableColumn>
    <tableColumn id="2" name="1" dataDxfId="533" totalsRowDxfId="532"/>
    <tableColumn id="3" name="2" dataDxfId="531" totalsRowDxfId="530"/>
    <tableColumn id="4" name="3" dataDxfId="529" totalsRowDxfId="528"/>
    <tableColumn id="5" name="4" dataDxfId="527" totalsRowDxfId="526"/>
    <tableColumn id="6" name="5" dataDxfId="525" totalsRowDxfId="524"/>
    <tableColumn id="7" name="6" dataDxfId="523" totalsRowDxfId="522"/>
    <tableColumn id="8" name="7" dataDxfId="521" totalsRowDxfId="520"/>
    <tableColumn id="9" name="8" dataDxfId="519" totalsRowDxfId="518"/>
    <tableColumn id="10" name="9" dataDxfId="517" totalsRowDxfId="516"/>
    <tableColumn id="11" name="10" dataDxfId="515" totalsRowDxfId="514"/>
    <tableColumn id="12" name="11" dataDxfId="513" totalsRowDxfId="512"/>
    <tableColumn id="13" name="12" dataDxfId="511" totalsRowDxfId="510"/>
    <tableColumn id="14" name="13" dataDxfId="509" totalsRowDxfId="508"/>
    <tableColumn id="15" name="14" dataDxfId="507" totalsRowDxfId="506"/>
    <tableColumn id="16" name="15" dataDxfId="505" totalsRowDxfId="504"/>
    <tableColumn id="17" name="16" dataDxfId="503" totalsRowDxfId="502"/>
    <tableColumn id="18" name="17" dataDxfId="501" totalsRowDxfId="500"/>
    <tableColumn id="19" name="18" dataDxfId="499" totalsRowDxfId="498"/>
    <tableColumn id="20" name="19" dataDxfId="497" totalsRowDxfId="496"/>
    <tableColumn id="21" name="20" dataDxfId="495" totalsRowDxfId="494"/>
    <tableColumn id="22" name="21" dataDxfId="493" totalsRowDxfId="492"/>
    <tableColumn id="23" name="22" dataDxfId="491" totalsRowDxfId="490"/>
    <tableColumn id="24" name="23" dataDxfId="489" totalsRowDxfId="488"/>
    <tableColumn id="25" name="24" dataDxfId="487" totalsRowDxfId="486"/>
    <tableColumn id="26" name="25" dataDxfId="485" totalsRowDxfId="484"/>
    <tableColumn id="27" name="26" dataDxfId="483" totalsRowDxfId="482"/>
    <tableColumn id="28" name="27" dataDxfId="481" totalsRowDxfId="480"/>
    <tableColumn id="29" name="28" dataDxfId="479" totalsRowDxfId="478"/>
    <tableColumn id="30" name="29" dataDxfId="477" totalsRowDxfId="476"/>
    <tableColumn id="31" name="30" dataDxfId="475" totalsRowDxfId="474"/>
    <tableColumn id="32" name="31" dataDxfId="473" totalsRowDxfId="472"/>
    <tableColumn id="33" name="Travaillé" dataDxfId="471" totalsRowDxfId="470" dataCellStyle="Total">
      <calculatedColumnFormula>SUMPRODUCT(--(Août[[#This Row],[1]:[31]]=LEFT(Août[[#Headers],[Travaillé]],1)))</calculatedColumnFormula>
    </tableColumn>
    <tableColumn id="34" name="Congés" dataDxfId="469" totalsRowDxfId="468" dataCellStyle="Total">
      <calculatedColumnFormula>SUMPRODUCT(--(Août[[#This Row],[1]:[31]]=LEFT(Août[[#Headers],[Congés]],1)))</calculatedColumnFormula>
    </tableColumn>
    <tableColumn id="35" name="Maladie" dataDxfId="467" totalsRowDxfId="466" dataCellStyle="Total">
      <calculatedColumnFormula>SUMPRODUCT(--(Août[[#This Row],[1]:[31]]=LEFT(Août[[#Headers],[Maladie]],1)))</calculatedColumnFormula>
    </tableColumn>
    <tableColumn id="36" name="Repas" dataDxfId="465" totalsRowDxfId="464" dataCellStyle="Total">
      <calculatedColumnFormula>SUMPRODUCT(--(Août[[#This Row],[1]:[31]]=LEFT(Août[[#Headers],[Repas]],1)))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20" name="Septembre" displayName="Septembre" ref="B6:AK12" totalsRowShown="0" headerRowDxfId="463" dataDxfId="462" totalsRowDxfId="461">
  <tableColumns count="36">
    <tableColumn id="1" name="Nom de l’employé" dataDxfId="460" totalsRowDxfId="459" dataCellStyle="Employé">
      <calculatedColumnFormula>Janvier!B7</calculatedColumnFormula>
    </tableColumn>
    <tableColumn id="2" name="1" dataDxfId="458" totalsRowDxfId="457"/>
    <tableColumn id="3" name="2" dataDxfId="456" totalsRowDxfId="455"/>
    <tableColumn id="4" name="3" dataDxfId="454" totalsRowDxfId="453"/>
    <tableColumn id="5" name="4" dataDxfId="452" totalsRowDxfId="451"/>
    <tableColumn id="6" name="5" dataDxfId="450" totalsRowDxfId="449"/>
    <tableColumn id="7" name="6" dataDxfId="448" totalsRowDxfId="447"/>
    <tableColumn id="8" name="7" dataDxfId="446" totalsRowDxfId="445"/>
    <tableColumn id="9" name="8" dataDxfId="444" totalsRowDxfId="443"/>
    <tableColumn id="10" name="9" dataDxfId="442" totalsRowDxfId="441"/>
    <tableColumn id="11" name="10" dataDxfId="440" totalsRowDxfId="439"/>
    <tableColumn id="12" name="11" dataDxfId="438" totalsRowDxfId="437"/>
    <tableColumn id="13" name="12" dataDxfId="436" totalsRowDxfId="435"/>
    <tableColumn id="14" name="13" dataDxfId="434" totalsRowDxfId="433"/>
    <tableColumn id="15" name="14" dataDxfId="432" totalsRowDxfId="431"/>
    <tableColumn id="16" name="15" dataDxfId="430" totalsRowDxfId="429"/>
    <tableColumn id="17" name="16" dataDxfId="428" totalsRowDxfId="427"/>
    <tableColumn id="18" name="17" dataDxfId="426" totalsRowDxfId="425"/>
    <tableColumn id="19" name="18" dataDxfId="424" totalsRowDxfId="423"/>
    <tableColumn id="20" name="19" dataDxfId="422" totalsRowDxfId="421"/>
    <tableColumn id="21" name="20" dataDxfId="420" totalsRowDxfId="419"/>
    <tableColumn id="22" name="21" dataDxfId="418" totalsRowDxfId="417"/>
    <tableColumn id="23" name="22" dataDxfId="416" totalsRowDxfId="415"/>
    <tableColumn id="24" name="23" dataDxfId="414" totalsRowDxfId="413"/>
    <tableColumn id="25" name="24" dataDxfId="412" totalsRowDxfId="411"/>
    <tableColumn id="26" name="25" dataDxfId="410" totalsRowDxfId="409"/>
    <tableColumn id="27" name="26" dataDxfId="408" totalsRowDxfId="407"/>
    <tableColumn id="28" name="27" dataDxfId="406" totalsRowDxfId="405"/>
    <tableColumn id="29" name="28" dataDxfId="404" totalsRowDxfId="403"/>
    <tableColumn id="30" name="29" dataDxfId="402" totalsRowDxfId="401"/>
    <tableColumn id="31" name="30" dataDxfId="400" totalsRowDxfId="399"/>
    <tableColumn id="32" name=" " dataDxfId="398" totalsRowDxfId="397"/>
    <tableColumn id="33" name="Travaillé" dataDxfId="396" totalsRowDxfId="395" dataCellStyle="Total">
      <calculatedColumnFormula>SUMPRODUCT(--(Septembre[[#This Row],[1]:[30]]=LEFT(Septembre[[#Headers],[Travaillé]],1)))</calculatedColumnFormula>
    </tableColumn>
    <tableColumn id="34" name="Congés" dataDxfId="394" totalsRowDxfId="393" dataCellStyle="Total">
      <calculatedColumnFormula>SUMPRODUCT(--(Septembre[[#This Row],[1]:[30]]=LEFT(Septembre[[#Headers],[Congés]],1)))</calculatedColumnFormula>
    </tableColumn>
    <tableColumn id="35" name="Maladie" dataDxfId="392" totalsRowDxfId="391" dataCellStyle="Total">
      <calculatedColumnFormula>SUMPRODUCT(--(Septembre[[#This Row],[1]:[30]]=LEFT(Septembre[[#Headers],[Maladie]],1)))</calculatedColumnFormula>
    </tableColumn>
    <tableColumn id="36" name="Repas" dataDxfId="390" totalsRowDxfId="389" dataCellStyle="Total">
      <calculatedColumnFormula>SUMPRODUCT(--(Septembre[[#This Row],[1]:[30]]=LEFT(Septembre[[#Headers],[Repas]],1)))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21" name="Octobre" displayName="Octobre" ref="B6:AK12" totalsRowShown="0" headerRowDxfId="388" dataDxfId="387" totalsRowDxfId="386">
  <tableColumns count="36">
    <tableColumn id="1" name="Nom de l’employé" dataDxfId="385" totalsRowDxfId="384" dataCellStyle="Employé">
      <calculatedColumnFormula>Janvier!B7</calculatedColumnFormula>
    </tableColumn>
    <tableColumn id="2" name="1" dataDxfId="383" totalsRowDxfId="382"/>
    <tableColumn id="3" name="2" dataDxfId="381" totalsRowDxfId="380"/>
    <tableColumn id="4" name="3" dataDxfId="379" totalsRowDxfId="378"/>
    <tableColumn id="5" name="4" dataDxfId="377" totalsRowDxfId="376"/>
    <tableColumn id="6" name="5" dataDxfId="375" totalsRowDxfId="374"/>
    <tableColumn id="7" name="6" dataDxfId="373" totalsRowDxfId="372"/>
    <tableColumn id="8" name="7" dataDxfId="371" totalsRowDxfId="370"/>
    <tableColumn id="9" name="8" dataDxfId="369" totalsRowDxfId="368"/>
    <tableColumn id="10" name="9" dataDxfId="367" totalsRowDxfId="366"/>
    <tableColumn id="11" name="10" dataDxfId="365" totalsRowDxfId="364"/>
    <tableColumn id="12" name="11" dataDxfId="363" totalsRowDxfId="362"/>
    <tableColumn id="13" name="12" dataDxfId="361" totalsRowDxfId="360"/>
    <tableColumn id="14" name="13" dataDxfId="359" totalsRowDxfId="358"/>
    <tableColumn id="15" name="14" dataDxfId="357" totalsRowDxfId="356"/>
    <tableColumn id="16" name="15" dataDxfId="355" totalsRowDxfId="354"/>
    <tableColumn id="17" name="16" dataDxfId="353" totalsRowDxfId="352"/>
    <tableColumn id="18" name="17" dataDxfId="351" totalsRowDxfId="350"/>
    <tableColumn id="19" name="18" dataDxfId="349" totalsRowDxfId="348"/>
    <tableColumn id="20" name="19" dataDxfId="347" totalsRowDxfId="346"/>
    <tableColumn id="21" name="20" dataDxfId="345" totalsRowDxfId="344"/>
    <tableColumn id="22" name="21" dataDxfId="343" totalsRowDxfId="342"/>
    <tableColumn id="23" name="22" dataDxfId="341" totalsRowDxfId="340"/>
    <tableColumn id="24" name="23" dataDxfId="339" totalsRowDxfId="338"/>
    <tableColumn id="25" name="24" dataDxfId="337" totalsRowDxfId="336"/>
    <tableColumn id="26" name="25" dataDxfId="335" totalsRowDxfId="334"/>
    <tableColumn id="27" name="26" dataDxfId="333" totalsRowDxfId="332"/>
    <tableColumn id="28" name="27" dataDxfId="331" totalsRowDxfId="330"/>
    <tableColumn id="29" name="28" dataDxfId="329" totalsRowDxfId="328"/>
    <tableColumn id="30" name="29" dataDxfId="327" totalsRowDxfId="326"/>
    <tableColumn id="31" name="30" dataDxfId="325" totalsRowDxfId="324"/>
    <tableColumn id="32" name="31" dataDxfId="323" totalsRowDxfId="322"/>
    <tableColumn id="33" name="Travaillé" dataDxfId="321" totalsRowDxfId="320" dataCellStyle="Total">
      <calculatedColumnFormula>SUMPRODUCT(--(Octobre[[#This Row],[1]:[31]]=LEFT(Octobre[[#Headers],[Travaillé]],1)))</calculatedColumnFormula>
    </tableColumn>
    <tableColumn id="34" name="Congés" dataDxfId="319" totalsRowDxfId="318" dataCellStyle="Total">
      <calculatedColumnFormula>SUMPRODUCT(--(Octobre[[#This Row],[1]:[31]]=LEFT(Octobre[[#Headers],[Congés]],1)))</calculatedColumnFormula>
    </tableColumn>
    <tableColumn id="35" name="Maladie" dataDxfId="317" totalsRowDxfId="316" dataCellStyle="Total">
      <calculatedColumnFormula>SUMPRODUCT(--(Octobre[[#This Row],[1]:[31]]=LEFT(Octobre[[#Headers],[Maladie]],1)))</calculatedColumnFormula>
    </tableColumn>
    <tableColumn id="36" name="Repas" dataDxfId="315" totalsRowDxfId="314" dataCellStyle="Total">
      <calculatedColumnFormula>SUMPRODUCT(--(Octobre[[#This Row],[1]:[31]]=LEFT(Octobre[[#Headers],[Repas]],1)))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22" name="Novembre" displayName="Novembre" ref="B6:AK12" totalsRowShown="0" headerRowDxfId="313" dataDxfId="312" totalsRowDxfId="311">
  <tableColumns count="36">
    <tableColumn id="1" name="Nom de l’employé" dataDxfId="310" totalsRowDxfId="309" dataCellStyle="Employé">
      <calculatedColumnFormula>Janvier!B7</calculatedColumnFormula>
    </tableColumn>
    <tableColumn id="2" name="1" dataDxfId="308" totalsRowDxfId="307"/>
    <tableColumn id="3" name="2" dataDxfId="306" totalsRowDxfId="305"/>
    <tableColumn id="4" name="3" dataDxfId="304" totalsRowDxfId="303"/>
    <tableColumn id="5" name="4" dataDxfId="302" totalsRowDxfId="301"/>
    <tableColumn id="6" name="5" dataDxfId="300" totalsRowDxfId="299"/>
    <tableColumn id="7" name="6" dataDxfId="298" totalsRowDxfId="297"/>
    <tableColumn id="8" name="7" dataDxfId="296" totalsRowDxfId="295"/>
    <tableColumn id="9" name="8" dataDxfId="294" totalsRowDxfId="293"/>
    <tableColumn id="10" name="9" dataDxfId="292" totalsRowDxfId="291"/>
    <tableColumn id="11" name="10" dataDxfId="290" totalsRowDxfId="289"/>
    <tableColumn id="12" name="11" dataDxfId="288" totalsRowDxfId="287"/>
    <tableColumn id="13" name="12" dataDxfId="286" totalsRowDxfId="285"/>
    <tableColumn id="14" name="13" dataDxfId="284" totalsRowDxfId="283"/>
    <tableColumn id="15" name="14" dataDxfId="282" totalsRowDxfId="281"/>
    <tableColumn id="16" name="15" dataDxfId="280" totalsRowDxfId="279"/>
    <tableColumn id="17" name="16" dataDxfId="278" totalsRowDxfId="277"/>
    <tableColumn id="18" name="17" dataDxfId="276" totalsRowDxfId="275"/>
    <tableColumn id="19" name="18" dataDxfId="274" totalsRowDxfId="273"/>
    <tableColumn id="20" name="19" dataDxfId="272" totalsRowDxfId="271"/>
    <tableColumn id="21" name="20" dataDxfId="270" totalsRowDxfId="269"/>
    <tableColumn id="22" name="21" dataDxfId="268" totalsRowDxfId="267"/>
    <tableColumn id="23" name="22" dataDxfId="266" totalsRowDxfId="265"/>
    <tableColumn id="24" name="23" dataDxfId="264" totalsRowDxfId="263"/>
    <tableColumn id="25" name="24" dataDxfId="262" totalsRowDxfId="261"/>
    <tableColumn id="26" name="25" dataDxfId="260" totalsRowDxfId="259"/>
    <tableColumn id="27" name="26" dataDxfId="258" totalsRowDxfId="257"/>
    <tableColumn id="28" name="27" dataDxfId="256" totalsRowDxfId="255"/>
    <tableColumn id="29" name="28" dataDxfId="254" totalsRowDxfId="253"/>
    <tableColumn id="30" name="29" dataDxfId="252" totalsRowDxfId="251"/>
    <tableColumn id="31" name="30" dataDxfId="250" totalsRowDxfId="249"/>
    <tableColumn id="32" name=" " dataDxfId="248" totalsRowDxfId="247"/>
    <tableColumn id="33" name="Travaillé" dataDxfId="246" totalsRowDxfId="245" dataCellStyle="Total">
      <calculatedColumnFormula>SUMPRODUCT(--(Novembre[[#This Row],[1]:[30]]=LEFT(Novembre[[#Headers],[Travaillé]],1)))</calculatedColumnFormula>
    </tableColumn>
    <tableColumn id="34" name="Congés" dataDxfId="244" totalsRowDxfId="243" dataCellStyle="Total">
      <calculatedColumnFormula>SUMPRODUCT(--(Novembre[[#This Row],[1]:[30]]=LEFT(Novembre[[#Headers],[Congés]],1)))</calculatedColumnFormula>
    </tableColumn>
    <tableColumn id="35" name="Maladie" dataDxfId="242" totalsRowDxfId="241" dataCellStyle="Total">
      <calculatedColumnFormula>SUMPRODUCT(--(Novembre[[#This Row],[1]:[30]]=LEFT(Novembre[[#Headers],[Maladie]],1)))</calculatedColumnFormula>
    </tableColumn>
    <tableColumn id="36" name="Repas" dataDxfId="240" totalsRowDxfId="239" dataCellStyle="Total">
      <calculatedColumnFormula>SUMPRODUCT(--(Novembre[[#This Row],[1]:[30]]=LEFT(Novembre[[#Headers],[Repas]],1)))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2" name="Décembre" displayName="Décembre" ref="B6:AK12" totalsRowShown="0" headerRowDxfId="238" dataDxfId="237" totalsRowDxfId="236">
  <tableColumns count="36">
    <tableColumn id="1" name="Nom de l’employé" dataDxfId="235" totalsRowDxfId="234" dataCellStyle="Employé">
      <calculatedColumnFormula>Janvier!B7</calculatedColumnFormula>
    </tableColumn>
    <tableColumn id="2" name="1" dataDxfId="233" totalsRowDxfId="232"/>
    <tableColumn id="3" name="2" dataDxfId="231" totalsRowDxfId="230"/>
    <tableColumn id="4" name="3" dataDxfId="229" totalsRowDxfId="228"/>
    <tableColumn id="5" name="4" dataDxfId="227" totalsRowDxfId="226"/>
    <tableColumn id="6" name="5" dataDxfId="225" totalsRowDxfId="224"/>
    <tableColumn id="7" name="6" dataDxfId="223" totalsRowDxfId="222"/>
    <tableColumn id="8" name="7" dataDxfId="221" totalsRowDxfId="220"/>
    <tableColumn id="9" name="8" dataDxfId="219" totalsRowDxfId="218"/>
    <tableColumn id="10" name="9" dataDxfId="217" totalsRowDxfId="216"/>
    <tableColumn id="11" name="10" dataDxfId="215" totalsRowDxfId="214"/>
    <tableColumn id="12" name="11" dataDxfId="213" totalsRowDxfId="212"/>
    <tableColumn id="13" name="12" dataDxfId="211" totalsRowDxfId="210"/>
    <tableColumn id="14" name="13" dataDxfId="209" totalsRowDxfId="208"/>
    <tableColumn id="15" name="14" dataDxfId="207" totalsRowDxfId="206"/>
    <tableColumn id="16" name="15" dataDxfId="205" totalsRowDxfId="204"/>
    <tableColumn id="17" name="16" dataDxfId="203" totalsRowDxfId="202"/>
    <tableColumn id="18" name="17" dataDxfId="201" totalsRowDxfId="200"/>
    <tableColumn id="19" name="18" dataDxfId="199" totalsRowDxfId="198"/>
    <tableColumn id="20" name="19" dataDxfId="197" totalsRowDxfId="196"/>
    <tableColumn id="21" name="20" dataDxfId="195" totalsRowDxfId="194"/>
    <tableColumn id="22" name="21" dataDxfId="193" totalsRowDxfId="192"/>
    <tableColumn id="23" name="22" dataDxfId="191" totalsRowDxfId="190"/>
    <tableColumn id="24" name="23" dataDxfId="189" totalsRowDxfId="188"/>
    <tableColumn id="25" name="24" dataDxfId="187" totalsRowDxfId="186"/>
    <tableColumn id="26" name="25" dataDxfId="185" totalsRowDxfId="184"/>
    <tableColumn id="27" name="26" dataDxfId="183" totalsRowDxfId="182"/>
    <tableColumn id="28" name="27" dataDxfId="181" totalsRowDxfId="180"/>
    <tableColumn id="29" name="28" dataDxfId="179" totalsRowDxfId="178"/>
    <tableColumn id="30" name="29" dataDxfId="177" totalsRowDxfId="176"/>
    <tableColumn id="31" name="30" dataDxfId="175" totalsRowDxfId="174"/>
    <tableColumn id="32" name="31" dataDxfId="173" totalsRowDxfId="172"/>
    <tableColumn id="33" name="Travaillé" dataDxfId="171" totalsRowDxfId="170" dataCellStyle="Total">
      <calculatedColumnFormula>SUMPRODUCT(--(Décembre[[#This Row],[1]:[31]]=LEFT(Décembre[[#Headers],[Travaillé]],1)))</calculatedColumnFormula>
    </tableColumn>
    <tableColumn id="34" name="Congés" dataDxfId="169" totalsRowDxfId="168" dataCellStyle="Total">
      <calculatedColumnFormula>SUMPRODUCT(--(Décembre[[#This Row],[1]:[31]]=LEFT(Décembre[[#Headers],[Congés]],1)))</calculatedColumnFormula>
    </tableColumn>
    <tableColumn id="35" name="Maladie" dataDxfId="167" totalsRowDxfId="166" dataCellStyle="Total">
      <calculatedColumnFormula>SUMPRODUCT(--(Décembre[[#This Row],[1]:[31]]=LEFT(Décembre[[#Headers],[Maladie]],1)))</calculatedColumnFormula>
    </tableColumn>
    <tableColumn id="36" name="Repas" dataDxfId="165" totalsRowDxfId="164" dataCellStyle="Total">
      <calculatedColumnFormula>SUMPRODUCT(--(Décembre[[#This Row],[1]:[31]]=LEFT(Décembre[[#Headers],[Repas]],1)))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89999084444715716"/>
  </sheetPr>
  <dimension ref="A1:AK17"/>
  <sheetViews>
    <sheetView showGridLines="0" tabSelected="1" workbookViewId="0">
      <selection activeCell="B17" sqref="B17"/>
    </sheetView>
  </sheetViews>
  <sheetFormatPr baseColWidth="10" defaultColWidth="9.140625" defaultRowHeight="30" customHeight="1" x14ac:dyDescent="0.25"/>
  <cols>
    <col min="1" max="1" width="2.7109375" style="9" customWidth="1"/>
    <col min="2" max="2" width="25.7109375" style="9" customWidth="1"/>
    <col min="3" max="3" width="4.42578125" style="9" customWidth="1"/>
    <col min="4" max="33" width="4.7109375" style="9" customWidth="1"/>
    <col min="34" max="35" width="9.5703125" style="9" customWidth="1"/>
    <col min="36" max="36" width="9.5703125" customWidth="1"/>
    <col min="37" max="37" width="13.5703125" customWidth="1"/>
  </cols>
  <sheetData>
    <row r="1" spans="1:37" ht="50.1" customHeight="1" x14ac:dyDescent="0.25">
      <c r="A1" s="12"/>
      <c r="B1" s="10" t="s">
        <v>0</v>
      </c>
    </row>
    <row r="2" spans="1:37" ht="15" customHeight="1" x14ac:dyDescent="0.25">
      <c r="B2" s="13" t="s">
        <v>1</v>
      </c>
      <c r="C2" s="3" t="s">
        <v>2</v>
      </c>
      <c r="D2" s="44" t="s">
        <v>3</v>
      </c>
      <c r="E2" s="45"/>
      <c r="F2" s="4" t="s">
        <v>4</v>
      </c>
      <c r="G2" s="47" t="s">
        <v>5</v>
      </c>
      <c r="H2" s="47"/>
      <c r="I2" s="19"/>
      <c r="J2" s="5" t="s">
        <v>6</v>
      </c>
      <c r="K2" s="45" t="s">
        <v>7</v>
      </c>
      <c r="L2" s="45"/>
      <c r="M2" s="6" t="s">
        <v>8</v>
      </c>
      <c r="N2" s="46" t="s">
        <v>9</v>
      </c>
      <c r="O2" s="46"/>
      <c r="P2" s="7" t="s">
        <v>67</v>
      </c>
      <c r="Q2" s="42" t="s">
        <v>68</v>
      </c>
      <c r="R2" s="42"/>
      <c r="S2" s="42"/>
      <c r="T2" s="19"/>
    </row>
    <row r="3" spans="1:37" ht="15" customHeight="1" x14ac:dyDescent="0.25">
      <c r="AH3" s="51" t="s">
        <v>10</v>
      </c>
      <c r="AI3" s="51"/>
    </row>
    <row r="4" spans="1:37" ht="30" customHeight="1" x14ac:dyDescent="0.25">
      <c r="B4" s="33" t="s">
        <v>11</v>
      </c>
      <c r="C4" s="52" t="s">
        <v>12</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52">
        <v>2019</v>
      </c>
      <c r="AI4" s="52"/>
      <c r="AJ4" s="52"/>
      <c r="AK4" s="52"/>
    </row>
    <row r="5" spans="1:37" ht="15" customHeight="1" x14ac:dyDescent="0.25">
      <c r="B5" s="33"/>
      <c r="C5" s="1" t="str">
        <f>TEXT(WEEKDAY(DATE(AnnéeCalendrier,1,1),1),"jjj")</f>
        <v>mar</v>
      </c>
      <c r="D5" s="1" t="str">
        <f>TEXT(WEEKDAY(DATE(AnnéeCalendrier,1,2),1),"jjj")</f>
        <v>mer</v>
      </c>
      <c r="E5" s="1" t="str">
        <f>TEXT(WEEKDAY(DATE(AnnéeCalendrier,1,3),1),"jjj")</f>
        <v>jeu</v>
      </c>
      <c r="F5" s="1" t="str">
        <f>TEXT(WEEKDAY(DATE(AnnéeCalendrier,1,4),1),"jjj")</f>
        <v>ven</v>
      </c>
      <c r="G5" s="1" t="str">
        <f>TEXT(WEEKDAY(DATE(AnnéeCalendrier,1,5),1),"jjj")</f>
        <v>sam</v>
      </c>
      <c r="H5" s="1" t="str">
        <f>TEXT(WEEKDAY(DATE(AnnéeCalendrier,1,6),1),"jjj")</f>
        <v>dim</v>
      </c>
      <c r="I5" s="1" t="str">
        <f>TEXT(WEEKDAY(DATE(AnnéeCalendrier,1,7),1),"jjj")</f>
        <v>lun</v>
      </c>
      <c r="J5" s="1" t="str">
        <f>TEXT(WEEKDAY(DATE(AnnéeCalendrier,1,8),1),"jjj")</f>
        <v>mar</v>
      </c>
      <c r="K5" s="1" t="str">
        <f>TEXT(WEEKDAY(DATE(AnnéeCalendrier,1,9),1),"jjj")</f>
        <v>mer</v>
      </c>
      <c r="L5" s="1" t="str">
        <f>TEXT(WEEKDAY(DATE(AnnéeCalendrier,1,10),1),"jjj")</f>
        <v>jeu</v>
      </c>
      <c r="M5" s="1" t="str">
        <f>TEXT(WEEKDAY(DATE(AnnéeCalendrier,1,11),1),"jjj")</f>
        <v>ven</v>
      </c>
      <c r="N5" s="1" t="str">
        <f>TEXT(WEEKDAY(DATE(AnnéeCalendrier,1,12),1),"jjj")</f>
        <v>sam</v>
      </c>
      <c r="O5" s="1" t="str">
        <f>TEXT(WEEKDAY(DATE(AnnéeCalendrier,1,13),1),"jjj")</f>
        <v>dim</v>
      </c>
      <c r="P5" s="1" t="str">
        <f>TEXT(WEEKDAY(DATE(AnnéeCalendrier,1,14),1),"jjj")</f>
        <v>lun</v>
      </c>
      <c r="Q5" s="1" t="str">
        <f>TEXT(WEEKDAY(DATE(AnnéeCalendrier,1,15),1),"jjj")</f>
        <v>mar</v>
      </c>
      <c r="R5" s="1" t="str">
        <f>TEXT(WEEKDAY(DATE(AnnéeCalendrier,1,16),1),"jjj")</f>
        <v>mer</v>
      </c>
      <c r="S5" s="1" t="str">
        <f>TEXT(WEEKDAY(DATE(AnnéeCalendrier,1,17),1),"jjj")</f>
        <v>jeu</v>
      </c>
      <c r="T5" s="1" t="str">
        <f>TEXT(WEEKDAY(DATE(AnnéeCalendrier,1,18),1),"jjj")</f>
        <v>ven</v>
      </c>
      <c r="U5" s="1" t="str">
        <f>TEXT(WEEKDAY(DATE(AnnéeCalendrier,1,19),1),"jjj")</f>
        <v>sam</v>
      </c>
      <c r="V5" s="1" t="str">
        <f>TEXT(WEEKDAY(DATE(AnnéeCalendrier,1,20),1),"jjj")</f>
        <v>dim</v>
      </c>
      <c r="W5" s="1" t="str">
        <f>TEXT(WEEKDAY(DATE(AnnéeCalendrier,1,21),1),"jjj")</f>
        <v>lun</v>
      </c>
      <c r="X5" s="1" t="str">
        <f>TEXT(WEEKDAY(DATE(AnnéeCalendrier,1,22),1),"jjj")</f>
        <v>mar</v>
      </c>
      <c r="Y5" s="1" t="str">
        <f>TEXT(WEEKDAY(DATE(AnnéeCalendrier,1,23),1),"jjj")</f>
        <v>mer</v>
      </c>
      <c r="Z5" s="1" t="str">
        <f>TEXT(WEEKDAY(DATE(AnnéeCalendrier,1,24),1),"jjj")</f>
        <v>jeu</v>
      </c>
      <c r="AA5" s="1" t="str">
        <f>TEXT(WEEKDAY(DATE(AnnéeCalendrier,1,25),1),"jjj")</f>
        <v>ven</v>
      </c>
      <c r="AB5" s="1" t="str">
        <f>TEXT(WEEKDAY(DATE(AnnéeCalendrier,1,26),1),"jjj")</f>
        <v>sam</v>
      </c>
      <c r="AC5" s="1" t="str">
        <f>TEXT(WEEKDAY(DATE(AnnéeCalendrier,1,27),1),"jjj")</f>
        <v>dim</v>
      </c>
      <c r="AD5" s="1" t="str">
        <f>TEXT(WEEKDAY(DATE(AnnéeCalendrier,1,28),1),"jjj")</f>
        <v>lun</v>
      </c>
      <c r="AE5" s="1" t="str">
        <f>TEXT(WEEKDAY(DATE(AnnéeCalendrier,1,29),1),"jjj")</f>
        <v>mar</v>
      </c>
      <c r="AF5" s="1" t="str">
        <f>TEXT(WEEKDAY(DATE(AnnéeCalendrier,1,30),1),"jjj")</f>
        <v>mer</v>
      </c>
      <c r="AG5" s="1" t="str">
        <f>TEXT(WEEKDAY(DATE(AnnéeCalendrier,1,31),1),"jjj")</f>
        <v>jeu</v>
      </c>
      <c r="AH5" s="33"/>
      <c r="AI5" s="33"/>
      <c r="AJ5" s="33"/>
      <c r="AK5" s="33"/>
    </row>
    <row r="6" spans="1:37" ht="15" customHeight="1" thickBot="1" x14ac:dyDescent="0.3">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44</v>
      </c>
      <c r="AH6" s="3" t="s">
        <v>3</v>
      </c>
      <c r="AI6" s="6" t="s">
        <v>9</v>
      </c>
      <c r="AJ6" s="5" t="s">
        <v>7</v>
      </c>
      <c r="AK6" s="4" t="s">
        <v>69</v>
      </c>
    </row>
    <row r="7" spans="1:37" ht="30" customHeight="1" thickBot="1" x14ac:dyDescent="0.3">
      <c r="B7" s="20" t="s">
        <v>45</v>
      </c>
      <c r="C7" s="21"/>
      <c r="D7" s="21"/>
      <c r="E7" s="21"/>
      <c r="F7" s="21"/>
      <c r="G7" s="21"/>
      <c r="H7" s="21"/>
      <c r="I7" s="21"/>
      <c r="J7" s="21"/>
      <c r="K7" s="21"/>
      <c r="L7" s="21"/>
      <c r="M7" s="21"/>
      <c r="N7" s="21"/>
      <c r="O7" s="21"/>
      <c r="P7" s="21"/>
      <c r="Q7" s="21"/>
      <c r="R7" s="21"/>
      <c r="S7" s="21"/>
      <c r="T7" s="21"/>
      <c r="U7" s="21"/>
      <c r="V7" s="21"/>
      <c r="W7" s="21"/>
      <c r="X7" s="21"/>
      <c r="Y7" s="21"/>
      <c r="Z7" s="21"/>
      <c r="AA7" s="21"/>
      <c r="AB7" s="21"/>
      <c r="AC7" s="21"/>
      <c r="AD7" s="21"/>
      <c r="AE7" s="21"/>
      <c r="AF7" s="21"/>
      <c r="AG7" s="21"/>
      <c r="AH7" s="23">
        <f>SUMPRODUCT(--(Janvier[[#This Row],[1]:[31]]=LEFT(Janvier[[#Headers],[Travaillé]],1)))</f>
        <v>0</v>
      </c>
      <c r="AI7" s="23">
        <f>SUMPRODUCT(--(Janvier[[#This Row],[1]:[31]]=LEFT(Janvier[[#Headers],[Congés]],1)))</f>
        <v>0</v>
      </c>
      <c r="AJ7" s="23">
        <f>SUMPRODUCT(--(Janvier[[#This Row],[1]:[31]]=LEFT(Janvier[[#Headers],[Maladie]],1)))</f>
        <v>0</v>
      </c>
      <c r="AK7" s="23">
        <f>SUMPRODUCT(--(Janvier[[#This Row],[1]:[31]]=LEFT(Janvier[[#Headers],[Repas]],1)))</f>
        <v>0</v>
      </c>
    </row>
    <row r="8" spans="1:37" ht="30" customHeight="1" thickBot="1" x14ac:dyDescent="0.3">
      <c r="B8" s="22" t="s">
        <v>46</v>
      </c>
      <c r="C8" s="21"/>
      <c r="D8" s="21"/>
      <c r="E8" s="21"/>
      <c r="F8" s="21"/>
      <c r="G8" s="21"/>
      <c r="H8" s="21"/>
      <c r="I8" s="21"/>
      <c r="J8" s="21"/>
      <c r="K8" s="21"/>
      <c r="L8" s="21"/>
      <c r="M8" s="21"/>
      <c r="N8" s="21"/>
      <c r="O8" s="21"/>
      <c r="P8" s="21"/>
      <c r="Q8" s="21"/>
      <c r="R8" s="21"/>
      <c r="S8" s="21"/>
      <c r="T8" s="21"/>
      <c r="U8" s="21"/>
      <c r="V8" s="21"/>
      <c r="W8" s="21"/>
      <c r="X8" s="21"/>
      <c r="Y8" s="21"/>
      <c r="Z8" s="21"/>
      <c r="AA8" s="21"/>
      <c r="AB8" s="21"/>
      <c r="AC8" s="21"/>
      <c r="AD8" s="21"/>
      <c r="AE8" s="21"/>
      <c r="AF8" s="21"/>
      <c r="AG8" s="21"/>
      <c r="AH8" s="23">
        <f>SUMPRODUCT(--(Janvier[[#This Row],[1]:[31]]=LEFT(Janvier[[#Headers],[Travaillé]],1)))</f>
        <v>0</v>
      </c>
      <c r="AI8" s="23">
        <f>SUMPRODUCT(--(Janvier[[#This Row],[1]:[31]]=LEFT(Janvier[[#Headers],[Congés]],1)))</f>
        <v>0</v>
      </c>
      <c r="AJ8" s="23">
        <f>SUMPRODUCT(--(Janvier[[#This Row],[1]:[31]]=LEFT(Janvier[[#Headers],[Maladie]],1)))</f>
        <v>0</v>
      </c>
      <c r="AK8" s="23">
        <f>SUMPRODUCT(--(Janvier[[#This Row],[1]:[31]]=LEFT(Janvier[[#Headers],[Repas]],1)))</f>
        <v>0</v>
      </c>
    </row>
    <row r="9" spans="1:37" ht="30" customHeight="1" thickBot="1" x14ac:dyDescent="0.3">
      <c r="B9" s="22" t="s">
        <v>47</v>
      </c>
      <c r="C9" s="21"/>
      <c r="D9" s="21"/>
      <c r="E9" s="21"/>
      <c r="F9" s="21"/>
      <c r="G9" s="21"/>
      <c r="H9" s="21"/>
      <c r="I9" s="21"/>
      <c r="J9" s="21"/>
      <c r="K9" s="21"/>
      <c r="L9" s="21"/>
      <c r="M9" s="21"/>
      <c r="N9" s="21"/>
      <c r="O9" s="21"/>
      <c r="P9" s="21"/>
      <c r="Q9" s="21"/>
      <c r="R9" s="21"/>
      <c r="S9" s="21"/>
      <c r="T9" s="21"/>
      <c r="U9" s="21"/>
      <c r="V9" s="21"/>
      <c r="W9" s="21"/>
      <c r="X9" s="21"/>
      <c r="Y9" s="21"/>
      <c r="Z9" s="21"/>
      <c r="AA9" s="21"/>
      <c r="AB9" s="21"/>
      <c r="AC9" s="21"/>
      <c r="AD9" s="21"/>
      <c r="AE9" s="21"/>
      <c r="AF9" s="21"/>
      <c r="AG9" s="21"/>
      <c r="AH9" s="23">
        <f>SUMPRODUCT(--(Janvier[[#This Row],[1]:[31]]=LEFT(Janvier[[#Headers],[Travaillé]],1)))</f>
        <v>0</v>
      </c>
      <c r="AI9" s="23">
        <f>SUMPRODUCT(--(Janvier[[#This Row],[1]:[31]]=LEFT(Janvier[[#Headers],[Congés]],1)))</f>
        <v>0</v>
      </c>
      <c r="AJ9" s="23">
        <f>SUMPRODUCT(--(Janvier[[#This Row],[1]:[31]]=LEFT(Janvier[[#Headers],[Maladie]],1)))</f>
        <v>0</v>
      </c>
      <c r="AK9" s="23">
        <f>SUMPRODUCT(--(Janvier[[#This Row],[1]:[31]]=LEFT(Janvier[[#Headers],[Repas]],1)))</f>
        <v>0</v>
      </c>
    </row>
    <row r="10" spans="1:37" ht="30" customHeight="1" thickBot="1" x14ac:dyDescent="0.3">
      <c r="B10" s="22" t="s">
        <v>48</v>
      </c>
      <c r="C10" s="21"/>
      <c r="D10" s="21"/>
      <c r="E10" s="21"/>
      <c r="F10" s="21"/>
      <c r="G10" s="21"/>
      <c r="H10" s="21"/>
      <c r="I10" s="21"/>
      <c r="J10" s="21"/>
      <c r="K10" s="21"/>
      <c r="L10" s="21"/>
      <c r="M10" s="21"/>
      <c r="N10" s="21"/>
      <c r="O10" s="21"/>
      <c r="P10" s="21"/>
      <c r="Q10" s="21"/>
      <c r="R10" s="21"/>
      <c r="S10" s="21"/>
      <c r="T10" s="21"/>
      <c r="U10" s="21"/>
      <c r="V10" s="21"/>
      <c r="W10" s="21"/>
      <c r="X10" s="21"/>
      <c r="Y10" s="21"/>
      <c r="Z10" s="21"/>
      <c r="AA10" s="21"/>
      <c r="AB10" s="21"/>
      <c r="AC10" s="21"/>
      <c r="AD10" s="21"/>
      <c r="AE10" s="21"/>
      <c r="AF10" s="21"/>
      <c r="AG10" s="21"/>
      <c r="AH10" s="23">
        <f>SUMPRODUCT(--(Janvier[[#This Row],[1]:[31]]=LEFT(Janvier[[#Headers],[Travaillé]],1)))</f>
        <v>0</v>
      </c>
      <c r="AI10" s="23">
        <f>SUMPRODUCT(--(Janvier[[#This Row],[1]:[31]]=LEFT(Janvier[[#Headers],[Congés]],1)))</f>
        <v>0</v>
      </c>
      <c r="AJ10" s="23">
        <f>SUMPRODUCT(--(Janvier[[#This Row],[1]:[31]]=LEFT(Janvier[[#Headers],[Maladie]],1)))</f>
        <v>0</v>
      </c>
      <c r="AK10" s="23">
        <f>SUMPRODUCT(--(Janvier[[#This Row],[1]:[31]]=LEFT(Janvier[[#Headers],[Repas]],1)))</f>
        <v>0</v>
      </c>
    </row>
    <row r="11" spans="1:37" ht="30" customHeight="1" thickBot="1" x14ac:dyDescent="0.3">
      <c r="B11" s="26" t="s">
        <v>49</v>
      </c>
      <c r="C11" s="21"/>
      <c r="D11" s="21"/>
      <c r="E11" s="21"/>
      <c r="F11" s="21"/>
      <c r="G11" s="21"/>
      <c r="H11" s="21"/>
      <c r="I11" s="21"/>
      <c r="J11" s="21"/>
      <c r="K11" s="21"/>
      <c r="L11" s="21"/>
      <c r="M11" s="21"/>
      <c r="N11" s="21"/>
      <c r="O11" s="21"/>
      <c r="P11" s="21"/>
      <c r="Q11" s="21"/>
      <c r="R11" s="21"/>
      <c r="S11" s="21"/>
      <c r="T11" s="21"/>
      <c r="U11" s="21"/>
      <c r="V11" s="21"/>
      <c r="W11" s="21"/>
      <c r="X11" s="21"/>
      <c r="Y11" s="21"/>
      <c r="Z11" s="21"/>
      <c r="AA11" s="21"/>
      <c r="AB11" s="21"/>
      <c r="AC11" s="21"/>
      <c r="AD11" s="21"/>
      <c r="AE11" s="21"/>
      <c r="AF11" s="21"/>
      <c r="AG11" s="21"/>
      <c r="AH11" s="23">
        <f>SUMPRODUCT(--(Janvier[[#This Row],[1]:[31]]=LEFT(Janvier[[#Headers],[Travaillé]],1)))</f>
        <v>0</v>
      </c>
      <c r="AI11" s="23">
        <f>SUMPRODUCT(--(Janvier[[#This Row],[1]:[31]]=LEFT(Janvier[[#Headers],[Congés]],1)))</f>
        <v>0</v>
      </c>
      <c r="AJ11" s="23">
        <f>SUMPRODUCT(--(Janvier[[#This Row],[1]:[31]]=LEFT(Janvier[[#Headers],[Maladie]],1)))</f>
        <v>0</v>
      </c>
      <c r="AK11" s="23">
        <f>SUMPRODUCT(--(Janvier[[#This Row],[1]:[31]]=LEFT(Janvier[[#Headers],[Repas]],1)))</f>
        <v>0</v>
      </c>
    </row>
    <row r="12" spans="1:37" ht="30" customHeight="1" thickBot="1" x14ac:dyDescent="0.3">
      <c r="B12" s="22" t="s">
        <v>50</v>
      </c>
      <c r="C12" s="21"/>
      <c r="D12" s="21"/>
      <c r="E12" s="21"/>
      <c r="F12" s="21"/>
      <c r="G12" s="21"/>
      <c r="H12" s="21"/>
      <c r="I12" s="21"/>
      <c r="J12" s="21"/>
      <c r="K12" s="21"/>
      <c r="L12" s="21"/>
      <c r="M12" s="21"/>
      <c r="N12" s="21"/>
      <c r="O12" s="21"/>
      <c r="P12" s="21"/>
      <c r="Q12" s="21"/>
      <c r="R12" s="21"/>
      <c r="S12" s="21"/>
      <c r="T12" s="21"/>
      <c r="U12" s="21"/>
      <c r="V12" s="21"/>
      <c r="W12" s="21"/>
      <c r="X12" s="21"/>
      <c r="Y12" s="21"/>
      <c r="Z12" s="21"/>
      <c r="AA12" s="21"/>
      <c r="AB12" s="21"/>
      <c r="AC12" s="21"/>
      <c r="AD12" s="21"/>
      <c r="AE12" s="21"/>
      <c r="AF12" s="21"/>
      <c r="AG12" s="21"/>
      <c r="AH12" s="23">
        <f>SUMPRODUCT(--(Janvier[[#This Row],[1]:[31]]=LEFT(Janvier[[#Headers],[Travaillé]],1)))</f>
        <v>0</v>
      </c>
      <c r="AI12" s="23">
        <f>SUMPRODUCT(--(Janvier[[#This Row],[1]:[31]]=LEFT(Janvier[[#Headers],[Congés]],1)))</f>
        <v>0</v>
      </c>
      <c r="AJ12" s="23">
        <f>SUMPRODUCT(--(Janvier[[#This Row],[1]:[31]]=LEFT(Janvier[[#Headers],[Maladie]],1)))</f>
        <v>0</v>
      </c>
      <c r="AK12" s="23">
        <f>SUMPRODUCT(--(Janvier[[#This Row],[1]:[31]]=LEFT(Janvier[[#Headers],[Repas]],1)))</f>
        <v>0</v>
      </c>
    </row>
    <row r="13" spans="1:37" ht="30" customHeight="1" x14ac:dyDescent="0.25">
      <c r="B13" s="26" t="s">
        <v>51</v>
      </c>
      <c r="C13" s="21"/>
      <c r="D13" s="21"/>
      <c r="E13" s="21"/>
      <c r="F13" s="21"/>
      <c r="G13" s="21"/>
      <c r="H13" s="21"/>
      <c r="I13" s="21"/>
      <c r="J13" s="21"/>
      <c r="K13" s="21"/>
      <c r="L13" s="21"/>
      <c r="M13" s="21"/>
      <c r="N13" s="21"/>
      <c r="O13" s="21"/>
      <c r="P13" s="21"/>
      <c r="Q13" s="21"/>
      <c r="R13" s="21"/>
      <c r="S13" s="21"/>
      <c r="T13" s="21"/>
      <c r="U13" s="21"/>
      <c r="V13" s="21"/>
      <c r="W13" s="21"/>
      <c r="X13" s="21"/>
      <c r="Y13" s="21"/>
      <c r="Z13" s="21"/>
      <c r="AA13" s="21"/>
      <c r="AB13" s="21"/>
      <c r="AC13" s="21"/>
      <c r="AD13" s="21"/>
      <c r="AE13" s="21"/>
      <c r="AF13" s="21"/>
      <c r="AG13" s="21"/>
      <c r="AH13" s="37">
        <f>SUMPRODUCT(--(Janvier[[#This Row],[1]:[31]]=LEFT(Janvier[[#Headers],[Travaillé]],1)))</f>
        <v>0</v>
      </c>
      <c r="AI13" s="38">
        <f>SUMPRODUCT(--(Janvier[[#This Row],[1]:[31]]=LEFT(Janvier[[#Headers],[Congés]],1)))</f>
        <v>0</v>
      </c>
      <c r="AJ13" s="38">
        <f>SUMPRODUCT(--(Janvier[[#This Row],[1]:[31]]=LEFT(Janvier[[#Headers],[Maladie]],1)))</f>
        <v>0</v>
      </c>
      <c r="AK13" s="39">
        <f>SUMPRODUCT(--(Janvier[[#This Row],[1]:[31]]=LEFT(Janvier[[#Headers],[Repas]],1)))</f>
        <v>0</v>
      </c>
    </row>
    <row r="14" spans="1:37" ht="30" customHeight="1" thickBot="1" x14ac:dyDescent="0.3">
      <c r="B14" s="28"/>
      <c r="C14" s="27"/>
      <c r="D14" s="27"/>
      <c r="E14" s="27"/>
      <c r="F14" s="27"/>
      <c r="G14" s="27"/>
      <c r="H14" s="27"/>
      <c r="I14" s="27"/>
      <c r="J14" s="27"/>
      <c r="K14" s="27"/>
      <c r="L14" s="27"/>
      <c r="M14" s="27"/>
      <c r="N14" s="27"/>
      <c r="O14" s="27"/>
      <c r="P14" s="27"/>
      <c r="Q14" s="27"/>
      <c r="R14" s="27"/>
      <c r="S14" s="27"/>
      <c r="T14" s="27"/>
      <c r="U14" s="27"/>
      <c r="V14" s="27"/>
      <c r="W14" s="27"/>
      <c r="X14" s="27"/>
      <c r="Y14" s="27"/>
      <c r="Z14" s="27"/>
      <c r="AA14" s="27"/>
      <c r="AB14" s="27"/>
      <c r="AC14" s="27"/>
      <c r="AD14" s="27"/>
      <c r="AE14" s="27"/>
      <c r="AF14" s="27"/>
      <c r="AG14" s="27"/>
      <c r="AH14" s="29" t="s">
        <v>52</v>
      </c>
      <c r="AI14" s="8"/>
      <c r="AJ14" s="8"/>
      <c r="AK14" s="8"/>
    </row>
    <row r="15" spans="1:37" ht="30" customHeight="1" thickBot="1" x14ac:dyDescent="0.3">
      <c r="AB15" s="48" t="s">
        <v>53</v>
      </c>
      <c r="AC15" s="49"/>
      <c r="AD15" s="49"/>
      <c r="AE15" s="49"/>
      <c r="AF15" s="49"/>
      <c r="AG15" s="50"/>
      <c r="AH15" s="32">
        <f>SUM(AH7:AH14)</f>
        <v>0</v>
      </c>
      <c r="AI15" s="30">
        <f>SUM(AI7:AI14)</f>
        <v>0</v>
      </c>
      <c r="AJ15" s="30">
        <f>SUM(AJ7:AJ14)</f>
        <v>0</v>
      </c>
      <c r="AK15" s="31">
        <f>SUM(AK7:AK14)</f>
        <v>0</v>
      </c>
    </row>
    <row r="17" spans="2:33" ht="30" customHeight="1" x14ac:dyDescent="0.25">
      <c r="B17" s="59" t="s">
        <v>70</v>
      </c>
      <c r="C17" s="58">
        <f ca="1">IF(OR(OR(C$5="sam",C$5="dim"),NOT(ISERROR(MATCH(DATE(AnnéeCalendrier,MATCH(NomMois,'mois-fériée'!$A:$A,0),C$6),'mois-fériée'!C:C,0)))),1,0)</f>
        <v>1</v>
      </c>
      <c r="D17" s="58">
        <f>IF(OR(OR(D$5="sam",D$5="dim"),NOT(ISERROR(MATCH(DATE(AnnéeCalendrier,MATCH(NomMois,'mois-fériée'!$A:$A,0),D$6),'mois-fériée'!D:D,0)))),1,0)</f>
        <v>0</v>
      </c>
      <c r="E17" s="58">
        <f>IF(OR(OR(E$5="sam",E$5="dim"),NOT(ISERROR(MATCH(DATE(AnnéeCalendrier,MATCH(NomMois,'mois-fériée'!$A:$A,0),E$6),'mois-fériée'!E:E,0)))),1,0)</f>
        <v>0</v>
      </c>
      <c r="F17" s="58">
        <f>IF(OR(OR(F$5="sam",F$5="dim"),NOT(ISERROR(MATCH(DATE(AnnéeCalendrier,MATCH(NomMois,'mois-fériée'!$A:$A,0),F$6),'mois-fériée'!F:F,0)))),1,0)</f>
        <v>0</v>
      </c>
      <c r="G17" s="58">
        <f>IF(OR(OR(G$5="sam",G$5="dim"),NOT(ISERROR(MATCH(DATE(AnnéeCalendrier,MATCH(NomMois,'mois-fériée'!$A:$A,0),G$6),'mois-fériée'!G:G,0)))),1,0)</f>
        <v>1</v>
      </c>
      <c r="H17" s="58">
        <f>IF(OR(OR(H$5="sam",H$5="dim"),NOT(ISERROR(MATCH(DATE(AnnéeCalendrier,MATCH(NomMois,'mois-fériée'!$A:$A,0),H$6),'mois-fériée'!H:H,0)))),1,0)</f>
        <v>1</v>
      </c>
      <c r="I17" s="58">
        <f>IF(OR(OR(I$5="sam",I$5="dim"),NOT(ISERROR(MATCH(DATE(AnnéeCalendrier,MATCH(NomMois,'mois-fériée'!$A:$A,0),I$6),'mois-fériée'!I:I,0)))),1,0)</f>
        <v>0</v>
      </c>
      <c r="J17" s="58">
        <f>IF(OR(OR(J$5="sam",J$5="dim"),NOT(ISERROR(MATCH(DATE(AnnéeCalendrier,MATCH(NomMois,'mois-fériée'!$A:$A,0),J$6),'mois-fériée'!J:J,0)))),1,0)</f>
        <v>0</v>
      </c>
      <c r="K17" s="58">
        <f>IF(OR(OR(K$5="sam",K$5="dim"),NOT(ISERROR(MATCH(DATE(AnnéeCalendrier,MATCH(NomMois,'mois-fériée'!$A:$A,0),K$6),'mois-fériée'!K:K,0)))),1,0)</f>
        <v>0</v>
      </c>
      <c r="L17" s="58">
        <f>IF(OR(OR(L$5="sam",L$5="dim"),NOT(ISERROR(MATCH(DATE(AnnéeCalendrier,MATCH(NomMois,'mois-fériée'!$A:$A,0),L$6),'mois-fériée'!L:L,0)))),1,0)</f>
        <v>0</v>
      </c>
      <c r="M17" s="58">
        <f>IF(OR(OR(M$5="sam",M$5="dim"),NOT(ISERROR(MATCH(DATE(AnnéeCalendrier,MATCH(NomMois,'mois-fériée'!$A:$A,0),M$6),'mois-fériée'!M:M,0)))),1,0)</f>
        <v>0</v>
      </c>
      <c r="N17" s="58">
        <f>IF(OR(OR(N$5="sam",N$5="dim"),NOT(ISERROR(MATCH(DATE(AnnéeCalendrier,MATCH(NomMois,'mois-fériée'!$A:$A,0),N$6),'mois-fériée'!N:N,0)))),1,0)</f>
        <v>1</v>
      </c>
      <c r="O17" s="58">
        <f>IF(OR(OR(O$5="sam",O$5="dim"),NOT(ISERROR(MATCH(DATE(AnnéeCalendrier,MATCH(NomMois,'mois-fériée'!$A:$A,0),O$6),'mois-fériée'!O:O,0)))),1,0)</f>
        <v>1</v>
      </c>
      <c r="P17" s="58">
        <f>IF(OR(OR(P$5="sam",P$5="dim"),NOT(ISERROR(MATCH(DATE(AnnéeCalendrier,MATCH(NomMois,'mois-fériée'!$A:$A,0),P$6),'mois-fériée'!P:P,0)))),1,0)</f>
        <v>0</v>
      </c>
      <c r="Q17" s="58">
        <f>IF(OR(OR(Q$5="sam",Q$5="dim"),NOT(ISERROR(MATCH(DATE(AnnéeCalendrier,MATCH(NomMois,'mois-fériée'!$A:$A,0),Q$6),'mois-fériée'!Q:Q,0)))),1,0)</f>
        <v>0</v>
      </c>
      <c r="R17" s="58">
        <f>IF(OR(OR(R$5="sam",R$5="dim"),NOT(ISERROR(MATCH(DATE(AnnéeCalendrier,MATCH(NomMois,'mois-fériée'!$A:$A,0),R$6),'mois-fériée'!R:R,0)))),1,0)</f>
        <v>0</v>
      </c>
      <c r="S17" s="58">
        <f>IF(OR(OR(S$5="sam",S$5="dim"),NOT(ISERROR(MATCH(DATE(AnnéeCalendrier,MATCH(NomMois,'mois-fériée'!$A:$A,0),S$6),'mois-fériée'!S:S,0)))),1,0)</f>
        <v>0</v>
      </c>
      <c r="T17" s="58">
        <f>IF(OR(OR(T$5="sam",T$5="dim"),NOT(ISERROR(MATCH(DATE(AnnéeCalendrier,MATCH(NomMois,'mois-fériée'!$A:$A,0),T$6),'mois-fériée'!T:T,0)))),1,0)</f>
        <v>0</v>
      </c>
      <c r="U17" s="58">
        <f>IF(OR(OR(U$5="sam",U$5="dim"),NOT(ISERROR(MATCH(DATE(AnnéeCalendrier,MATCH(NomMois,'mois-fériée'!$A:$A,0),U$6),'mois-fériée'!U:U,0)))),1,0)</f>
        <v>1</v>
      </c>
      <c r="V17" s="58">
        <f>IF(OR(OR(V$5="sam",V$5="dim"),NOT(ISERROR(MATCH(DATE(AnnéeCalendrier,MATCH(NomMois,'mois-fériée'!$A:$A,0),V$6),'mois-fériée'!V:V,0)))),1,0)</f>
        <v>1</v>
      </c>
      <c r="W17" s="58">
        <f>IF(OR(OR(W$5="sam",W$5="dim"),NOT(ISERROR(MATCH(DATE(AnnéeCalendrier,MATCH(NomMois,'mois-fériée'!$A:$A,0),W$6),'mois-fériée'!W:W,0)))),1,0)</f>
        <v>0</v>
      </c>
      <c r="X17" s="58">
        <f>IF(OR(OR(X$5="sam",X$5="dim"),NOT(ISERROR(MATCH(DATE(AnnéeCalendrier,MATCH(NomMois,'mois-fériée'!$A:$A,0),X$6),'mois-fériée'!X:X,0)))),1,0)</f>
        <v>0</v>
      </c>
      <c r="Y17" s="58">
        <f>IF(OR(OR(Y$5="sam",Y$5="dim"),NOT(ISERROR(MATCH(DATE(AnnéeCalendrier,MATCH(NomMois,'mois-fériée'!$A:$A,0),Y$6),'mois-fériée'!Y:Y,0)))),1,0)</f>
        <v>0</v>
      </c>
      <c r="Z17" s="58">
        <f>IF(OR(OR(Z$5="sam",Z$5="dim"),NOT(ISERROR(MATCH(DATE(AnnéeCalendrier,MATCH(NomMois,'mois-fériée'!$A:$A,0),Z$6),'mois-fériée'!Z:Z,0)))),1,0)</f>
        <v>0</v>
      </c>
      <c r="AA17" s="58">
        <f>IF(OR(OR(AA$5="sam",AA$5="dim"),NOT(ISERROR(MATCH(DATE(AnnéeCalendrier,MATCH(NomMois,'mois-fériée'!$A:$A,0),AA$6),'mois-fériée'!AA:AA,0)))),1,0)</f>
        <v>0</v>
      </c>
      <c r="AB17" s="58">
        <f>IF(OR(OR(AB$5="sam",AB$5="dim"),NOT(ISERROR(MATCH(DATE(AnnéeCalendrier,MATCH(NomMois,'mois-fériée'!$A:$A,0),AB$6),'mois-fériée'!AB:AB,0)))),1,0)</f>
        <v>1</v>
      </c>
      <c r="AC17" s="58">
        <f>IF(OR(OR(AC$5="sam",AC$5="dim"),NOT(ISERROR(MATCH(DATE(AnnéeCalendrier,MATCH(NomMois,'mois-fériée'!$A:$A,0),AC$6),'mois-fériée'!AC:AC,0)))),1,0)</f>
        <v>1</v>
      </c>
      <c r="AD17" s="58">
        <f>IF(OR(OR(AD$5="sam",AD$5="dim"),NOT(ISERROR(MATCH(DATE(AnnéeCalendrier,MATCH(NomMois,'mois-fériée'!$A:$A,0),AD$6),'mois-fériée'!AD:AD,0)))),1,0)</f>
        <v>0</v>
      </c>
      <c r="AE17" s="58">
        <f>IF(OR(OR(AE$5="sam",AE$5="dim"),NOT(ISERROR(MATCH(DATE(AnnéeCalendrier,MATCH(NomMois,'mois-fériée'!$A:$A,0),AE$6),'mois-fériée'!AE:AE,0)))),1,0)</f>
        <v>0</v>
      </c>
      <c r="AF17" s="58">
        <f>IF(OR(OR(AF$5="sam",AF$5="dim"),NOT(ISERROR(MATCH(DATE(AnnéeCalendrier,MATCH(NomMois,'mois-fériée'!$A:$A,0),AF$6),'mois-fériée'!AF:AF,0)))),1,0)</f>
        <v>0</v>
      </c>
      <c r="AG17" s="58">
        <f>IF(OR(OR(AG$5="sam",AG$5="dim"),NOT(ISERROR(MATCH(DATE(AnnéeCalendrier,MATCH(NomMois,'mois-fériée'!$A:$A,0),AG$6),'mois-fériée'!AG:AG,0)))),1,0)</f>
        <v>0</v>
      </c>
    </row>
  </sheetData>
  <mergeCells count="9">
    <mergeCell ref="AH3:AI3"/>
    <mergeCell ref="AH4:AI4"/>
    <mergeCell ref="AJ4:AK4"/>
    <mergeCell ref="C4:AG4"/>
    <mergeCell ref="D2:E2"/>
    <mergeCell ref="K2:L2"/>
    <mergeCell ref="N2:O2"/>
    <mergeCell ref="G2:H2"/>
    <mergeCell ref="AB15:AG15"/>
  </mergeCells>
  <conditionalFormatting sqref="C7:AG13">
    <cfRule type="expression" priority="28" stopIfTrue="1">
      <formula>C7=""</formula>
    </cfRule>
    <cfRule type="expression" dxfId="42" priority="33" stopIfTrue="1">
      <formula>C7=CléPanier_Repas</formula>
    </cfRule>
    <cfRule type="expression" dxfId="41" priority="34" stopIfTrue="1">
      <formula>C7=CléPersonnalisée1</formula>
    </cfRule>
    <cfRule type="expression" dxfId="40" priority="35" stopIfTrue="1">
      <formula>C7=CléMaladie</formula>
    </cfRule>
    <cfRule type="expression" dxfId="39" priority="36" stopIfTrue="1">
      <formula>C7=CléCongés</formula>
    </cfRule>
    <cfRule type="expression" dxfId="38" priority="37" stopIfTrue="1">
      <formula>C7=CléTravail</formula>
    </cfRule>
  </conditionalFormatting>
  <conditionalFormatting sqref="AI7:AI13">
    <cfRule type="dataBar" priority="27">
      <dataBar>
        <cfvo type="num" val="0"/>
        <cfvo type="num" val="31"/>
        <color theme="2" tint="-0.249977111117893"/>
      </dataBar>
      <extLst>
        <ext xmlns:x14="http://schemas.microsoft.com/office/spreadsheetml/2009/9/main" uri="{B025F937-C7B1-47D3-B67F-A62EFF666E3E}">
          <x14:id>{4FE2040B-35D1-4091-8961-5036F8E73DD4}</x14:id>
        </ext>
      </extLst>
    </cfRule>
  </conditionalFormatting>
  <conditionalFormatting sqref="AJ7:AK13">
    <cfRule type="dataBar" priority="26">
      <dataBar>
        <cfvo type="num" val="0"/>
        <cfvo type="num" val="31"/>
        <color theme="2" tint="-0.249977111117893"/>
      </dataBar>
      <extLst>
        <ext xmlns:x14="http://schemas.microsoft.com/office/spreadsheetml/2009/9/main" uri="{B025F937-C7B1-47D3-B67F-A62EFF666E3E}">
          <x14:id>{516680D6-7F11-4652-BFD9-40018573E759}</x14:id>
        </ext>
      </extLst>
    </cfRule>
  </conditionalFormatting>
  <conditionalFormatting sqref="AH7:AK13">
    <cfRule type="dataBar" priority="24">
      <dataBar>
        <cfvo type="num" val="0"/>
        <cfvo type="num" val="31"/>
        <color theme="2" tint="-0.249977111117893"/>
      </dataBar>
      <extLst>
        <ext xmlns:x14="http://schemas.microsoft.com/office/spreadsheetml/2009/9/main" uri="{B025F937-C7B1-47D3-B67F-A62EFF666E3E}">
          <x14:id>{4F9786AF-98A6-44F7-8596-ABB623E7521D}</x14:id>
        </ext>
      </extLst>
    </cfRule>
  </conditionalFormatting>
  <conditionalFormatting sqref="AH7">
    <cfRule type="dataBar" priority="22">
      <dataBar>
        <cfvo type="min"/>
        <cfvo type="max"/>
        <color rgb="FF63C384"/>
      </dataBar>
      <extLst>
        <ext xmlns:x14="http://schemas.microsoft.com/office/spreadsheetml/2009/9/main" uri="{B025F937-C7B1-47D3-B67F-A62EFF666E3E}">
          <x14:id>{1059A82E-30C6-498F-9940-FEDA7FC137A3}</x14:id>
        </ext>
      </extLst>
    </cfRule>
  </conditionalFormatting>
  <conditionalFormatting sqref="C13:AG13">
    <cfRule type="expression" priority="6" stopIfTrue="1">
      <formula>C13=""</formula>
    </cfRule>
    <cfRule type="expression" dxfId="58" priority="7" stopIfTrue="1">
      <formula>C13=CléPanier_Repas</formula>
    </cfRule>
    <cfRule type="expression" dxfId="57" priority="8" stopIfTrue="1">
      <formula>C13=CléPersonnalisée1</formula>
    </cfRule>
    <cfRule type="expression" dxfId="56" priority="9" stopIfTrue="1">
      <formula>C13=CléMaladie</formula>
    </cfRule>
    <cfRule type="expression" dxfId="55" priority="10" stopIfTrue="1">
      <formula>C13=CléCongés</formula>
    </cfRule>
    <cfRule type="expression" dxfId="54" priority="11" stopIfTrue="1">
      <formula>C13=CléTravail</formula>
    </cfRule>
  </conditionalFormatting>
  <conditionalFormatting sqref="AI13">
    <cfRule type="dataBar" priority="5">
      <dataBar>
        <cfvo type="num" val="0"/>
        <cfvo type="num" val="31"/>
        <color theme="2" tint="-0.249977111117893"/>
      </dataBar>
      <extLst>
        <ext xmlns:x14="http://schemas.microsoft.com/office/spreadsheetml/2009/9/main" uri="{B025F937-C7B1-47D3-B67F-A62EFF666E3E}">
          <x14:id>{0766DD68-EFCA-40B4-87A6-E813CEBA2910}</x14:id>
        </ext>
      </extLst>
    </cfRule>
  </conditionalFormatting>
  <conditionalFormatting sqref="AJ13:AK13">
    <cfRule type="dataBar" priority="4">
      <dataBar>
        <cfvo type="num" val="0"/>
        <cfvo type="num" val="31"/>
        <color theme="2" tint="-0.249977111117893"/>
      </dataBar>
      <extLst>
        <ext xmlns:x14="http://schemas.microsoft.com/office/spreadsheetml/2009/9/main" uri="{B025F937-C7B1-47D3-B67F-A62EFF666E3E}">
          <x14:id>{D061F373-B5D7-4B99-AFF0-BAA41E00EE3A}</x14:id>
        </ext>
      </extLst>
    </cfRule>
  </conditionalFormatting>
  <conditionalFormatting sqref="AH13:AK13">
    <cfRule type="dataBar" priority="3">
      <dataBar>
        <cfvo type="num" val="0"/>
        <cfvo type="num" val="31"/>
        <color theme="2" tint="-0.249977111117893"/>
      </dataBar>
      <extLst>
        <ext xmlns:x14="http://schemas.microsoft.com/office/spreadsheetml/2009/9/main" uri="{B025F937-C7B1-47D3-B67F-A62EFF666E3E}">
          <x14:id>{17A3E7AF-C2CB-45B9-81C1-C499F9850A19}</x14:id>
        </ext>
      </extLst>
    </cfRule>
  </conditionalFormatting>
  <conditionalFormatting sqref="AH13">
    <cfRule type="dataBar" priority="2">
      <dataBar>
        <cfvo type="min"/>
        <cfvo type="max"/>
        <color rgb="FFFF555A"/>
      </dataBar>
      <extLst>
        <ext xmlns:x14="http://schemas.microsoft.com/office/spreadsheetml/2009/9/main" uri="{B025F937-C7B1-47D3-B67F-A62EFF666E3E}">
          <x14:id>{A511AEE7-D855-4057-BA0D-02A704CC139B}</x14:id>
        </ext>
      </extLst>
    </cfRule>
  </conditionalFormatting>
  <conditionalFormatting sqref="AH7:AH13">
    <cfRule type="dataBar" priority="38">
      <dataBar>
        <cfvo type="min"/>
        <cfvo type="max"/>
        <color rgb="FFFF555A"/>
      </dataBar>
      <extLst>
        <ext xmlns:x14="http://schemas.microsoft.com/office/spreadsheetml/2009/9/main" uri="{B025F937-C7B1-47D3-B67F-A62EFF666E3E}">
          <x14:id>{6091E31B-2A48-4907-B5E1-B41E6B83D26A}</x14:id>
        </ext>
      </extLst>
    </cfRule>
  </conditionalFormatting>
  <dataValidations count="14">
    <dataValidation allowBlank="1" showInputMessage="1" showErrorMessage="1" prompt="Entrez l’année dans cette cellule." sqref="AH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P2"/>
    <dataValidation allowBlank="1" showInputMessage="1" showErrorMessage="1" prompt="Entrez une étiquette pour décrire la clé personnalisée à gauche" sqref="N2 Q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FE2040B-35D1-4091-8961-5036F8E73DD4}">
            <x14:dataBar minLength="0" maxLength="100">
              <x14:cfvo type="num">
                <xm:f>0</xm:f>
              </x14:cfvo>
              <x14:cfvo type="num">
                <xm:f>31</xm:f>
              </x14:cfvo>
              <x14:negativeFillColor rgb="FFFF0000"/>
              <x14:axisColor rgb="FF000000"/>
            </x14:dataBar>
          </x14:cfRule>
          <xm:sqref>AI7:AI13</xm:sqref>
        </x14:conditionalFormatting>
        <x14:conditionalFormatting xmlns:xm="http://schemas.microsoft.com/office/excel/2006/main">
          <x14:cfRule type="dataBar" id="{516680D6-7F11-4652-BFD9-40018573E759}">
            <x14:dataBar minLength="0" maxLength="100">
              <x14:cfvo type="num">
                <xm:f>0</xm:f>
              </x14:cfvo>
              <x14:cfvo type="num">
                <xm:f>31</xm:f>
              </x14:cfvo>
              <x14:negativeFillColor rgb="FFFF0000"/>
              <x14:axisColor rgb="FF000000"/>
            </x14:dataBar>
          </x14:cfRule>
          <xm:sqref>AJ7:AK13</xm:sqref>
        </x14:conditionalFormatting>
        <x14:conditionalFormatting xmlns:xm="http://schemas.microsoft.com/office/excel/2006/main">
          <x14:cfRule type="dataBar" id="{4F9786AF-98A6-44F7-8596-ABB623E7521D}">
            <x14:dataBar minLength="0" maxLength="100">
              <x14:cfvo type="num">
                <xm:f>0</xm:f>
              </x14:cfvo>
              <x14:cfvo type="num">
                <xm:f>31</xm:f>
              </x14:cfvo>
              <x14:negativeFillColor rgb="FFFF0000"/>
              <x14:axisColor rgb="FF000000"/>
            </x14:dataBar>
          </x14:cfRule>
          <xm:sqref>AH7:AK13</xm:sqref>
        </x14:conditionalFormatting>
        <x14:conditionalFormatting xmlns:xm="http://schemas.microsoft.com/office/excel/2006/main">
          <x14:cfRule type="dataBar" id="{1059A82E-30C6-498F-9940-FEDA7FC137A3}">
            <x14:dataBar minLength="0" maxLength="100" border="1" negativeBarColorSameAsPositive="1" negativeBarBorderColorSameAsPositive="0" axisPosition="none">
              <x14:cfvo type="autoMin"/>
              <x14:cfvo type="autoMax"/>
              <x14:borderColor rgb="FF63C384"/>
              <x14:negativeBorderColor rgb="FF638EC6"/>
            </x14:dataBar>
          </x14:cfRule>
          <xm:sqref>AH7</xm:sqref>
        </x14:conditionalFormatting>
        <x14:conditionalFormatting xmlns:xm="http://schemas.microsoft.com/office/excel/2006/main">
          <x14:cfRule type="dataBar" id="{0766DD68-EFCA-40B4-87A6-E813CEBA2910}">
            <x14:dataBar minLength="0" maxLength="100">
              <x14:cfvo type="num">
                <xm:f>0</xm:f>
              </x14:cfvo>
              <x14:cfvo type="num">
                <xm:f>31</xm:f>
              </x14:cfvo>
              <x14:negativeFillColor rgb="FFFF0000"/>
              <x14:axisColor rgb="FF000000"/>
            </x14:dataBar>
          </x14:cfRule>
          <xm:sqref>AI13</xm:sqref>
        </x14:conditionalFormatting>
        <x14:conditionalFormatting xmlns:xm="http://schemas.microsoft.com/office/excel/2006/main">
          <x14:cfRule type="dataBar" id="{D061F373-B5D7-4B99-AFF0-BAA41E00EE3A}">
            <x14:dataBar minLength="0" maxLength="100">
              <x14:cfvo type="num">
                <xm:f>0</xm:f>
              </x14:cfvo>
              <x14:cfvo type="num">
                <xm:f>31</xm:f>
              </x14:cfvo>
              <x14:negativeFillColor rgb="FFFF0000"/>
              <x14:axisColor rgb="FF000000"/>
            </x14:dataBar>
          </x14:cfRule>
          <xm:sqref>AJ13:AK13</xm:sqref>
        </x14:conditionalFormatting>
        <x14:conditionalFormatting xmlns:xm="http://schemas.microsoft.com/office/excel/2006/main">
          <x14:cfRule type="dataBar" id="{17A3E7AF-C2CB-45B9-81C1-C499F9850A19}">
            <x14:dataBar minLength="0" maxLength="100">
              <x14:cfvo type="num">
                <xm:f>0</xm:f>
              </x14:cfvo>
              <x14:cfvo type="num">
                <xm:f>31</xm:f>
              </x14:cfvo>
              <x14:negativeFillColor rgb="FFFF0000"/>
              <x14:axisColor rgb="FF000000"/>
            </x14:dataBar>
          </x14:cfRule>
          <xm:sqref>AH13:AK13</xm:sqref>
        </x14:conditionalFormatting>
        <x14:conditionalFormatting xmlns:xm="http://schemas.microsoft.com/office/excel/2006/main">
          <x14:cfRule type="dataBar" id="{A511AEE7-D855-4057-BA0D-02A704CC139B}">
            <x14:dataBar minLength="0" maxLength="100" border="1" negativeBarColorSameAsPositive="1" negativeBarBorderColorSameAsPositive="0" axisPosition="none">
              <x14:cfvo type="autoMin"/>
              <x14:cfvo type="autoMax"/>
              <x14:borderColor rgb="FFFF555A"/>
              <x14:negativeBorderColor rgb="FF638EC6"/>
            </x14:dataBar>
          </x14:cfRule>
          <xm:sqref>AH13</xm:sqref>
        </x14:conditionalFormatting>
        <x14:conditionalFormatting xmlns:xm="http://schemas.microsoft.com/office/excel/2006/main">
          <x14:cfRule type="dataBar" id="{6091E31B-2A48-4907-B5E1-B41E6B83D26A}">
            <x14:dataBar minLength="0" maxLength="100" border="1" negativeBarColorSameAsPositive="1" negativeBarBorderColorSameAsPositive="0" axisPosition="none">
              <x14:cfvo type="autoMin"/>
              <x14:cfvo type="autoMax"/>
              <x14:borderColor rgb="FFFF555A"/>
              <x14:negativeBorderColor rgb="FF638EC6"/>
            </x14:dataBar>
          </x14:cfRule>
          <xm:sqref>AH7:AH13</xm:sqref>
        </x14:conditionalFormatting>
        <x14:conditionalFormatting xmlns:xm="http://schemas.microsoft.com/office/excel/2006/main">
          <x14:cfRule type="expression" priority="1" id="{DF5EE46F-3BD2-4180-8016-63A87E234E94}">
            <xm:f>OR(OR(C$5="sam",C$5="dim"),NOT(ISERROR(MATCH(DATE(AnnéeCalendrier,MATCH(NomMois,'mois-fériée'!$A:$A,0),C$6),'mois-fériée'!C:C,0))))</xm:f>
            <x14:dxf>
              <fill>
                <patternFill>
                  <bgColor rgb="FFFFFF00"/>
                </patternFill>
              </fill>
            </x14:dxf>
          </x14:cfRule>
          <xm:sqref>C7:AG13</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sheetPr>
  <dimension ref="A1:AM15"/>
  <sheetViews>
    <sheetView showGridLines="0" topLeftCell="A2" workbookViewId="0">
      <selection activeCell="AH4" sqref="AH4"/>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9.5703125" style="9" customWidth="1"/>
    <col min="35" max="36" width="9.5703125" customWidth="1"/>
    <col min="37" max="37" width="10.42578125" customWidth="1"/>
    <col min="38" max="38" width="10.5703125" customWidth="1"/>
  </cols>
  <sheetData>
    <row r="1" spans="2:39" ht="50.1" customHeight="1" x14ac:dyDescent="0.25">
      <c r="B1" s="10" t="str">
        <f>Titre_Absence_Employé</f>
        <v>Calendrier  des employés</v>
      </c>
    </row>
    <row r="2" spans="2:39" ht="15" customHeight="1" x14ac:dyDescent="0.25">
      <c r="B2" s="13" t="s">
        <v>1</v>
      </c>
      <c r="C2" s="3" t="s">
        <v>2</v>
      </c>
      <c r="D2" s="44" t="s">
        <v>3</v>
      </c>
      <c r="E2" s="45"/>
      <c r="F2" s="4" t="s">
        <v>4</v>
      </c>
      <c r="G2" s="47" t="s">
        <v>5</v>
      </c>
      <c r="H2" s="47"/>
      <c r="I2" s="19"/>
      <c r="J2" s="5" t="s">
        <v>6</v>
      </c>
      <c r="K2" s="45" t="s">
        <v>7</v>
      </c>
      <c r="L2" s="45"/>
      <c r="M2" s="6" t="s">
        <v>8</v>
      </c>
      <c r="N2" s="46" t="s">
        <v>9</v>
      </c>
      <c r="O2" s="46"/>
      <c r="P2" s="7" t="s">
        <v>67</v>
      </c>
      <c r="Q2" s="46" t="s">
        <v>68</v>
      </c>
      <c r="R2" s="46"/>
      <c r="S2" s="46"/>
      <c r="T2" s="19"/>
      <c r="AI2" s="9"/>
    </row>
    <row r="3" spans="2:39" ht="15" customHeight="1" x14ac:dyDescent="0.25">
      <c r="B3"/>
    </row>
    <row r="4" spans="2:39" ht="30" customHeight="1" x14ac:dyDescent="0.25">
      <c r="B4" s="33" t="s">
        <v>54</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3">
        <f>AnnéeCalendrier</f>
        <v>2019</v>
      </c>
      <c r="AI4" s="33"/>
      <c r="AJ4" s="33"/>
      <c r="AK4" s="33"/>
    </row>
    <row r="5" spans="2:39" ht="15" customHeight="1" x14ac:dyDescent="0.25">
      <c r="B5" s="33"/>
      <c r="C5" s="1" t="str">
        <f>TEXT(WEEKDAY(DATE(AnnéeCalendrier,2,1),1),"jjj")</f>
        <v>ven</v>
      </c>
      <c r="D5" s="1" t="str">
        <f>TEXT(WEEKDAY(DATE(AnnéeCalendrier,2,2),1),"jjj")</f>
        <v>sam</v>
      </c>
      <c r="E5" s="1" t="str">
        <f>TEXT(WEEKDAY(DATE(AnnéeCalendrier,2,3),1),"jjj")</f>
        <v>dim</v>
      </c>
      <c r="F5" s="1" t="str">
        <f>TEXT(WEEKDAY(DATE(AnnéeCalendrier,2,4),1),"jjj")</f>
        <v>lun</v>
      </c>
      <c r="G5" s="1" t="str">
        <f>TEXT(WEEKDAY(DATE(AnnéeCalendrier,2,5),1),"jjj")</f>
        <v>mar</v>
      </c>
      <c r="H5" s="1" t="str">
        <f>TEXT(WEEKDAY(DATE(AnnéeCalendrier,2,6),1),"jjj")</f>
        <v>mer</v>
      </c>
      <c r="I5" s="1" t="str">
        <f>TEXT(WEEKDAY(DATE(AnnéeCalendrier,2,7),1),"jjj")</f>
        <v>jeu</v>
      </c>
      <c r="J5" s="1" t="str">
        <f>TEXT(WEEKDAY(DATE(AnnéeCalendrier,2,8),1),"jjj")</f>
        <v>ven</v>
      </c>
      <c r="K5" s="1" t="str">
        <f>TEXT(WEEKDAY(DATE(AnnéeCalendrier,2,9),1),"jjj")</f>
        <v>sam</v>
      </c>
      <c r="L5" s="1" t="str">
        <f>TEXT(WEEKDAY(DATE(AnnéeCalendrier,2,10),1),"jjj")</f>
        <v>dim</v>
      </c>
      <c r="M5" s="1" t="str">
        <f>TEXT(WEEKDAY(DATE(AnnéeCalendrier,2,11),1),"jjj")</f>
        <v>lun</v>
      </c>
      <c r="N5" s="1" t="str">
        <f>TEXT(WEEKDAY(DATE(AnnéeCalendrier,2,12),1),"jjj")</f>
        <v>mar</v>
      </c>
      <c r="O5" s="1" t="str">
        <f>TEXT(WEEKDAY(DATE(AnnéeCalendrier,2,13),1),"jjj")</f>
        <v>mer</v>
      </c>
      <c r="P5" s="1" t="str">
        <f>TEXT(WEEKDAY(DATE(AnnéeCalendrier,2,14),1),"jjj")</f>
        <v>jeu</v>
      </c>
      <c r="Q5" s="1" t="str">
        <f>TEXT(WEEKDAY(DATE(AnnéeCalendrier,2,15),1),"jjj")</f>
        <v>ven</v>
      </c>
      <c r="R5" s="1" t="str">
        <f>TEXT(WEEKDAY(DATE(AnnéeCalendrier,2,16),1),"jjj")</f>
        <v>sam</v>
      </c>
      <c r="S5" s="1" t="str">
        <f>TEXT(WEEKDAY(DATE(AnnéeCalendrier,2,17),1),"jjj")</f>
        <v>dim</v>
      </c>
      <c r="T5" s="1" t="str">
        <f>TEXT(WEEKDAY(DATE(AnnéeCalendrier,2,18),1),"jjj")</f>
        <v>lun</v>
      </c>
      <c r="U5" s="1" t="str">
        <f>TEXT(WEEKDAY(DATE(AnnéeCalendrier,2,19),1),"jjj")</f>
        <v>mar</v>
      </c>
      <c r="V5" s="1" t="str">
        <f>TEXT(WEEKDAY(DATE(AnnéeCalendrier,2,20),1),"jjj")</f>
        <v>mer</v>
      </c>
      <c r="W5" s="1" t="str">
        <f>TEXT(WEEKDAY(DATE(AnnéeCalendrier,2,21),1),"jjj")</f>
        <v>jeu</v>
      </c>
      <c r="X5" s="1" t="str">
        <f>TEXT(WEEKDAY(DATE(AnnéeCalendrier,2,22),1),"jjj")</f>
        <v>ven</v>
      </c>
      <c r="Y5" s="1" t="str">
        <f>TEXT(WEEKDAY(DATE(AnnéeCalendrier,2,23),1),"jjj")</f>
        <v>sam</v>
      </c>
      <c r="Z5" s="1" t="str">
        <f>TEXT(WEEKDAY(DATE(AnnéeCalendrier,2,24),1),"jjj")</f>
        <v>dim</v>
      </c>
      <c r="AA5" s="1" t="str">
        <f>TEXT(WEEKDAY(DATE(AnnéeCalendrier,2,25),1),"jjj")</f>
        <v>lun</v>
      </c>
      <c r="AB5" s="1" t="str">
        <f>TEXT(WEEKDAY(DATE(AnnéeCalendrier,2,26),1),"jjj")</f>
        <v>mar</v>
      </c>
      <c r="AC5" s="1" t="str">
        <f>TEXT(WEEKDAY(DATE(AnnéeCalendrier,2,27),1),"jjj")</f>
        <v>mer</v>
      </c>
      <c r="AD5" s="1" t="str">
        <f>TEXT(WEEKDAY(DATE(AnnéeCalendrier,2,28),1),"jjj")</f>
        <v>jeu</v>
      </c>
      <c r="AE5" s="1" t="str">
        <f>TEXT(WEEKDAY(DATE(AnnéeCalendrier,2,29),1),"jjj")</f>
        <v>ven</v>
      </c>
      <c r="AF5" s="1"/>
      <c r="AG5" s="1"/>
      <c r="AH5" s="33"/>
      <c r="AI5" s="33"/>
      <c r="AJ5" s="33"/>
      <c r="AK5" s="33"/>
    </row>
    <row r="6" spans="2:39" ht="15" customHeight="1" x14ac:dyDescent="0.25">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52</v>
      </c>
      <c r="AG6" s="2" t="s">
        <v>56</v>
      </c>
      <c r="AH6" s="3" t="s">
        <v>3</v>
      </c>
      <c r="AI6" s="6" t="s">
        <v>9</v>
      </c>
      <c r="AJ6" s="5" t="s">
        <v>7</v>
      </c>
      <c r="AK6" s="4" t="s">
        <v>69</v>
      </c>
      <c r="AL6" s="9"/>
      <c r="AM6" t="s">
        <v>52</v>
      </c>
    </row>
    <row r="7" spans="2:39" ht="30" customHeight="1" x14ac:dyDescent="0.25">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3">
        <f>SUMPRODUCT(--(Février[[#This Row],[1]:[29]]=LEFT(Février[[#Headers],[Travaillé]],1)))</f>
        <v>0</v>
      </c>
      <c r="AI7" s="23">
        <f>SUMPRODUCT(--(Février[[#This Row],[1]:[29]]=LEFT(Février[[#Headers],[Congés]],1)))</f>
        <v>0</v>
      </c>
      <c r="AJ7" s="23">
        <f>SUMPRODUCT(--(Février[[#This Row],[1]:[29]]=LEFT(Février[[#Headers],[Maladie]],1)))</f>
        <v>0</v>
      </c>
      <c r="AK7" s="23">
        <f>SUMPRODUCT(--(Février[[#This Row],[1]:[29]]=LEFT(Février[[#Headers],[Repas]],1)))</f>
        <v>0</v>
      </c>
      <c r="AL7" s="43"/>
    </row>
    <row r="8" spans="2:39" ht="30" customHeight="1" x14ac:dyDescent="0.25">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3">
        <f>SUMPRODUCT(--(Février[[#This Row],[1]:[29]]=LEFT(Février[[#Headers],[Travaillé]],1)))</f>
        <v>0</v>
      </c>
      <c r="AI8" s="23">
        <f>SUMPRODUCT(--(Février[[#This Row],[1]:[29]]=LEFT(Février[[#Headers],[Congés]],1)))</f>
        <v>0</v>
      </c>
      <c r="AJ8" s="23">
        <f>SUMPRODUCT(--(Février[[#This Row],[1]:[29]]=LEFT(Février[[#Headers],[Maladie]],1)))</f>
        <v>0</v>
      </c>
      <c r="AK8" s="23">
        <f>SUMPRODUCT(--(Février[[#This Row],[1]:[29]]=LEFT(Février[[#Headers],[Repas]],1)))</f>
        <v>0</v>
      </c>
      <c r="AL8" s="43"/>
    </row>
    <row r="9" spans="2:39" ht="30" customHeight="1" x14ac:dyDescent="0.25">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3">
        <f>SUMPRODUCT(--(Février[[#This Row],[1]:[29]]=LEFT(Février[[#Headers],[Travaillé]],1)))</f>
        <v>0</v>
      </c>
      <c r="AI9" s="23">
        <f>SUMPRODUCT(--(Février[[#This Row],[1]:[29]]=LEFT(Février[[#Headers],[Congés]],1)))</f>
        <v>0</v>
      </c>
      <c r="AJ9" s="23">
        <f>SUMPRODUCT(--(Février[[#This Row],[1]:[29]]=LEFT(Février[[#Headers],[Maladie]],1)))</f>
        <v>0</v>
      </c>
      <c r="AK9" s="23">
        <f>SUMPRODUCT(--(Février[[#This Row],[1]:[29]]=LEFT(Février[[#Headers],[Repas]],1)))</f>
        <v>0</v>
      </c>
      <c r="AL9" s="43"/>
    </row>
    <row r="10" spans="2:39" ht="30" customHeight="1" x14ac:dyDescent="0.25">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3">
        <f>SUMPRODUCT(--(Février[[#This Row],[1]:[29]]=LEFT(Février[[#Headers],[Travaillé]],1)))</f>
        <v>0</v>
      </c>
      <c r="AI10" s="23">
        <f>SUMPRODUCT(--(Février[[#This Row],[1]:[29]]=LEFT(Février[[#Headers],[Congés]],1)))</f>
        <v>0</v>
      </c>
      <c r="AJ10" s="23">
        <f>SUMPRODUCT(--(Février[[#This Row],[1]:[29]]=LEFT(Février[[#Headers],[Maladie]],1)))</f>
        <v>0</v>
      </c>
      <c r="AK10" s="23">
        <f>SUMPRODUCT(--(Février[[#This Row],[1]:[29]]=LEFT(Février[[#Headers],[Repas]],1)))</f>
        <v>0</v>
      </c>
      <c r="AL10" s="43"/>
    </row>
    <row r="11" spans="2:39" ht="30" customHeight="1" x14ac:dyDescent="0.25">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3">
        <f>SUMPRODUCT(--(Février[[#This Row],[1]:[29]]=LEFT(Février[[#Headers],[Travaillé]],1)))</f>
        <v>0</v>
      </c>
      <c r="AI11" s="23">
        <f>SUMPRODUCT(--(Février[[#This Row],[1]:[29]]=LEFT(Février[[#Headers],[Congés]],1)))</f>
        <v>0</v>
      </c>
      <c r="AJ11" s="23">
        <f>SUMPRODUCT(--(Février[[#This Row],[1]:[29]]=LEFT(Février[[#Headers],[Maladie]],1)))</f>
        <v>0</v>
      </c>
      <c r="AK11" s="23">
        <f>SUMPRODUCT(--(Février[[#This Row],[1]:[29]]=LEFT(Février[[#Headers],[Repas]],1)))</f>
        <v>0</v>
      </c>
      <c r="AL11" s="43"/>
    </row>
    <row r="12" spans="2:39" ht="30" customHeight="1" x14ac:dyDescent="0.25">
      <c r="B12" s="15" t="str">
        <f>Janvier!B12</f>
        <v>Employé 5</v>
      </c>
      <c r="AH12" s="23">
        <f>SUMPRODUCT(--(Février[[#This Row],[1]:[29]]=LEFT(Février[[#Headers],[Travaillé]],1)))</f>
        <v>0</v>
      </c>
      <c r="AI12" s="23">
        <f>SUMPRODUCT(--(Février[[#This Row],[1]:[29]]=LEFT(Février[[#Headers],[Congés]],1)))</f>
        <v>0</v>
      </c>
      <c r="AJ12" s="23">
        <f>SUMPRODUCT(--(Février[[#This Row],[1]:[29]]=LEFT(Février[[#Headers],[Maladie]],1)))</f>
        <v>0</v>
      </c>
      <c r="AK12" s="23">
        <f>SUMPRODUCT(--(Février[[#This Row],[1]:[29]]=LEFT(Février[[#Headers],[Repas]],1)))</f>
        <v>0</v>
      </c>
      <c r="AL12" s="43"/>
    </row>
    <row r="13" spans="2:39" ht="30" customHeight="1" x14ac:dyDescent="0.25">
      <c r="B13" s="40" t="str">
        <f>Janvier!B13</f>
        <v>Employé 6</v>
      </c>
      <c r="AH13" s="41">
        <f>SUMPRODUCT(--(Février[[#This Row],[1]:[29]]=LEFT(Février[[#Headers],[Travaillé]],1)))</f>
        <v>0</v>
      </c>
      <c r="AI13" s="41">
        <f>SUMPRODUCT(--(Février[[#This Row],[1]:[29]]=LEFT(Février[[#Headers],[Congés]],1)))</f>
        <v>0</v>
      </c>
      <c r="AJ13" s="41">
        <f>SUMPRODUCT(--(Février[[#This Row],[1]:[29]]=LEFT(Février[[#Headers],[Maladie]],1)))</f>
        <v>0</v>
      </c>
      <c r="AK13" s="41">
        <f>SUMPRODUCT(--(Février[[#This Row],[1]:[29]]=LEFT(Février[[#Headers],[Repas]],1)))</f>
        <v>0</v>
      </c>
      <c r="AL13" s="43"/>
    </row>
    <row r="14" spans="2:39" ht="30" customHeight="1" thickBot="1" x14ac:dyDescent="0.3"/>
    <row r="15" spans="2:39" ht="30" customHeight="1" thickBot="1" x14ac:dyDescent="0.3">
      <c r="AB15" s="48" t="s">
        <v>53</v>
      </c>
      <c r="AC15" s="49"/>
      <c r="AD15" s="49"/>
      <c r="AE15" s="49"/>
      <c r="AF15" s="49"/>
      <c r="AG15" s="50"/>
      <c r="AH15" s="32">
        <f>SUM(AH6:AH14)</f>
        <v>0</v>
      </c>
      <c r="AI15" s="30">
        <f>SUM(AI6:AI14)</f>
        <v>0</v>
      </c>
      <c r="AJ15" s="30">
        <f>SUM(AJ6:AJ14)</f>
        <v>0</v>
      </c>
      <c r="AK15" s="31">
        <f>SUM(AK6:AK14)</f>
        <v>0</v>
      </c>
    </row>
  </sheetData>
  <mergeCells count="7">
    <mergeCell ref="AB15:AG15"/>
    <mergeCell ref="Q2:S2"/>
    <mergeCell ref="G2:H2"/>
    <mergeCell ref="N2:O2"/>
    <mergeCell ref="C4:AG4"/>
    <mergeCell ref="D2:E2"/>
    <mergeCell ref="K2:L2"/>
  </mergeCells>
  <conditionalFormatting sqref="AE6">
    <cfRule type="expression" dxfId="115" priority="22">
      <formula>MONTH(DATE(AnnéeCalendrier,2,29))&lt;&gt;2</formula>
    </cfRule>
  </conditionalFormatting>
  <conditionalFormatting sqref="AE5">
    <cfRule type="expression" dxfId="114" priority="21">
      <formula>MONTH(DATE(AnnéeCalendrier,2,29))&lt;&gt;2</formula>
    </cfRule>
  </conditionalFormatting>
  <conditionalFormatting sqref="C7:AG13">
    <cfRule type="expression" priority="8" stopIfTrue="1">
      <formula>C7=""</formula>
    </cfRule>
    <cfRule type="expression" dxfId="113" priority="9" stopIfTrue="1">
      <formula>C7=CléPanier_Repas</formula>
    </cfRule>
  </conditionalFormatting>
  <conditionalFormatting sqref="C7:AG13">
    <cfRule type="expression" dxfId="112" priority="11" stopIfTrue="1">
      <formula>C7=CléPersonnalisée1</formula>
    </cfRule>
    <cfRule type="expression" dxfId="111" priority="12" stopIfTrue="1">
      <formula>C7=CléMaladie</formula>
    </cfRule>
    <cfRule type="expression" dxfId="110" priority="13" stopIfTrue="1">
      <formula>C7=CléCongés</formula>
    </cfRule>
    <cfRule type="expression" dxfId="109" priority="14" stopIfTrue="1">
      <formula>C7=CléTravail</formula>
    </cfRule>
  </conditionalFormatting>
  <conditionalFormatting sqref="AI7:AI13">
    <cfRule type="dataBar" priority="3">
      <dataBar>
        <cfvo type="num" val="0"/>
        <cfvo type="num" val="31"/>
        <color theme="2" tint="-0.249977111117893"/>
      </dataBar>
      <extLst>
        <ext xmlns:x14="http://schemas.microsoft.com/office/spreadsheetml/2009/9/main" uri="{B025F937-C7B1-47D3-B67F-A62EFF666E3E}">
          <x14:id>{EA259838-FC4A-4A3A-8DDC-B7CEAE416DE3}</x14:id>
        </ext>
      </extLst>
    </cfRule>
  </conditionalFormatting>
  <conditionalFormatting sqref="AJ7:AK13">
    <cfRule type="dataBar" priority="2">
      <dataBar>
        <cfvo type="num" val="0"/>
        <cfvo type="num" val="31"/>
        <color theme="2" tint="-0.249977111117893"/>
      </dataBar>
      <extLst>
        <ext xmlns:x14="http://schemas.microsoft.com/office/spreadsheetml/2009/9/main" uri="{B025F937-C7B1-47D3-B67F-A62EFF666E3E}">
          <x14:id>{99154732-BD07-49EA-8BA5-357E6A03ED41}</x14:id>
        </ext>
      </extLst>
    </cfRule>
  </conditionalFormatting>
  <conditionalFormatting sqref="AH7:AK13">
    <cfRule type="dataBar" priority="1">
      <dataBar>
        <cfvo type="num" val="0"/>
        <cfvo type="num" val="31"/>
        <color theme="2" tint="-0.249977111117893"/>
      </dataBar>
      <extLst>
        <ext xmlns:x14="http://schemas.microsoft.com/office/spreadsheetml/2009/9/main" uri="{B025F937-C7B1-47D3-B67F-A62EFF666E3E}">
          <x14:id>{8BA3E15C-EA2E-4557-89E2-8B6042F17DC1}</x14:id>
        </ext>
      </extLst>
    </cfRule>
  </conditionalFormatting>
  <dataValidations xWindow="232" yWindow="365" count="13">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février dans cette feuille de calcul" sqref="A1"/>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Q2"/>
    <dataValidation allowBlank="1" showInputMessage="1" showErrorMessage="1" prompt="Entrez une lettre et personnalisez l’étiquette à droite pour ajouter un élément de clé" sqref="M2 P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A259838-FC4A-4A3A-8DDC-B7CEAE416DE3}">
            <x14:dataBar minLength="0" maxLength="100">
              <x14:cfvo type="num">
                <xm:f>0</xm:f>
              </x14:cfvo>
              <x14:cfvo type="num">
                <xm:f>31</xm:f>
              </x14:cfvo>
              <x14:negativeFillColor rgb="FFFF0000"/>
              <x14:axisColor rgb="FF000000"/>
            </x14:dataBar>
          </x14:cfRule>
          <xm:sqref>AI7:AI13</xm:sqref>
        </x14:conditionalFormatting>
        <x14:conditionalFormatting xmlns:xm="http://schemas.microsoft.com/office/excel/2006/main">
          <x14:cfRule type="dataBar" id="{99154732-BD07-49EA-8BA5-357E6A03ED41}">
            <x14:dataBar minLength="0" maxLength="100">
              <x14:cfvo type="num">
                <xm:f>0</xm:f>
              </x14:cfvo>
              <x14:cfvo type="num">
                <xm:f>31</xm:f>
              </x14:cfvo>
              <x14:negativeFillColor rgb="FFFF0000"/>
              <x14:axisColor rgb="FF000000"/>
            </x14:dataBar>
          </x14:cfRule>
          <xm:sqref>AJ7:AK13</xm:sqref>
        </x14:conditionalFormatting>
        <x14:conditionalFormatting xmlns:xm="http://schemas.microsoft.com/office/excel/2006/main">
          <x14:cfRule type="dataBar" id="{8BA3E15C-EA2E-4557-89E2-8B6042F17DC1}">
            <x14:dataBar minLength="0" maxLength="100">
              <x14:cfvo type="num">
                <xm:f>0</xm:f>
              </x14:cfvo>
              <x14:cfvo type="num">
                <xm:f>31</xm:f>
              </x14:cfvo>
              <x14:negativeFillColor rgb="FFFF0000"/>
              <x14:axisColor rgb="FF000000"/>
            </x14:dataBar>
          </x14:cfRule>
          <xm:sqref>AH7:AK13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sheetPr>
  <dimension ref="A1:AK14"/>
  <sheetViews>
    <sheetView showGridLines="0" topLeftCell="C1" workbookViewId="0">
      <selection activeCell="T8" sqref="T8"/>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9.5703125" style="9" customWidth="1"/>
    <col min="35" max="37" width="9.5703125" customWidth="1"/>
  </cols>
  <sheetData>
    <row r="1" spans="2:37" ht="50.1" customHeight="1" x14ac:dyDescent="0.25">
      <c r="B1" s="10" t="str">
        <f>Titre_Absence_Employé</f>
        <v>Calendrier  des employés</v>
      </c>
    </row>
    <row r="2" spans="2:37" ht="15" customHeight="1" x14ac:dyDescent="0.25">
      <c r="B2" s="13" t="s">
        <v>1</v>
      </c>
      <c r="C2" s="3" t="s">
        <v>2</v>
      </c>
      <c r="D2" s="44" t="s">
        <v>3</v>
      </c>
      <c r="E2" s="45"/>
      <c r="F2" s="4" t="s">
        <v>4</v>
      </c>
      <c r="G2" s="47" t="s">
        <v>5</v>
      </c>
      <c r="H2" s="47"/>
      <c r="I2" s="19"/>
      <c r="J2" s="5" t="s">
        <v>6</v>
      </c>
      <c r="K2" s="45" t="s">
        <v>7</v>
      </c>
      <c r="L2" s="45"/>
      <c r="M2" s="6" t="s">
        <v>8</v>
      </c>
      <c r="N2" s="46" t="s">
        <v>9</v>
      </c>
      <c r="O2" s="46"/>
      <c r="P2" s="7" t="s">
        <v>67</v>
      </c>
      <c r="Q2" s="46" t="s">
        <v>68</v>
      </c>
      <c r="R2" s="46"/>
      <c r="S2" s="46"/>
      <c r="T2" s="19"/>
      <c r="AI2" s="9"/>
    </row>
    <row r="3" spans="2:37" ht="15" customHeight="1" x14ac:dyDescent="0.25">
      <c r="B3" s="10"/>
    </row>
    <row r="4" spans="2:37" ht="30" customHeight="1" x14ac:dyDescent="0.25">
      <c r="B4" s="33" t="s">
        <v>57</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3">
        <f>AnnéeCalendrier</f>
        <v>2019</v>
      </c>
      <c r="AI4" s="33"/>
      <c r="AJ4" s="33"/>
      <c r="AK4" s="33"/>
    </row>
    <row r="5" spans="2:37" ht="15" customHeight="1" x14ac:dyDescent="0.25">
      <c r="B5" s="33"/>
      <c r="C5" s="1" t="str">
        <f>TEXT(WEEKDAY(DATE(AnnéeCalendrier,3,1),1),"jjj")</f>
        <v>ven</v>
      </c>
      <c r="D5" s="1" t="str">
        <f>TEXT(WEEKDAY(DATE(AnnéeCalendrier,3,2),1),"jjj")</f>
        <v>sam</v>
      </c>
      <c r="E5" s="1" t="str">
        <f>TEXT(WEEKDAY(DATE(AnnéeCalendrier,3,3),1),"jjj")</f>
        <v>dim</v>
      </c>
      <c r="F5" s="1" t="str">
        <f>TEXT(WEEKDAY(DATE(AnnéeCalendrier,3,4),1),"jjj")</f>
        <v>lun</v>
      </c>
      <c r="G5" s="1" t="str">
        <f>TEXT(WEEKDAY(DATE(AnnéeCalendrier,3,5),1),"jjj")</f>
        <v>mar</v>
      </c>
      <c r="H5" s="1" t="str">
        <f>TEXT(WEEKDAY(DATE(AnnéeCalendrier,3,6),1),"jjj")</f>
        <v>mer</v>
      </c>
      <c r="I5" s="1" t="str">
        <f>TEXT(WEEKDAY(DATE(AnnéeCalendrier,3,7),1),"jjj")</f>
        <v>jeu</v>
      </c>
      <c r="J5" s="1" t="str">
        <f>TEXT(WEEKDAY(DATE(AnnéeCalendrier,3,8),1),"jjj")</f>
        <v>ven</v>
      </c>
      <c r="K5" s="1" t="str">
        <f>TEXT(WEEKDAY(DATE(AnnéeCalendrier,3,9),1),"jjj")</f>
        <v>sam</v>
      </c>
      <c r="L5" s="1" t="str">
        <f>TEXT(WEEKDAY(DATE(AnnéeCalendrier,3,10),1),"jjj")</f>
        <v>dim</v>
      </c>
      <c r="M5" s="1" t="str">
        <f>TEXT(WEEKDAY(DATE(AnnéeCalendrier,3,11),1),"jjj")</f>
        <v>lun</v>
      </c>
      <c r="N5" s="1" t="str">
        <f>TEXT(WEEKDAY(DATE(AnnéeCalendrier,3,12),1),"jjj")</f>
        <v>mar</v>
      </c>
      <c r="O5" s="1" t="str">
        <f>TEXT(WEEKDAY(DATE(AnnéeCalendrier,3,13),1),"jjj")</f>
        <v>mer</v>
      </c>
      <c r="P5" s="1" t="str">
        <f>TEXT(WEEKDAY(DATE(AnnéeCalendrier,3,14),1),"jjj")</f>
        <v>jeu</v>
      </c>
      <c r="Q5" s="1" t="str">
        <f>TEXT(WEEKDAY(DATE(AnnéeCalendrier,3,15),1),"jjj")</f>
        <v>ven</v>
      </c>
      <c r="R5" s="1" t="str">
        <f>TEXT(WEEKDAY(DATE(AnnéeCalendrier,3,16),1),"jjj")</f>
        <v>sam</v>
      </c>
      <c r="S5" s="1" t="str">
        <f>TEXT(WEEKDAY(DATE(AnnéeCalendrier,3,17),1),"jjj")</f>
        <v>dim</v>
      </c>
      <c r="T5" s="1" t="str">
        <f>TEXT(WEEKDAY(DATE(AnnéeCalendrier,3,18),1),"jjj")</f>
        <v>lun</v>
      </c>
      <c r="U5" s="1" t="str">
        <f>TEXT(WEEKDAY(DATE(AnnéeCalendrier,3,19),1),"jjj")</f>
        <v>mar</v>
      </c>
      <c r="V5" s="1" t="str">
        <f>TEXT(WEEKDAY(DATE(AnnéeCalendrier,3,20),1),"jjj")</f>
        <v>mer</v>
      </c>
      <c r="W5" s="1" t="str">
        <f>TEXT(WEEKDAY(DATE(AnnéeCalendrier,3,21),1),"jjj")</f>
        <v>jeu</v>
      </c>
      <c r="X5" s="1" t="str">
        <f>TEXT(WEEKDAY(DATE(AnnéeCalendrier,3,22),1),"jjj")</f>
        <v>ven</v>
      </c>
      <c r="Y5" s="1" t="str">
        <f>TEXT(WEEKDAY(DATE(AnnéeCalendrier,3,23),1),"jjj")</f>
        <v>sam</v>
      </c>
      <c r="Z5" s="1" t="str">
        <f>TEXT(WEEKDAY(DATE(AnnéeCalendrier,3,24),1),"jjj")</f>
        <v>dim</v>
      </c>
      <c r="AA5" s="1" t="str">
        <f>TEXT(WEEKDAY(DATE(AnnéeCalendrier,3,25),1),"jjj")</f>
        <v>lun</v>
      </c>
      <c r="AB5" s="1" t="str">
        <f>TEXT(WEEKDAY(DATE(AnnéeCalendrier,3,26),1),"jjj")</f>
        <v>mar</v>
      </c>
      <c r="AC5" s="1" t="str">
        <f>TEXT(WEEKDAY(DATE(AnnéeCalendrier,3,27),1),"jjj")</f>
        <v>mer</v>
      </c>
      <c r="AD5" s="1" t="str">
        <f>TEXT(WEEKDAY(DATE(AnnéeCalendrier,3,28),1),"jjj")</f>
        <v>jeu</v>
      </c>
      <c r="AE5" s="1" t="str">
        <f>TEXT(WEEKDAY(DATE(AnnéeCalendrier,3,29),1),"jjj")</f>
        <v>ven</v>
      </c>
      <c r="AF5" s="1" t="str">
        <f>TEXT(WEEKDAY(DATE(AnnéeCalendrier,3,30),1),"jjj")</f>
        <v>sam</v>
      </c>
      <c r="AG5" s="1" t="str">
        <f>TEXT(WEEKDAY(DATE(AnnéeCalendrier,3,31),1),"jjj")</f>
        <v>dim</v>
      </c>
      <c r="AH5" s="33"/>
      <c r="AI5" s="33"/>
      <c r="AJ5" s="33"/>
      <c r="AK5" s="33"/>
    </row>
    <row r="6" spans="2:37" ht="15" customHeight="1" x14ac:dyDescent="0.25">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44</v>
      </c>
      <c r="AH6" s="3" t="s">
        <v>3</v>
      </c>
      <c r="AI6" s="6" t="s">
        <v>9</v>
      </c>
      <c r="AJ6" s="5" t="s">
        <v>7</v>
      </c>
      <c r="AK6" s="4" t="s">
        <v>69</v>
      </c>
    </row>
    <row r="7" spans="2:37" ht="30" customHeight="1" x14ac:dyDescent="0.25">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3">
        <f>SUMPRODUCT(--(Mars[[#This Row],[1]:[31]]=LEFT(Mars[[#Headers],[Travaillé]],1)))</f>
        <v>0</v>
      </c>
      <c r="AI7" s="23">
        <f>SUMPRODUCT(--(Mars[[#This Row],[1]:[31]]=LEFT(Mars[[#Headers],[Congés]],1)))</f>
        <v>0</v>
      </c>
      <c r="AJ7" s="23">
        <f>SUMPRODUCT(--(Mars[[#This Row],[1]:[31]]=LEFT(Mars[[#Headers],[Maladie]],1)))</f>
        <v>0</v>
      </c>
      <c r="AK7" s="23">
        <f>SUMPRODUCT(--(Mars[[#This Row],[1]:[31]]=LEFT(Mars[[#Headers],[Repas]],1)))</f>
        <v>0</v>
      </c>
    </row>
    <row r="8" spans="2:37" ht="30" customHeight="1" x14ac:dyDescent="0.25">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3">
        <f>SUMPRODUCT(--(Mars[[#This Row],[1]:[31]]=LEFT(Mars[[#Headers],[Travaillé]],1)))</f>
        <v>0</v>
      </c>
      <c r="AI8" s="23">
        <f>SUMPRODUCT(--(Mars[[#This Row],[1]:[31]]=LEFT(Mars[[#Headers],[Congés]],1)))</f>
        <v>0</v>
      </c>
      <c r="AJ8" s="23">
        <f>SUMPRODUCT(--(Mars[[#This Row],[1]:[31]]=LEFT(Mars[[#Headers],[Maladie]],1)))</f>
        <v>0</v>
      </c>
      <c r="AK8" s="23">
        <f>SUMPRODUCT(--(Mars[[#This Row],[1]:[31]]=LEFT(Mars[[#Headers],[Repas]],1)))</f>
        <v>0</v>
      </c>
    </row>
    <row r="9" spans="2:37" ht="30" customHeight="1" x14ac:dyDescent="0.25">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3">
        <f>SUMPRODUCT(--(Mars[[#This Row],[1]:[31]]=LEFT(Mars[[#Headers],[Travaillé]],1)))</f>
        <v>0</v>
      </c>
      <c r="AI9" s="23">
        <f>SUMPRODUCT(--(Mars[[#This Row],[1]:[31]]=LEFT(Mars[[#Headers],[Congés]],1)))</f>
        <v>0</v>
      </c>
      <c r="AJ9" s="23">
        <f>SUMPRODUCT(--(Mars[[#This Row],[1]:[31]]=LEFT(Mars[[#Headers],[Maladie]],1)))</f>
        <v>0</v>
      </c>
      <c r="AK9" s="23">
        <f>SUMPRODUCT(--(Mars[[#This Row],[1]:[31]]=LEFT(Mars[[#Headers],[Repas]],1)))</f>
        <v>0</v>
      </c>
    </row>
    <row r="10" spans="2:37" ht="30" customHeight="1" x14ac:dyDescent="0.25">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3">
        <f>SUMPRODUCT(--(Mars[[#This Row],[1]:[31]]=LEFT(Mars[[#Headers],[Travaillé]],1)))</f>
        <v>0</v>
      </c>
      <c r="AI10" s="23">
        <f>SUMPRODUCT(--(Mars[[#This Row],[1]:[31]]=LEFT(Mars[[#Headers],[Congés]],1)))</f>
        <v>0</v>
      </c>
      <c r="AJ10" s="23">
        <f>SUMPRODUCT(--(Mars[[#This Row],[1]:[31]]=LEFT(Mars[[#Headers],[Maladie]],1)))</f>
        <v>0</v>
      </c>
      <c r="AK10" s="23">
        <f>SUMPRODUCT(--(Mars[[#This Row],[1]:[31]]=LEFT(Mars[[#Headers],[Repas]],1)))</f>
        <v>0</v>
      </c>
    </row>
    <row r="11" spans="2:37" ht="30" customHeight="1" x14ac:dyDescent="0.25">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3">
        <f>SUMPRODUCT(--(Mars[[#This Row],[1]:[31]]=LEFT(Mars[[#Headers],[Travaillé]],1)))</f>
        <v>0</v>
      </c>
      <c r="AI11" s="23">
        <f>SUMPRODUCT(--(Mars[[#This Row],[1]:[31]]=LEFT(Mars[[#Headers],[Congés]],1)))</f>
        <v>0</v>
      </c>
      <c r="AJ11" s="23">
        <f>SUMPRODUCT(--(Mars[[#This Row],[1]:[31]]=LEFT(Mars[[#Headers],[Maladie]],1)))</f>
        <v>0</v>
      </c>
      <c r="AK11" s="23">
        <f>SUMPRODUCT(--(Mars[[#This Row],[1]:[31]]=LEFT(Mars[[#Headers],[Repas]],1)))</f>
        <v>0</v>
      </c>
    </row>
    <row r="12" spans="2:37" ht="30" customHeight="1" x14ac:dyDescent="0.25">
      <c r="B12" s="15" t="str">
        <f>Janvier!B12</f>
        <v>Employé 5</v>
      </c>
      <c r="AH12" s="23">
        <f>SUMPRODUCT(--(Mars[[#This Row],[1]:[31]]=LEFT(Mars[[#Headers],[Travaillé]],1)))</f>
        <v>0</v>
      </c>
      <c r="AI12" s="23">
        <f>SUMPRODUCT(--(Mars[[#This Row],[1]:[31]]=LEFT(Mars[[#Headers],[Congés]],1)))</f>
        <v>0</v>
      </c>
      <c r="AJ12" s="23">
        <f>SUMPRODUCT(--(Mars[[#This Row],[1]:[31]]=LEFT(Mars[[#Headers],[Maladie]],1)))</f>
        <v>0</v>
      </c>
      <c r="AK12" s="23">
        <f>SUMPRODUCT(--(Mars[[#This Row],[1]:[31]]=LEFT(Mars[[#Headers],[Repas]],1)))</f>
        <v>0</v>
      </c>
    </row>
    <row r="13" spans="2:37" ht="30" customHeight="1" thickBot="1" x14ac:dyDescent="0.3"/>
    <row r="14" spans="2:37" ht="30" customHeight="1" thickBot="1" x14ac:dyDescent="0.3">
      <c r="AB14" s="48" t="s">
        <v>53</v>
      </c>
      <c r="AC14" s="49"/>
      <c r="AD14" s="49"/>
      <c r="AE14" s="49"/>
      <c r="AF14" s="49"/>
      <c r="AG14" s="50"/>
      <c r="AH14" s="32">
        <f>SUM(AH6:AH13)</f>
        <v>0</v>
      </c>
      <c r="AI14" s="30">
        <f>SUM(AI6:AI13)</f>
        <v>0</v>
      </c>
      <c r="AJ14" s="30">
        <f>SUM(AJ6:AJ13)</f>
        <v>0</v>
      </c>
      <c r="AK14" s="31">
        <f>SUM(AK6:AK13)</f>
        <v>0</v>
      </c>
    </row>
  </sheetData>
  <mergeCells count="7">
    <mergeCell ref="AB14:AG14"/>
    <mergeCell ref="Q2:S2"/>
    <mergeCell ref="C4:AG4"/>
    <mergeCell ref="D2:E2"/>
    <mergeCell ref="K2:L2"/>
    <mergeCell ref="G2:H2"/>
    <mergeCell ref="N2:O2"/>
  </mergeCells>
  <conditionalFormatting sqref="C7:AG12">
    <cfRule type="expression" priority="7" stopIfTrue="1">
      <formula>C7=""</formula>
    </cfRule>
  </conditionalFormatting>
  <conditionalFormatting sqref="C7:AG12">
    <cfRule type="expression" dxfId="108" priority="8" stopIfTrue="1">
      <formula>C7=CléPanier_Repas</formula>
    </cfRule>
    <cfRule type="expression" dxfId="107" priority="9" stopIfTrue="1">
      <formula>C7=CléPersonnalisée1</formula>
    </cfRule>
    <cfRule type="expression" dxfId="106" priority="10" stopIfTrue="1">
      <formula>C7=CléMaladie</formula>
    </cfRule>
    <cfRule type="expression" dxfId="105" priority="11" stopIfTrue="1">
      <formula>C7=CléCongés</formula>
    </cfRule>
    <cfRule type="expression" dxfId="104" priority="12" stopIfTrue="1">
      <formula>C7=CléTravail</formula>
    </cfRule>
  </conditionalFormatting>
  <conditionalFormatting sqref="AI7:AI12">
    <cfRule type="dataBar" priority="3">
      <dataBar>
        <cfvo type="num" val="0"/>
        <cfvo type="num" val="31"/>
        <color theme="2" tint="-0.249977111117893"/>
      </dataBar>
      <extLst>
        <ext xmlns:x14="http://schemas.microsoft.com/office/spreadsheetml/2009/9/main" uri="{B025F937-C7B1-47D3-B67F-A62EFF666E3E}">
          <x14:id>{962F3660-4FAC-473E-B388-4F26D655149A}</x14:id>
        </ext>
      </extLst>
    </cfRule>
  </conditionalFormatting>
  <conditionalFormatting sqref="AJ7:AK12">
    <cfRule type="dataBar" priority="2">
      <dataBar>
        <cfvo type="num" val="0"/>
        <cfvo type="num" val="31"/>
        <color theme="2" tint="-0.249977111117893"/>
      </dataBar>
      <extLst>
        <ext xmlns:x14="http://schemas.microsoft.com/office/spreadsheetml/2009/9/main" uri="{B025F937-C7B1-47D3-B67F-A62EFF666E3E}">
          <x14:id>{C1687EF2-E60E-4572-BE8C-03B2DD3F62A6}</x14:id>
        </ext>
      </extLst>
    </cfRule>
  </conditionalFormatting>
  <conditionalFormatting sqref="AH7:AK12">
    <cfRule type="dataBar" priority="1">
      <dataBar>
        <cfvo type="num" val="0"/>
        <cfvo type="num" val="31"/>
        <color theme="2" tint="-0.249977111117893"/>
      </dataBar>
      <extLst>
        <ext xmlns:x14="http://schemas.microsoft.com/office/spreadsheetml/2009/9/main" uri="{B025F937-C7B1-47D3-B67F-A62EFF666E3E}">
          <x14:id>{4E95DA01-4025-407D-8B8B-B5F1E627CBFF}</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Q2"/>
    <dataValidation allowBlank="1" showInputMessage="1" showErrorMessage="1" prompt="Entrez une lettre et personnalisez l’étiquette à droite pour ajouter un élément de clé" sqref="M2 P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rs dans cette feuille de calcul" sqref="A1"/>
    <dataValidation allowBlank="1" showInputMessage="1" showErrorMessage="1" prompt="Année mise à jour automatiquement en fonction de l’année entrée dans la feuille de calcul Janvier" sqref="AH4"/>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62F3660-4FAC-473E-B388-4F26D655149A}">
            <x14:dataBar minLength="0" maxLength="100">
              <x14:cfvo type="num">
                <xm:f>0</xm:f>
              </x14:cfvo>
              <x14:cfvo type="num">
                <xm:f>31</xm:f>
              </x14:cfvo>
              <x14:negativeFillColor rgb="FFFF0000"/>
              <x14:axisColor rgb="FF000000"/>
            </x14:dataBar>
          </x14:cfRule>
          <xm:sqref>AI7:AI12</xm:sqref>
        </x14:conditionalFormatting>
        <x14:conditionalFormatting xmlns:xm="http://schemas.microsoft.com/office/excel/2006/main">
          <x14:cfRule type="dataBar" id="{C1687EF2-E60E-4572-BE8C-03B2DD3F62A6}">
            <x14:dataBar minLength="0" maxLength="100">
              <x14:cfvo type="num">
                <xm:f>0</xm:f>
              </x14:cfvo>
              <x14:cfvo type="num">
                <xm:f>31</xm:f>
              </x14:cfvo>
              <x14:negativeFillColor rgb="FFFF0000"/>
              <x14:axisColor rgb="FF000000"/>
            </x14:dataBar>
          </x14:cfRule>
          <xm:sqref>AJ7:AK12</xm:sqref>
        </x14:conditionalFormatting>
        <x14:conditionalFormatting xmlns:xm="http://schemas.microsoft.com/office/excel/2006/main">
          <x14:cfRule type="dataBar" id="{4E95DA01-4025-407D-8B8B-B5F1E627CBFF}">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K14"/>
  <sheetViews>
    <sheetView showGridLines="0" topLeftCell="D2" workbookViewId="0">
      <selection activeCell="AK7" sqref="AK7"/>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9.5703125" style="9" customWidth="1"/>
    <col min="35" max="37" width="9.5703125" customWidth="1"/>
  </cols>
  <sheetData>
    <row r="1" spans="2:37" ht="50.1" customHeight="1" x14ac:dyDescent="0.25">
      <c r="B1" s="10" t="str">
        <f>Titre_Absence_Employé</f>
        <v>Calendrier  des employés</v>
      </c>
    </row>
    <row r="2" spans="2:37" ht="15" customHeight="1" x14ac:dyDescent="0.25">
      <c r="B2" s="13" t="s">
        <v>1</v>
      </c>
      <c r="C2" s="3" t="s">
        <v>2</v>
      </c>
      <c r="D2" s="44" t="s">
        <v>3</v>
      </c>
      <c r="E2" s="45"/>
      <c r="F2" s="4" t="s">
        <v>4</v>
      </c>
      <c r="G2" s="47" t="s">
        <v>5</v>
      </c>
      <c r="H2" s="47"/>
      <c r="I2" s="19"/>
      <c r="J2" s="5" t="s">
        <v>6</v>
      </c>
      <c r="K2" s="45" t="s">
        <v>7</v>
      </c>
      <c r="L2" s="45"/>
      <c r="M2" s="6" t="s">
        <v>8</v>
      </c>
      <c r="N2" s="46" t="s">
        <v>9</v>
      </c>
      <c r="O2" s="46"/>
      <c r="P2" s="7" t="s">
        <v>67</v>
      </c>
      <c r="Q2" s="46" t="s">
        <v>68</v>
      </c>
      <c r="R2" s="46"/>
      <c r="S2" s="46"/>
      <c r="T2" s="19"/>
      <c r="AI2" s="9"/>
    </row>
    <row r="3" spans="2:37" ht="15" customHeight="1" x14ac:dyDescent="0.25">
      <c r="B3" s="10"/>
    </row>
    <row r="4" spans="2:37" ht="30" customHeight="1" x14ac:dyDescent="0.25">
      <c r="B4" s="33" t="s">
        <v>58</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3">
        <f>AnnéeCalendrier</f>
        <v>2019</v>
      </c>
      <c r="AI4" s="33"/>
      <c r="AJ4" s="33"/>
      <c r="AK4" s="33"/>
    </row>
    <row r="5" spans="2:37" ht="15" customHeight="1" x14ac:dyDescent="0.25">
      <c r="B5" s="33"/>
      <c r="C5" s="1" t="str">
        <f>TEXT(WEEKDAY(DATE(AnnéeCalendrier,4,1),1),"jjj")</f>
        <v>lun</v>
      </c>
      <c r="D5" s="1" t="str">
        <f>TEXT(WEEKDAY(DATE(AnnéeCalendrier,4,2),1),"jjj")</f>
        <v>mar</v>
      </c>
      <c r="E5" s="1" t="str">
        <f>TEXT(WEEKDAY(DATE(AnnéeCalendrier,4,3),1),"jjj")</f>
        <v>mer</v>
      </c>
      <c r="F5" s="1" t="str">
        <f>TEXT(WEEKDAY(DATE(AnnéeCalendrier,4,4),1),"jjj")</f>
        <v>jeu</v>
      </c>
      <c r="G5" s="1" t="str">
        <f>TEXT(WEEKDAY(DATE(AnnéeCalendrier,4,5),1),"jjj")</f>
        <v>ven</v>
      </c>
      <c r="H5" s="1" t="str">
        <f>TEXT(WEEKDAY(DATE(AnnéeCalendrier,4,6),1),"jjj")</f>
        <v>sam</v>
      </c>
      <c r="I5" s="1" t="str">
        <f>TEXT(WEEKDAY(DATE(AnnéeCalendrier,4,7),1),"jjj")</f>
        <v>dim</v>
      </c>
      <c r="J5" s="1" t="str">
        <f>TEXT(WEEKDAY(DATE(AnnéeCalendrier,4,8),1),"jjj")</f>
        <v>lun</v>
      </c>
      <c r="K5" s="1" t="str">
        <f>TEXT(WEEKDAY(DATE(AnnéeCalendrier,4,9),1),"jjj")</f>
        <v>mar</v>
      </c>
      <c r="L5" s="1" t="str">
        <f>TEXT(WEEKDAY(DATE(AnnéeCalendrier,4,10),1),"jjj")</f>
        <v>mer</v>
      </c>
      <c r="M5" s="1" t="str">
        <f>TEXT(WEEKDAY(DATE(AnnéeCalendrier,4,11),1),"jjj")</f>
        <v>jeu</v>
      </c>
      <c r="N5" s="1" t="str">
        <f>TEXT(WEEKDAY(DATE(AnnéeCalendrier,4,12),1),"jjj")</f>
        <v>ven</v>
      </c>
      <c r="O5" s="1" t="str">
        <f>TEXT(WEEKDAY(DATE(AnnéeCalendrier,4,13),1),"jjj")</f>
        <v>sam</v>
      </c>
      <c r="P5" s="1" t="str">
        <f>TEXT(WEEKDAY(DATE(AnnéeCalendrier,4,14),1),"jjj")</f>
        <v>dim</v>
      </c>
      <c r="Q5" s="1" t="str">
        <f>TEXT(WEEKDAY(DATE(AnnéeCalendrier,4,15),1),"jjj")</f>
        <v>lun</v>
      </c>
      <c r="R5" s="1" t="str">
        <f>TEXT(WEEKDAY(DATE(AnnéeCalendrier,4,16),1),"jjj")</f>
        <v>mar</v>
      </c>
      <c r="S5" s="1" t="str">
        <f>TEXT(WEEKDAY(DATE(AnnéeCalendrier,4,17),1),"jjj")</f>
        <v>mer</v>
      </c>
      <c r="T5" s="1" t="str">
        <f>TEXT(WEEKDAY(DATE(AnnéeCalendrier,4,18),1),"jjj")</f>
        <v>jeu</v>
      </c>
      <c r="U5" s="1" t="str">
        <f>TEXT(WEEKDAY(DATE(AnnéeCalendrier,4,19),1),"jjj")</f>
        <v>ven</v>
      </c>
      <c r="V5" s="1" t="str">
        <f>TEXT(WEEKDAY(DATE(AnnéeCalendrier,4,20),1),"jjj")</f>
        <v>sam</v>
      </c>
      <c r="W5" s="1" t="str">
        <f>TEXT(WEEKDAY(DATE(AnnéeCalendrier,4,21),1),"jjj")</f>
        <v>dim</v>
      </c>
      <c r="X5" s="1" t="str">
        <f>TEXT(WEEKDAY(DATE(AnnéeCalendrier,4,22),1),"jjj")</f>
        <v>lun</v>
      </c>
      <c r="Y5" s="1" t="str">
        <f>TEXT(WEEKDAY(DATE(AnnéeCalendrier,4,23),1),"jjj")</f>
        <v>mar</v>
      </c>
      <c r="Z5" s="1" t="str">
        <f>TEXT(WEEKDAY(DATE(AnnéeCalendrier,4,24),1),"jjj")</f>
        <v>mer</v>
      </c>
      <c r="AA5" s="1" t="str">
        <f>TEXT(WEEKDAY(DATE(AnnéeCalendrier,4,25),1),"jjj")</f>
        <v>jeu</v>
      </c>
      <c r="AB5" s="1" t="str">
        <f>TEXT(WEEKDAY(DATE(AnnéeCalendrier,4,26),1),"jjj")</f>
        <v>ven</v>
      </c>
      <c r="AC5" s="1" t="str">
        <f>TEXT(WEEKDAY(DATE(AnnéeCalendrier,4,27),1),"jjj")</f>
        <v>sam</v>
      </c>
      <c r="AD5" s="1" t="str">
        <f>TEXT(WEEKDAY(DATE(AnnéeCalendrier,4,28),1),"jjj")</f>
        <v>dim</v>
      </c>
      <c r="AE5" s="1" t="str">
        <f>TEXT(WEEKDAY(DATE(AnnéeCalendrier,4,29),1),"jjj")</f>
        <v>lun</v>
      </c>
      <c r="AF5" s="1" t="str">
        <f>TEXT(WEEKDAY(DATE(AnnéeCalendrier,4,30),1),"jjj")</f>
        <v>mar</v>
      </c>
      <c r="AG5" s="1"/>
      <c r="AH5" s="33"/>
      <c r="AI5" s="33"/>
      <c r="AJ5" s="33"/>
      <c r="AK5" s="33"/>
    </row>
    <row r="6" spans="2:37" ht="15" customHeight="1" x14ac:dyDescent="0.25">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14" t="s">
        <v>52</v>
      </c>
      <c r="AH6" s="3" t="s">
        <v>3</v>
      </c>
      <c r="AI6" s="6" t="s">
        <v>9</v>
      </c>
      <c r="AJ6" s="5" t="s">
        <v>7</v>
      </c>
      <c r="AK6" s="4" t="s">
        <v>69</v>
      </c>
    </row>
    <row r="7" spans="2:37" ht="30" customHeight="1" x14ac:dyDescent="0.25">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3">
        <f>SUMPRODUCT(--(Avril[[#This Row],[1]:[30]]=LEFT(Avril[[#Headers],[Travaillé]],1)))</f>
        <v>0</v>
      </c>
      <c r="AI7" s="23">
        <f>SUMPRODUCT(--(Avril[[#This Row],[1]:[30]]=LEFT(Avril[[#Headers],[Congés]],1)))</f>
        <v>0</v>
      </c>
      <c r="AJ7" s="23">
        <f>SUMPRODUCT(--(Avril[[#This Row],[1]:[30]]=LEFT(Avril[[#Headers],[Maladie]],1)))</f>
        <v>0</v>
      </c>
      <c r="AK7" s="23">
        <f>SUMPRODUCT(--(Avril[[#This Row],[1]:[30]]=LEFT(Avril[[#Headers],[Repas]],1)))</f>
        <v>0</v>
      </c>
    </row>
    <row r="8" spans="2:37" ht="30" customHeight="1" x14ac:dyDescent="0.25">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3">
        <f>SUMPRODUCT(--(Avril[[#This Row],[1]:[30]]=LEFT(Avril[[#Headers],[Travaillé]],1)))</f>
        <v>0</v>
      </c>
      <c r="AI8" s="23">
        <f>SUMPRODUCT(--(Avril[[#This Row],[1]:[30]]=LEFT(Avril[[#Headers],[Congés]],1)))</f>
        <v>0</v>
      </c>
      <c r="AJ8" s="23">
        <f>SUMPRODUCT(--(Avril[[#This Row],[1]:[30]]=LEFT(Avril[[#Headers],[Maladie]],1)))</f>
        <v>0</v>
      </c>
      <c r="AK8" s="23">
        <f>SUMPRODUCT(--(Avril[[#This Row],[1]:[30]]=LEFT(Avril[[#Headers],[Repas]],1)))</f>
        <v>0</v>
      </c>
    </row>
    <row r="9" spans="2:37" ht="30" customHeight="1" x14ac:dyDescent="0.25">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3">
        <f>SUMPRODUCT(--(Avril[[#This Row],[1]:[30]]=LEFT(Avril[[#Headers],[Travaillé]],1)))</f>
        <v>0</v>
      </c>
      <c r="AI9" s="23">
        <f>SUMPRODUCT(--(Avril[[#This Row],[1]:[30]]=LEFT(Avril[[#Headers],[Congés]],1)))</f>
        <v>0</v>
      </c>
      <c r="AJ9" s="23">
        <f>SUMPRODUCT(--(Avril[[#This Row],[1]:[30]]=LEFT(Avril[[#Headers],[Maladie]],1)))</f>
        <v>0</v>
      </c>
      <c r="AK9" s="23">
        <f>SUMPRODUCT(--(Avril[[#This Row],[1]:[30]]=LEFT(Avril[[#Headers],[Repas]],1)))</f>
        <v>0</v>
      </c>
    </row>
    <row r="10" spans="2:37" ht="30" customHeight="1" x14ac:dyDescent="0.25">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3">
        <f>SUMPRODUCT(--(Avril[[#This Row],[1]:[30]]=LEFT(Avril[[#Headers],[Travaillé]],1)))</f>
        <v>0</v>
      </c>
      <c r="AI10" s="23">
        <f>SUMPRODUCT(--(Avril[[#This Row],[1]:[30]]=LEFT(Avril[[#Headers],[Congés]],1)))</f>
        <v>0</v>
      </c>
      <c r="AJ10" s="23">
        <f>SUMPRODUCT(--(Avril[[#This Row],[1]:[30]]=LEFT(Avril[[#Headers],[Maladie]],1)))</f>
        <v>0</v>
      </c>
      <c r="AK10" s="23">
        <f>SUMPRODUCT(--(Avril[[#This Row],[1]:[30]]=LEFT(Avril[[#Headers],[Repas]],1)))</f>
        <v>0</v>
      </c>
    </row>
    <row r="11" spans="2:37" ht="30" customHeight="1" x14ac:dyDescent="0.25">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3">
        <f>SUMPRODUCT(--(Avril[[#This Row],[1]:[30]]=LEFT(Avril[[#Headers],[Travaillé]],1)))</f>
        <v>0</v>
      </c>
      <c r="AI11" s="23">
        <f>SUMPRODUCT(--(Avril[[#This Row],[1]:[30]]=LEFT(Avril[[#Headers],[Congés]],1)))</f>
        <v>0</v>
      </c>
      <c r="AJ11" s="23">
        <f>SUMPRODUCT(--(Avril[[#This Row],[1]:[30]]=LEFT(Avril[[#Headers],[Maladie]],1)))</f>
        <v>0</v>
      </c>
      <c r="AK11" s="23">
        <f>SUMPRODUCT(--(Avril[[#This Row],[1]:[30]]=LEFT(Avril[[#Headers],[Repas]],1)))</f>
        <v>0</v>
      </c>
    </row>
    <row r="12" spans="2:37" ht="30" customHeight="1" x14ac:dyDescent="0.25">
      <c r="B12" s="15" t="str">
        <f>Janvier!B12</f>
        <v>Employé 5</v>
      </c>
      <c r="AH12" s="23">
        <f>SUMPRODUCT(--(Avril[[#This Row],[1]:[30]]=LEFT(Avril[[#Headers],[Travaillé]],1)))</f>
        <v>0</v>
      </c>
      <c r="AI12" s="23">
        <f>SUMPRODUCT(--(Avril[[#This Row],[1]:[30]]=LEFT(Avril[[#Headers],[Congés]],1)))</f>
        <v>0</v>
      </c>
      <c r="AJ12" s="23">
        <f>SUMPRODUCT(--(Avril[[#This Row],[1]:[30]]=LEFT(Avril[[#Headers],[Maladie]],1)))</f>
        <v>0</v>
      </c>
      <c r="AK12" s="23">
        <f>SUMPRODUCT(--(Avril[[#This Row],[1]:[30]]=LEFT(Avril[[#Headers],[Repas]],1)))</f>
        <v>0</v>
      </c>
    </row>
    <row r="13" spans="2:37" ht="30" customHeight="1" thickBot="1" x14ac:dyDescent="0.3"/>
    <row r="14" spans="2:37" ht="30" customHeight="1" thickBot="1" x14ac:dyDescent="0.3">
      <c r="AB14" s="48" t="s">
        <v>53</v>
      </c>
      <c r="AC14" s="49"/>
      <c r="AD14" s="49"/>
      <c r="AE14" s="49"/>
      <c r="AF14" s="49"/>
      <c r="AG14" s="50"/>
      <c r="AH14" s="32">
        <f>SUM(AH6:AH13)</f>
        <v>0</v>
      </c>
      <c r="AI14" s="30">
        <f>SUM(AI6:AI13)</f>
        <v>0</v>
      </c>
      <c r="AJ14" s="30">
        <f>SUM(AJ6:AJ13)</f>
        <v>0</v>
      </c>
      <c r="AK14" s="31">
        <f>SUM(AK6:AK13)</f>
        <v>0</v>
      </c>
    </row>
  </sheetData>
  <mergeCells count="7">
    <mergeCell ref="AB14:AG14"/>
    <mergeCell ref="Q2:S2"/>
    <mergeCell ref="C4:AG4"/>
    <mergeCell ref="D2:E2"/>
    <mergeCell ref="K2:L2"/>
    <mergeCell ref="G2:H2"/>
    <mergeCell ref="N2:O2"/>
  </mergeCells>
  <conditionalFormatting sqref="C7:AG12">
    <cfRule type="expression" priority="5" stopIfTrue="1">
      <formula>C7=""</formula>
    </cfRule>
  </conditionalFormatting>
  <conditionalFormatting sqref="C7:AG12">
    <cfRule type="expression" dxfId="103" priority="6" stopIfTrue="1">
      <formula>C7=CléPanier_Repas</formula>
    </cfRule>
    <cfRule type="expression" dxfId="102" priority="7" stopIfTrue="1">
      <formula>C7=CléPersonnalisée1</formula>
    </cfRule>
    <cfRule type="expression" dxfId="101" priority="8" stopIfTrue="1">
      <formula>C7=CléMaladie</formula>
    </cfRule>
    <cfRule type="expression" dxfId="100" priority="9" stopIfTrue="1">
      <formula>C7=CléCongés</formula>
    </cfRule>
    <cfRule type="expression" dxfId="99" priority="10" stopIfTrue="1">
      <formula>C7=CléTravail</formula>
    </cfRule>
  </conditionalFormatting>
  <conditionalFormatting sqref="AH7:AK12">
    <cfRule type="dataBar" priority="1">
      <dataBar>
        <cfvo type="num" val="0"/>
        <cfvo type="num" val="31"/>
        <color theme="2" tint="-0.249977111117893"/>
      </dataBar>
      <extLst>
        <ext xmlns:x14="http://schemas.microsoft.com/office/spreadsheetml/2009/9/main" uri="{B025F937-C7B1-47D3-B67F-A62EFF666E3E}">
          <x14:id>{4A4AFBE4-F989-4F09-9E5B-6A6A19B43E80}</x14:id>
        </ext>
      </extLst>
    </cfRule>
  </conditionalFormatting>
  <dataValidations count="13">
    <dataValidation allowBlank="1" showInputMessage="1" showErrorMessage="1" prompt="Année mise à jour automatiquement en fonction de l’année entrée dans la feuille de calcul Janvier" sqref="AH4"/>
    <dataValidation allowBlank="1" showInputMessage="1" showErrorMessage="1" prompt="Suivez les absences du mois d’avril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P2"/>
    <dataValidation allowBlank="1" showInputMessage="1" showErrorMessage="1" prompt="Entrez une étiquette pour décrire la clé personnalisée à gauche" sqref="N2 Q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A4AFBE4-F989-4F09-9E5B-6A6A19B43E80}">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9.9978637043366805E-2"/>
  </sheetPr>
  <dimension ref="A1:AK14"/>
  <sheetViews>
    <sheetView showGridLines="0" workbookViewId="0">
      <selection activeCell="X14" sqref="X14"/>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9.5703125" style="9" customWidth="1"/>
    <col min="35" max="37" width="9.5703125" customWidth="1"/>
  </cols>
  <sheetData>
    <row r="1" spans="2:37" ht="50.1" customHeight="1" x14ac:dyDescent="0.25">
      <c r="B1" s="10" t="str">
        <f>Titre_Absence_Employé</f>
        <v>Calendrier  des employés</v>
      </c>
    </row>
    <row r="2" spans="2:37" ht="15" customHeight="1" x14ac:dyDescent="0.25">
      <c r="B2" s="13" t="s">
        <v>1</v>
      </c>
      <c r="C2" s="3" t="s">
        <v>2</v>
      </c>
      <c r="D2" s="44" t="s">
        <v>3</v>
      </c>
      <c r="E2" s="45"/>
      <c r="F2" s="4" t="s">
        <v>4</v>
      </c>
      <c r="G2" s="47" t="s">
        <v>5</v>
      </c>
      <c r="H2" s="47"/>
      <c r="I2" s="19"/>
      <c r="J2" s="5" t="s">
        <v>6</v>
      </c>
      <c r="K2" s="45" t="s">
        <v>7</v>
      </c>
      <c r="L2" s="45"/>
      <c r="M2" s="6" t="s">
        <v>8</v>
      </c>
      <c r="N2" s="46" t="s">
        <v>9</v>
      </c>
      <c r="O2" s="46"/>
      <c r="P2" s="7" t="s">
        <v>67</v>
      </c>
      <c r="Q2" s="46" t="s">
        <v>68</v>
      </c>
      <c r="R2" s="46"/>
      <c r="S2" s="46"/>
      <c r="T2" s="19"/>
      <c r="AI2" s="9"/>
    </row>
    <row r="3" spans="2:37" ht="15" customHeight="1" x14ac:dyDescent="0.25">
      <c r="B3" s="10"/>
    </row>
    <row r="4" spans="2:37" ht="30" customHeight="1" x14ac:dyDescent="0.25">
      <c r="B4" s="33" t="s">
        <v>59</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3">
        <f>AnnéeCalendrier</f>
        <v>2019</v>
      </c>
      <c r="AI4" s="33"/>
      <c r="AJ4" s="33"/>
      <c r="AK4" s="33"/>
    </row>
    <row r="5" spans="2:37" ht="15" customHeight="1" x14ac:dyDescent="0.25">
      <c r="B5" s="33"/>
      <c r="C5" s="1" t="str">
        <f>TEXT(WEEKDAY(DATE(AnnéeCalendrier,5,1),1),"jjj")</f>
        <v>mer</v>
      </c>
      <c r="D5" s="1" t="str">
        <f>TEXT(WEEKDAY(DATE(AnnéeCalendrier,5,2),1),"jjj")</f>
        <v>jeu</v>
      </c>
      <c r="E5" s="1" t="str">
        <f>TEXT(WEEKDAY(DATE(AnnéeCalendrier,5,3),1),"jjj")</f>
        <v>ven</v>
      </c>
      <c r="F5" s="1" t="str">
        <f>TEXT(WEEKDAY(DATE(AnnéeCalendrier,5,4),1),"jjj")</f>
        <v>sam</v>
      </c>
      <c r="G5" s="1" t="str">
        <f>TEXT(WEEKDAY(DATE(AnnéeCalendrier,5,5),1),"jjj")</f>
        <v>dim</v>
      </c>
      <c r="H5" s="1" t="str">
        <f>TEXT(WEEKDAY(DATE(AnnéeCalendrier,5,6),1),"jjj")</f>
        <v>lun</v>
      </c>
      <c r="I5" s="1" t="str">
        <f>TEXT(WEEKDAY(DATE(AnnéeCalendrier,5,7),1),"jjj")</f>
        <v>mar</v>
      </c>
      <c r="J5" s="1" t="str">
        <f>TEXT(WEEKDAY(DATE(AnnéeCalendrier,5,8),1),"jjj")</f>
        <v>mer</v>
      </c>
      <c r="K5" s="1" t="str">
        <f>TEXT(WEEKDAY(DATE(AnnéeCalendrier,5,9),1),"jjj")</f>
        <v>jeu</v>
      </c>
      <c r="L5" s="1" t="str">
        <f>TEXT(WEEKDAY(DATE(AnnéeCalendrier,5,10),1),"jjj")</f>
        <v>ven</v>
      </c>
      <c r="M5" s="1" t="str">
        <f>TEXT(WEEKDAY(DATE(AnnéeCalendrier,5,11),1),"jjj")</f>
        <v>sam</v>
      </c>
      <c r="N5" s="1" t="str">
        <f>TEXT(WEEKDAY(DATE(AnnéeCalendrier,5,12),1),"jjj")</f>
        <v>dim</v>
      </c>
      <c r="O5" s="1" t="str">
        <f>TEXT(WEEKDAY(DATE(AnnéeCalendrier,5,13),1),"jjj")</f>
        <v>lun</v>
      </c>
      <c r="P5" s="1" t="str">
        <f>TEXT(WEEKDAY(DATE(AnnéeCalendrier,5,14),1),"jjj")</f>
        <v>mar</v>
      </c>
      <c r="Q5" s="1" t="str">
        <f>TEXT(WEEKDAY(DATE(AnnéeCalendrier,5,15),1),"jjj")</f>
        <v>mer</v>
      </c>
      <c r="R5" s="1" t="str">
        <f>TEXT(WEEKDAY(DATE(AnnéeCalendrier,5,16),1),"jjj")</f>
        <v>jeu</v>
      </c>
      <c r="S5" s="1" t="str">
        <f>TEXT(WEEKDAY(DATE(AnnéeCalendrier,5,17),1),"jjj")</f>
        <v>ven</v>
      </c>
      <c r="T5" s="1" t="str">
        <f>TEXT(WEEKDAY(DATE(AnnéeCalendrier,5,18),1),"jjj")</f>
        <v>sam</v>
      </c>
      <c r="U5" s="1" t="str">
        <f>TEXT(WEEKDAY(DATE(AnnéeCalendrier,5,19),1),"jjj")</f>
        <v>dim</v>
      </c>
      <c r="V5" s="1" t="str">
        <f>TEXT(WEEKDAY(DATE(AnnéeCalendrier,5,20),1),"jjj")</f>
        <v>lun</v>
      </c>
      <c r="W5" s="1" t="str">
        <f>TEXT(WEEKDAY(DATE(AnnéeCalendrier,5,21),1),"jjj")</f>
        <v>mar</v>
      </c>
      <c r="X5" s="1" t="str">
        <f>TEXT(WEEKDAY(DATE(AnnéeCalendrier,5,22),1),"jjj")</f>
        <v>mer</v>
      </c>
      <c r="Y5" s="1" t="str">
        <f>TEXT(WEEKDAY(DATE(AnnéeCalendrier,5,23),1),"jjj")</f>
        <v>jeu</v>
      </c>
      <c r="Z5" s="1" t="str">
        <f>TEXT(WEEKDAY(DATE(AnnéeCalendrier,5,24),1),"jjj")</f>
        <v>ven</v>
      </c>
      <c r="AA5" s="1" t="str">
        <f>TEXT(WEEKDAY(DATE(AnnéeCalendrier,5,25),1),"jjj")</f>
        <v>sam</v>
      </c>
      <c r="AB5" s="1" t="str">
        <f>TEXT(WEEKDAY(DATE(AnnéeCalendrier,5,26),1),"jjj")</f>
        <v>dim</v>
      </c>
      <c r="AC5" s="1" t="str">
        <f>TEXT(WEEKDAY(DATE(AnnéeCalendrier,5,27),1),"jjj")</f>
        <v>lun</v>
      </c>
      <c r="AD5" s="1" t="str">
        <f>TEXT(WEEKDAY(DATE(AnnéeCalendrier,5,28),1),"jjj")</f>
        <v>mar</v>
      </c>
      <c r="AE5" s="1" t="str">
        <f>TEXT(WEEKDAY(DATE(AnnéeCalendrier,5,29),1),"jjj")</f>
        <v>mer</v>
      </c>
      <c r="AF5" s="1" t="str">
        <f>TEXT(WEEKDAY(DATE(AnnéeCalendrier,5,30),1),"jjj")</f>
        <v>jeu</v>
      </c>
      <c r="AG5" s="1" t="str">
        <f>TEXT(WEEKDAY(DATE(AnnéeCalendrier,5,31),1),"jjj")</f>
        <v>ven</v>
      </c>
      <c r="AH5" s="33"/>
      <c r="AI5" s="33"/>
      <c r="AJ5" s="33"/>
      <c r="AK5" s="33"/>
    </row>
    <row r="6" spans="2:37" ht="15" customHeight="1" x14ac:dyDescent="0.25">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44</v>
      </c>
      <c r="AH6" s="3" t="s">
        <v>3</v>
      </c>
      <c r="AI6" s="6" t="s">
        <v>9</v>
      </c>
      <c r="AJ6" s="5" t="s">
        <v>7</v>
      </c>
      <c r="AK6" s="4" t="s">
        <v>69</v>
      </c>
    </row>
    <row r="7" spans="2:37" ht="30" customHeight="1" x14ac:dyDescent="0.25">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3">
        <f>SUMPRODUCT(--(Mai[[#This Row],[1]:[31]]=LEFT(Mai[[#Headers],[Travaillé]],1)))</f>
        <v>0</v>
      </c>
      <c r="AI7" s="23">
        <f>SUMPRODUCT(--(Mai[[#This Row],[1]:[31]]=LEFT(Mai[[#Headers],[Congés]],1)))</f>
        <v>0</v>
      </c>
      <c r="AJ7" s="23">
        <f>SUMPRODUCT(--(Mai[[#This Row],[1]:[31]]=LEFT(Mai[[#Headers],[Maladie]],1)))</f>
        <v>0</v>
      </c>
      <c r="AK7" s="23">
        <f>SUMPRODUCT(--(Mai[[#This Row],[1]:[31]]=LEFT(Mai[[#Headers],[Repas]],1)))</f>
        <v>0</v>
      </c>
    </row>
    <row r="8" spans="2:37" ht="30" customHeight="1" x14ac:dyDescent="0.25">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3">
        <f>SUMPRODUCT(--(Mai[[#This Row],[1]:[31]]=LEFT(Mai[[#Headers],[Travaillé]],1)))</f>
        <v>0</v>
      </c>
      <c r="AI8" s="23">
        <f>SUMPRODUCT(--(Mai[[#This Row],[1]:[31]]=LEFT(Mai[[#Headers],[Congés]],1)))</f>
        <v>0</v>
      </c>
      <c r="AJ8" s="23">
        <f>SUMPRODUCT(--(Mai[[#This Row],[1]:[31]]=LEFT(Mai[[#Headers],[Maladie]],1)))</f>
        <v>0</v>
      </c>
      <c r="AK8" s="23">
        <f>SUMPRODUCT(--(Mai[[#This Row],[1]:[31]]=LEFT(Mai[[#Headers],[Repas]],1)))</f>
        <v>0</v>
      </c>
    </row>
    <row r="9" spans="2:37" ht="30" customHeight="1" x14ac:dyDescent="0.25">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3">
        <f>SUMPRODUCT(--(Mai[[#This Row],[1]:[31]]=LEFT(Mai[[#Headers],[Travaillé]],1)))</f>
        <v>0</v>
      </c>
      <c r="AI9" s="23">
        <f>SUMPRODUCT(--(Mai[[#This Row],[1]:[31]]=LEFT(Mai[[#Headers],[Congés]],1)))</f>
        <v>0</v>
      </c>
      <c r="AJ9" s="23">
        <f>SUMPRODUCT(--(Mai[[#This Row],[1]:[31]]=LEFT(Mai[[#Headers],[Maladie]],1)))</f>
        <v>0</v>
      </c>
      <c r="AK9" s="23">
        <f>SUMPRODUCT(--(Mai[[#This Row],[1]:[31]]=LEFT(Mai[[#Headers],[Repas]],1)))</f>
        <v>0</v>
      </c>
    </row>
    <row r="10" spans="2:37" ht="30" customHeight="1" x14ac:dyDescent="0.25">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3">
        <f>SUMPRODUCT(--(Mai[[#This Row],[1]:[31]]=LEFT(Mai[[#Headers],[Travaillé]],1)))</f>
        <v>0</v>
      </c>
      <c r="AI10" s="23">
        <f>SUMPRODUCT(--(Mai[[#This Row],[1]:[31]]=LEFT(Mai[[#Headers],[Congés]],1)))</f>
        <v>0</v>
      </c>
      <c r="AJ10" s="23">
        <f>SUMPRODUCT(--(Mai[[#This Row],[1]:[31]]=LEFT(Mai[[#Headers],[Maladie]],1)))</f>
        <v>0</v>
      </c>
      <c r="AK10" s="23">
        <f>SUMPRODUCT(--(Mai[[#This Row],[1]:[31]]=LEFT(Mai[[#Headers],[Repas]],1)))</f>
        <v>0</v>
      </c>
    </row>
    <row r="11" spans="2:37" ht="30" customHeight="1" x14ac:dyDescent="0.25">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3">
        <f>SUMPRODUCT(--(Mai[[#This Row],[1]:[31]]=LEFT(Mai[[#Headers],[Travaillé]],1)))</f>
        <v>0</v>
      </c>
      <c r="AI11" s="23">
        <f>SUMPRODUCT(--(Mai[[#This Row],[1]:[31]]=LEFT(Mai[[#Headers],[Congés]],1)))</f>
        <v>0</v>
      </c>
      <c r="AJ11" s="23">
        <f>SUMPRODUCT(--(Mai[[#This Row],[1]:[31]]=LEFT(Mai[[#Headers],[Maladie]],1)))</f>
        <v>0</v>
      </c>
      <c r="AK11" s="23">
        <f>SUMPRODUCT(--(Mai[[#This Row],[1]:[31]]=LEFT(Mai[[#Headers],[Repas]],1)))</f>
        <v>0</v>
      </c>
    </row>
    <row r="12" spans="2:37" ht="30" customHeight="1" x14ac:dyDescent="0.25">
      <c r="B12" s="15" t="str">
        <f>Janvier!B12</f>
        <v>Employé 5</v>
      </c>
      <c r="AH12" s="23">
        <f>SUMPRODUCT(--(Mai[[#This Row],[1]:[31]]=LEFT(Mai[[#Headers],[Travaillé]],1)))</f>
        <v>0</v>
      </c>
      <c r="AI12" s="23">
        <f>SUMPRODUCT(--(Mai[[#This Row],[1]:[31]]=LEFT(Mai[[#Headers],[Congés]],1)))</f>
        <v>0</v>
      </c>
      <c r="AJ12" s="23">
        <f>SUMPRODUCT(--(Mai[[#This Row],[1]:[31]]=LEFT(Mai[[#Headers],[Maladie]],1)))</f>
        <v>0</v>
      </c>
      <c r="AK12" s="23">
        <f>SUMPRODUCT(--(Mai[[#This Row],[1]:[31]]=LEFT(Mai[[#Headers],[Repas]],1)))</f>
        <v>0</v>
      </c>
    </row>
    <row r="13" spans="2:37" ht="30" customHeight="1" thickBot="1" x14ac:dyDescent="0.3"/>
    <row r="14" spans="2:37" ht="30" customHeight="1" thickBot="1" x14ac:dyDescent="0.3">
      <c r="AB14" s="48" t="s">
        <v>53</v>
      </c>
      <c r="AC14" s="49"/>
      <c r="AD14" s="49"/>
      <c r="AE14" s="49"/>
      <c r="AF14" s="49"/>
      <c r="AG14" s="50"/>
      <c r="AH14" s="32">
        <f>SUM(AH7:AH13)</f>
        <v>0</v>
      </c>
      <c r="AI14" s="30">
        <f>SUM(AI7:AI13)</f>
        <v>0</v>
      </c>
      <c r="AJ14" s="30">
        <f>SUM(AJ7:AJ13)</f>
        <v>0</v>
      </c>
      <c r="AK14" s="31">
        <f>SUM(AK7:AK13)</f>
        <v>0</v>
      </c>
    </row>
  </sheetData>
  <mergeCells count="7">
    <mergeCell ref="AB14:AG14"/>
    <mergeCell ref="Q2:S2"/>
    <mergeCell ref="C4:AG4"/>
    <mergeCell ref="D2:E2"/>
    <mergeCell ref="K2:L2"/>
    <mergeCell ref="G2:H2"/>
    <mergeCell ref="N2:O2"/>
  </mergeCells>
  <conditionalFormatting sqref="C7:AG12">
    <cfRule type="expression" priority="5" stopIfTrue="1">
      <formula>C7=""</formula>
    </cfRule>
  </conditionalFormatting>
  <conditionalFormatting sqref="C7:AG12">
    <cfRule type="expression" dxfId="98" priority="6" stopIfTrue="1">
      <formula>C7=CléPanier_Repas</formula>
    </cfRule>
    <cfRule type="expression" dxfId="97" priority="7" stopIfTrue="1">
      <formula>C7=CléPersonnalisée1</formula>
    </cfRule>
    <cfRule type="expression" dxfId="96" priority="8" stopIfTrue="1">
      <formula>C7=CléMaladie</formula>
    </cfRule>
    <cfRule type="expression" dxfId="95" priority="9" stopIfTrue="1">
      <formula>C7=CléCongés</formula>
    </cfRule>
    <cfRule type="expression" dxfId="94" priority="10" stopIfTrue="1">
      <formula>C7=CléTravail</formula>
    </cfRule>
  </conditionalFormatting>
  <conditionalFormatting sqref="AH7:AK12">
    <cfRule type="dataBar" priority="1">
      <dataBar>
        <cfvo type="num" val="0"/>
        <cfvo type="num" val="31"/>
        <color theme="2" tint="-0.249977111117893"/>
      </dataBar>
      <extLst>
        <ext xmlns:x14="http://schemas.microsoft.com/office/spreadsheetml/2009/9/main" uri="{B025F937-C7B1-47D3-B67F-A62EFF666E3E}">
          <x14:id>{9FC23B1E-DC8C-4C16-959E-87048B632E9E}</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Q2"/>
    <dataValidation allowBlank="1" showInputMessage="1" showErrorMessage="1" prompt="Entrez une lettre et personnalisez l’étiquette à droite pour ajouter un élément de clé" sqref="M2 P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mai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FC23B1E-DC8C-4C16-959E-87048B632E9E}">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sheetPr>
  <dimension ref="A1:AK14"/>
  <sheetViews>
    <sheetView showGridLines="0" topLeftCell="C1" workbookViewId="0">
      <selection activeCell="W9" sqref="W9"/>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9.5703125" style="9" customWidth="1"/>
    <col min="35" max="37" width="9.5703125" customWidth="1"/>
  </cols>
  <sheetData>
    <row r="1" spans="2:37" ht="50.1" customHeight="1" x14ac:dyDescent="0.25">
      <c r="B1" s="10" t="str">
        <f>Titre_Absence_Employé</f>
        <v>Calendrier  des employés</v>
      </c>
    </row>
    <row r="2" spans="2:37" ht="15" customHeight="1" x14ac:dyDescent="0.25">
      <c r="B2" s="13" t="s">
        <v>1</v>
      </c>
      <c r="C2" s="3" t="s">
        <v>2</v>
      </c>
      <c r="D2" s="44" t="s">
        <v>3</v>
      </c>
      <c r="E2" s="45"/>
      <c r="F2" s="4" t="s">
        <v>4</v>
      </c>
      <c r="G2" s="47" t="s">
        <v>5</v>
      </c>
      <c r="H2" s="47"/>
      <c r="I2" s="19"/>
      <c r="J2" s="5" t="s">
        <v>6</v>
      </c>
      <c r="K2" s="45" t="s">
        <v>7</v>
      </c>
      <c r="L2" s="45"/>
      <c r="M2" s="6" t="s">
        <v>8</v>
      </c>
      <c r="N2" s="46" t="s">
        <v>9</v>
      </c>
      <c r="O2" s="46"/>
      <c r="P2" s="7" t="s">
        <v>67</v>
      </c>
      <c r="Q2" s="46" t="s">
        <v>68</v>
      </c>
      <c r="R2" s="46"/>
      <c r="S2" s="46"/>
      <c r="T2" s="19"/>
      <c r="AI2" s="9"/>
    </row>
    <row r="3" spans="2:37" ht="15" customHeight="1" x14ac:dyDescent="0.25">
      <c r="B3" s="10"/>
    </row>
    <row r="4" spans="2:37" ht="30" customHeight="1" x14ac:dyDescent="0.25">
      <c r="B4" s="33" t="s">
        <v>60</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3">
        <f>AnnéeCalendrier</f>
        <v>2019</v>
      </c>
      <c r="AI4" s="33"/>
      <c r="AJ4" s="33"/>
      <c r="AK4" s="33"/>
    </row>
    <row r="5" spans="2:37" ht="15" customHeight="1" x14ac:dyDescent="0.25">
      <c r="B5" s="33"/>
      <c r="C5" s="1" t="str">
        <f>TEXT(WEEKDAY(DATE(AnnéeCalendrier,6,1),1),"jjj")</f>
        <v>sam</v>
      </c>
      <c r="D5" s="1" t="str">
        <f>TEXT(WEEKDAY(DATE(AnnéeCalendrier,6,2),1),"jjj")</f>
        <v>dim</v>
      </c>
      <c r="E5" s="1" t="str">
        <f>TEXT(WEEKDAY(DATE(AnnéeCalendrier,6,3),1),"jjj")</f>
        <v>lun</v>
      </c>
      <c r="F5" s="1" t="str">
        <f>TEXT(WEEKDAY(DATE(AnnéeCalendrier,6,4),1),"jjj")</f>
        <v>mar</v>
      </c>
      <c r="G5" s="1" t="str">
        <f>TEXT(WEEKDAY(DATE(AnnéeCalendrier,6,5),1),"jjj")</f>
        <v>mer</v>
      </c>
      <c r="H5" s="1" t="str">
        <f>TEXT(WEEKDAY(DATE(AnnéeCalendrier,6,6),1),"jjj")</f>
        <v>jeu</v>
      </c>
      <c r="I5" s="1" t="str">
        <f>TEXT(WEEKDAY(DATE(AnnéeCalendrier,6,7),1),"jjj")</f>
        <v>ven</v>
      </c>
      <c r="J5" s="1" t="str">
        <f>TEXT(WEEKDAY(DATE(AnnéeCalendrier,6,8),1),"jjj")</f>
        <v>sam</v>
      </c>
      <c r="K5" s="1" t="str">
        <f>TEXT(WEEKDAY(DATE(AnnéeCalendrier,6,9),1),"jjj")</f>
        <v>dim</v>
      </c>
      <c r="L5" s="1" t="str">
        <f>TEXT(WEEKDAY(DATE(AnnéeCalendrier,6,10),1),"jjj")</f>
        <v>lun</v>
      </c>
      <c r="M5" s="1" t="str">
        <f>TEXT(WEEKDAY(DATE(AnnéeCalendrier,6,11),1),"jjj")</f>
        <v>mar</v>
      </c>
      <c r="N5" s="1" t="str">
        <f>TEXT(WEEKDAY(DATE(AnnéeCalendrier,6,12),1),"jjj")</f>
        <v>mer</v>
      </c>
      <c r="O5" s="1" t="str">
        <f>TEXT(WEEKDAY(DATE(AnnéeCalendrier,6,13),1),"jjj")</f>
        <v>jeu</v>
      </c>
      <c r="P5" s="1" t="str">
        <f>TEXT(WEEKDAY(DATE(AnnéeCalendrier,6,14),1),"jjj")</f>
        <v>ven</v>
      </c>
      <c r="Q5" s="1" t="str">
        <f>TEXT(WEEKDAY(DATE(AnnéeCalendrier,6,15),1),"jjj")</f>
        <v>sam</v>
      </c>
      <c r="R5" s="1" t="str">
        <f>TEXT(WEEKDAY(DATE(AnnéeCalendrier,6,16),1),"jjj")</f>
        <v>dim</v>
      </c>
      <c r="S5" s="1" t="str">
        <f>TEXT(WEEKDAY(DATE(AnnéeCalendrier,6,17),1),"jjj")</f>
        <v>lun</v>
      </c>
      <c r="T5" s="1" t="str">
        <f>TEXT(WEEKDAY(DATE(AnnéeCalendrier,6,18),1),"jjj")</f>
        <v>mar</v>
      </c>
      <c r="U5" s="1" t="str">
        <f>TEXT(WEEKDAY(DATE(AnnéeCalendrier,6,19),1),"jjj")</f>
        <v>mer</v>
      </c>
      <c r="V5" s="1" t="str">
        <f>TEXT(WEEKDAY(DATE(AnnéeCalendrier,6,20),1),"jjj")</f>
        <v>jeu</v>
      </c>
      <c r="W5" s="1" t="str">
        <f>TEXT(WEEKDAY(DATE(AnnéeCalendrier,6,21),1),"jjj")</f>
        <v>ven</v>
      </c>
      <c r="X5" s="1" t="str">
        <f>TEXT(WEEKDAY(DATE(AnnéeCalendrier,6,22),1),"jjj")</f>
        <v>sam</v>
      </c>
      <c r="Y5" s="1" t="str">
        <f>TEXT(WEEKDAY(DATE(AnnéeCalendrier,6,23),1),"jjj")</f>
        <v>dim</v>
      </c>
      <c r="Z5" s="1" t="str">
        <f>TEXT(WEEKDAY(DATE(AnnéeCalendrier,6,24),1),"jjj")</f>
        <v>lun</v>
      </c>
      <c r="AA5" s="1" t="str">
        <f>TEXT(WEEKDAY(DATE(AnnéeCalendrier,6,25),1),"jjj")</f>
        <v>mar</v>
      </c>
      <c r="AB5" s="1" t="str">
        <f>TEXT(WEEKDAY(DATE(AnnéeCalendrier,6,26),1),"jjj")</f>
        <v>mer</v>
      </c>
      <c r="AC5" s="1" t="str">
        <f>TEXT(WEEKDAY(DATE(AnnéeCalendrier,6,27),1),"jjj")</f>
        <v>jeu</v>
      </c>
      <c r="AD5" s="1" t="str">
        <f>TEXT(WEEKDAY(DATE(AnnéeCalendrier,6,28),1),"jjj")</f>
        <v>ven</v>
      </c>
      <c r="AE5" s="1" t="str">
        <f>TEXT(WEEKDAY(DATE(AnnéeCalendrier,6,29),1),"jjj")</f>
        <v>sam</v>
      </c>
      <c r="AF5" s="1" t="str">
        <f>TEXT(WEEKDAY(DATE(AnnéeCalendrier,6,30),1),"jjj")</f>
        <v>dim</v>
      </c>
      <c r="AG5" s="1"/>
      <c r="AH5" s="33"/>
      <c r="AI5" s="33"/>
      <c r="AJ5" s="33"/>
      <c r="AK5" s="33"/>
    </row>
    <row r="6" spans="2:37" ht="15" customHeight="1" x14ac:dyDescent="0.25">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52</v>
      </c>
      <c r="AH6" s="3" t="s">
        <v>3</v>
      </c>
      <c r="AI6" s="6" t="s">
        <v>9</v>
      </c>
      <c r="AJ6" s="5" t="s">
        <v>7</v>
      </c>
      <c r="AK6" s="4" t="s">
        <v>69</v>
      </c>
    </row>
    <row r="7" spans="2:37" ht="30" customHeight="1" x14ac:dyDescent="0.25">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3">
        <f>SUMPRODUCT(--(Juin[[#This Row],[1]:[30]]=LEFT(Juin[[#Headers],[Travaillé]],1)))</f>
        <v>0</v>
      </c>
      <c r="AI7" s="23">
        <f>SUMPRODUCT(--(Juin[[#This Row],[1]:[30]]=LEFT(Juin[[#Headers],[Congés]],1)))</f>
        <v>0</v>
      </c>
      <c r="AJ7" s="23">
        <f>SUMPRODUCT(--(Juin[[#This Row],[1]:[30]]=LEFT(Juin[[#Headers],[Maladie]],1)))</f>
        <v>0</v>
      </c>
      <c r="AK7" s="23">
        <f>SUMPRODUCT(--(Juin[[#This Row],[1]:[30]]=LEFT(Juin[[#Headers],[Repas]],1)))</f>
        <v>0</v>
      </c>
    </row>
    <row r="8" spans="2:37" ht="30" customHeight="1" x14ac:dyDescent="0.25">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3">
        <f>SUMPRODUCT(--(Juin[[#This Row],[1]:[30]]=LEFT(Juin[[#Headers],[Travaillé]],1)))</f>
        <v>0</v>
      </c>
      <c r="AI8" s="23">
        <f>SUMPRODUCT(--(Juin[[#This Row],[1]:[30]]=LEFT(Juin[[#Headers],[Congés]],1)))</f>
        <v>0</v>
      </c>
      <c r="AJ8" s="23">
        <f>SUMPRODUCT(--(Juin[[#This Row],[1]:[30]]=LEFT(Juin[[#Headers],[Maladie]],1)))</f>
        <v>0</v>
      </c>
      <c r="AK8" s="23">
        <f>SUMPRODUCT(--(Juin[[#This Row],[1]:[30]]=LEFT(Juin[[#Headers],[Repas]],1)))</f>
        <v>0</v>
      </c>
    </row>
    <row r="9" spans="2:37" ht="30" customHeight="1" x14ac:dyDescent="0.25">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3">
        <f>SUMPRODUCT(--(Juin[[#This Row],[1]:[30]]=LEFT(Juin[[#Headers],[Travaillé]],1)))</f>
        <v>0</v>
      </c>
      <c r="AI9" s="23">
        <f>SUMPRODUCT(--(Juin[[#This Row],[1]:[30]]=LEFT(Juin[[#Headers],[Congés]],1)))</f>
        <v>0</v>
      </c>
      <c r="AJ9" s="23">
        <f>SUMPRODUCT(--(Juin[[#This Row],[1]:[30]]=LEFT(Juin[[#Headers],[Maladie]],1)))</f>
        <v>0</v>
      </c>
      <c r="AK9" s="23">
        <f>SUMPRODUCT(--(Juin[[#This Row],[1]:[30]]=LEFT(Juin[[#Headers],[Repas]],1)))</f>
        <v>0</v>
      </c>
    </row>
    <row r="10" spans="2:37" ht="30" customHeight="1" x14ac:dyDescent="0.25">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3">
        <f>SUMPRODUCT(--(Juin[[#This Row],[1]:[30]]=LEFT(Juin[[#Headers],[Travaillé]],1)))</f>
        <v>0</v>
      </c>
      <c r="AI10" s="23">
        <f>SUMPRODUCT(--(Juin[[#This Row],[1]:[30]]=LEFT(Juin[[#Headers],[Congés]],1)))</f>
        <v>0</v>
      </c>
      <c r="AJ10" s="23">
        <f>SUMPRODUCT(--(Juin[[#This Row],[1]:[30]]=LEFT(Juin[[#Headers],[Maladie]],1)))</f>
        <v>0</v>
      </c>
      <c r="AK10" s="23">
        <f>SUMPRODUCT(--(Juin[[#This Row],[1]:[30]]=LEFT(Juin[[#Headers],[Repas]],1)))</f>
        <v>0</v>
      </c>
    </row>
    <row r="11" spans="2:37" ht="30" customHeight="1" x14ac:dyDescent="0.25">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3">
        <f>SUMPRODUCT(--(Juin[[#This Row],[1]:[30]]=LEFT(Juin[[#Headers],[Travaillé]],1)))</f>
        <v>0</v>
      </c>
      <c r="AI11" s="23">
        <f>SUMPRODUCT(--(Juin[[#This Row],[1]:[30]]=LEFT(Juin[[#Headers],[Congés]],1)))</f>
        <v>0</v>
      </c>
      <c r="AJ11" s="23">
        <f>SUMPRODUCT(--(Juin[[#This Row],[1]:[30]]=LEFT(Juin[[#Headers],[Maladie]],1)))</f>
        <v>0</v>
      </c>
      <c r="AK11" s="23">
        <f>SUMPRODUCT(--(Juin[[#This Row],[1]:[30]]=LEFT(Juin[[#Headers],[Repas]],1)))</f>
        <v>0</v>
      </c>
    </row>
    <row r="12" spans="2:37" ht="30" customHeight="1" x14ac:dyDescent="0.25">
      <c r="B12" s="15" t="str">
        <f>Janvier!B12</f>
        <v>Employé 5</v>
      </c>
      <c r="AH12" s="23">
        <f>SUMPRODUCT(--(Juin[[#This Row],[1]:[30]]=LEFT(Juin[[#Headers],[Travaillé]],1)))</f>
        <v>0</v>
      </c>
      <c r="AI12" s="23">
        <f>SUMPRODUCT(--(Juin[[#This Row],[1]:[30]]=LEFT(Juin[[#Headers],[Congés]],1)))</f>
        <v>0</v>
      </c>
      <c r="AJ12" s="23">
        <f>SUMPRODUCT(--(Juin[[#This Row],[1]:[30]]=LEFT(Juin[[#Headers],[Maladie]],1)))</f>
        <v>0</v>
      </c>
      <c r="AK12" s="23">
        <f>SUMPRODUCT(--(Juin[[#This Row],[1]:[30]]=LEFT(Juin[[#Headers],[Repas]],1)))</f>
        <v>0</v>
      </c>
    </row>
    <row r="13" spans="2:37" ht="30" customHeight="1" thickBot="1" x14ac:dyDescent="0.3"/>
    <row r="14" spans="2:37" ht="30" customHeight="1" thickBot="1" x14ac:dyDescent="0.3">
      <c r="AB14" s="53" t="s">
        <v>53</v>
      </c>
      <c r="AC14" s="54"/>
      <c r="AD14" s="54"/>
      <c r="AE14" s="54"/>
      <c r="AF14" s="54"/>
      <c r="AG14" s="55"/>
      <c r="AH14" s="32">
        <f>SUM(AH6:AH13)</f>
        <v>0</v>
      </c>
      <c r="AI14" s="30">
        <f>SUM(AI6:AI13)</f>
        <v>0</v>
      </c>
      <c r="AJ14" s="30">
        <f>SUM(AJ6:AJ13)</f>
        <v>0</v>
      </c>
      <c r="AK14" s="31">
        <f>SUM(AK6:AK13)</f>
        <v>0</v>
      </c>
    </row>
  </sheetData>
  <mergeCells count="7">
    <mergeCell ref="AB14:AG14"/>
    <mergeCell ref="Q2:S2"/>
    <mergeCell ref="C4:AG4"/>
    <mergeCell ref="D2:E2"/>
    <mergeCell ref="K2:L2"/>
    <mergeCell ref="G2:H2"/>
    <mergeCell ref="N2:O2"/>
  </mergeCells>
  <conditionalFormatting sqref="C7:AG12">
    <cfRule type="expression" priority="5" stopIfTrue="1">
      <formula>C7=""</formula>
    </cfRule>
  </conditionalFormatting>
  <conditionalFormatting sqref="C7:AG12">
    <cfRule type="expression" dxfId="93" priority="6" stopIfTrue="1">
      <formula>C7=CléPanier_Repas</formula>
    </cfRule>
    <cfRule type="expression" dxfId="92" priority="7" stopIfTrue="1">
      <formula>C7=CléPersonnalisée1</formula>
    </cfRule>
    <cfRule type="expression" dxfId="91" priority="8" stopIfTrue="1">
      <formula>C7=CléMaladie</formula>
    </cfRule>
    <cfRule type="expression" dxfId="90" priority="9" stopIfTrue="1">
      <formula>C7=CléCongés</formula>
    </cfRule>
    <cfRule type="expression" dxfId="89" priority="10" stopIfTrue="1">
      <formula>C7=CléTravail</formula>
    </cfRule>
  </conditionalFormatting>
  <conditionalFormatting sqref="AH7:AK12">
    <cfRule type="dataBar" priority="1">
      <dataBar>
        <cfvo type="num" val="0"/>
        <cfvo type="num" val="31"/>
        <color theme="2" tint="-0.249977111117893"/>
      </dataBar>
      <extLst>
        <ext xmlns:x14="http://schemas.microsoft.com/office/spreadsheetml/2009/9/main" uri="{B025F937-C7B1-47D3-B67F-A62EFF666E3E}">
          <x14:id>{4FFD64DD-FBD9-48FC-9D1F-D631E8A74598}</x14:id>
        </ext>
      </extLst>
    </cfRule>
  </conditionalFormatting>
  <dataValidations count="1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juin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P2"/>
    <dataValidation allowBlank="1" showInputMessage="1" showErrorMessage="1" prompt="Entrez une étiquette pour décrire la clé personnalisée à gauche" sqref="N2 Q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FFD64DD-FBD9-48FC-9D1F-D631E8A74598}">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sheetPr>
  <dimension ref="A1:AK15"/>
  <sheetViews>
    <sheetView showGridLines="0" topLeftCell="D1" workbookViewId="0">
      <selection activeCell="Z14" sqref="Z14"/>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9.5703125" style="9" customWidth="1"/>
    <col min="35" max="37" width="9.5703125" customWidth="1"/>
  </cols>
  <sheetData>
    <row r="1" spans="2:37" ht="50.1" customHeight="1" x14ac:dyDescent="0.25">
      <c r="B1" s="10" t="str">
        <f>Titre_Absence_Employé</f>
        <v>Calendrier  des employés</v>
      </c>
    </row>
    <row r="2" spans="2:37" ht="15" customHeight="1" x14ac:dyDescent="0.25">
      <c r="B2" s="13" t="s">
        <v>1</v>
      </c>
      <c r="C2" s="3" t="s">
        <v>2</v>
      </c>
      <c r="D2" s="44" t="s">
        <v>3</v>
      </c>
      <c r="E2" s="45"/>
      <c r="F2" s="4" t="s">
        <v>4</v>
      </c>
      <c r="G2" s="47" t="s">
        <v>5</v>
      </c>
      <c r="H2" s="47"/>
      <c r="I2" s="19"/>
      <c r="J2" s="5" t="s">
        <v>6</v>
      </c>
      <c r="K2" s="45" t="s">
        <v>7</v>
      </c>
      <c r="L2" s="45"/>
      <c r="M2" s="6" t="s">
        <v>8</v>
      </c>
      <c r="N2" s="46" t="s">
        <v>9</v>
      </c>
      <c r="O2" s="46"/>
      <c r="P2" s="7" t="s">
        <v>67</v>
      </c>
      <c r="Q2" s="46" t="s">
        <v>68</v>
      </c>
      <c r="R2" s="46"/>
      <c r="S2" s="46"/>
      <c r="T2" s="19"/>
      <c r="AI2" s="9"/>
    </row>
    <row r="3" spans="2:37" ht="15" customHeight="1" x14ac:dyDescent="0.25">
      <c r="B3" s="10"/>
    </row>
    <row r="4" spans="2:37" ht="30" customHeight="1" x14ac:dyDescent="0.25">
      <c r="B4" s="33" t="s">
        <v>61</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3">
        <f>AnnéeCalendrier</f>
        <v>2019</v>
      </c>
      <c r="AI4" s="33"/>
      <c r="AJ4" s="33"/>
      <c r="AK4" s="33"/>
    </row>
    <row r="5" spans="2:37" ht="15" customHeight="1" x14ac:dyDescent="0.25">
      <c r="B5" s="33"/>
      <c r="C5" s="1" t="str">
        <f>TEXT(WEEKDAY(DATE(AnnéeCalendrier,7,1),1),"jjj")</f>
        <v>lun</v>
      </c>
      <c r="D5" s="1" t="str">
        <f>TEXT(WEEKDAY(DATE(AnnéeCalendrier,7,2),1),"jjj")</f>
        <v>mar</v>
      </c>
      <c r="E5" s="1" t="str">
        <f>TEXT(WEEKDAY(DATE(AnnéeCalendrier,7,3),1),"jjj")</f>
        <v>mer</v>
      </c>
      <c r="F5" s="1" t="str">
        <f>TEXT(WEEKDAY(DATE(AnnéeCalendrier,7,4),1),"jjj")</f>
        <v>jeu</v>
      </c>
      <c r="G5" s="1" t="str">
        <f>TEXT(WEEKDAY(DATE(AnnéeCalendrier,7,5),1),"jjj")</f>
        <v>ven</v>
      </c>
      <c r="H5" s="1" t="str">
        <f>TEXT(WEEKDAY(DATE(AnnéeCalendrier,7,6),1),"jjj")</f>
        <v>sam</v>
      </c>
      <c r="I5" s="1" t="str">
        <f>TEXT(WEEKDAY(DATE(AnnéeCalendrier,7,7),1),"jjj")</f>
        <v>dim</v>
      </c>
      <c r="J5" s="1" t="str">
        <f>TEXT(WEEKDAY(DATE(AnnéeCalendrier,7,8),1),"jjj")</f>
        <v>lun</v>
      </c>
      <c r="K5" s="1" t="str">
        <f>TEXT(WEEKDAY(DATE(AnnéeCalendrier,7,9),1),"jjj")</f>
        <v>mar</v>
      </c>
      <c r="L5" s="1" t="str">
        <f>TEXT(WEEKDAY(DATE(AnnéeCalendrier,7,10),1),"jjj")</f>
        <v>mer</v>
      </c>
      <c r="M5" s="1" t="str">
        <f>TEXT(WEEKDAY(DATE(AnnéeCalendrier,7,11),1),"jjj")</f>
        <v>jeu</v>
      </c>
      <c r="N5" s="1" t="str">
        <f>TEXT(WEEKDAY(DATE(AnnéeCalendrier,7,12),1),"jjj")</f>
        <v>ven</v>
      </c>
      <c r="O5" s="1" t="str">
        <f>TEXT(WEEKDAY(DATE(AnnéeCalendrier,7,13),1),"jjj")</f>
        <v>sam</v>
      </c>
      <c r="P5" s="1" t="str">
        <f>TEXT(WEEKDAY(DATE(AnnéeCalendrier,7,14),1),"jjj")</f>
        <v>dim</v>
      </c>
      <c r="Q5" s="1" t="str">
        <f>TEXT(WEEKDAY(DATE(AnnéeCalendrier,7,15),1),"jjj")</f>
        <v>lun</v>
      </c>
      <c r="R5" s="1" t="str">
        <f>TEXT(WEEKDAY(DATE(AnnéeCalendrier,7,16),1),"jjj")</f>
        <v>mar</v>
      </c>
      <c r="S5" s="1" t="str">
        <f>TEXT(WEEKDAY(DATE(AnnéeCalendrier,7,17),1),"jjj")</f>
        <v>mer</v>
      </c>
      <c r="T5" s="1" t="str">
        <f>TEXT(WEEKDAY(DATE(AnnéeCalendrier,7,18),1),"jjj")</f>
        <v>jeu</v>
      </c>
      <c r="U5" s="1" t="str">
        <f>TEXT(WEEKDAY(DATE(AnnéeCalendrier,7,19),1),"jjj")</f>
        <v>ven</v>
      </c>
      <c r="V5" s="1" t="str">
        <f>TEXT(WEEKDAY(DATE(AnnéeCalendrier,7,20),1),"jjj")</f>
        <v>sam</v>
      </c>
      <c r="W5" s="1" t="str">
        <f>TEXT(WEEKDAY(DATE(AnnéeCalendrier,7,21),1),"jjj")</f>
        <v>dim</v>
      </c>
      <c r="X5" s="1" t="str">
        <f>TEXT(WEEKDAY(DATE(AnnéeCalendrier,7,22),1),"jjj")</f>
        <v>lun</v>
      </c>
      <c r="Y5" s="1" t="str">
        <f>TEXT(WEEKDAY(DATE(AnnéeCalendrier,7,23),1),"jjj")</f>
        <v>mar</v>
      </c>
      <c r="Z5" s="1" t="str">
        <f>TEXT(WEEKDAY(DATE(AnnéeCalendrier,7,24),1),"jjj")</f>
        <v>mer</v>
      </c>
      <c r="AA5" s="1" t="str">
        <f>TEXT(WEEKDAY(DATE(AnnéeCalendrier,7,25),1),"jjj")</f>
        <v>jeu</v>
      </c>
      <c r="AB5" s="1" t="str">
        <f>TEXT(WEEKDAY(DATE(AnnéeCalendrier,7,26),1),"jjj")</f>
        <v>ven</v>
      </c>
      <c r="AC5" s="1" t="str">
        <f>TEXT(WEEKDAY(DATE(AnnéeCalendrier,7,27),1),"jjj")</f>
        <v>sam</v>
      </c>
      <c r="AD5" s="1" t="str">
        <f>TEXT(WEEKDAY(DATE(AnnéeCalendrier,7,28),1),"jjj")</f>
        <v>dim</v>
      </c>
      <c r="AE5" s="1" t="str">
        <f>TEXT(WEEKDAY(DATE(AnnéeCalendrier,7,29),1),"jjj")</f>
        <v>lun</v>
      </c>
      <c r="AF5" s="1" t="str">
        <f>TEXT(WEEKDAY(DATE(AnnéeCalendrier,7,30),1),"jjj")</f>
        <v>mar</v>
      </c>
      <c r="AG5" s="1" t="str">
        <f>TEXT(WEEKDAY(DATE(AnnéeCalendrier,7,31),1),"jjj")</f>
        <v>mer</v>
      </c>
      <c r="AH5" s="33"/>
      <c r="AI5" s="33"/>
      <c r="AJ5" s="33"/>
      <c r="AK5" s="33"/>
    </row>
    <row r="6" spans="2:37" ht="15" customHeight="1" x14ac:dyDescent="0.25">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44</v>
      </c>
      <c r="AH6" s="3" t="s">
        <v>3</v>
      </c>
      <c r="AI6" s="6" t="s">
        <v>9</v>
      </c>
      <c r="AJ6" s="5" t="s">
        <v>7</v>
      </c>
      <c r="AK6" s="4" t="s">
        <v>69</v>
      </c>
    </row>
    <row r="7" spans="2:37" ht="30" customHeight="1" x14ac:dyDescent="0.25">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3">
        <f>SUMPRODUCT(--(Juillet[[#This Row],[1]:[31]]=LEFT(Juillet[[#Headers],[Travaillé]],1)))</f>
        <v>0</v>
      </c>
      <c r="AI7" s="23">
        <f>SUMPRODUCT(--(Juillet[[#This Row],[1]:[31]]=LEFT(Juillet[[#Headers],[Congés]],1)))</f>
        <v>0</v>
      </c>
      <c r="AJ7" s="23">
        <f>SUMPRODUCT(--(Juillet[[#This Row],[1]:[31]]=LEFT(Juillet[[#Headers],[Maladie]],1)))</f>
        <v>0</v>
      </c>
      <c r="AK7" s="23">
        <f>SUMPRODUCT(--(Juillet[[#This Row],[1]:[31]]=LEFT(Juillet[[#Headers],[Repas]],1)))</f>
        <v>0</v>
      </c>
    </row>
    <row r="8" spans="2:37" ht="30" customHeight="1" x14ac:dyDescent="0.25">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3">
        <f>SUMPRODUCT(--(Juillet[[#This Row],[1]:[31]]=LEFT(Juillet[[#Headers],[Travaillé]],1)))</f>
        <v>0</v>
      </c>
      <c r="AI8" s="23">
        <f>SUMPRODUCT(--(Juillet[[#This Row],[1]:[31]]=LEFT(Juillet[[#Headers],[Congés]],1)))</f>
        <v>0</v>
      </c>
      <c r="AJ8" s="23">
        <f>SUMPRODUCT(--(Juillet[[#This Row],[1]:[31]]=LEFT(Juillet[[#Headers],[Maladie]],1)))</f>
        <v>0</v>
      </c>
      <c r="AK8" s="23">
        <f>SUMPRODUCT(--(Juillet[[#This Row],[1]:[31]]=LEFT(Juillet[[#Headers],[Repas]],1)))</f>
        <v>0</v>
      </c>
    </row>
    <row r="9" spans="2:37" ht="30" customHeight="1" x14ac:dyDescent="0.25">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3">
        <f>SUMPRODUCT(--(Juillet[[#This Row],[1]:[31]]=LEFT(Juillet[[#Headers],[Travaillé]],1)))</f>
        <v>0</v>
      </c>
      <c r="AI9" s="23">
        <f>SUMPRODUCT(--(Juillet[[#This Row],[1]:[31]]=LEFT(Juillet[[#Headers],[Congés]],1)))</f>
        <v>0</v>
      </c>
      <c r="AJ9" s="23">
        <f>SUMPRODUCT(--(Juillet[[#This Row],[1]:[31]]=LEFT(Juillet[[#Headers],[Maladie]],1)))</f>
        <v>0</v>
      </c>
      <c r="AK9" s="23">
        <f>SUMPRODUCT(--(Juillet[[#This Row],[1]:[31]]=LEFT(Juillet[[#Headers],[Repas]],1)))</f>
        <v>0</v>
      </c>
    </row>
    <row r="10" spans="2:37" ht="30" customHeight="1" x14ac:dyDescent="0.25">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3">
        <f>SUMPRODUCT(--(Juillet[[#This Row],[1]:[31]]=LEFT(Juillet[[#Headers],[Travaillé]],1)))</f>
        <v>0</v>
      </c>
      <c r="AI10" s="23">
        <f>SUMPRODUCT(--(Juillet[[#This Row],[1]:[31]]=LEFT(Juillet[[#Headers],[Congés]],1)))</f>
        <v>0</v>
      </c>
      <c r="AJ10" s="23">
        <f>SUMPRODUCT(--(Juillet[[#This Row],[1]:[31]]=LEFT(Juillet[[#Headers],[Maladie]],1)))</f>
        <v>0</v>
      </c>
      <c r="AK10" s="23">
        <f>SUMPRODUCT(--(Juillet[[#This Row],[1]:[31]]=LEFT(Juillet[[#Headers],[Repas]],1)))</f>
        <v>0</v>
      </c>
    </row>
    <row r="11" spans="2:37" ht="30" customHeight="1" x14ac:dyDescent="0.25">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3">
        <f>SUMPRODUCT(--(Juillet[[#This Row],[1]:[31]]=LEFT(Juillet[[#Headers],[Travaillé]],1)))</f>
        <v>0</v>
      </c>
      <c r="AI11" s="23">
        <f>SUMPRODUCT(--(Juillet[[#This Row],[1]:[31]]=LEFT(Juillet[[#Headers],[Congés]],1)))</f>
        <v>0</v>
      </c>
      <c r="AJ11" s="23">
        <f>SUMPRODUCT(--(Juillet[[#This Row],[1]:[31]]=LEFT(Juillet[[#Headers],[Maladie]],1)))</f>
        <v>0</v>
      </c>
      <c r="AK11" s="23">
        <f>SUMPRODUCT(--(Juillet[[#This Row],[1]:[31]]=LEFT(Juillet[[#Headers],[Repas]],1)))</f>
        <v>0</v>
      </c>
    </row>
    <row r="12" spans="2:37" ht="30" customHeight="1" x14ac:dyDescent="0.25">
      <c r="B12" s="15" t="str">
        <f>Janvier!B12</f>
        <v>Employé 5</v>
      </c>
      <c r="AH12" s="23">
        <f>SUMPRODUCT(--(Juillet[[#This Row],[1]:[31]]=LEFT(Juillet[[#Headers],[Travaillé]],1)))</f>
        <v>0</v>
      </c>
      <c r="AI12" s="23">
        <f>SUMPRODUCT(--(Juillet[[#This Row],[1]:[31]]=LEFT(Juillet[[#Headers],[Congés]],1)))</f>
        <v>0</v>
      </c>
      <c r="AJ12" s="23">
        <f>SUMPRODUCT(--(Juillet[[#This Row],[1]:[31]]=LEFT(Juillet[[#Headers],[Maladie]],1)))</f>
        <v>0</v>
      </c>
      <c r="AK12" s="23">
        <f>SUMPRODUCT(--(Juillet[[#This Row],[1]:[31]]=LEFT(Juillet[[#Headers],[Repas]],1)))</f>
        <v>0</v>
      </c>
    </row>
    <row r="13" spans="2:37" ht="30" customHeight="1" x14ac:dyDescent="0.25">
      <c r="B13" s="15" t="str">
        <f>Janvier!B13</f>
        <v>Employé 6</v>
      </c>
      <c r="AH13" s="23">
        <f>SUMPRODUCT(--(Juillet[[#This Row],[1]:[31]]=LEFT(Juillet[[#Headers],[Travaillé]],1)))</f>
        <v>0</v>
      </c>
      <c r="AI13" s="23">
        <f>SUMPRODUCT(--(Juillet[[#This Row],[1]:[31]]=LEFT(Juillet[[#Headers],[Congés]],1)))</f>
        <v>0</v>
      </c>
      <c r="AJ13" s="23">
        <f>SUMPRODUCT(--(Juillet[[#This Row],[1]:[31]]=LEFT(Juillet[[#Headers],[Maladie]],1)))</f>
        <v>0</v>
      </c>
      <c r="AK13" s="23">
        <f>SUMPRODUCT(--(Juillet[[#This Row],[1]:[31]]=LEFT(Juillet[[#Headers],[Repas]],1)))</f>
        <v>0</v>
      </c>
    </row>
    <row r="14" spans="2:37" ht="30" customHeight="1" thickBot="1" x14ac:dyDescent="0.3"/>
    <row r="15" spans="2:37" ht="30" customHeight="1" thickBot="1" x14ac:dyDescent="0.3">
      <c r="AB15" s="53" t="s">
        <v>53</v>
      </c>
      <c r="AC15" s="54"/>
      <c r="AD15" s="54"/>
      <c r="AE15" s="54"/>
      <c r="AF15" s="54"/>
      <c r="AG15" s="55"/>
      <c r="AH15" s="32">
        <f>SUM(AH7:AH14)</f>
        <v>0</v>
      </c>
      <c r="AI15" s="30">
        <f>SUM(AI7:AI14)</f>
        <v>0</v>
      </c>
      <c r="AJ15" s="30">
        <f>SUM(AJ7:AJ14)</f>
        <v>0</v>
      </c>
      <c r="AK15" s="31">
        <f>SUM(AK7:AK14)</f>
        <v>0</v>
      </c>
    </row>
  </sheetData>
  <mergeCells count="7">
    <mergeCell ref="AB15:AG15"/>
    <mergeCell ref="Q2:S2"/>
    <mergeCell ref="C4:AG4"/>
    <mergeCell ref="D2:E2"/>
    <mergeCell ref="K2:L2"/>
    <mergeCell ref="G2:H2"/>
    <mergeCell ref="N2:O2"/>
  </mergeCells>
  <conditionalFormatting sqref="C7:AG13">
    <cfRule type="expression" priority="5" stopIfTrue="1">
      <formula>C7=""</formula>
    </cfRule>
  </conditionalFormatting>
  <conditionalFormatting sqref="C7:AG13">
    <cfRule type="expression" dxfId="88" priority="6" stopIfTrue="1">
      <formula>C7=CléPanier_Repas</formula>
    </cfRule>
    <cfRule type="expression" dxfId="87" priority="7" stopIfTrue="1">
      <formula>C7=CléPersonnalisée1</formula>
    </cfRule>
    <cfRule type="expression" dxfId="86" priority="8" stopIfTrue="1">
      <formula>C7=CléMaladie</formula>
    </cfRule>
    <cfRule type="expression" dxfId="85" priority="9" stopIfTrue="1">
      <formula>C7=CléCongés</formula>
    </cfRule>
    <cfRule type="expression" dxfId="84" priority="10" stopIfTrue="1">
      <formula>C7=CléTravail</formula>
    </cfRule>
  </conditionalFormatting>
  <conditionalFormatting sqref="AH7:AK13">
    <cfRule type="dataBar" priority="1">
      <dataBar>
        <cfvo type="num" val="0"/>
        <cfvo type="num" val="31"/>
        <color theme="2" tint="-0.249977111117893"/>
      </dataBar>
      <extLst>
        <ext xmlns:x14="http://schemas.microsoft.com/office/spreadsheetml/2009/9/main" uri="{B025F937-C7B1-47D3-B67F-A62EFF666E3E}">
          <x14:id>{4F815EC5-870B-4923-9933-BD683D476BBB}</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Q2"/>
    <dataValidation allowBlank="1" showInputMessage="1" showErrorMessage="1" prompt="Entrez une lettre et personnalisez l’étiquette à droite pour ajouter un élément de clé" sqref="M2 P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juillet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4F815EC5-870B-4923-9933-BD683D476BBB}">
            <x14:dataBar minLength="0" maxLength="100">
              <x14:cfvo type="num">
                <xm:f>0</xm:f>
              </x14:cfvo>
              <x14:cfvo type="num">
                <xm:f>31</xm:f>
              </x14:cfvo>
              <x14:negativeFillColor rgb="FFFF0000"/>
              <x14:axisColor rgb="FF000000"/>
            </x14:dataBar>
          </x14:cfRule>
          <xm:sqref>AH7:AK13</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749992370372631"/>
  </sheetPr>
  <dimension ref="A1:AK14"/>
  <sheetViews>
    <sheetView showGridLines="0" topLeftCell="D1" workbookViewId="0">
      <selection activeCell="V8" sqref="V8"/>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9.5703125" style="9" customWidth="1"/>
    <col min="35" max="37" width="9.5703125" customWidth="1"/>
  </cols>
  <sheetData>
    <row r="1" spans="2:37" ht="50.1" customHeight="1" x14ac:dyDescent="0.25">
      <c r="B1" s="10" t="str">
        <f>Titre_Absence_Employé</f>
        <v>Calendrier  des employés</v>
      </c>
    </row>
    <row r="2" spans="2:37" ht="15" customHeight="1" x14ac:dyDescent="0.25">
      <c r="B2" s="13" t="s">
        <v>1</v>
      </c>
      <c r="C2" s="3" t="s">
        <v>2</v>
      </c>
      <c r="D2" s="44" t="s">
        <v>3</v>
      </c>
      <c r="E2" s="45"/>
      <c r="F2" s="4" t="s">
        <v>4</v>
      </c>
      <c r="G2" s="47" t="s">
        <v>5</v>
      </c>
      <c r="H2" s="47"/>
      <c r="I2" s="19"/>
      <c r="J2" s="5" t="s">
        <v>6</v>
      </c>
      <c r="K2" s="45" t="s">
        <v>7</v>
      </c>
      <c r="L2" s="45"/>
      <c r="M2" s="6" t="s">
        <v>8</v>
      </c>
      <c r="N2" s="46" t="s">
        <v>9</v>
      </c>
      <c r="O2" s="46"/>
      <c r="P2" s="7" t="s">
        <v>67</v>
      </c>
      <c r="Q2" s="46" t="s">
        <v>68</v>
      </c>
      <c r="R2" s="46"/>
      <c r="S2" s="46"/>
      <c r="T2" s="19"/>
      <c r="AI2" s="9"/>
    </row>
    <row r="3" spans="2:37" ht="15" customHeight="1" x14ac:dyDescent="0.25">
      <c r="B3" s="10"/>
    </row>
    <row r="4" spans="2:37" ht="30" customHeight="1" x14ac:dyDescent="0.25">
      <c r="B4" s="33" t="s">
        <v>62</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3">
        <f>AnnéeCalendrier</f>
        <v>2019</v>
      </c>
      <c r="AI4" s="33"/>
      <c r="AJ4" s="33"/>
      <c r="AK4" s="33"/>
    </row>
    <row r="5" spans="2:37" ht="15" customHeight="1" x14ac:dyDescent="0.25">
      <c r="B5" s="33"/>
      <c r="C5" s="1" t="str">
        <f>TEXT(WEEKDAY(DATE(AnnéeCalendrier,8,1),1),"jjj")</f>
        <v>jeu</v>
      </c>
      <c r="D5" s="1" t="str">
        <f>TEXT(WEEKDAY(DATE(AnnéeCalendrier,8,2),1),"jjj")</f>
        <v>ven</v>
      </c>
      <c r="E5" s="1" t="str">
        <f>TEXT(WEEKDAY(DATE(AnnéeCalendrier,8,3),1),"jjj")</f>
        <v>sam</v>
      </c>
      <c r="F5" s="1" t="str">
        <f>TEXT(WEEKDAY(DATE(AnnéeCalendrier,8,4),1),"jjj")</f>
        <v>dim</v>
      </c>
      <c r="G5" s="1" t="str">
        <f>TEXT(WEEKDAY(DATE(AnnéeCalendrier,8,5),1),"jjj")</f>
        <v>lun</v>
      </c>
      <c r="H5" s="1" t="str">
        <f>TEXT(WEEKDAY(DATE(AnnéeCalendrier,8,6),1),"jjj")</f>
        <v>mar</v>
      </c>
      <c r="I5" s="1" t="str">
        <f>TEXT(WEEKDAY(DATE(AnnéeCalendrier,8,7),1),"jjj")</f>
        <v>mer</v>
      </c>
      <c r="J5" s="1" t="str">
        <f>TEXT(WEEKDAY(DATE(AnnéeCalendrier,8,8),1),"jjj")</f>
        <v>jeu</v>
      </c>
      <c r="K5" s="1" t="str">
        <f>TEXT(WEEKDAY(DATE(AnnéeCalendrier,8,9),1),"jjj")</f>
        <v>ven</v>
      </c>
      <c r="L5" s="1" t="str">
        <f>TEXT(WEEKDAY(DATE(AnnéeCalendrier,8,10),1),"jjj")</f>
        <v>sam</v>
      </c>
      <c r="M5" s="1" t="str">
        <f>TEXT(WEEKDAY(DATE(AnnéeCalendrier,8,11),1),"jjj")</f>
        <v>dim</v>
      </c>
      <c r="N5" s="1" t="str">
        <f>TEXT(WEEKDAY(DATE(AnnéeCalendrier,8,12),1),"jjj")</f>
        <v>lun</v>
      </c>
      <c r="O5" s="1" t="str">
        <f>TEXT(WEEKDAY(DATE(AnnéeCalendrier,8,13),1),"jjj")</f>
        <v>mar</v>
      </c>
      <c r="P5" s="1" t="str">
        <f>TEXT(WEEKDAY(DATE(AnnéeCalendrier,8,14),1),"jjj")</f>
        <v>mer</v>
      </c>
      <c r="Q5" s="1" t="str">
        <f>TEXT(WEEKDAY(DATE(AnnéeCalendrier,8,15),1),"jjj")</f>
        <v>jeu</v>
      </c>
      <c r="R5" s="1" t="str">
        <f>TEXT(WEEKDAY(DATE(AnnéeCalendrier,8,16),1),"jjj")</f>
        <v>ven</v>
      </c>
      <c r="S5" s="1" t="str">
        <f>TEXT(WEEKDAY(DATE(AnnéeCalendrier,8,17),1),"jjj")</f>
        <v>sam</v>
      </c>
      <c r="T5" s="1" t="str">
        <f>TEXT(WEEKDAY(DATE(AnnéeCalendrier,8,18),1),"jjj")</f>
        <v>dim</v>
      </c>
      <c r="U5" s="1" t="str">
        <f>TEXT(WEEKDAY(DATE(AnnéeCalendrier,8,19),1),"jjj")</f>
        <v>lun</v>
      </c>
      <c r="V5" s="1" t="str">
        <f>TEXT(WEEKDAY(DATE(AnnéeCalendrier,8,20),1),"jjj")</f>
        <v>mar</v>
      </c>
      <c r="W5" s="1" t="str">
        <f>TEXT(WEEKDAY(DATE(AnnéeCalendrier,8,21),1),"jjj")</f>
        <v>mer</v>
      </c>
      <c r="X5" s="1" t="str">
        <f>TEXT(WEEKDAY(DATE(AnnéeCalendrier,8,22),1),"jjj")</f>
        <v>jeu</v>
      </c>
      <c r="Y5" s="1" t="str">
        <f>TEXT(WEEKDAY(DATE(AnnéeCalendrier,8,23),1),"jjj")</f>
        <v>ven</v>
      </c>
      <c r="Z5" s="1" t="str">
        <f>TEXT(WEEKDAY(DATE(AnnéeCalendrier,8,24),1),"jjj")</f>
        <v>sam</v>
      </c>
      <c r="AA5" s="1" t="str">
        <f>TEXT(WEEKDAY(DATE(AnnéeCalendrier,8,25),1),"jjj")</f>
        <v>dim</v>
      </c>
      <c r="AB5" s="1" t="str">
        <f>TEXT(WEEKDAY(DATE(AnnéeCalendrier,8,26),1),"jjj")</f>
        <v>lun</v>
      </c>
      <c r="AC5" s="1" t="str">
        <f>TEXT(WEEKDAY(DATE(AnnéeCalendrier,8,27),1),"jjj")</f>
        <v>mar</v>
      </c>
      <c r="AD5" s="1" t="str">
        <f>TEXT(WEEKDAY(DATE(AnnéeCalendrier,8,28),1),"jjj")</f>
        <v>mer</v>
      </c>
      <c r="AE5" s="1" t="str">
        <f>TEXT(WEEKDAY(DATE(AnnéeCalendrier,8,29),1),"jjj")</f>
        <v>jeu</v>
      </c>
      <c r="AF5" s="1" t="str">
        <f>TEXT(WEEKDAY(DATE(AnnéeCalendrier,8,30),1),"jjj")</f>
        <v>ven</v>
      </c>
      <c r="AG5" s="1" t="str">
        <f>TEXT(WEEKDAY(DATE(AnnéeCalendrier,8,31),1),"jjj")</f>
        <v>sam</v>
      </c>
      <c r="AH5" s="33"/>
      <c r="AI5" s="33"/>
      <c r="AJ5" s="33"/>
      <c r="AK5" s="33"/>
    </row>
    <row r="6" spans="2:37" ht="15" customHeight="1" thickBot="1" x14ac:dyDescent="0.3">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44</v>
      </c>
      <c r="AH6" s="3" t="s">
        <v>3</v>
      </c>
      <c r="AI6" s="6" t="s">
        <v>9</v>
      </c>
      <c r="AJ6" s="5" t="s">
        <v>7</v>
      </c>
      <c r="AK6" s="4" t="s">
        <v>69</v>
      </c>
    </row>
    <row r="7" spans="2:37" ht="30" customHeight="1" thickBot="1" x14ac:dyDescent="0.3">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3">
        <f>SUMPRODUCT(--(Août[[#This Row],[1]:[31]]=LEFT(Août[[#Headers],[Travaillé]],1)))</f>
        <v>0</v>
      </c>
      <c r="AI7" s="23">
        <f>SUMPRODUCT(--(Août[[#This Row],[1]:[31]]=LEFT(Août[[#Headers],[Congés]],1)))</f>
        <v>0</v>
      </c>
      <c r="AJ7" s="23">
        <f>SUMPRODUCT(--(Août[[#This Row],[1]:[31]]=LEFT(Août[[#Headers],[Maladie]],1)))</f>
        <v>0</v>
      </c>
      <c r="AK7" s="23">
        <f>SUMPRODUCT(--(Août[[#This Row],[1]:[31]]=LEFT(Août[[#Headers],[Repas]],1)))</f>
        <v>0</v>
      </c>
    </row>
    <row r="8" spans="2:37" ht="30" customHeight="1" thickBot="1" x14ac:dyDescent="0.3">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3">
        <f>SUMPRODUCT(--(Août[[#This Row],[1]:[31]]=LEFT(Août[[#Headers],[Travaillé]],1)))</f>
        <v>0</v>
      </c>
      <c r="AI8" s="23">
        <f>SUMPRODUCT(--(Août[[#This Row],[1]:[31]]=LEFT(Août[[#Headers],[Congés]],1)))</f>
        <v>0</v>
      </c>
      <c r="AJ8" s="23">
        <f>SUMPRODUCT(--(Août[[#This Row],[1]:[31]]=LEFT(Août[[#Headers],[Maladie]],1)))</f>
        <v>0</v>
      </c>
      <c r="AK8" s="23">
        <f>SUMPRODUCT(--(Août[[#This Row],[1]:[31]]=LEFT(Août[[#Headers],[Repas]],1)))</f>
        <v>0</v>
      </c>
    </row>
    <row r="9" spans="2:37" ht="30" customHeight="1" x14ac:dyDescent="0.25">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3">
        <f>SUMPRODUCT(--(Août[[#This Row],[1]:[31]]=LEFT(Août[[#Headers],[Travaillé]],1)))</f>
        <v>0</v>
      </c>
      <c r="AI9" s="23">
        <f>SUMPRODUCT(--(Août[[#This Row],[1]:[31]]=LEFT(Août[[#Headers],[Congés]],1)))</f>
        <v>0</v>
      </c>
      <c r="AJ9" s="23">
        <f>SUMPRODUCT(--(Août[[#This Row],[1]:[31]]=LEFT(Août[[#Headers],[Maladie]],1)))</f>
        <v>0</v>
      </c>
      <c r="AK9" s="23">
        <f>SUMPRODUCT(--(Août[[#This Row],[1]:[31]]=LEFT(Août[[#Headers],[Repas]],1)))</f>
        <v>0</v>
      </c>
    </row>
    <row r="10" spans="2:37" ht="30" customHeight="1" x14ac:dyDescent="0.25">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3">
        <f>SUMPRODUCT(--(Août[[#This Row],[1]:[31]]=LEFT(Août[[#Headers],[Travaillé]],1)))</f>
        <v>0</v>
      </c>
      <c r="AI10" s="23">
        <f>SUMPRODUCT(--(Août[[#This Row],[1]:[31]]=LEFT(Août[[#Headers],[Congés]],1)))</f>
        <v>0</v>
      </c>
      <c r="AJ10" s="23">
        <f>SUMPRODUCT(--(Août[[#This Row],[1]:[31]]=LEFT(Août[[#Headers],[Maladie]],1)))</f>
        <v>0</v>
      </c>
      <c r="AK10" s="23">
        <f>SUMPRODUCT(--(Août[[#This Row],[1]:[31]]=LEFT(Août[[#Headers],[Repas]],1)))</f>
        <v>0</v>
      </c>
    </row>
    <row r="11" spans="2:37" ht="30" customHeight="1" x14ac:dyDescent="0.25">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3">
        <f>SUMPRODUCT(--(Août[[#This Row],[1]:[31]]=LEFT(Août[[#Headers],[Travaillé]],1)))</f>
        <v>0</v>
      </c>
      <c r="AI11" s="23">
        <f>SUMPRODUCT(--(Août[[#This Row],[1]:[31]]=LEFT(Août[[#Headers],[Congés]],1)))</f>
        <v>0</v>
      </c>
      <c r="AJ11" s="23">
        <f>SUMPRODUCT(--(Août[[#This Row],[1]:[31]]=LEFT(Août[[#Headers],[Maladie]],1)))</f>
        <v>0</v>
      </c>
      <c r="AK11" s="23">
        <f>SUMPRODUCT(--(Août[[#This Row],[1]:[31]]=LEFT(Août[[#Headers],[Repas]],1)))</f>
        <v>0</v>
      </c>
    </row>
    <row r="12" spans="2:37" ht="30" customHeight="1" x14ac:dyDescent="0.25">
      <c r="B12" s="15" t="str">
        <f>Janvier!B12</f>
        <v>Employé 5</v>
      </c>
      <c r="AH12" s="23">
        <f>SUMPRODUCT(--(Août[[#This Row],[1]:[31]]=LEFT(Août[[#Headers],[Travaillé]],1)))</f>
        <v>0</v>
      </c>
      <c r="AI12" s="23">
        <f>SUMPRODUCT(--(Août[[#This Row],[1]:[31]]=LEFT(Août[[#Headers],[Congés]],1)))</f>
        <v>0</v>
      </c>
      <c r="AJ12" s="23">
        <f>SUMPRODUCT(--(Août[[#This Row],[1]:[31]]=LEFT(Août[[#Headers],[Maladie]],1)))</f>
        <v>0</v>
      </c>
      <c r="AK12" s="23">
        <f>SUMPRODUCT(--(Août[[#This Row],[1]:[31]]=LEFT(Août[[#Headers],[Repas]],1)))</f>
        <v>0</v>
      </c>
    </row>
    <row r="13" spans="2:37" ht="30" customHeight="1" thickBot="1" x14ac:dyDescent="0.3"/>
    <row r="14" spans="2:37" ht="30" customHeight="1" thickBot="1" x14ac:dyDescent="0.3">
      <c r="AB14" s="53" t="s">
        <v>53</v>
      </c>
      <c r="AC14" s="54"/>
      <c r="AD14" s="54"/>
      <c r="AE14" s="54"/>
      <c r="AF14" s="54"/>
      <c r="AG14" s="55"/>
      <c r="AH14" s="32">
        <f>SUM(AH7:AH13)</f>
        <v>0</v>
      </c>
      <c r="AI14" s="30">
        <f>SUM(AI7:AI13)</f>
        <v>0</v>
      </c>
      <c r="AJ14" s="30">
        <f>SUM(AJ7:AJ13)</f>
        <v>0</v>
      </c>
      <c r="AK14" s="31">
        <f>SUM(AK7:AK13)</f>
        <v>0</v>
      </c>
    </row>
  </sheetData>
  <mergeCells count="7">
    <mergeCell ref="AB14:AG14"/>
    <mergeCell ref="Q2:S2"/>
    <mergeCell ref="C4:AG4"/>
    <mergeCell ref="D2:E2"/>
    <mergeCell ref="K2:L2"/>
    <mergeCell ref="G2:H2"/>
    <mergeCell ref="N2:O2"/>
  </mergeCells>
  <conditionalFormatting sqref="C7:AG12">
    <cfRule type="expression" priority="5" stopIfTrue="1">
      <formula>C7=""</formula>
    </cfRule>
  </conditionalFormatting>
  <conditionalFormatting sqref="C7:AG12">
    <cfRule type="expression" dxfId="83" priority="6" stopIfTrue="1">
      <formula>C7=CléPanier_Repas</formula>
    </cfRule>
    <cfRule type="expression" dxfId="82" priority="7" stopIfTrue="1">
      <formula>C7=CléPersonnalisée1</formula>
    </cfRule>
    <cfRule type="expression" dxfId="81" priority="8" stopIfTrue="1">
      <formula>C7=CléMaladie</formula>
    </cfRule>
    <cfRule type="expression" dxfId="80" priority="9" stopIfTrue="1">
      <formula>C7=CléCongés</formula>
    </cfRule>
    <cfRule type="expression" dxfId="79" priority="10" stopIfTrue="1">
      <formula>C7=CléTravail</formula>
    </cfRule>
  </conditionalFormatting>
  <conditionalFormatting sqref="AH7:AK12">
    <cfRule type="dataBar" priority="1">
      <dataBar>
        <cfvo type="num" val="0"/>
        <cfvo type="num" val="31"/>
        <color theme="2" tint="-0.249977111117893"/>
      </dataBar>
      <extLst>
        <ext xmlns:x14="http://schemas.microsoft.com/office/spreadsheetml/2009/9/main" uri="{B025F937-C7B1-47D3-B67F-A62EFF666E3E}">
          <x14:id>{C638B298-D8F1-4C7F-ACB1-07D912E44042}</x14:id>
        </ext>
      </extLst>
    </cfRule>
  </conditionalFormatting>
  <dataValidations count="1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Suivez les absences du mois d’août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P2"/>
    <dataValidation allowBlank="1" showInputMessage="1" showErrorMessage="1" prompt="Entrez une étiquette pour décrire la clé personnalisée à gauche" sqref="N2 Q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638B298-D8F1-4C7F-ACB1-07D912E44042}">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499984740745262"/>
  </sheetPr>
  <dimension ref="A1:AK14"/>
  <sheetViews>
    <sheetView showGridLines="0" topLeftCell="C1" workbookViewId="0">
      <selection activeCell="AK7" sqref="AK7:AK12"/>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9.5703125" style="9" customWidth="1"/>
    <col min="35" max="37" width="9.5703125" customWidth="1"/>
  </cols>
  <sheetData>
    <row r="1" spans="2:37" ht="50.1" customHeight="1" x14ac:dyDescent="0.25">
      <c r="B1" s="10" t="str">
        <f>Titre_Absence_Employé</f>
        <v>Calendrier  des employés</v>
      </c>
    </row>
    <row r="2" spans="2:37" ht="15" customHeight="1" x14ac:dyDescent="0.25">
      <c r="B2" s="13" t="s">
        <v>1</v>
      </c>
      <c r="C2" s="3" t="s">
        <v>2</v>
      </c>
      <c r="D2" s="44" t="s">
        <v>3</v>
      </c>
      <c r="E2" s="45"/>
      <c r="F2" s="4" t="s">
        <v>4</v>
      </c>
      <c r="G2" s="47" t="s">
        <v>5</v>
      </c>
      <c r="H2" s="47"/>
      <c r="I2" s="19"/>
      <c r="J2" s="5" t="s">
        <v>6</v>
      </c>
      <c r="K2" s="45" t="s">
        <v>7</v>
      </c>
      <c r="L2" s="45"/>
      <c r="M2" s="6" t="s">
        <v>8</v>
      </c>
      <c r="N2" s="46" t="s">
        <v>9</v>
      </c>
      <c r="O2" s="46"/>
      <c r="P2" s="7" t="s">
        <v>67</v>
      </c>
      <c r="Q2" s="46" t="s">
        <v>68</v>
      </c>
      <c r="R2" s="46"/>
      <c r="S2" s="46"/>
      <c r="T2" s="19"/>
      <c r="AI2" s="9"/>
    </row>
    <row r="3" spans="2:37" ht="15" customHeight="1" x14ac:dyDescent="0.25">
      <c r="B3" s="10"/>
    </row>
    <row r="4" spans="2:37" ht="30" customHeight="1" x14ac:dyDescent="0.25">
      <c r="B4" s="33" t="s">
        <v>63</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3">
        <f>AnnéeCalendrier</f>
        <v>2019</v>
      </c>
      <c r="AI4" s="33"/>
      <c r="AJ4" s="33"/>
      <c r="AK4" s="33"/>
    </row>
    <row r="5" spans="2:37" ht="15" customHeight="1" x14ac:dyDescent="0.25">
      <c r="B5" s="33"/>
      <c r="C5" s="1" t="str">
        <f>TEXT(WEEKDAY(DATE(AnnéeCalendrier,9,1),1),"jjj")</f>
        <v>dim</v>
      </c>
      <c r="D5" s="1" t="str">
        <f>TEXT(WEEKDAY(DATE(AnnéeCalendrier,9,2),1),"jjj")</f>
        <v>lun</v>
      </c>
      <c r="E5" s="1" t="str">
        <f>TEXT(WEEKDAY(DATE(AnnéeCalendrier,9,3),1),"jjj")</f>
        <v>mar</v>
      </c>
      <c r="F5" s="1" t="str">
        <f>TEXT(WEEKDAY(DATE(AnnéeCalendrier,9,4),1),"jjj")</f>
        <v>mer</v>
      </c>
      <c r="G5" s="1" t="str">
        <f>TEXT(WEEKDAY(DATE(AnnéeCalendrier,9,5),1),"jjj")</f>
        <v>jeu</v>
      </c>
      <c r="H5" s="1" t="str">
        <f>TEXT(WEEKDAY(DATE(AnnéeCalendrier,9,6),1),"jjj")</f>
        <v>ven</v>
      </c>
      <c r="I5" s="1" t="str">
        <f>TEXT(WEEKDAY(DATE(AnnéeCalendrier,9,7),1),"jjj")</f>
        <v>sam</v>
      </c>
      <c r="J5" s="1" t="str">
        <f>TEXT(WEEKDAY(DATE(AnnéeCalendrier,9,8),1),"jjj")</f>
        <v>dim</v>
      </c>
      <c r="K5" s="1" t="str">
        <f>TEXT(WEEKDAY(DATE(AnnéeCalendrier,9,9),1),"jjj")</f>
        <v>lun</v>
      </c>
      <c r="L5" s="1" t="str">
        <f>TEXT(WEEKDAY(DATE(AnnéeCalendrier,9,10),1),"jjj")</f>
        <v>mar</v>
      </c>
      <c r="M5" s="1" t="str">
        <f>TEXT(WEEKDAY(DATE(AnnéeCalendrier,9,11),1),"jjj")</f>
        <v>mer</v>
      </c>
      <c r="N5" s="1" t="str">
        <f>TEXT(WEEKDAY(DATE(AnnéeCalendrier,9,12),1),"jjj")</f>
        <v>jeu</v>
      </c>
      <c r="O5" s="1" t="str">
        <f>TEXT(WEEKDAY(DATE(AnnéeCalendrier,9,13),1),"jjj")</f>
        <v>ven</v>
      </c>
      <c r="P5" s="1" t="str">
        <f>TEXT(WEEKDAY(DATE(AnnéeCalendrier,9,14),1),"jjj")</f>
        <v>sam</v>
      </c>
      <c r="Q5" s="1" t="str">
        <f>TEXT(WEEKDAY(DATE(AnnéeCalendrier,9,15),1),"jjj")</f>
        <v>dim</v>
      </c>
      <c r="R5" s="1" t="str">
        <f>TEXT(WEEKDAY(DATE(AnnéeCalendrier,9,16),1),"jjj")</f>
        <v>lun</v>
      </c>
      <c r="S5" s="1" t="str">
        <f>TEXT(WEEKDAY(DATE(AnnéeCalendrier,9,17),1),"jjj")</f>
        <v>mar</v>
      </c>
      <c r="T5" s="1" t="str">
        <f>TEXT(WEEKDAY(DATE(AnnéeCalendrier,9,18),1),"jjj")</f>
        <v>mer</v>
      </c>
      <c r="U5" s="1" t="str">
        <f>TEXT(WEEKDAY(DATE(AnnéeCalendrier,9,19),1),"jjj")</f>
        <v>jeu</v>
      </c>
      <c r="V5" s="1" t="str">
        <f>TEXT(WEEKDAY(DATE(AnnéeCalendrier,9,20),1),"jjj")</f>
        <v>ven</v>
      </c>
      <c r="W5" s="1" t="str">
        <f>TEXT(WEEKDAY(DATE(AnnéeCalendrier,9,21),1),"jjj")</f>
        <v>sam</v>
      </c>
      <c r="X5" s="1" t="str">
        <f>TEXT(WEEKDAY(DATE(AnnéeCalendrier,9,22),1),"jjj")</f>
        <v>dim</v>
      </c>
      <c r="Y5" s="1" t="str">
        <f>TEXT(WEEKDAY(DATE(AnnéeCalendrier,9,23),1),"jjj")</f>
        <v>lun</v>
      </c>
      <c r="Z5" s="1" t="str">
        <f>TEXT(WEEKDAY(DATE(AnnéeCalendrier,9,24),1),"jjj")</f>
        <v>mar</v>
      </c>
      <c r="AA5" s="1" t="str">
        <f>TEXT(WEEKDAY(DATE(AnnéeCalendrier,9,25),1),"jjj")</f>
        <v>mer</v>
      </c>
      <c r="AB5" s="1" t="str">
        <f>TEXT(WEEKDAY(DATE(AnnéeCalendrier,9,26),1),"jjj")</f>
        <v>jeu</v>
      </c>
      <c r="AC5" s="1" t="str">
        <f>TEXT(WEEKDAY(DATE(AnnéeCalendrier,9,27),1),"jjj")</f>
        <v>ven</v>
      </c>
      <c r="AD5" s="1" t="str">
        <f>TEXT(WEEKDAY(DATE(AnnéeCalendrier,9,28),1),"jjj")</f>
        <v>sam</v>
      </c>
      <c r="AE5" s="1" t="str">
        <f>TEXT(WEEKDAY(DATE(AnnéeCalendrier,9,29),1),"jjj")</f>
        <v>dim</v>
      </c>
      <c r="AF5" s="1" t="str">
        <f>TEXT(WEEKDAY(DATE(AnnéeCalendrier,9,30),1),"jjj")</f>
        <v>lun</v>
      </c>
      <c r="AG5" s="1"/>
      <c r="AH5" s="33"/>
      <c r="AI5" s="33"/>
      <c r="AJ5" s="33"/>
      <c r="AK5" s="33"/>
    </row>
    <row r="6" spans="2:37" ht="15" customHeight="1" x14ac:dyDescent="0.25">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52</v>
      </c>
      <c r="AH6" s="3" t="s">
        <v>3</v>
      </c>
      <c r="AI6" s="6" t="s">
        <v>9</v>
      </c>
      <c r="AJ6" s="5" t="s">
        <v>7</v>
      </c>
      <c r="AK6" s="4" t="s">
        <v>69</v>
      </c>
    </row>
    <row r="7" spans="2:37" ht="30" customHeight="1" x14ac:dyDescent="0.25">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3">
        <f>SUMPRODUCT(--(Septembre[[#This Row],[1]:[30]]=LEFT(Septembre[[#Headers],[Travaillé]],1)))</f>
        <v>0</v>
      </c>
      <c r="AI7" s="23">
        <f>SUMPRODUCT(--(Septembre[[#This Row],[1]:[30]]=LEFT(Septembre[[#Headers],[Congés]],1)))</f>
        <v>0</v>
      </c>
      <c r="AJ7" s="23">
        <f>SUMPRODUCT(--(Septembre[[#This Row],[1]:[30]]=LEFT(Septembre[[#Headers],[Maladie]],1)))</f>
        <v>0</v>
      </c>
      <c r="AK7" s="23">
        <f>SUMPRODUCT(--(Septembre[[#This Row],[1]:[30]]=LEFT(Septembre[[#Headers],[Repas]],1)))</f>
        <v>0</v>
      </c>
    </row>
    <row r="8" spans="2:37" ht="30" customHeight="1" x14ac:dyDescent="0.25">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3">
        <f>SUMPRODUCT(--(Septembre[[#This Row],[1]:[30]]=LEFT(Septembre[[#Headers],[Travaillé]],1)))</f>
        <v>0</v>
      </c>
      <c r="AI8" s="23">
        <f>SUMPRODUCT(--(Septembre[[#This Row],[1]:[30]]=LEFT(Septembre[[#Headers],[Congés]],1)))</f>
        <v>0</v>
      </c>
      <c r="AJ8" s="23">
        <f>SUMPRODUCT(--(Septembre[[#This Row],[1]:[30]]=LEFT(Septembre[[#Headers],[Maladie]],1)))</f>
        <v>0</v>
      </c>
      <c r="AK8" s="23">
        <f>SUMPRODUCT(--(Septembre[[#This Row],[1]:[30]]=LEFT(Septembre[[#Headers],[Repas]],1)))</f>
        <v>0</v>
      </c>
    </row>
    <row r="9" spans="2:37" ht="30" customHeight="1" x14ac:dyDescent="0.25">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3">
        <f>SUMPRODUCT(--(Septembre[[#This Row],[1]:[30]]=LEFT(Septembre[[#Headers],[Travaillé]],1)))</f>
        <v>0</v>
      </c>
      <c r="AI9" s="23">
        <f>SUMPRODUCT(--(Septembre[[#This Row],[1]:[30]]=LEFT(Septembre[[#Headers],[Congés]],1)))</f>
        <v>0</v>
      </c>
      <c r="AJ9" s="23">
        <f>SUMPRODUCT(--(Septembre[[#This Row],[1]:[30]]=LEFT(Septembre[[#Headers],[Maladie]],1)))</f>
        <v>0</v>
      </c>
      <c r="AK9" s="23">
        <f>SUMPRODUCT(--(Septembre[[#This Row],[1]:[30]]=LEFT(Septembre[[#Headers],[Repas]],1)))</f>
        <v>0</v>
      </c>
    </row>
    <row r="10" spans="2:37" ht="30" customHeight="1" x14ac:dyDescent="0.25">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3">
        <f>SUMPRODUCT(--(Septembre[[#This Row],[1]:[30]]=LEFT(Septembre[[#Headers],[Travaillé]],1)))</f>
        <v>0</v>
      </c>
      <c r="AI10" s="23">
        <f>SUMPRODUCT(--(Septembre[[#This Row],[1]:[30]]=LEFT(Septembre[[#Headers],[Congés]],1)))</f>
        <v>0</v>
      </c>
      <c r="AJ10" s="23">
        <f>SUMPRODUCT(--(Septembre[[#This Row],[1]:[30]]=LEFT(Septembre[[#Headers],[Maladie]],1)))</f>
        <v>0</v>
      </c>
      <c r="AK10" s="23">
        <f>SUMPRODUCT(--(Septembre[[#This Row],[1]:[30]]=LEFT(Septembre[[#Headers],[Repas]],1)))</f>
        <v>0</v>
      </c>
    </row>
    <row r="11" spans="2:37" ht="30" customHeight="1" x14ac:dyDescent="0.25">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3">
        <f>SUMPRODUCT(--(Septembre[[#This Row],[1]:[30]]=LEFT(Septembre[[#Headers],[Travaillé]],1)))</f>
        <v>0</v>
      </c>
      <c r="AI11" s="23">
        <f>SUMPRODUCT(--(Septembre[[#This Row],[1]:[30]]=LEFT(Septembre[[#Headers],[Congés]],1)))</f>
        <v>0</v>
      </c>
      <c r="AJ11" s="23">
        <f>SUMPRODUCT(--(Septembre[[#This Row],[1]:[30]]=LEFT(Septembre[[#Headers],[Maladie]],1)))</f>
        <v>0</v>
      </c>
      <c r="AK11" s="23">
        <f>SUMPRODUCT(--(Septembre[[#This Row],[1]:[30]]=LEFT(Septembre[[#Headers],[Repas]],1)))</f>
        <v>0</v>
      </c>
    </row>
    <row r="12" spans="2:37" ht="30" customHeight="1" x14ac:dyDescent="0.25">
      <c r="B12" s="15" t="str">
        <f>Janvier!B12</f>
        <v>Employé 5</v>
      </c>
      <c r="AH12" s="23">
        <f>SUMPRODUCT(--(Septembre[[#This Row],[1]:[30]]=LEFT(Septembre[[#Headers],[Travaillé]],1)))</f>
        <v>0</v>
      </c>
      <c r="AI12" s="23">
        <f>SUMPRODUCT(--(Septembre[[#This Row],[1]:[30]]=LEFT(Septembre[[#Headers],[Congés]],1)))</f>
        <v>0</v>
      </c>
      <c r="AJ12" s="23">
        <f>SUMPRODUCT(--(Septembre[[#This Row],[1]:[30]]=LEFT(Septembre[[#Headers],[Maladie]],1)))</f>
        <v>0</v>
      </c>
      <c r="AK12" s="23">
        <f>SUMPRODUCT(--(Septembre[[#This Row],[1]:[30]]=LEFT(Septembre[[#Headers],[Repas]],1)))</f>
        <v>0</v>
      </c>
    </row>
    <row r="13" spans="2:37" ht="30" customHeight="1" thickBot="1" x14ac:dyDescent="0.3"/>
    <row r="14" spans="2:37" ht="30" customHeight="1" thickBot="1" x14ac:dyDescent="0.3">
      <c r="AB14" s="53" t="s">
        <v>53</v>
      </c>
      <c r="AC14" s="54"/>
      <c r="AD14" s="54"/>
      <c r="AE14" s="54"/>
      <c r="AF14" s="54"/>
      <c r="AG14" s="55"/>
      <c r="AH14" s="32">
        <f>SUM(AH8:AH13)</f>
        <v>0</v>
      </c>
      <c r="AI14" s="30">
        <f>SUM(AI8:AI13)</f>
        <v>0</v>
      </c>
      <c r="AJ14" s="30">
        <f>SUM(AJ8:AJ13)</f>
        <v>0</v>
      </c>
      <c r="AK14" s="31">
        <f>SUM(AK8:AK13)</f>
        <v>0</v>
      </c>
    </row>
  </sheetData>
  <mergeCells count="7">
    <mergeCell ref="AB14:AG14"/>
    <mergeCell ref="Q2:S2"/>
    <mergeCell ref="C4:AG4"/>
    <mergeCell ref="D2:E2"/>
    <mergeCell ref="K2:L2"/>
    <mergeCell ref="G2:H2"/>
    <mergeCell ref="N2:O2"/>
  </mergeCells>
  <conditionalFormatting sqref="C7:AG12">
    <cfRule type="expression" priority="5" stopIfTrue="1">
      <formula>C7=""</formula>
    </cfRule>
  </conditionalFormatting>
  <conditionalFormatting sqref="C7:AG12">
    <cfRule type="expression" dxfId="78" priority="6" stopIfTrue="1">
      <formula>C7=CléPanier_Repas</formula>
    </cfRule>
    <cfRule type="expression" dxfId="77" priority="7" stopIfTrue="1">
      <formula>C7=CléPersonnalisée1</formula>
    </cfRule>
    <cfRule type="expression" dxfId="76" priority="8" stopIfTrue="1">
      <formula>C7=CléMaladie</formula>
    </cfRule>
    <cfRule type="expression" dxfId="75" priority="9" stopIfTrue="1">
      <formula>C7=CléCongés</formula>
    </cfRule>
    <cfRule type="expression" dxfId="74" priority="10" stopIfTrue="1">
      <formula>C7=CléTravail</formula>
    </cfRule>
  </conditionalFormatting>
  <conditionalFormatting sqref="AH7:AK12">
    <cfRule type="dataBar" priority="1">
      <dataBar>
        <cfvo type="num" val="0"/>
        <cfvo type="num" val="31"/>
        <color theme="2" tint="-0.249977111117893"/>
      </dataBar>
      <extLst>
        <ext xmlns:x14="http://schemas.microsoft.com/office/spreadsheetml/2009/9/main" uri="{B025F937-C7B1-47D3-B67F-A62EFF666E3E}">
          <x14:id>{DC04EEE4-361C-42FF-979B-5F1021E93E5B}</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Q2"/>
    <dataValidation allowBlank="1" showInputMessage="1" showErrorMessage="1" prompt="Entrez une lettre et personnalisez l’étiquette à droite pour ajouter un élément de clé" sqref="M2 P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septembre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DC04EEE4-361C-42FF-979B-5F1021E93E5B}">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K14"/>
  <sheetViews>
    <sheetView showGridLines="0" topLeftCell="D1" workbookViewId="0">
      <selection activeCell="AK7" sqref="AK7:AK12"/>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9.5703125" style="9" customWidth="1"/>
    <col min="35" max="37" width="9.5703125" customWidth="1"/>
  </cols>
  <sheetData>
    <row r="1" spans="2:37" ht="50.1" customHeight="1" x14ac:dyDescent="0.25">
      <c r="B1" s="10" t="str">
        <f>Titre_Absence_Employé</f>
        <v>Calendrier  des employés</v>
      </c>
    </row>
    <row r="2" spans="2:37" ht="15" customHeight="1" x14ac:dyDescent="0.25">
      <c r="B2" s="13" t="s">
        <v>1</v>
      </c>
      <c r="C2" s="3" t="s">
        <v>2</v>
      </c>
      <c r="D2" s="44" t="s">
        <v>3</v>
      </c>
      <c r="E2" s="45"/>
      <c r="F2" s="4" t="s">
        <v>4</v>
      </c>
      <c r="G2" s="47" t="s">
        <v>5</v>
      </c>
      <c r="H2" s="47"/>
      <c r="I2" s="19"/>
      <c r="J2" s="5" t="s">
        <v>6</v>
      </c>
      <c r="K2" s="45" t="s">
        <v>7</v>
      </c>
      <c r="L2" s="45"/>
      <c r="M2" s="6" t="s">
        <v>8</v>
      </c>
      <c r="N2" s="46" t="s">
        <v>9</v>
      </c>
      <c r="O2" s="46"/>
      <c r="P2" s="7" t="s">
        <v>67</v>
      </c>
      <c r="Q2" s="46" t="s">
        <v>68</v>
      </c>
      <c r="R2" s="46"/>
      <c r="S2" s="46"/>
      <c r="T2" s="19"/>
      <c r="AI2" s="9"/>
    </row>
    <row r="3" spans="2:37" ht="15" customHeight="1" x14ac:dyDescent="0.25">
      <c r="B3" s="10"/>
    </row>
    <row r="4" spans="2:37" ht="30" customHeight="1" x14ac:dyDescent="0.25">
      <c r="B4" s="33" t="s">
        <v>64</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3">
        <f>AnnéeCalendrier</f>
        <v>2019</v>
      </c>
      <c r="AI4" s="33"/>
      <c r="AJ4" s="33"/>
      <c r="AK4" s="33"/>
    </row>
    <row r="5" spans="2:37" ht="15" customHeight="1" x14ac:dyDescent="0.25">
      <c r="B5" s="33"/>
      <c r="C5" s="1" t="str">
        <f>TEXT(WEEKDAY(DATE(AnnéeCalendrier,10,1),1),"jjj")</f>
        <v>mar</v>
      </c>
      <c r="D5" s="1" t="str">
        <f>TEXT(WEEKDAY(DATE(AnnéeCalendrier,10,2),1),"jjj")</f>
        <v>mer</v>
      </c>
      <c r="E5" s="1" t="str">
        <f>TEXT(WEEKDAY(DATE(AnnéeCalendrier,10,3),1),"jjj")</f>
        <v>jeu</v>
      </c>
      <c r="F5" s="1" t="str">
        <f>TEXT(WEEKDAY(DATE(AnnéeCalendrier,10,4),1),"jjj")</f>
        <v>ven</v>
      </c>
      <c r="G5" s="1" t="str">
        <f>TEXT(WEEKDAY(DATE(AnnéeCalendrier,10,5),1),"jjj")</f>
        <v>sam</v>
      </c>
      <c r="H5" s="1" t="str">
        <f>TEXT(WEEKDAY(DATE(AnnéeCalendrier,10,6),1),"jjj")</f>
        <v>dim</v>
      </c>
      <c r="I5" s="1" t="str">
        <f>TEXT(WEEKDAY(DATE(AnnéeCalendrier,10,7),1),"jjj")</f>
        <v>lun</v>
      </c>
      <c r="J5" s="1" t="str">
        <f>TEXT(WEEKDAY(DATE(AnnéeCalendrier,10,8),1),"jjj")</f>
        <v>mar</v>
      </c>
      <c r="K5" s="1" t="str">
        <f>TEXT(WEEKDAY(DATE(AnnéeCalendrier,10,9),1),"jjj")</f>
        <v>mer</v>
      </c>
      <c r="L5" s="1" t="str">
        <f>TEXT(WEEKDAY(DATE(AnnéeCalendrier,10,10),1),"jjj")</f>
        <v>jeu</v>
      </c>
      <c r="M5" s="1" t="str">
        <f>TEXT(WEEKDAY(DATE(AnnéeCalendrier,10,11),1),"jjj")</f>
        <v>ven</v>
      </c>
      <c r="N5" s="1" t="str">
        <f>TEXT(WEEKDAY(DATE(AnnéeCalendrier,10,12),1),"jjj")</f>
        <v>sam</v>
      </c>
      <c r="O5" s="1" t="str">
        <f>TEXT(WEEKDAY(DATE(AnnéeCalendrier,10,13),1),"jjj")</f>
        <v>dim</v>
      </c>
      <c r="P5" s="1" t="str">
        <f>TEXT(WEEKDAY(DATE(AnnéeCalendrier,10,14),1),"jjj")</f>
        <v>lun</v>
      </c>
      <c r="Q5" s="1" t="str">
        <f>TEXT(WEEKDAY(DATE(AnnéeCalendrier,10,15),1),"jjj")</f>
        <v>mar</v>
      </c>
      <c r="R5" s="1" t="str">
        <f>TEXT(WEEKDAY(DATE(AnnéeCalendrier,10,16),1),"jjj")</f>
        <v>mer</v>
      </c>
      <c r="S5" s="1" t="str">
        <f>TEXT(WEEKDAY(DATE(AnnéeCalendrier,10,17),1),"jjj")</f>
        <v>jeu</v>
      </c>
      <c r="T5" s="1" t="str">
        <f>TEXT(WEEKDAY(DATE(AnnéeCalendrier,10,18),1),"jjj")</f>
        <v>ven</v>
      </c>
      <c r="U5" s="1" t="str">
        <f>TEXT(WEEKDAY(DATE(AnnéeCalendrier,10,19),1),"jjj")</f>
        <v>sam</v>
      </c>
      <c r="V5" s="1" t="str">
        <f>TEXT(WEEKDAY(DATE(AnnéeCalendrier,10,20),1),"jjj")</f>
        <v>dim</v>
      </c>
      <c r="W5" s="1" t="str">
        <f>TEXT(WEEKDAY(DATE(AnnéeCalendrier,10,21),1),"jjj")</f>
        <v>lun</v>
      </c>
      <c r="X5" s="1" t="str">
        <f>TEXT(WEEKDAY(DATE(AnnéeCalendrier,10,22),1),"jjj")</f>
        <v>mar</v>
      </c>
      <c r="Y5" s="1" t="str">
        <f>TEXT(WEEKDAY(DATE(AnnéeCalendrier,10,23),1),"jjj")</f>
        <v>mer</v>
      </c>
      <c r="Z5" s="1" t="str">
        <f>TEXT(WEEKDAY(DATE(AnnéeCalendrier,10,24),1),"jjj")</f>
        <v>jeu</v>
      </c>
      <c r="AA5" s="1" t="str">
        <f>TEXT(WEEKDAY(DATE(AnnéeCalendrier,10,25),1),"jjj")</f>
        <v>ven</v>
      </c>
      <c r="AB5" s="1" t="str">
        <f>TEXT(WEEKDAY(DATE(AnnéeCalendrier,10,26),1),"jjj")</f>
        <v>sam</v>
      </c>
      <c r="AC5" s="1" t="str">
        <f>TEXT(WEEKDAY(DATE(AnnéeCalendrier,10,27),1),"jjj")</f>
        <v>dim</v>
      </c>
      <c r="AD5" s="1" t="str">
        <f>TEXT(WEEKDAY(DATE(AnnéeCalendrier,10,28),1),"jjj")</f>
        <v>lun</v>
      </c>
      <c r="AE5" s="1" t="str">
        <f>TEXT(WEEKDAY(DATE(AnnéeCalendrier,10,29),1),"jjj")</f>
        <v>mar</v>
      </c>
      <c r="AF5" s="1" t="str">
        <f>TEXT(WEEKDAY(DATE(AnnéeCalendrier,10,30),1),"jjj")</f>
        <v>mer</v>
      </c>
      <c r="AG5" s="1" t="str">
        <f>TEXT(WEEKDAY(DATE(AnnéeCalendrier,10,31),1),"jjj")</f>
        <v>jeu</v>
      </c>
      <c r="AH5" s="33"/>
      <c r="AI5" s="33"/>
      <c r="AJ5" s="33"/>
      <c r="AK5" s="33"/>
    </row>
    <row r="6" spans="2:37" ht="15" customHeight="1" x14ac:dyDescent="0.25">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44</v>
      </c>
      <c r="AH6" s="3" t="s">
        <v>3</v>
      </c>
      <c r="AI6" s="6" t="s">
        <v>9</v>
      </c>
      <c r="AJ6" s="5" t="s">
        <v>7</v>
      </c>
      <c r="AK6" s="4" t="s">
        <v>69</v>
      </c>
    </row>
    <row r="7" spans="2:37" ht="30" customHeight="1" x14ac:dyDescent="0.25">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3">
        <f>SUMPRODUCT(--(Octobre[[#This Row],[1]:[31]]=LEFT(Octobre[[#Headers],[Travaillé]],1)))</f>
        <v>0</v>
      </c>
      <c r="AI7" s="23">
        <f>SUMPRODUCT(--(Octobre[[#This Row],[1]:[31]]=LEFT(Octobre[[#Headers],[Congés]],1)))</f>
        <v>0</v>
      </c>
      <c r="AJ7" s="23">
        <f>SUMPRODUCT(--(Octobre[[#This Row],[1]:[31]]=LEFT(Octobre[[#Headers],[Maladie]],1)))</f>
        <v>0</v>
      </c>
      <c r="AK7" s="23">
        <f>SUMPRODUCT(--(Octobre[[#This Row],[1]:[31]]=LEFT(Octobre[[#Headers],[Repas]],1)))</f>
        <v>0</v>
      </c>
    </row>
    <row r="8" spans="2:37" ht="30" customHeight="1" x14ac:dyDescent="0.25">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3">
        <f>SUMPRODUCT(--(Octobre[[#This Row],[1]:[31]]=LEFT(Octobre[[#Headers],[Travaillé]],1)))</f>
        <v>0</v>
      </c>
      <c r="AI8" s="23">
        <f>SUMPRODUCT(--(Octobre[[#This Row],[1]:[31]]=LEFT(Octobre[[#Headers],[Congés]],1)))</f>
        <v>0</v>
      </c>
      <c r="AJ8" s="23">
        <f>SUMPRODUCT(--(Octobre[[#This Row],[1]:[31]]=LEFT(Octobre[[#Headers],[Maladie]],1)))</f>
        <v>0</v>
      </c>
      <c r="AK8" s="23">
        <f>SUMPRODUCT(--(Octobre[[#This Row],[1]:[31]]=LEFT(Octobre[[#Headers],[Repas]],1)))</f>
        <v>0</v>
      </c>
    </row>
    <row r="9" spans="2:37" ht="30" customHeight="1" x14ac:dyDescent="0.25">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3">
        <f>SUMPRODUCT(--(Octobre[[#This Row],[1]:[31]]=LEFT(Octobre[[#Headers],[Travaillé]],1)))</f>
        <v>0</v>
      </c>
      <c r="AI9" s="23">
        <f>SUMPRODUCT(--(Octobre[[#This Row],[1]:[31]]=LEFT(Octobre[[#Headers],[Congés]],1)))</f>
        <v>0</v>
      </c>
      <c r="AJ9" s="23">
        <f>SUMPRODUCT(--(Octobre[[#This Row],[1]:[31]]=LEFT(Octobre[[#Headers],[Maladie]],1)))</f>
        <v>0</v>
      </c>
      <c r="AK9" s="23">
        <f>SUMPRODUCT(--(Octobre[[#This Row],[1]:[31]]=LEFT(Octobre[[#Headers],[Repas]],1)))</f>
        <v>0</v>
      </c>
    </row>
    <row r="10" spans="2:37" ht="30" customHeight="1" x14ac:dyDescent="0.25">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3">
        <f>SUMPRODUCT(--(Octobre[[#This Row],[1]:[31]]=LEFT(Octobre[[#Headers],[Travaillé]],1)))</f>
        <v>0</v>
      </c>
      <c r="AI10" s="23">
        <f>SUMPRODUCT(--(Octobre[[#This Row],[1]:[31]]=LEFT(Octobre[[#Headers],[Congés]],1)))</f>
        <v>0</v>
      </c>
      <c r="AJ10" s="23">
        <f>SUMPRODUCT(--(Octobre[[#This Row],[1]:[31]]=LEFT(Octobre[[#Headers],[Maladie]],1)))</f>
        <v>0</v>
      </c>
      <c r="AK10" s="23">
        <f>SUMPRODUCT(--(Octobre[[#This Row],[1]:[31]]=LEFT(Octobre[[#Headers],[Repas]],1)))</f>
        <v>0</v>
      </c>
    </row>
    <row r="11" spans="2:37" ht="30" customHeight="1" x14ac:dyDescent="0.25">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3">
        <f>SUMPRODUCT(--(Octobre[[#This Row],[1]:[31]]=LEFT(Octobre[[#Headers],[Travaillé]],1)))</f>
        <v>0</v>
      </c>
      <c r="AI11" s="23">
        <f>SUMPRODUCT(--(Octobre[[#This Row],[1]:[31]]=LEFT(Octobre[[#Headers],[Congés]],1)))</f>
        <v>0</v>
      </c>
      <c r="AJ11" s="23">
        <f>SUMPRODUCT(--(Octobre[[#This Row],[1]:[31]]=LEFT(Octobre[[#Headers],[Maladie]],1)))</f>
        <v>0</v>
      </c>
      <c r="AK11" s="23">
        <f>SUMPRODUCT(--(Octobre[[#This Row],[1]:[31]]=LEFT(Octobre[[#Headers],[Repas]],1)))</f>
        <v>0</v>
      </c>
    </row>
    <row r="12" spans="2:37" ht="30" customHeight="1" x14ac:dyDescent="0.25">
      <c r="B12" s="15" t="str">
        <f>Janvier!B12</f>
        <v>Employé 5</v>
      </c>
      <c r="AH12" s="23">
        <f>SUMPRODUCT(--(Octobre[[#This Row],[1]:[31]]=LEFT(Octobre[[#Headers],[Travaillé]],1)))</f>
        <v>0</v>
      </c>
      <c r="AI12" s="23">
        <f>SUMPRODUCT(--(Octobre[[#This Row],[1]:[31]]=LEFT(Octobre[[#Headers],[Congés]],1)))</f>
        <v>0</v>
      </c>
      <c r="AJ12" s="23">
        <f>SUMPRODUCT(--(Octobre[[#This Row],[1]:[31]]=LEFT(Octobre[[#Headers],[Maladie]],1)))</f>
        <v>0</v>
      </c>
      <c r="AK12" s="23">
        <f>SUMPRODUCT(--(Octobre[[#This Row],[1]:[31]]=LEFT(Octobre[[#Headers],[Repas]],1)))</f>
        <v>0</v>
      </c>
    </row>
    <row r="13" spans="2:37" ht="30" customHeight="1" thickBot="1" x14ac:dyDescent="0.3"/>
    <row r="14" spans="2:37" ht="30" customHeight="1" thickBot="1" x14ac:dyDescent="0.3">
      <c r="AB14" s="53" t="s">
        <v>53</v>
      </c>
      <c r="AC14" s="54"/>
      <c r="AD14" s="54"/>
      <c r="AE14" s="54"/>
      <c r="AF14" s="54"/>
      <c r="AG14" s="55"/>
      <c r="AH14" s="32">
        <f>SUM(AH9:AH13)</f>
        <v>0</v>
      </c>
      <c r="AI14" s="30">
        <f>SUM(AI9:AI13)</f>
        <v>0</v>
      </c>
      <c r="AJ14" s="30">
        <f>SUM(AJ9:AJ13)</f>
        <v>0</v>
      </c>
      <c r="AK14" s="31">
        <f>SUM(AK9:AK13)</f>
        <v>0</v>
      </c>
    </row>
  </sheetData>
  <mergeCells count="7">
    <mergeCell ref="AB14:AG14"/>
    <mergeCell ref="Q2:S2"/>
    <mergeCell ref="C4:AG4"/>
    <mergeCell ref="D2:E2"/>
    <mergeCell ref="K2:L2"/>
    <mergeCell ref="G2:H2"/>
    <mergeCell ref="N2:O2"/>
  </mergeCells>
  <conditionalFormatting sqref="C7:AG12">
    <cfRule type="expression" priority="5" stopIfTrue="1">
      <formula>C7=""</formula>
    </cfRule>
  </conditionalFormatting>
  <conditionalFormatting sqref="C7:AG12">
    <cfRule type="expression" dxfId="73" priority="6" stopIfTrue="1">
      <formula>C7=CléPanier_Repas</formula>
    </cfRule>
    <cfRule type="expression" dxfId="72" priority="7" stopIfTrue="1">
      <formula>C7=CléPersonnalisée1</formula>
    </cfRule>
    <cfRule type="expression" dxfId="71" priority="8" stopIfTrue="1">
      <formula>C7=CléMaladie</formula>
    </cfRule>
    <cfRule type="expression" dxfId="70" priority="9" stopIfTrue="1">
      <formula>C7=CléCongés</formula>
    </cfRule>
    <cfRule type="expression" dxfId="69" priority="10" stopIfTrue="1">
      <formula>C7=CléTravail</formula>
    </cfRule>
  </conditionalFormatting>
  <conditionalFormatting sqref="AH7:AK12">
    <cfRule type="dataBar" priority="1">
      <dataBar>
        <cfvo type="num" val="0"/>
        <cfvo type="num" val="31"/>
        <color theme="2" tint="-0.249977111117893"/>
      </dataBar>
      <extLst>
        <ext xmlns:x14="http://schemas.microsoft.com/office/spreadsheetml/2009/9/main" uri="{B025F937-C7B1-47D3-B67F-A62EFF666E3E}">
          <x14:id>{DF4A5C31-AB35-4164-BABD-CA7E5CF09851}</x14:id>
        </ext>
      </extLst>
    </cfRule>
  </conditionalFormatting>
  <dataValidations count="13">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Année mise à jour automatiquement en fonction de l’année entrée dans la feuille de calcul Janvier" sqref="AH4"/>
    <dataValidation allowBlank="1" showInputMessage="1" showErrorMessage="1" prompt="Suivez les absences du mois d’octo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P2"/>
    <dataValidation allowBlank="1" showInputMessage="1" showErrorMessage="1" prompt="Entrez une étiquette pour décrire la clé personnalisée à gauche" sqref="N2 Q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DF4A5C31-AB35-4164-BABD-CA7E5CF09851}">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2" tint="-0.249977111117893"/>
  </sheetPr>
  <dimension ref="A1:AK14"/>
  <sheetViews>
    <sheetView showGridLines="0" topLeftCell="D1" workbookViewId="0">
      <selection activeCell="AK7" sqref="AK7:AK12"/>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9.5703125" style="9" customWidth="1"/>
    <col min="35" max="37" width="9.5703125" customWidth="1"/>
  </cols>
  <sheetData>
    <row r="1" spans="2:37" ht="50.1" customHeight="1" x14ac:dyDescent="0.25">
      <c r="B1" s="10" t="str">
        <f>Titre_Absence_Employé</f>
        <v>Calendrier  des employés</v>
      </c>
    </row>
    <row r="2" spans="2:37" ht="15" customHeight="1" x14ac:dyDescent="0.25">
      <c r="B2" s="13" t="s">
        <v>1</v>
      </c>
      <c r="C2" s="3" t="s">
        <v>2</v>
      </c>
      <c r="D2" s="44" t="s">
        <v>3</v>
      </c>
      <c r="E2" s="45"/>
      <c r="F2" s="4" t="s">
        <v>4</v>
      </c>
      <c r="G2" s="47" t="s">
        <v>5</v>
      </c>
      <c r="H2" s="47"/>
      <c r="I2" s="19"/>
      <c r="J2" s="5" t="s">
        <v>6</v>
      </c>
      <c r="K2" s="45" t="s">
        <v>7</v>
      </c>
      <c r="L2" s="45"/>
      <c r="M2" s="6" t="s">
        <v>8</v>
      </c>
      <c r="N2" s="46" t="s">
        <v>9</v>
      </c>
      <c r="O2" s="46"/>
      <c r="P2" s="7" t="s">
        <v>67</v>
      </c>
      <c r="Q2" s="46" t="s">
        <v>68</v>
      </c>
      <c r="R2" s="46"/>
      <c r="S2" s="46"/>
      <c r="T2" s="19"/>
      <c r="AI2" s="9"/>
    </row>
    <row r="3" spans="2:37" ht="15" customHeight="1" x14ac:dyDescent="0.25">
      <c r="B3" s="10"/>
    </row>
    <row r="4" spans="2:37" ht="30" customHeight="1" x14ac:dyDescent="0.25">
      <c r="B4" s="33" t="s">
        <v>65</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3">
        <f>AnnéeCalendrier</f>
        <v>2019</v>
      </c>
      <c r="AI4" s="33"/>
      <c r="AJ4" s="33"/>
      <c r="AK4" s="33"/>
    </row>
    <row r="5" spans="2:37" ht="15" customHeight="1" x14ac:dyDescent="0.25">
      <c r="B5" s="33"/>
      <c r="C5" s="1" t="str">
        <f>TEXT(WEEKDAY(DATE(AnnéeCalendrier,11,1),1),"jjj")</f>
        <v>ven</v>
      </c>
      <c r="D5" s="1" t="str">
        <f>TEXT(WEEKDAY(DATE(AnnéeCalendrier,11,2),1),"jjj")</f>
        <v>sam</v>
      </c>
      <c r="E5" s="1" t="str">
        <f>TEXT(WEEKDAY(DATE(AnnéeCalendrier,11,3),1),"jjj")</f>
        <v>dim</v>
      </c>
      <c r="F5" s="1" t="str">
        <f>TEXT(WEEKDAY(DATE(AnnéeCalendrier,11,4),1),"jjj")</f>
        <v>lun</v>
      </c>
      <c r="G5" s="1" t="str">
        <f>TEXT(WEEKDAY(DATE(AnnéeCalendrier,11,5),1),"jjj")</f>
        <v>mar</v>
      </c>
      <c r="H5" s="1" t="str">
        <f>TEXT(WEEKDAY(DATE(AnnéeCalendrier,11,6),1),"jjj")</f>
        <v>mer</v>
      </c>
      <c r="I5" s="1" t="str">
        <f>TEXT(WEEKDAY(DATE(AnnéeCalendrier,11,7),1),"jjj")</f>
        <v>jeu</v>
      </c>
      <c r="J5" s="1" t="str">
        <f>TEXT(WEEKDAY(DATE(AnnéeCalendrier,11,8),1),"jjj")</f>
        <v>ven</v>
      </c>
      <c r="K5" s="1" t="str">
        <f>TEXT(WEEKDAY(DATE(AnnéeCalendrier,11,9),1),"jjj")</f>
        <v>sam</v>
      </c>
      <c r="L5" s="1" t="str">
        <f>TEXT(WEEKDAY(DATE(AnnéeCalendrier,11,10),1),"jjj")</f>
        <v>dim</v>
      </c>
      <c r="M5" s="1" t="str">
        <f>TEXT(WEEKDAY(DATE(AnnéeCalendrier,11,11),1),"jjj")</f>
        <v>lun</v>
      </c>
      <c r="N5" s="1" t="str">
        <f>TEXT(WEEKDAY(DATE(AnnéeCalendrier,11,12),1),"jjj")</f>
        <v>mar</v>
      </c>
      <c r="O5" s="1" t="str">
        <f>TEXT(WEEKDAY(DATE(AnnéeCalendrier,11,13),1),"jjj")</f>
        <v>mer</v>
      </c>
      <c r="P5" s="1" t="str">
        <f>TEXT(WEEKDAY(DATE(AnnéeCalendrier,11,14),1),"jjj")</f>
        <v>jeu</v>
      </c>
      <c r="Q5" s="1" t="str">
        <f>TEXT(WEEKDAY(DATE(AnnéeCalendrier,11,15),1),"jjj")</f>
        <v>ven</v>
      </c>
      <c r="R5" s="1" t="str">
        <f>TEXT(WEEKDAY(DATE(AnnéeCalendrier,11,16),1),"jjj")</f>
        <v>sam</v>
      </c>
      <c r="S5" s="1" t="str">
        <f>TEXT(WEEKDAY(DATE(AnnéeCalendrier,11,17),1),"jjj")</f>
        <v>dim</v>
      </c>
      <c r="T5" s="1" t="str">
        <f>TEXT(WEEKDAY(DATE(AnnéeCalendrier,11,18),1),"jjj")</f>
        <v>lun</v>
      </c>
      <c r="U5" s="1" t="str">
        <f>TEXT(WEEKDAY(DATE(AnnéeCalendrier,11,19),1),"jjj")</f>
        <v>mar</v>
      </c>
      <c r="V5" s="1" t="str">
        <f>TEXT(WEEKDAY(DATE(AnnéeCalendrier,11,20),1),"jjj")</f>
        <v>mer</v>
      </c>
      <c r="W5" s="1" t="str">
        <f>TEXT(WEEKDAY(DATE(AnnéeCalendrier,11,21),1),"jjj")</f>
        <v>jeu</v>
      </c>
      <c r="X5" s="1" t="str">
        <f>TEXT(WEEKDAY(DATE(AnnéeCalendrier,11,22),1),"jjj")</f>
        <v>ven</v>
      </c>
      <c r="Y5" s="1" t="str">
        <f>TEXT(WEEKDAY(DATE(AnnéeCalendrier,11,23),1),"jjj")</f>
        <v>sam</v>
      </c>
      <c r="Z5" s="1" t="str">
        <f>TEXT(WEEKDAY(DATE(AnnéeCalendrier,11,24),1),"jjj")</f>
        <v>dim</v>
      </c>
      <c r="AA5" s="1" t="str">
        <f>TEXT(WEEKDAY(DATE(AnnéeCalendrier,11,25),1),"jjj")</f>
        <v>lun</v>
      </c>
      <c r="AB5" s="1" t="str">
        <f>TEXT(WEEKDAY(DATE(AnnéeCalendrier,11,26),1),"jjj")</f>
        <v>mar</v>
      </c>
      <c r="AC5" s="1" t="str">
        <f>TEXT(WEEKDAY(DATE(AnnéeCalendrier,11,27),1),"jjj")</f>
        <v>mer</v>
      </c>
      <c r="AD5" s="1" t="str">
        <f>TEXT(WEEKDAY(DATE(AnnéeCalendrier,11,28),1),"jjj")</f>
        <v>jeu</v>
      </c>
      <c r="AE5" s="1" t="str">
        <f>TEXT(WEEKDAY(DATE(AnnéeCalendrier,11,29),1),"jjj")</f>
        <v>ven</v>
      </c>
      <c r="AF5" s="1" t="str">
        <f>TEXT(WEEKDAY(DATE(AnnéeCalendrier,11,30),1),"jjj")</f>
        <v>sam</v>
      </c>
      <c r="AG5" s="1"/>
      <c r="AH5" s="33"/>
      <c r="AI5" s="33"/>
      <c r="AJ5" s="33"/>
      <c r="AK5" s="33"/>
    </row>
    <row r="6" spans="2:37" ht="15" customHeight="1" x14ac:dyDescent="0.25">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52</v>
      </c>
      <c r="AH6" s="3" t="s">
        <v>3</v>
      </c>
      <c r="AI6" s="6" t="s">
        <v>9</v>
      </c>
      <c r="AJ6" s="5" t="s">
        <v>7</v>
      </c>
      <c r="AK6" s="4" t="s">
        <v>69</v>
      </c>
    </row>
    <row r="7" spans="2:37" ht="30" customHeight="1" x14ac:dyDescent="0.25">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23">
        <f>SUMPRODUCT(--(Novembre[[#This Row],[1]:[30]]=LEFT(Novembre[[#Headers],[Travaillé]],1)))</f>
        <v>0</v>
      </c>
      <c r="AI7" s="23">
        <f>SUMPRODUCT(--(Novembre[[#This Row],[1]:[30]]=LEFT(Novembre[[#Headers],[Congés]],1)))</f>
        <v>0</v>
      </c>
      <c r="AJ7" s="23">
        <f>SUMPRODUCT(--(Novembre[[#This Row],[1]:[30]]=LEFT(Novembre[[#Headers],[Maladie]],1)))</f>
        <v>0</v>
      </c>
      <c r="AK7" s="23">
        <f>SUMPRODUCT(--(Novembre[[#This Row],[1]:[30]]=LEFT(Novembre[[#Headers],[Repas]],1)))</f>
        <v>0</v>
      </c>
    </row>
    <row r="8" spans="2:37" ht="30" customHeight="1" x14ac:dyDescent="0.25">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23">
        <f>SUMPRODUCT(--(Novembre[[#This Row],[1]:[30]]=LEFT(Novembre[[#Headers],[Travaillé]],1)))</f>
        <v>0</v>
      </c>
      <c r="AI8" s="23">
        <f>SUMPRODUCT(--(Novembre[[#This Row],[1]:[30]]=LEFT(Novembre[[#Headers],[Congés]],1)))</f>
        <v>0</v>
      </c>
      <c r="AJ8" s="23">
        <f>SUMPRODUCT(--(Novembre[[#This Row],[1]:[30]]=LEFT(Novembre[[#Headers],[Maladie]],1)))</f>
        <v>0</v>
      </c>
      <c r="AK8" s="23">
        <f>SUMPRODUCT(--(Novembre[[#This Row],[1]:[30]]=LEFT(Novembre[[#Headers],[Repas]],1)))</f>
        <v>0</v>
      </c>
    </row>
    <row r="9" spans="2:37" ht="30" customHeight="1" x14ac:dyDescent="0.25">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3">
        <f>SUMPRODUCT(--(Novembre[[#This Row],[1]:[30]]=LEFT(Novembre[[#Headers],[Travaillé]],1)))</f>
        <v>0</v>
      </c>
      <c r="AI9" s="23">
        <f>SUMPRODUCT(--(Novembre[[#This Row],[1]:[30]]=LEFT(Novembre[[#Headers],[Congés]],1)))</f>
        <v>0</v>
      </c>
      <c r="AJ9" s="23">
        <f>SUMPRODUCT(--(Novembre[[#This Row],[1]:[30]]=LEFT(Novembre[[#Headers],[Maladie]],1)))</f>
        <v>0</v>
      </c>
      <c r="AK9" s="23">
        <f>SUMPRODUCT(--(Novembre[[#This Row],[1]:[30]]=LEFT(Novembre[[#Headers],[Repas]],1)))</f>
        <v>0</v>
      </c>
    </row>
    <row r="10" spans="2:37" ht="30" customHeight="1" x14ac:dyDescent="0.25">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3">
        <f>SUMPRODUCT(--(Novembre[[#This Row],[1]:[30]]=LEFT(Novembre[[#Headers],[Travaillé]],1)))</f>
        <v>0</v>
      </c>
      <c r="AI10" s="23">
        <f>SUMPRODUCT(--(Novembre[[#This Row],[1]:[30]]=LEFT(Novembre[[#Headers],[Congés]],1)))</f>
        <v>0</v>
      </c>
      <c r="AJ10" s="23">
        <f>SUMPRODUCT(--(Novembre[[#This Row],[1]:[30]]=LEFT(Novembre[[#Headers],[Maladie]],1)))</f>
        <v>0</v>
      </c>
      <c r="AK10" s="23">
        <f>SUMPRODUCT(--(Novembre[[#This Row],[1]:[30]]=LEFT(Novembre[[#Headers],[Repas]],1)))</f>
        <v>0</v>
      </c>
    </row>
    <row r="11" spans="2:37" ht="30" customHeight="1" x14ac:dyDescent="0.25">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3">
        <f>SUMPRODUCT(--(Novembre[[#This Row],[1]:[30]]=LEFT(Novembre[[#Headers],[Travaillé]],1)))</f>
        <v>0</v>
      </c>
      <c r="AI11" s="23">
        <f>SUMPRODUCT(--(Novembre[[#This Row],[1]:[30]]=LEFT(Novembre[[#Headers],[Congés]],1)))</f>
        <v>0</v>
      </c>
      <c r="AJ11" s="23">
        <f>SUMPRODUCT(--(Novembre[[#This Row],[1]:[30]]=LEFT(Novembre[[#Headers],[Maladie]],1)))</f>
        <v>0</v>
      </c>
      <c r="AK11" s="23">
        <f>SUMPRODUCT(--(Novembre[[#This Row],[1]:[30]]=LEFT(Novembre[[#Headers],[Repas]],1)))</f>
        <v>0</v>
      </c>
    </row>
    <row r="12" spans="2:37" ht="30" customHeight="1" x14ac:dyDescent="0.25">
      <c r="B12" s="15" t="str">
        <f>Janvier!B12</f>
        <v>Employé 5</v>
      </c>
      <c r="AH12" s="23">
        <f>SUMPRODUCT(--(Novembre[[#This Row],[1]:[30]]=LEFT(Novembre[[#Headers],[Travaillé]],1)))</f>
        <v>0</v>
      </c>
      <c r="AI12" s="23">
        <f>SUMPRODUCT(--(Novembre[[#This Row],[1]:[30]]=LEFT(Novembre[[#Headers],[Congés]],1)))</f>
        <v>0</v>
      </c>
      <c r="AJ12" s="23">
        <f>SUMPRODUCT(--(Novembre[[#This Row],[1]:[30]]=LEFT(Novembre[[#Headers],[Maladie]],1)))</f>
        <v>0</v>
      </c>
      <c r="AK12" s="23">
        <f>SUMPRODUCT(--(Novembre[[#This Row],[1]:[30]]=LEFT(Novembre[[#Headers],[Repas]],1)))</f>
        <v>0</v>
      </c>
    </row>
    <row r="13" spans="2:37" ht="30" customHeight="1" thickBot="1" x14ac:dyDescent="0.3"/>
    <row r="14" spans="2:37" ht="30" customHeight="1" thickBot="1" x14ac:dyDescent="0.3">
      <c r="AB14" s="53" t="s">
        <v>53</v>
      </c>
      <c r="AC14" s="54"/>
      <c r="AD14" s="54"/>
      <c r="AE14" s="54"/>
      <c r="AF14" s="54"/>
      <c r="AG14" s="55"/>
      <c r="AH14" s="32">
        <f>SUM(AH10:AH13)</f>
        <v>0</v>
      </c>
      <c r="AI14" s="30">
        <f>SUM(AI10:AI13)</f>
        <v>0</v>
      </c>
      <c r="AJ14" s="30">
        <f>SUM(AJ10:AJ13)</f>
        <v>0</v>
      </c>
      <c r="AK14" s="31">
        <f>SUM(AK10:AK13)</f>
        <v>0</v>
      </c>
    </row>
  </sheetData>
  <mergeCells count="7">
    <mergeCell ref="AB14:AG14"/>
    <mergeCell ref="Q2:S2"/>
    <mergeCell ref="C4:AG4"/>
    <mergeCell ref="D2:E2"/>
    <mergeCell ref="K2:L2"/>
    <mergeCell ref="G2:H2"/>
    <mergeCell ref="N2:O2"/>
  </mergeCells>
  <conditionalFormatting sqref="C7:AG12">
    <cfRule type="expression" priority="5" stopIfTrue="1">
      <formula>C7=""</formula>
    </cfRule>
  </conditionalFormatting>
  <conditionalFormatting sqref="C7:AG12">
    <cfRule type="expression" dxfId="68" priority="6" stopIfTrue="1">
      <formula>C7=CléPanier_Repas</formula>
    </cfRule>
    <cfRule type="expression" dxfId="67" priority="7" stopIfTrue="1">
      <formula>C7=CléPersonnalisée1</formula>
    </cfRule>
    <cfRule type="expression" dxfId="66" priority="8" stopIfTrue="1">
      <formula>C7=CléMaladie</formula>
    </cfRule>
    <cfRule type="expression" dxfId="65" priority="9" stopIfTrue="1">
      <formula>C7=CléCongés</formula>
    </cfRule>
    <cfRule type="expression" dxfId="64" priority="10" stopIfTrue="1">
      <formula>C7=CléTravail</formula>
    </cfRule>
  </conditionalFormatting>
  <conditionalFormatting sqref="AH7:AK12">
    <cfRule type="dataBar" priority="1">
      <dataBar>
        <cfvo type="num" val="0"/>
        <cfvo type="num" val="31"/>
        <color theme="2" tint="-0.249977111117893"/>
      </dataBar>
      <extLst>
        <ext xmlns:x14="http://schemas.microsoft.com/office/spreadsheetml/2009/9/main" uri="{B025F937-C7B1-47D3-B67F-A62EFF666E3E}">
          <x14:id>{0E088E80-3379-45E2-A0E8-9968317C0D74}</x14:id>
        </ext>
      </extLst>
    </cfRule>
  </conditionalFormatting>
  <dataValidations count="13">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Entrez une étiquette pour décrire la clé personnalisée à gauche" sqref="N2 Q2"/>
    <dataValidation allowBlank="1" showInputMessage="1" showErrorMessage="1" prompt="Entrez une lettre et personnalisez l’étiquette à droite pour ajouter un élément de clé" sqref="M2 P2"/>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dataValidation allowBlank="1" showInputMessage="1" showErrorMessage="1" prompt="Le titre mis à jour automatiquement figure dans cette cellule. Pour modifier le titre, mettez à jour la cellule B1 de la feuille de calcul Janvier" sqref="B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Suivez les absences du mois de novembre dans cette feuille de calcul" sqref="A1"/>
    <dataValidation allowBlank="1" showInputMessage="1" showErrorMessage="1" prompt="Année mise à jour automatiquement en fonction de l’année entrée dans la feuille de calcul Janvier" sqref="AH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E088E80-3379-45E2-A0E8-9968317C0D74}">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7" tint="0.79998168889431442"/>
  </sheetPr>
  <dimension ref="A1:AK14"/>
  <sheetViews>
    <sheetView showGridLines="0" topLeftCell="C1" workbookViewId="0">
      <selection activeCell="Z15" sqref="Z15"/>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9.5703125" style="9" customWidth="1"/>
    <col min="35" max="37" width="9.5703125" customWidth="1"/>
  </cols>
  <sheetData>
    <row r="1" spans="2:37" ht="50.1" customHeight="1" x14ac:dyDescent="0.25">
      <c r="B1" s="10" t="str">
        <f>Titre_Absence_Employé</f>
        <v>Calendrier  des employés</v>
      </c>
    </row>
    <row r="2" spans="2:37" ht="15" customHeight="1" x14ac:dyDescent="0.25">
      <c r="B2" s="13" t="s">
        <v>1</v>
      </c>
      <c r="C2" s="3" t="s">
        <v>2</v>
      </c>
      <c r="D2" s="44" t="s">
        <v>3</v>
      </c>
      <c r="E2" s="45"/>
      <c r="F2" s="4" t="s">
        <v>4</v>
      </c>
      <c r="G2" s="47" t="s">
        <v>5</v>
      </c>
      <c r="H2" s="47"/>
      <c r="I2" s="19"/>
      <c r="J2" s="5" t="s">
        <v>6</v>
      </c>
      <c r="K2" s="45" t="s">
        <v>7</v>
      </c>
      <c r="L2" s="45"/>
      <c r="M2" s="6" t="s">
        <v>8</v>
      </c>
      <c r="N2" s="46" t="s">
        <v>9</v>
      </c>
      <c r="O2" s="46"/>
      <c r="P2" s="7" t="s">
        <v>67</v>
      </c>
      <c r="Q2" s="46" t="s">
        <v>68</v>
      </c>
      <c r="R2" s="46"/>
      <c r="S2" s="46"/>
      <c r="T2" s="19"/>
      <c r="AI2" s="9"/>
    </row>
    <row r="3" spans="2:37" ht="15" customHeight="1" x14ac:dyDescent="0.25">
      <c r="B3" s="10"/>
    </row>
    <row r="4" spans="2:37" ht="30" customHeight="1" x14ac:dyDescent="0.25">
      <c r="B4" s="33" t="s">
        <v>66</v>
      </c>
      <c r="C4" s="52" t="s">
        <v>55</v>
      </c>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33">
        <f>AnnéeCalendrier</f>
        <v>2019</v>
      </c>
      <c r="AI4" s="33"/>
      <c r="AJ4" s="33"/>
      <c r="AK4" s="33"/>
    </row>
    <row r="5" spans="2:37" ht="15" customHeight="1" x14ac:dyDescent="0.25">
      <c r="B5" s="33"/>
      <c r="C5" s="1" t="str">
        <f>TEXT(WEEKDAY(DATE(AnnéeCalendrier,12,1),1),"jjj")</f>
        <v>dim</v>
      </c>
      <c r="D5" s="1" t="str">
        <f>TEXT(WEEKDAY(DATE(AnnéeCalendrier,12,2),1),"jjj")</f>
        <v>lun</v>
      </c>
      <c r="E5" s="1" t="str">
        <f>TEXT(WEEKDAY(DATE(AnnéeCalendrier,12,3),1),"jjj")</f>
        <v>mar</v>
      </c>
      <c r="F5" s="1" t="str">
        <f>TEXT(WEEKDAY(DATE(AnnéeCalendrier,12,4),1),"jjj")</f>
        <v>mer</v>
      </c>
      <c r="G5" s="1" t="str">
        <f>TEXT(WEEKDAY(DATE(AnnéeCalendrier,12,5),1),"jjj")</f>
        <v>jeu</v>
      </c>
      <c r="H5" s="1" t="str">
        <f>TEXT(WEEKDAY(DATE(AnnéeCalendrier,12,6),1),"jjj")</f>
        <v>ven</v>
      </c>
      <c r="I5" s="1" t="str">
        <f>TEXT(WEEKDAY(DATE(AnnéeCalendrier,12,7),1),"jjj")</f>
        <v>sam</v>
      </c>
      <c r="J5" s="1" t="str">
        <f>TEXT(WEEKDAY(DATE(AnnéeCalendrier,12,8),1),"jjj")</f>
        <v>dim</v>
      </c>
      <c r="K5" s="1" t="str">
        <f>TEXT(WEEKDAY(DATE(AnnéeCalendrier,12,9),1),"jjj")</f>
        <v>lun</v>
      </c>
      <c r="L5" s="1" t="str">
        <f>TEXT(WEEKDAY(DATE(AnnéeCalendrier,12,10),1),"jjj")</f>
        <v>mar</v>
      </c>
      <c r="M5" s="1" t="str">
        <f>TEXT(WEEKDAY(DATE(AnnéeCalendrier,12,11),1),"jjj")</f>
        <v>mer</v>
      </c>
      <c r="N5" s="1" t="str">
        <f>TEXT(WEEKDAY(DATE(AnnéeCalendrier,12,12),1),"jjj")</f>
        <v>jeu</v>
      </c>
      <c r="O5" s="1" t="str">
        <f>TEXT(WEEKDAY(DATE(AnnéeCalendrier,12,13),1),"jjj")</f>
        <v>ven</v>
      </c>
      <c r="P5" s="1" t="str">
        <f>TEXT(WEEKDAY(DATE(AnnéeCalendrier,12,14),1),"jjj")</f>
        <v>sam</v>
      </c>
      <c r="Q5" s="1" t="str">
        <f>TEXT(WEEKDAY(DATE(AnnéeCalendrier,12,15),1),"jjj")</f>
        <v>dim</v>
      </c>
      <c r="R5" s="1" t="str">
        <f>TEXT(WEEKDAY(DATE(AnnéeCalendrier,12,16),1),"jjj")</f>
        <v>lun</v>
      </c>
      <c r="S5" s="1" t="str">
        <f>TEXT(WEEKDAY(DATE(AnnéeCalendrier,12,17),1),"jjj")</f>
        <v>mar</v>
      </c>
      <c r="T5" s="1" t="str">
        <f>TEXT(WEEKDAY(DATE(AnnéeCalendrier,12,18),1),"jjj")</f>
        <v>mer</v>
      </c>
      <c r="U5" s="1" t="str">
        <f>TEXT(WEEKDAY(DATE(AnnéeCalendrier,12,19),1),"jjj")</f>
        <v>jeu</v>
      </c>
      <c r="V5" s="1" t="str">
        <f>TEXT(WEEKDAY(DATE(AnnéeCalendrier,12,20),1),"jjj")</f>
        <v>ven</v>
      </c>
      <c r="W5" s="1" t="str">
        <f>TEXT(WEEKDAY(DATE(AnnéeCalendrier,12,21),1),"jjj")</f>
        <v>sam</v>
      </c>
      <c r="X5" s="1" t="str">
        <f>TEXT(WEEKDAY(DATE(AnnéeCalendrier,12,22),1),"jjj")</f>
        <v>dim</v>
      </c>
      <c r="Y5" s="1" t="str">
        <f>TEXT(WEEKDAY(DATE(AnnéeCalendrier,12,23),1),"jjj")</f>
        <v>lun</v>
      </c>
      <c r="Z5" s="1" t="str">
        <f>TEXT(WEEKDAY(DATE(AnnéeCalendrier,12,24),1),"jjj")</f>
        <v>mar</v>
      </c>
      <c r="AA5" s="1" t="str">
        <f>TEXT(WEEKDAY(DATE(AnnéeCalendrier,12,25),1),"jjj")</f>
        <v>mer</v>
      </c>
      <c r="AB5" s="1" t="str">
        <f>TEXT(WEEKDAY(DATE(AnnéeCalendrier,12,26),1),"jjj")</f>
        <v>jeu</v>
      </c>
      <c r="AC5" s="1" t="str">
        <f>TEXT(WEEKDAY(DATE(AnnéeCalendrier,12,27),1),"jjj")</f>
        <v>ven</v>
      </c>
      <c r="AD5" s="1" t="str">
        <f>TEXT(WEEKDAY(DATE(AnnéeCalendrier,12,28),1),"jjj")</f>
        <v>sam</v>
      </c>
      <c r="AE5" s="1" t="str">
        <f>TEXT(WEEKDAY(DATE(AnnéeCalendrier,12,29),1),"jjj")</f>
        <v>dim</v>
      </c>
      <c r="AF5" s="1" t="str">
        <f>TEXT(WEEKDAY(DATE(AnnéeCalendrier,12,30),1),"jjj")</f>
        <v>lun</v>
      </c>
      <c r="AG5" s="1" t="str">
        <f>TEXT(WEEKDAY(DATE(AnnéeCalendrier,12,31),1),"jjj")</f>
        <v>mar</v>
      </c>
      <c r="AH5" s="33"/>
      <c r="AI5" s="33"/>
      <c r="AJ5" s="33"/>
      <c r="AK5" s="33"/>
    </row>
    <row r="6" spans="2:37" ht="15" customHeight="1" x14ac:dyDescent="0.25">
      <c r="B6" s="11" t="s">
        <v>13</v>
      </c>
      <c r="C6" s="2" t="s">
        <v>14</v>
      </c>
      <c r="D6" s="2" t="s">
        <v>15</v>
      </c>
      <c r="E6" s="2" t="s">
        <v>16</v>
      </c>
      <c r="F6" s="2" t="s">
        <v>17</v>
      </c>
      <c r="G6" s="2" t="s">
        <v>18</v>
      </c>
      <c r="H6" s="2" t="s">
        <v>19</v>
      </c>
      <c r="I6" s="2" t="s">
        <v>20</v>
      </c>
      <c r="J6" s="2" t="s">
        <v>21</v>
      </c>
      <c r="K6" s="2" t="s">
        <v>22</v>
      </c>
      <c r="L6" s="2" t="s">
        <v>23</v>
      </c>
      <c r="M6" s="2" t="s">
        <v>24</v>
      </c>
      <c r="N6" s="2" t="s">
        <v>25</v>
      </c>
      <c r="O6" s="2" t="s">
        <v>26</v>
      </c>
      <c r="P6" s="2" t="s">
        <v>27</v>
      </c>
      <c r="Q6" s="2" t="s">
        <v>28</v>
      </c>
      <c r="R6" s="2" t="s">
        <v>29</v>
      </c>
      <c r="S6" s="2" t="s">
        <v>30</v>
      </c>
      <c r="T6" s="2" t="s">
        <v>31</v>
      </c>
      <c r="U6" s="2" t="s">
        <v>32</v>
      </c>
      <c r="V6" s="2" t="s">
        <v>33</v>
      </c>
      <c r="W6" s="2" t="s">
        <v>34</v>
      </c>
      <c r="X6" s="2" t="s">
        <v>35</v>
      </c>
      <c r="Y6" s="2" t="s">
        <v>36</v>
      </c>
      <c r="Z6" s="2" t="s">
        <v>37</v>
      </c>
      <c r="AA6" s="2" t="s">
        <v>38</v>
      </c>
      <c r="AB6" s="2" t="s">
        <v>39</v>
      </c>
      <c r="AC6" s="2" t="s">
        <v>40</v>
      </c>
      <c r="AD6" s="2" t="s">
        <v>41</v>
      </c>
      <c r="AE6" s="2" t="s">
        <v>42</v>
      </c>
      <c r="AF6" s="2" t="s">
        <v>43</v>
      </c>
      <c r="AG6" s="2" t="s">
        <v>44</v>
      </c>
      <c r="AH6" s="3" t="s">
        <v>3</v>
      </c>
      <c r="AI6" s="6" t="s">
        <v>9</v>
      </c>
      <c r="AJ6" s="5" t="s">
        <v>7</v>
      </c>
      <c r="AK6" s="4" t="s">
        <v>69</v>
      </c>
    </row>
    <row r="7" spans="2:37" ht="30" customHeight="1" x14ac:dyDescent="0.25">
      <c r="B7" s="15" t="str">
        <f>Janvier!B7</f>
        <v>Amandine KRUSE</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8">
        <f>SUMPRODUCT(--(Décembre[[#This Row],[1]:[31]]=LEFT(Décembre[[#Headers],[Travaillé]],1)))</f>
        <v>0</v>
      </c>
      <c r="AI7" s="8">
        <f>SUMPRODUCT(--(Décembre[[#This Row],[1]:[31]]=LEFT(Décembre[[#Headers],[Congés]],1)))</f>
        <v>0</v>
      </c>
      <c r="AJ7" s="8">
        <f>SUMPRODUCT(--(Décembre[[#This Row],[1]:[31]]=LEFT(Décembre[[#Headers],[Maladie]],1)))</f>
        <v>0</v>
      </c>
      <c r="AK7" s="8">
        <f>SUMPRODUCT(--(Décembre[[#This Row],[1]:[31]]=LEFT(Décembre[[#Headers],[Repas]],1)))</f>
        <v>0</v>
      </c>
    </row>
    <row r="8" spans="2:37" ht="30" customHeight="1" x14ac:dyDescent="0.25">
      <c r="B8" s="15" t="str">
        <f>Janvier!B8</f>
        <v>Nakani KANTE</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8">
        <f>SUMPRODUCT(--(Décembre[[#This Row],[1]:[31]]=LEFT(Décembre[[#Headers],[Travaillé]],1)))</f>
        <v>0</v>
      </c>
      <c r="AI8" s="8">
        <f>SUMPRODUCT(--(Décembre[[#This Row],[1]:[31]]=LEFT(Décembre[[#Headers],[Congés]],1)))</f>
        <v>0</v>
      </c>
      <c r="AJ8" s="8">
        <f>SUMPRODUCT(--(Décembre[[#This Row],[1]:[31]]=LEFT(Décembre[[#Headers],[Maladie]],1)))</f>
        <v>0</v>
      </c>
      <c r="AK8" s="8">
        <f>SUMPRODUCT(--(Décembre[[#This Row],[1]:[31]]=LEFT(Décembre[[#Headers],[Repas]],1)))</f>
        <v>0</v>
      </c>
    </row>
    <row r="9" spans="2:37" ht="30" customHeight="1" x14ac:dyDescent="0.25">
      <c r="B9" s="15" t="str">
        <f>Janvier!B9</f>
        <v>Jérémie THORIN</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8">
        <f>SUMPRODUCT(--(Décembre[[#This Row],[1]:[31]]=LEFT(Décembre[[#Headers],[Travaillé]],1)))</f>
        <v>0</v>
      </c>
      <c r="AI9" s="8">
        <f>SUMPRODUCT(--(Décembre[[#This Row],[1]:[31]]=LEFT(Décembre[[#Headers],[Congés]],1)))</f>
        <v>0</v>
      </c>
      <c r="AJ9" s="8">
        <f>SUMPRODUCT(--(Décembre[[#This Row],[1]:[31]]=LEFT(Décembre[[#Headers],[Maladie]],1)))</f>
        <v>0</v>
      </c>
      <c r="AK9" s="8">
        <f>SUMPRODUCT(--(Décembre[[#This Row],[1]:[31]]=LEFT(Décembre[[#Headers],[Repas]],1)))</f>
        <v>0</v>
      </c>
    </row>
    <row r="10" spans="2:37" ht="30" customHeight="1" x14ac:dyDescent="0.25">
      <c r="B10" s="15" t="str">
        <f>Janvier!B10</f>
        <v>Employé 4</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8">
        <f>SUMPRODUCT(--(Décembre[[#This Row],[1]:[31]]=LEFT(Décembre[[#Headers],[Travaillé]],1)))</f>
        <v>0</v>
      </c>
      <c r="AI10" s="8">
        <f>SUMPRODUCT(--(Décembre[[#This Row],[1]:[31]]=LEFT(Décembre[[#Headers],[Congés]],1)))</f>
        <v>0</v>
      </c>
      <c r="AJ10" s="8">
        <f>SUMPRODUCT(--(Décembre[[#This Row],[1]:[31]]=LEFT(Décembre[[#Headers],[Maladie]],1)))</f>
        <v>0</v>
      </c>
      <c r="AK10" s="8">
        <f>SUMPRODUCT(--(Décembre[[#This Row],[1]:[31]]=LEFT(Décembre[[#Headers],[Repas]],1)))</f>
        <v>0</v>
      </c>
    </row>
    <row r="11" spans="2:37" ht="30" customHeight="1" x14ac:dyDescent="0.25">
      <c r="B11" s="15" t="str">
        <f>Janvier!B11</f>
        <v xml:space="preserve">Remplacement </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8">
        <f>SUMPRODUCT(--(Décembre[[#This Row],[1]:[31]]=LEFT(Décembre[[#Headers],[Travaillé]],1)))</f>
        <v>0</v>
      </c>
      <c r="AI11" s="8">
        <f>SUMPRODUCT(--(Décembre[[#This Row],[1]:[31]]=LEFT(Décembre[[#Headers],[Congés]],1)))</f>
        <v>0</v>
      </c>
      <c r="AJ11" s="8">
        <f>SUMPRODUCT(--(Décembre[[#This Row],[1]:[31]]=LEFT(Décembre[[#Headers],[Maladie]],1)))</f>
        <v>0</v>
      </c>
      <c r="AK11" s="8">
        <f>SUMPRODUCT(--(Décembre[[#This Row],[1]:[31]]=LEFT(Décembre[[#Headers],[Repas]],1)))</f>
        <v>0</v>
      </c>
    </row>
    <row r="12" spans="2:37" ht="30" customHeight="1" x14ac:dyDescent="0.25">
      <c r="B12" s="15" t="str">
        <f>Janvier!B12</f>
        <v>Employé 5</v>
      </c>
      <c r="AH12" s="8">
        <f>SUMPRODUCT(--(Décembre[[#This Row],[1]:[31]]=LEFT(Décembre[[#Headers],[Travaillé]],1)))</f>
        <v>0</v>
      </c>
      <c r="AI12" s="8">
        <f>SUMPRODUCT(--(Décembre[[#This Row],[1]:[31]]=LEFT(Décembre[[#Headers],[Congés]],1)))</f>
        <v>0</v>
      </c>
      <c r="AJ12" s="8">
        <f>SUMPRODUCT(--(Décembre[[#This Row],[1]:[31]]=LEFT(Décembre[[#Headers],[Maladie]],1)))</f>
        <v>0</v>
      </c>
      <c r="AK12" s="8">
        <f>SUMPRODUCT(--(Décembre[[#This Row],[1]:[31]]=LEFT(Décembre[[#Headers],[Repas]],1)))</f>
        <v>0</v>
      </c>
    </row>
    <row r="13" spans="2:37" ht="30" customHeight="1" thickBot="1" x14ac:dyDescent="0.3"/>
    <row r="14" spans="2:37" ht="30" customHeight="1" thickBot="1" x14ac:dyDescent="0.3">
      <c r="AB14" s="53" t="s">
        <v>53</v>
      </c>
      <c r="AC14" s="54"/>
      <c r="AD14" s="54"/>
      <c r="AE14" s="54"/>
      <c r="AF14" s="54"/>
      <c r="AG14" s="55"/>
      <c r="AH14" s="32">
        <f>SUM(AH11:AH13)</f>
        <v>0</v>
      </c>
      <c r="AI14" s="30">
        <f>SUM(AI11:AI13)</f>
        <v>0</v>
      </c>
      <c r="AJ14" s="30">
        <f>SUM(AJ11:AJ13)</f>
        <v>0</v>
      </c>
      <c r="AK14" s="31">
        <f>SUM(AK11:AK13)</f>
        <v>0</v>
      </c>
    </row>
  </sheetData>
  <mergeCells count="7">
    <mergeCell ref="AB14:AG14"/>
    <mergeCell ref="Q2:S2"/>
    <mergeCell ref="C4:AG4"/>
    <mergeCell ref="D2:E2"/>
    <mergeCell ref="K2:L2"/>
    <mergeCell ref="G2:H2"/>
    <mergeCell ref="N2:O2"/>
  </mergeCells>
  <conditionalFormatting sqref="C7:AG12">
    <cfRule type="expression" priority="4" stopIfTrue="1">
      <formula>C7=""</formula>
    </cfRule>
  </conditionalFormatting>
  <conditionalFormatting sqref="C7:AG12">
    <cfRule type="expression" dxfId="63" priority="5" stopIfTrue="1">
      <formula>C7=CléPanier_Repas</formula>
    </cfRule>
    <cfRule type="expression" dxfId="62" priority="6" stopIfTrue="1">
      <formula>C7=CléPersonnalisée1</formula>
    </cfRule>
    <cfRule type="expression" dxfId="61" priority="7" stopIfTrue="1">
      <formula>C7=CléMaladie</formula>
    </cfRule>
    <cfRule type="expression" dxfId="60" priority="8" stopIfTrue="1">
      <formula>C7=CléCongés</formula>
    </cfRule>
    <cfRule type="expression" dxfId="59" priority="9" stopIfTrue="1">
      <formula>C7=CléTravail</formula>
    </cfRule>
  </conditionalFormatting>
  <conditionalFormatting sqref="AH7:AK12">
    <cfRule type="dataBar" priority="3">
      <dataBar>
        <cfvo type="num" val="0"/>
        <cfvo type="num" val="31"/>
        <color theme="2" tint="-0.249977111117893"/>
      </dataBar>
      <extLst>
        <ext xmlns:x14="http://schemas.microsoft.com/office/spreadsheetml/2009/9/main" uri="{B025F937-C7B1-47D3-B67F-A62EFF666E3E}">
          <x14:id>{75AEC24A-02FB-47CC-822A-120B27AAD102}</x14:id>
        </ext>
      </extLst>
    </cfRule>
  </conditionalFormatting>
  <dataValidations count="13">
    <dataValidation allowBlank="1" showInputMessage="1" showErrorMessage="1" prompt="Année mise à jour automatiquement en fonction de l’année entrée dans la feuille de calcul Janvier" sqref="AH4"/>
    <dataValidation allowBlank="1" showInputMessage="1" showErrorMessage="1" prompt="Suivez les absences du mois de décembre dans cette feuille de calcul" sqref="A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 titre mis à jour automatiquement figure dans cette cellule. Pour modifier le titre, mettez à jour la cellule B1 de la feuille de calcul Janvier" sqref="B1"/>
    <dataValidation allowBlank="1" showInputMessage="1" showErrorMessage="1" prompt="La lettre « C » indique une absence pour cause de congé" sqref="C2"/>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P2"/>
    <dataValidation allowBlank="1" showInputMessage="1" showErrorMessage="1" prompt="Entrez une étiquette pour décrire la clé personnalisée à gauche" sqref="N2 Q2"/>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5AEC24A-02FB-47CC-822A-120B27AAD102}">
            <x14:dataBar minLength="0" maxLength="100">
              <x14:cfvo type="num">
                <xm:f>0</xm:f>
              </x14:cfvo>
              <x14:cfvo type="num">
                <xm:f>31</xm:f>
              </x14:cfvo>
              <x14:negativeFillColor rgb="FFFF0000"/>
              <x14:axisColor rgb="FF000000"/>
            </x14:dataBar>
          </x14:cfRule>
          <xm:sqref>AH7:AK12</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1"/>
  <sheetViews>
    <sheetView topLeftCell="A7" workbookViewId="0">
      <selection activeCell="A9" sqref="A9"/>
    </sheetView>
  </sheetViews>
  <sheetFormatPr baseColWidth="10" defaultColWidth="11.42578125" defaultRowHeight="15" x14ac:dyDescent="0.25"/>
  <cols>
    <col min="1" max="1" width="24.140625" customWidth="1"/>
  </cols>
  <sheetData>
    <row r="1" spans="1:5" ht="33.75" x14ac:dyDescent="0.25">
      <c r="A1" s="10" t="str">
        <f>Titre_Absence_Employé</f>
        <v>Calendrier  des employés</v>
      </c>
    </row>
    <row r="2" spans="1:5" x14ac:dyDescent="0.25">
      <c r="A2" s="56"/>
      <c r="B2" s="56"/>
      <c r="C2" s="56"/>
    </row>
    <row r="3" spans="1:5" x14ac:dyDescent="0.25">
      <c r="A3" s="56"/>
      <c r="B3" s="56"/>
      <c r="C3" s="56"/>
    </row>
    <row r="4" spans="1:5" x14ac:dyDescent="0.25">
      <c r="A4" s="56"/>
      <c r="B4" s="56"/>
      <c r="C4" s="56"/>
    </row>
    <row r="5" spans="1:5" x14ac:dyDescent="0.25">
      <c r="A5" s="56"/>
      <c r="B5" s="56"/>
      <c r="C5" s="56"/>
    </row>
    <row r="6" spans="1:5" x14ac:dyDescent="0.25">
      <c r="A6" s="34"/>
      <c r="B6" s="34"/>
      <c r="C6" s="34"/>
    </row>
    <row r="7" spans="1:5" x14ac:dyDescent="0.25">
      <c r="A7" s="24" t="s">
        <v>13</v>
      </c>
      <c r="B7" s="16" t="s">
        <v>3</v>
      </c>
      <c r="C7" s="17" t="s">
        <v>9</v>
      </c>
      <c r="D7" s="18" t="s">
        <v>7</v>
      </c>
      <c r="E7" s="25" t="s">
        <v>5</v>
      </c>
    </row>
    <row r="8" spans="1:5" x14ac:dyDescent="0.25">
      <c r="A8" s="35" t="str">
        <f>Janvier!B7</f>
        <v>Amandine KRUSE</v>
      </c>
      <c r="B8" s="36">
        <f>Janvier!AH7+Février!AH7+Mars!AH7+Avril!AH7+Mai!AH7+Juin!AH7+Juillet!AH7+Août!AH7+Septembre!AH7+Octobre!AH7+Novembre!AH7+Décembre!AH7</f>
        <v>0</v>
      </c>
      <c r="C8" s="36">
        <f>Janvier!AI7+Février!AI7+Mars!AI7+Avril!AI7+Mai!AI7+Juin!AI7+Juillet!AI7+Août!AI7+Septembre!AI7+Octobre!AI7+Novembre!AI7+Décembre!AI7</f>
        <v>0</v>
      </c>
      <c r="D8" s="36">
        <f>Janvier!AJ7+Février!AJ7+Mars!AJ7+Avril!AJ7+Mai!AJ7+Juin!AJ7+Juillet!AJ7+Août!AJ7+Septembre!AJ7+Octobre!AJ7+Novembre!AJ7+Décembre!AJ7</f>
        <v>0</v>
      </c>
      <c r="E8" s="36">
        <f>Janvier!AK7+Février!AK7+Mars!AK7+Avril!AK7+Mai!AK7+Juin!AK7+Juillet!AK7+Août!AK7+Septembre!AK7+Octobre!AK7+Novembre!AK7+Décembre!AK7</f>
        <v>0</v>
      </c>
    </row>
    <row r="9" spans="1:5" x14ac:dyDescent="0.25">
      <c r="A9" s="35" t="str">
        <f>Janvier!B8</f>
        <v>Nakani KANTE</v>
      </c>
      <c r="B9" s="36">
        <f>Janvier!AH8+Février!AH8+Mars!AH8+Avril!AH8+Mai!AH8+Juin!AH8+Juillet!AH8+Août!AH8+Septembre!AH8+Octobre!AH8+Novembre!AH8+Décembre!AH8</f>
        <v>0</v>
      </c>
      <c r="C9" s="36">
        <f>Janvier!AI8+Février!AI8+Mars!AI8+Avril!AI8+Mai!AI8+Juin!AI8+Juillet!AI8+Août!AI8+Septembre!AI8+Octobre!AI8+Novembre!AI8+Décembre!AI8</f>
        <v>0</v>
      </c>
      <c r="D9" s="36">
        <f>Janvier!AJ8+Février!AJ8+Mars!AJ8+Avril!AJ8+Mai!AJ8+Juin!AJ8+Juillet!AJ8+Août!AJ8+Septembre!AJ8+Octobre!AJ8+Novembre!AJ8+Décembre!AJ8</f>
        <v>0</v>
      </c>
      <c r="E9" s="36">
        <f>Janvier!AK8+Février!AK8+Mars!AK8+Avril!AK8+Mai!AK8+Juin!AK8+Juillet!AK8+Août!AK8+Septembre!AK8+Octobre!AK8+Novembre!AK8+Décembre!AK8</f>
        <v>0</v>
      </c>
    </row>
    <row r="10" spans="1:5" x14ac:dyDescent="0.25">
      <c r="A10" s="35" t="str">
        <f>Janvier!B9</f>
        <v>Jérémie THORIN</v>
      </c>
      <c r="B10" s="36">
        <f>Janvier!AH9+Février!AH9+Mars!AH9+Avril!AH9+Mai!AH9+Juin!AH9+Juillet!AH9+Août!AH9+Septembre!AH9+Octobre!AH9+Novembre!AH9+Décembre!AH9</f>
        <v>0</v>
      </c>
      <c r="C10" s="36">
        <f>Janvier!AI9+Février!AI9+Mars!AI9+Avril!AI9+Mai!AI9+Juin!AI9+Juillet!AI9+Août!AI9+Septembre!AI9+Octobre!AI9+Novembre!AI9+Décembre!AI9</f>
        <v>0</v>
      </c>
      <c r="D10" s="36">
        <f>Janvier!AJ9+Février!AJ9+Mars!AJ9+Avril!AJ9+Mai!AJ9+Juin!AJ9+Juillet!AJ9+Août!AJ9+Septembre!AJ9+Octobre!AJ9+Novembre!AJ9+Décembre!AJ9</f>
        <v>0</v>
      </c>
      <c r="E10" s="36">
        <f>Janvier!AK9+Février!AK9+Mars!AK9+Avril!AK9+Mai!AK9+Juin!AK9+Juillet!AK9+Août!AK9+Septembre!AK9+Octobre!AK9+Novembre!AK9+Décembre!AK9</f>
        <v>0</v>
      </c>
    </row>
    <row r="11" spans="1:5" x14ac:dyDescent="0.25">
      <c r="A11" s="35" t="str">
        <f>Janvier!B10</f>
        <v>Employé 4</v>
      </c>
      <c r="B11" s="36">
        <f>Janvier!AH10+Février!AH10+Mars!AH10+Avril!AH10+Mai!AH10+Juin!AH10+Juillet!AH10+Août!AH10+Septembre!AH10+Octobre!AH10+Novembre!AH10+Décembre!AH10</f>
        <v>0</v>
      </c>
      <c r="C11" s="36">
        <f>Janvier!AI10+Février!AI10+Mars!AI10+Avril!AI10+Mai!AI10+Juin!AI10+Juillet!AI10+Août!AI10+Septembre!AI10+Octobre!AI10+Novembre!AI10+Décembre!AI10</f>
        <v>0</v>
      </c>
      <c r="D11" s="36">
        <f>Janvier!AJ10+Février!AJ10+Mars!AJ10+Avril!AJ10+Mai!AJ10+Juin!AJ10+Juillet!AJ10+Août!AJ10+Septembre!AJ10+Octobre!AJ10+Novembre!AJ10+Décembre!AJ10</f>
        <v>0</v>
      </c>
      <c r="E11" s="36">
        <f>Janvier!AK10+Février!AK10+Mars!AK10+Avril!AK10+Mai!AK10+Juin!AK10+Juillet!AK10+Août!AK10+Septembre!AK10+Octobre!AK10+Novembre!AK10+Décembre!AK10</f>
        <v>0</v>
      </c>
    </row>
    <row r="12" spans="1:5" x14ac:dyDescent="0.25">
      <c r="A12" s="35" t="str">
        <f>Janvier!B11</f>
        <v xml:space="preserve">Remplacement </v>
      </c>
      <c r="B12" s="36">
        <f>Janvier!AH11+Février!AH11+Mars!AH11+Avril!AH11+Mai!AH11+Juin!AH11+Juillet!AH11+Août!AH11+Septembre!AH11+Octobre!AH11+Novembre!AH11+Décembre!AH11</f>
        <v>0</v>
      </c>
      <c r="C12" s="36">
        <f>Janvier!AI11+Février!AI11+Mars!AI11+Avril!AI11+Mai!AI11+Juin!AI11+Juillet!AI11+Août!AI11+Septembre!AI11+Octobre!AI11+Novembre!AI11+Décembre!AI11</f>
        <v>0</v>
      </c>
      <c r="D12" s="36">
        <f>Janvier!AJ11+Février!AJ11+Mars!AJ11+Avril!AJ11+Mai!AJ11+Juin!AJ11+Juillet!AJ11+Août!AJ11+Septembre!AJ11+Octobre!AJ11+Novembre!AJ11+Décembre!AJ11</f>
        <v>0</v>
      </c>
      <c r="E12" s="36">
        <f>Janvier!AK11+Février!AK11+Mars!AK11+Avril!AK11+Mai!AK11+Juin!AK11+Juillet!AK11+Août!AK11+Septembre!AK11+Octobre!AK11+Novembre!AK11+Décembre!AK11</f>
        <v>0</v>
      </c>
    </row>
    <row r="13" spans="1:5" x14ac:dyDescent="0.25">
      <c r="A13" s="35" t="str">
        <f>Janvier!B12</f>
        <v>Employé 5</v>
      </c>
      <c r="B13" s="36">
        <f>Janvier!AH12+Février!AH12+Mars!AH12+Avril!AH12+Mai!AH12+Juin!AH12+Juillet!AH12+Août!AH12+Septembre!AH12+Octobre!AH12+Novembre!AH12+Décembre!AH12</f>
        <v>0</v>
      </c>
      <c r="C13" s="36">
        <f>Janvier!AI12+Février!AI12+Mars!AI12+Avril!AI12+Mai!AI12+Juin!AI12+Juillet!AI12+Août!AI12+Septembre!AI12+Octobre!AI12+Novembre!AI12+Décembre!AI12</f>
        <v>0</v>
      </c>
      <c r="D13" s="36">
        <f>Janvier!AJ12+Février!AJ12+Mars!AJ12+Avril!AJ12+Mai!AJ12+Juin!AJ12+Juillet!AJ12+Août!AJ12+Septembre!AJ12+Octobre!AJ12+Novembre!AJ12+Décembre!AJ12</f>
        <v>0</v>
      </c>
      <c r="E13" s="36">
        <f>Janvier!AK12+Février!AK12+Mars!AK12+Avril!AK12+Mai!AK12+Juin!AK12+Juillet!AK12+Août!AK12+Septembre!AK12+Octobre!AK12+Novembre!AK12+Décembre!AK12</f>
        <v>0</v>
      </c>
    </row>
    <row r="14" spans="1:5" x14ac:dyDescent="0.25">
      <c r="A14" s="35" t="str">
        <f>Janvier!B13</f>
        <v>Employé 6</v>
      </c>
      <c r="B14" s="36">
        <f>Janvier!AH13+Février!AH13+Mars!AH13+Avril!AH13+Mai!AH13+Juin!AH13+Juillet!AH13+Août!AH13+Septembre!AH13+Octobre!AH13+Novembre!AH13+Décembre!AH13</f>
        <v>0</v>
      </c>
      <c r="C14" s="36">
        <f>Janvier!AI13+Février!AI13+Mars!AI13+Avril!AI13+Mai!AI13+Juin!AI13+Juillet!AI13+Août!AI13+Septembre!AI13+Octobre!AI13+Novembre!AI13+Décembre!AI13</f>
        <v>0</v>
      </c>
      <c r="D14" s="36">
        <f>Janvier!AJ13+Février!AJ13+Mars!AJ13+Avril!AJ13+Mai!AJ13+Juin!AJ13+Juillet!AJ13+Août!AJ13+Septembre!AJ13+Octobre!AJ13+Novembre!AJ13+Décembre!AJ13</f>
        <v>0</v>
      </c>
      <c r="E14" s="36">
        <f>Janvier!AK13+Février!AK13+Mars!AK13+Avril!AK13+Mai!AK13+Juin!AK13+Juillet!AK13+Août!AK13+Septembre!AK13+Octobre!AK13+Novembre!AK13+Décembre!AK13</f>
        <v>0</v>
      </c>
    </row>
    <row r="15" spans="1:5" x14ac:dyDescent="0.25">
      <c r="A15" s="35"/>
      <c r="B15" s="36"/>
      <c r="C15" s="36"/>
      <c r="D15" s="36"/>
      <c r="E15" s="36"/>
    </row>
    <row r="16" spans="1:5" x14ac:dyDescent="0.25">
      <c r="A16" s="35"/>
      <c r="B16" s="36"/>
      <c r="C16" s="36"/>
      <c r="D16" s="36"/>
      <c r="E16" s="36"/>
    </row>
    <row r="17" spans="1:5" x14ac:dyDescent="0.25">
      <c r="A17" s="35"/>
      <c r="B17" s="36"/>
      <c r="C17" s="36"/>
      <c r="D17" s="36"/>
      <c r="E17" s="36"/>
    </row>
    <row r="18" spans="1:5" x14ac:dyDescent="0.25">
      <c r="A18" s="35"/>
      <c r="B18" s="36"/>
      <c r="C18" s="36"/>
      <c r="D18" s="36"/>
      <c r="E18" s="36"/>
    </row>
    <row r="19" spans="1:5" x14ac:dyDescent="0.25">
      <c r="A19" s="35"/>
      <c r="B19" s="36"/>
      <c r="C19" s="36"/>
      <c r="D19" s="36"/>
      <c r="E19" s="36"/>
    </row>
    <row r="20" spans="1:5" x14ac:dyDescent="0.25">
      <c r="A20" s="35"/>
      <c r="B20" s="36"/>
      <c r="C20" s="36"/>
      <c r="D20" s="36"/>
      <c r="E20" s="36"/>
    </row>
    <row r="21" spans="1:5" x14ac:dyDescent="0.25">
      <c r="A21" s="35"/>
      <c r="B21" s="36"/>
      <c r="C21" s="36"/>
      <c r="D21" s="36"/>
      <c r="E21" s="36"/>
    </row>
  </sheetData>
  <mergeCells count="1">
    <mergeCell ref="A2:C5"/>
  </mergeCells>
  <dataValidations count="2">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7"/>
    <dataValidation allowBlank="1" showInputMessage="1" showErrorMessage="1" prompt="Le titre mis à jour automatiquement figure dans cette cellule. Pour modifier le titre, mettez à jour la cellule B1 de la feuille de calcul Janvier" sqref="A1"/>
  </dataValidations>
  <pageMargins left="0.7" right="0.7" top="0.75" bottom="0.75" header="0.3" footer="0.3"/>
  <drawing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
  <sheetViews>
    <sheetView workbookViewId="0">
      <selection activeCell="C2" sqref="C2"/>
    </sheetView>
  </sheetViews>
  <sheetFormatPr baseColWidth="10" defaultRowHeight="15" x14ac:dyDescent="0.25"/>
  <sheetData>
    <row r="1" spans="1:3" x14ac:dyDescent="0.25">
      <c r="A1" t="s">
        <v>11</v>
      </c>
      <c r="C1" s="57">
        <f>DATE(AnnéeCalendrier,12,25)</f>
        <v>43824</v>
      </c>
    </row>
    <row r="2" spans="1:3" x14ac:dyDescent="0.25">
      <c r="A2" t="s">
        <v>54</v>
      </c>
      <c r="C2" s="57">
        <f ca="1">DATE(YEAR(TODAY()),1,1)</f>
        <v>43466</v>
      </c>
    </row>
    <row r="3" spans="1:3" x14ac:dyDescent="0.25">
      <c r="A3" t="s">
        <v>57</v>
      </c>
      <c r="C3" s="57"/>
    </row>
    <row r="4" spans="1:3" x14ac:dyDescent="0.25">
      <c r="A4" t="s">
        <v>58</v>
      </c>
      <c r="C4" s="57"/>
    </row>
    <row r="5" spans="1:3" x14ac:dyDescent="0.25">
      <c r="A5" t="s">
        <v>59</v>
      </c>
    </row>
    <row r="6" spans="1:3" x14ac:dyDescent="0.25">
      <c r="A6" t="s">
        <v>60</v>
      </c>
    </row>
    <row r="7" spans="1:3" x14ac:dyDescent="0.25">
      <c r="A7" t="s">
        <v>61</v>
      </c>
    </row>
    <row r="8" spans="1:3" x14ac:dyDescent="0.25">
      <c r="A8" t="s">
        <v>62</v>
      </c>
    </row>
    <row r="9" spans="1:3" x14ac:dyDescent="0.25">
      <c r="A9" t="s">
        <v>63</v>
      </c>
    </row>
    <row r="10" spans="1:3" x14ac:dyDescent="0.25">
      <c r="A10" t="s">
        <v>64</v>
      </c>
    </row>
    <row r="11" spans="1:3" x14ac:dyDescent="0.25">
      <c r="A11" t="s">
        <v>65</v>
      </c>
    </row>
    <row r="12" spans="1:3" x14ac:dyDescent="0.25">
      <c r="A1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49</vt:i4>
      </vt:variant>
    </vt:vector>
  </HeadingPairs>
  <TitlesOfParts>
    <vt:vector size="63" baseType="lpstr">
      <vt:lpstr>Janvier</vt:lpstr>
      <vt:lpstr>Février</vt:lpstr>
      <vt:lpstr>Mars</vt:lpstr>
      <vt:lpstr>Avril</vt:lpstr>
      <vt:lpstr>Mai</vt:lpstr>
      <vt:lpstr>Juin</vt:lpstr>
      <vt:lpstr>Juillet</vt:lpstr>
      <vt:lpstr>Août</vt:lpstr>
      <vt:lpstr>Septembre</vt:lpstr>
      <vt:lpstr>Octobre</vt:lpstr>
      <vt:lpstr>Novembre</vt:lpstr>
      <vt:lpstr>Décembre</vt:lpstr>
      <vt:lpstr>Total Annuel</vt:lpstr>
      <vt:lpstr>mois-fériée</vt:lpstr>
      <vt:lpstr>AnnéeCalendrier</vt:lpstr>
      <vt:lpstr>CléCongés</vt:lpstr>
      <vt:lpstr>CléMaladie</vt:lpstr>
      <vt:lpstr>CléPanier_Repas</vt:lpstr>
      <vt:lpstr>CléPersonnalisée1</vt:lpstr>
      <vt:lpstr>CléTravail</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Alexandre</dc:creator>
  <cp:lastModifiedBy>isabelle</cp:lastModifiedBy>
  <cp:revision/>
  <dcterms:created xsi:type="dcterms:W3CDTF">2016-12-06T04:52:27Z</dcterms:created>
  <dcterms:modified xsi:type="dcterms:W3CDTF">2019-09-15T20:21:51Z</dcterms:modified>
</cp:coreProperties>
</file>