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60" windowWidth="20730" windowHeight="9210" tabRatio="855" activeTab="4"/>
  </bookViews>
  <sheets>
    <sheet name="info" sheetId="27" r:id="rId1"/>
    <sheet name="sem1" sheetId="25" r:id="rId2"/>
    <sheet name="bulletin_sem1" sheetId="26" r:id="rId3"/>
    <sheet name="sem2" sheetId="29" r:id="rId4"/>
    <sheet name="bulletin_sem2" sheetId="30" r:id="rId5"/>
    <sheet name="مجمل" sheetId="28" r:id="rId6"/>
  </sheets>
  <externalReferences>
    <externalReference r:id="rId7"/>
  </externalReferences>
  <definedNames>
    <definedName name="_xlnm._FilterDatabase" localSheetId="1" hidden="1">'sem1'!$A$9:$AG$59</definedName>
    <definedName name="_xlnm._FilterDatabase" localSheetId="3" hidden="1">'sem2'!$A$9:$AG$59</definedName>
    <definedName name="base1" localSheetId="3">'sem2'!$8:$59</definedName>
    <definedName name="base1">'sem1'!$8:$59</definedName>
    <definedName name="base2" localSheetId="4">#REF!</definedName>
    <definedName name="base2" localSheetId="3">'sem2'!$7:$59</definedName>
    <definedName name="base2">#REF!</definedName>
    <definedName name="base3">'sem2'!$10:$59</definedName>
    <definedName name="fawj">[1]infos!$J$19:$J$20</definedName>
    <definedName name="liste_eleve" localSheetId="3">'sem2'!$C$10:$C$59</definedName>
    <definedName name="liste_eleve">'sem1'!$C$10:$C$59</definedName>
    <definedName name="liste_niveaux">[1]infos!$H$7:$H$16</definedName>
    <definedName name="liste_profs2">[1]infos!$G$7:$G$20</definedName>
    <definedName name="liste_sat2">[1]infos!$I$7:$I$12</definedName>
    <definedName name="matieres">info!$T$1:$T$2</definedName>
    <definedName name="_xlnm.Print_Area" localSheetId="2">bulletin_sem1!$A$1:$O$45</definedName>
    <definedName name="_xlnm.Print_Area" localSheetId="4">bulletin_sem2!$A$1:$O$47</definedName>
    <definedName name="_xlnm.Print_Area" localSheetId="0">info!$A$1:$O$65</definedName>
  </definedNames>
  <calcPr calcId="145621"/>
</workbook>
</file>

<file path=xl/calcChain.xml><?xml version="1.0" encoding="utf-8"?>
<calcChain xmlns="http://schemas.openxmlformats.org/spreadsheetml/2006/main">
  <c r="I25" i="30" l="1"/>
  <c r="G25" i="30"/>
  <c r="I25" i="26"/>
  <c r="G25" i="26"/>
  <c r="E47" i="30" l="1"/>
  <c r="E46" i="30"/>
  <c r="E45" i="30"/>
  <c r="E44" i="30"/>
  <c r="E43" i="30"/>
  <c r="H44" i="30"/>
  <c r="I40" i="30"/>
  <c r="G40" i="30"/>
  <c r="I38" i="30"/>
  <c r="G38" i="30"/>
  <c r="I36" i="30"/>
  <c r="G36" i="30"/>
  <c r="L36" i="30" s="1"/>
  <c r="L37" i="30" s="1"/>
  <c r="M36" i="30" s="1"/>
  <c r="I34" i="30"/>
  <c r="G34" i="30"/>
  <c r="I32" i="30"/>
  <c r="G32" i="30"/>
  <c r="G30" i="30"/>
  <c r="G29" i="30"/>
  <c r="L29" i="30" s="1"/>
  <c r="G28" i="30"/>
  <c r="L28" i="30" s="1"/>
  <c r="G27" i="30"/>
  <c r="I23" i="30"/>
  <c r="G23" i="30"/>
  <c r="I22" i="30"/>
  <c r="G22" i="30"/>
  <c r="I21" i="30"/>
  <c r="G21" i="30"/>
  <c r="I20" i="30"/>
  <c r="G20" i="30"/>
  <c r="I19" i="30"/>
  <c r="G19" i="30"/>
  <c r="L19" i="30" s="1"/>
  <c r="L40" i="30"/>
  <c r="L41" i="30" s="1"/>
  <c r="M40" i="30" s="1"/>
  <c r="I30" i="30"/>
  <c r="L30" i="30"/>
  <c r="I29" i="30"/>
  <c r="I28" i="30"/>
  <c r="L27" i="30"/>
  <c r="I27" i="30"/>
  <c r="L25" i="30"/>
  <c r="L26" i="30" s="1"/>
  <c r="M25" i="30" s="1"/>
  <c r="L23" i="30"/>
  <c r="I13" i="30"/>
  <c r="I12" i="30"/>
  <c r="N7" i="30"/>
  <c r="N6" i="30"/>
  <c r="N4" i="30"/>
  <c r="N3" i="30"/>
  <c r="N2" i="30"/>
  <c r="N1" i="30"/>
  <c r="L25" i="26"/>
  <c r="L26" i="26" s="1"/>
  <c r="M25" i="26" s="1"/>
  <c r="I40" i="26"/>
  <c r="I38" i="26"/>
  <c r="I36" i="26"/>
  <c r="I34" i="26"/>
  <c r="I32" i="26"/>
  <c r="I23" i="26"/>
  <c r="I22" i="26"/>
  <c r="I21" i="26"/>
  <c r="I20" i="26"/>
  <c r="G40" i="26"/>
  <c r="L40" i="26" s="1"/>
  <c r="L41" i="26" s="1"/>
  <c r="M40" i="26" s="1"/>
  <c r="G38" i="26"/>
  <c r="L38" i="26" s="1"/>
  <c r="L39" i="26" s="1"/>
  <c r="M38" i="26" s="1"/>
  <c r="G36" i="26"/>
  <c r="G34" i="26"/>
  <c r="L34" i="26" s="1"/>
  <c r="L35" i="26" s="1"/>
  <c r="M34" i="26" s="1"/>
  <c r="G32" i="26"/>
  <c r="L32" i="26" s="1"/>
  <c r="L33" i="26" s="1"/>
  <c r="M32" i="26" s="1"/>
  <c r="G30" i="26"/>
  <c r="L30" i="26" s="1"/>
  <c r="G28" i="26"/>
  <c r="L28" i="26" s="1"/>
  <c r="G27" i="26"/>
  <c r="L27" i="26" s="1"/>
  <c r="G23" i="26"/>
  <c r="L23" i="26" s="1"/>
  <c r="G22" i="26"/>
  <c r="L22" i="26" s="1"/>
  <c r="G21" i="26"/>
  <c r="L21" i="26" s="1"/>
  <c r="G20" i="26"/>
  <c r="L20" i="26" s="1"/>
  <c r="I19" i="26"/>
  <c r="G19" i="26"/>
  <c r="I12" i="26"/>
  <c r="I13" i="26"/>
  <c r="N1" i="26"/>
  <c r="N2" i="26"/>
  <c r="N4" i="26"/>
  <c r="N6" i="26"/>
  <c r="N7" i="26"/>
  <c r="L20" i="30" l="1"/>
  <c r="L32" i="30"/>
  <c r="L33" i="30" s="1"/>
  <c r="M32" i="30" s="1"/>
  <c r="L21" i="30"/>
  <c r="L38" i="30"/>
  <c r="L39" i="30" s="1"/>
  <c r="M38" i="30" s="1"/>
  <c r="L36" i="26"/>
  <c r="L37" i="26" s="1"/>
  <c r="M36" i="26" s="1"/>
  <c r="L34" i="30"/>
  <c r="L35" i="30" s="1"/>
  <c r="M34" i="30" s="1"/>
  <c r="L19" i="26"/>
  <c r="L24" i="26" s="1"/>
  <c r="M19" i="26" s="1"/>
  <c r="L22" i="30"/>
  <c r="L24" i="30" s="1"/>
  <c r="M19" i="30" s="1"/>
  <c r="L31" i="30"/>
  <c r="M27" i="30" s="1"/>
  <c r="AD6" i="28"/>
  <c r="AD5" i="28"/>
  <c r="AD4" i="28"/>
  <c r="AD3" i="28"/>
  <c r="AD2" i="28"/>
  <c r="AD1" i="28"/>
  <c r="A6" i="28"/>
  <c r="A5" i="28"/>
  <c r="A4" i="28"/>
  <c r="A3" i="28"/>
  <c r="A2" i="28"/>
  <c r="A1" i="28"/>
  <c r="AG5" i="29"/>
  <c r="AG5" i="25"/>
  <c r="AG4" i="29"/>
  <c r="AG4" i="25"/>
  <c r="AG3" i="29"/>
  <c r="AG3" i="25"/>
  <c r="AG2" i="29"/>
  <c r="AG2" i="25"/>
  <c r="C6" i="25"/>
  <c r="C5" i="25"/>
  <c r="C4" i="25"/>
  <c r="C3" i="25"/>
  <c r="C2" i="25"/>
  <c r="C1" i="25"/>
  <c r="C6" i="29"/>
  <c r="C5" i="29"/>
  <c r="C4" i="29"/>
  <c r="C3" i="29"/>
  <c r="C2" i="29"/>
  <c r="C1" i="29"/>
  <c r="A6" i="30"/>
  <c r="A5" i="30"/>
  <c r="A4" i="30"/>
  <c r="A3" i="30"/>
  <c r="A2" i="30"/>
  <c r="A1" i="30"/>
  <c r="A6" i="26"/>
  <c r="A5" i="26"/>
  <c r="A4" i="26"/>
  <c r="A3" i="26"/>
  <c r="A2" i="26"/>
  <c r="A1" i="26"/>
  <c r="A12" i="28"/>
  <c r="B12" i="28"/>
  <c r="C12" i="28"/>
  <c r="A13" i="28"/>
  <c r="B13" i="28" s="1"/>
  <c r="A14" i="28"/>
  <c r="C14" i="28" s="1"/>
  <c r="B14" i="28"/>
  <c r="A15" i="28"/>
  <c r="B15" i="28"/>
  <c r="C15" i="28"/>
  <c r="A16" i="28"/>
  <c r="B16" i="28"/>
  <c r="C16" i="28"/>
  <c r="A17" i="28"/>
  <c r="B17" i="28" s="1"/>
  <c r="A18" i="28"/>
  <c r="C18" i="28" s="1"/>
  <c r="B18" i="28"/>
  <c r="A19" i="28"/>
  <c r="B19" i="28"/>
  <c r="C19" i="28"/>
  <c r="A20" i="28"/>
  <c r="B20" i="28"/>
  <c r="C20" i="28"/>
  <c r="A21" i="28"/>
  <c r="B21" i="28" s="1"/>
  <c r="A22" i="28"/>
  <c r="C22" i="28" s="1"/>
  <c r="B22" i="28"/>
  <c r="A23" i="28"/>
  <c r="B23" i="28"/>
  <c r="C23" i="28"/>
  <c r="A24" i="28"/>
  <c r="B24" i="28"/>
  <c r="C24" i="28"/>
  <c r="A25" i="28"/>
  <c r="B25" i="28" s="1"/>
  <c r="A26" i="28"/>
  <c r="C26" i="28" s="1"/>
  <c r="B26" i="28"/>
  <c r="A27" i="28"/>
  <c r="B27" i="28"/>
  <c r="C27" i="28"/>
  <c r="A28" i="28"/>
  <c r="B28" i="28"/>
  <c r="C28" i="28"/>
  <c r="A29" i="28"/>
  <c r="B29" i="28" s="1"/>
  <c r="A30" i="28"/>
  <c r="C30" i="28" s="1"/>
  <c r="B30" i="28"/>
  <c r="A31" i="28"/>
  <c r="B31" i="28"/>
  <c r="C31" i="28"/>
  <c r="A32" i="28"/>
  <c r="B32" i="28"/>
  <c r="C32" i="28"/>
  <c r="A33" i="28"/>
  <c r="B33" i="28" s="1"/>
  <c r="A34" i="28"/>
  <c r="C34" i="28" s="1"/>
  <c r="B34" i="28"/>
  <c r="A35" i="28"/>
  <c r="B35" i="28"/>
  <c r="C35" i="28"/>
  <c r="A36" i="28"/>
  <c r="B36" i="28"/>
  <c r="C36" i="28"/>
  <c r="A37" i="28"/>
  <c r="B37" i="28" s="1"/>
  <c r="A38" i="28"/>
  <c r="C38" i="28" s="1"/>
  <c r="B38" i="28"/>
  <c r="A39" i="28"/>
  <c r="B39" i="28"/>
  <c r="C39" i="28"/>
  <c r="A40" i="28"/>
  <c r="B40" i="28"/>
  <c r="C40" i="28"/>
  <c r="A41" i="28"/>
  <c r="B41" i="28" s="1"/>
  <c r="A42" i="28"/>
  <c r="C42" i="28" s="1"/>
  <c r="B42" i="28"/>
  <c r="A43" i="28"/>
  <c r="B43" i="28"/>
  <c r="C43" i="28"/>
  <c r="A44" i="28"/>
  <c r="B44" i="28"/>
  <c r="C44" i="28"/>
  <c r="A45" i="28"/>
  <c r="B45" i="28" s="1"/>
  <c r="A46" i="28"/>
  <c r="C46" i="28" s="1"/>
  <c r="B46" i="28"/>
  <c r="A47" i="28"/>
  <c r="B47" i="28"/>
  <c r="C47" i="28"/>
  <c r="A48" i="28"/>
  <c r="B48" i="28"/>
  <c r="C48" i="28"/>
  <c r="A49" i="28"/>
  <c r="B49" i="28" s="1"/>
  <c r="A50" i="28"/>
  <c r="C50" i="28" s="1"/>
  <c r="B50" i="28"/>
  <c r="A51" i="28"/>
  <c r="B51" i="28"/>
  <c r="C51" i="28"/>
  <c r="A52" i="28"/>
  <c r="B52" i="28"/>
  <c r="C52" i="28"/>
  <c r="A53" i="28"/>
  <c r="B53" i="28" s="1"/>
  <c r="A54" i="28"/>
  <c r="C54" i="28" s="1"/>
  <c r="B54" i="28"/>
  <c r="A55" i="28"/>
  <c r="B55" i="28"/>
  <c r="C55" i="28"/>
  <c r="A56" i="28"/>
  <c r="B56" i="28"/>
  <c r="C56" i="28"/>
  <c r="A57" i="28"/>
  <c r="B57" i="28" s="1"/>
  <c r="A58" i="28"/>
  <c r="C58" i="28" s="1"/>
  <c r="B58" i="28"/>
  <c r="A59" i="28"/>
  <c r="B59" i="28"/>
  <c r="C59" i="28"/>
  <c r="A60" i="28"/>
  <c r="B60" i="28"/>
  <c r="C60" i="28"/>
  <c r="C11" i="28"/>
  <c r="B11" i="28"/>
  <c r="A11" i="28"/>
  <c r="A17" i="27"/>
  <c r="A18" i="27"/>
  <c r="A21" i="27" s="1"/>
  <c r="A19" i="27"/>
  <c r="A22" i="27" s="1"/>
  <c r="A20" i="27"/>
  <c r="A23" i="27" s="1"/>
  <c r="A41" i="27"/>
  <c r="A42" i="27"/>
  <c r="A43" i="27"/>
  <c r="A44" i="27"/>
  <c r="A45" i="27"/>
  <c r="A46" i="27"/>
  <c r="A47" i="27"/>
  <c r="A48" i="27"/>
  <c r="A49" i="27"/>
  <c r="A50" i="27"/>
  <c r="A51" i="27"/>
  <c r="A52" i="27"/>
  <c r="A53" i="27"/>
  <c r="A54" i="27"/>
  <c r="A55" i="27"/>
  <c r="A56" i="27"/>
  <c r="A57" i="27"/>
  <c r="A58" i="27"/>
  <c r="A59" i="27"/>
  <c r="A60" i="27"/>
  <c r="A61" i="27"/>
  <c r="A62" i="27"/>
  <c r="A63" i="27"/>
  <c r="A64" i="27"/>
  <c r="A65" i="27"/>
  <c r="A16" i="27"/>
  <c r="C57" i="28" l="1"/>
  <c r="C53" i="28"/>
  <c r="C49" i="28"/>
  <c r="C45" i="28"/>
  <c r="C41" i="28"/>
  <c r="C37" i="28"/>
  <c r="C33" i="28"/>
  <c r="C29" i="28"/>
  <c r="C25" i="28"/>
  <c r="C21" i="28"/>
  <c r="C17" i="28"/>
  <c r="C13" i="28"/>
  <c r="A24" i="27"/>
  <c r="A25" i="27"/>
  <c r="AM10" i="29"/>
  <c r="AS11" i="29"/>
  <c r="Z12" i="28" s="1"/>
  <c r="AA12" i="28" s="1"/>
  <c r="AS12" i="29"/>
  <c r="AS13" i="29"/>
  <c r="AS14" i="29"/>
  <c r="Z15" i="28" s="1"/>
  <c r="AS15" i="29"/>
  <c r="Z16" i="28" s="1"/>
  <c r="AS16" i="29"/>
  <c r="AS17" i="29"/>
  <c r="AS18" i="29"/>
  <c r="AS19" i="29"/>
  <c r="Z20" i="28" s="1"/>
  <c r="AA20" i="28" s="1"/>
  <c r="AS20" i="29"/>
  <c r="AS21" i="29"/>
  <c r="AS22" i="29"/>
  <c r="Z23" i="28" s="1"/>
  <c r="AS23" i="29"/>
  <c r="Z24" i="28" s="1"/>
  <c r="AA24" i="28" s="1"/>
  <c r="AS24" i="29"/>
  <c r="AS25" i="29"/>
  <c r="AS26" i="29"/>
  <c r="Z27" i="28" s="1"/>
  <c r="AS27" i="29"/>
  <c r="Z28" i="28" s="1"/>
  <c r="AS28" i="29"/>
  <c r="AS29" i="29"/>
  <c r="AS30" i="29"/>
  <c r="Z31" i="28" s="1"/>
  <c r="AS31" i="29"/>
  <c r="Z32" i="28" s="1"/>
  <c r="AS32" i="29"/>
  <c r="AS33" i="29"/>
  <c r="AS34" i="29"/>
  <c r="Z35" i="28" s="1"/>
  <c r="AS35" i="29"/>
  <c r="AS36" i="29"/>
  <c r="AS37" i="29"/>
  <c r="AS38" i="29"/>
  <c r="Z39" i="28" s="1"/>
  <c r="AS39" i="29"/>
  <c r="Z40" i="28" s="1"/>
  <c r="AA40" i="28" s="1"/>
  <c r="AS40" i="29"/>
  <c r="AS41" i="29"/>
  <c r="AS42" i="29"/>
  <c r="AS43" i="29"/>
  <c r="Z44" i="28" s="1"/>
  <c r="AS44" i="29"/>
  <c r="AS45" i="29"/>
  <c r="Z46" i="28" s="1"/>
  <c r="AS46" i="29"/>
  <c r="Z47" i="28" s="1"/>
  <c r="AS47" i="29"/>
  <c r="Z48" i="28" s="1"/>
  <c r="AS48" i="29"/>
  <c r="AS49" i="29"/>
  <c r="AS50" i="29"/>
  <c r="AS51" i="29"/>
  <c r="Z52" i="28" s="1"/>
  <c r="AS52" i="29"/>
  <c r="AS53" i="29"/>
  <c r="AS54" i="29"/>
  <c r="AS55" i="29"/>
  <c r="Z56" i="28" s="1"/>
  <c r="AA56" i="28" s="1"/>
  <c r="AS56" i="29"/>
  <c r="AS57" i="29"/>
  <c r="AS58" i="29"/>
  <c r="Z59" i="28" s="1"/>
  <c r="AS59" i="29"/>
  <c r="Z60" i="28" s="1"/>
  <c r="AA60" i="28" s="1"/>
  <c r="AS11" i="25"/>
  <c r="AS12" i="25"/>
  <c r="AS13" i="25"/>
  <c r="Y14" i="28" s="1"/>
  <c r="AA14" i="28" s="1"/>
  <c r="AS14" i="25"/>
  <c r="Y15" i="28" s="1"/>
  <c r="AS15" i="25"/>
  <c r="AS16" i="25"/>
  <c r="AS17" i="25"/>
  <c r="AS18" i="25"/>
  <c r="Y19" i="28" s="1"/>
  <c r="AA19" i="28" s="1"/>
  <c r="AS19" i="25"/>
  <c r="AS20" i="25"/>
  <c r="AS21" i="25"/>
  <c r="Y22" i="28" s="1"/>
  <c r="AA22" i="28" s="1"/>
  <c r="AS22" i="25"/>
  <c r="AS23" i="25"/>
  <c r="AS24" i="25"/>
  <c r="Y25" i="28" s="1"/>
  <c r="AS25" i="25"/>
  <c r="Y26" i="28" s="1"/>
  <c r="AA26" i="28" s="1"/>
  <c r="AS26" i="25"/>
  <c r="AS27" i="25"/>
  <c r="AS28" i="25"/>
  <c r="AS29" i="25"/>
  <c r="Y30" i="28" s="1"/>
  <c r="AA30" i="28" s="1"/>
  <c r="AS30" i="25"/>
  <c r="AS31" i="25"/>
  <c r="AS32" i="25"/>
  <c r="AS33" i="25"/>
  <c r="Y34" i="28" s="1"/>
  <c r="AA34" i="28" s="1"/>
  <c r="AS34" i="25"/>
  <c r="Y35" i="28" s="1"/>
  <c r="AA35" i="28" s="1"/>
  <c r="AS35" i="25"/>
  <c r="AS36" i="25"/>
  <c r="Y37" i="28" s="1"/>
  <c r="AA37" i="28" s="1"/>
  <c r="AS37" i="25"/>
  <c r="AS38" i="25"/>
  <c r="AS39" i="25"/>
  <c r="AS40" i="25"/>
  <c r="AS41" i="25"/>
  <c r="AS42" i="25"/>
  <c r="Y43" i="28" s="1"/>
  <c r="AA43" i="28" s="1"/>
  <c r="AS43" i="25"/>
  <c r="AS44" i="25"/>
  <c r="Y45" i="28" s="1"/>
  <c r="AA45" i="28" s="1"/>
  <c r="AS45" i="25"/>
  <c r="AS46" i="25"/>
  <c r="AS47" i="25"/>
  <c r="AS48" i="25"/>
  <c r="AS49" i="25"/>
  <c r="Y50" i="28" s="1"/>
  <c r="AA50" i="28" s="1"/>
  <c r="AS50" i="25"/>
  <c r="Y51" i="28" s="1"/>
  <c r="AA51" i="28" s="1"/>
  <c r="AS51" i="25"/>
  <c r="AS52" i="25"/>
  <c r="AS53" i="25"/>
  <c r="Y54" i="28" s="1"/>
  <c r="AA54" i="28" s="1"/>
  <c r="AS54" i="25"/>
  <c r="Y55" i="28" s="1"/>
  <c r="AA55" i="28" s="1"/>
  <c r="AS55" i="25"/>
  <c r="AS56" i="25"/>
  <c r="Y57" i="28" s="1"/>
  <c r="AS57" i="25"/>
  <c r="AS58" i="25"/>
  <c r="AS59" i="25"/>
  <c r="AP11" i="29"/>
  <c r="W12" i="28" s="1"/>
  <c r="AP12" i="29"/>
  <c r="AP13" i="29"/>
  <c r="W14" i="28" s="1"/>
  <c r="X14" i="28" s="1"/>
  <c r="AP14" i="29"/>
  <c r="W15" i="28" s="1"/>
  <c r="AP15" i="29"/>
  <c r="AP16" i="29"/>
  <c r="AP17" i="29"/>
  <c r="AP18" i="29"/>
  <c r="W19" i="28" s="1"/>
  <c r="AP19" i="29"/>
  <c r="AP20" i="29"/>
  <c r="AP21" i="29"/>
  <c r="AP22" i="29"/>
  <c r="W23" i="28" s="1"/>
  <c r="AP23" i="29"/>
  <c r="W24" i="28" s="1"/>
  <c r="AP24" i="29"/>
  <c r="AP25" i="29"/>
  <c r="AP26" i="29"/>
  <c r="W27" i="28" s="1"/>
  <c r="AP27" i="29"/>
  <c r="W28" i="28" s="1"/>
  <c r="AP28" i="29"/>
  <c r="AP29" i="29"/>
  <c r="AP30" i="29"/>
  <c r="AP31" i="29"/>
  <c r="W32" i="28" s="1"/>
  <c r="AP32" i="29"/>
  <c r="AP33" i="29"/>
  <c r="AP34" i="29"/>
  <c r="W35" i="28" s="1"/>
  <c r="AP35" i="29"/>
  <c r="W36" i="28" s="1"/>
  <c r="AP36" i="29"/>
  <c r="AP37" i="29"/>
  <c r="AP38" i="29"/>
  <c r="W39" i="28" s="1"/>
  <c r="AP39" i="29"/>
  <c r="W40" i="28" s="1"/>
  <c r="AP40" i="29"/>
  <c r="AP41" i="29"/>
  <c r="AP42" i="29"/>
  <c r="AP43" i="29"/>
  <c r="AP44" i="29"/>
  <c r="AP45" i="29"/>
  <c r="AP46" i="29"/>
  <c r="W47" i="28" s="1"/>
  <c r="AP47" i="29"/>
  <c r="W48" i="28" s="1"/>
  <c r="X48" i="28" s="1"/>
  <c r="AP48" i="29"/>
  <c r="AP49" i="29"/>
  <c r="AP50" i="29"/>
  <c r="W51" i="28" s="1"/>
  <c r="AP51" i="29"/>
  <c r="W52" i="28" s="1"/>
  <c r="X52" i="28" s="1"/>
  <c r="AP52" i="29"/>
  <c r="AP53" i="29"/>
  <c r="AP54" i="29"/>
  <c r="W55" i="28" s="1"/>
  <c r="AP55" i="29"/>
  <c r="W56" i="28" s="1"/>
  <c r="X56" i="28" s="1"/>
  <c r="AP56" i="29"/>
  <c r="AP57" i="29"/>
  <c r="W58" i="28" s="1"/>
  <c r="AP58" i="29"/>
  <c r="AP59" i="29"/>
  <c r="W60" i="28" s="1"/>
  <c r="AP11" i="25"/>
  <c r="AP12" i="25"/>
  <c r="AP13" i="25"/>
  <c r="AP14" i="25"/>
  <c r="V15" i="28" s="1"/>
  <c r="X15" i="28" s="1"/>
  <c r="AP15" i="25"/>
  <c r="AP16" i="25"/>
  <c r="AP17" i="25"/>
  <c r="V18" i="28" s="1"/>
  <c r="X18" i="28" s="1"/>
  <c r="AP18" i="25"/>
  <c r="AP19" i="25"/>
  <c r="AP20" i="25"/>
  <c r="AP21" i="25"/>
  <c r="AP22" i="25"/>
  <c r="V23" i="28" s="1"/>
  <c r="X23" i="28" s="1"/>
  <c r="AP23" i="25"/>
  <c r="AP24" i="25"/>
  <c r="AP25" i="25"/>
  <c r="V26" i="28" s="1"/>
  <c r="AP26" i="25"/>
  <c r="AP27" i="25"/>
  <c r="AP28" i="25"/>
  <c r="AP29" i="25"/>
  <c r="AP30" i="25"/>
  <c r="V31" i="28" s="1"/>
  <c r="X31" i="28" s="1"/>
  <c r="AP31" i="25"/>
  <c r="AP32" i="25"/>
  <c r="V33" i="28" s="1"/>
  <c r="X33" i="28" s="1"/>
  <c r="AP33" i="25"/>
  <c r="AP34" i="25"/>
  <c r="V35" i="28" s="1"/>
  <c r="X35" i="28" s="1"/>
  <c r="AP35" i="25"/>
  <c r="AP36" i="25"/>
  <c r="AP37" i="25"/>
  <c r="V38" i="28" s="1"/>
  <c r="AP38" i="25"/>
  <c r="AP39" i="25"/>
  <c r="AP40" i="25"/>
  <c r="AP41" i="25"/>
  <c r="V42" i="28" s="1"/>
  <c r="X42" i="28" s="1"/>
  <c r="AP42" i="25"/>
  <c r="V43" i="28" s="1"/>
  <c r="X43" i="28" s="1"/>
  <c r="AP43" i="25"/>
  <c r="AP44" i="25"/>
  <c r="AP45" i="25"/>
  <c r="AP46" i="25"/>
  <c r="V47" i="28" s="1"/>
  <c r="X47" i="28" s="1"/>
  <c r="AP47" i="25"/>
  <c r="AP48" i="25"/>
  <c r="AP49" i="25"/>
  <c r="AP50" i="25"/>
  <c r="V51" i="28" s="1"/>
  <c r="AP51" i="25"/>
  <c r="AP52" i="25"/>
  <c r="AP53" i="25"/>
  <c r="V54" i="28" s="1"/>
  <c r="X54" i="28" s="1"/>
  <c r="AP54" i="25"/>
  <c r="AP55" i="25"/>
  <c r="AP56" i="25"/>
  <c r="V57" i="28" s="1"/>
  <c r="X57" i="28" s="1"/>
  <c r="AP57" i="25"/>
  <c r="AP58" i="25"/>
  <c r="V59" i="28" s="1"/>
  <c r="X59" i="28" s="1"/>
  <c r="AP59" i="25"/>
  <c r="AM11" i="29"/>
  <c r="AM12" i="29"/>
  <c r="T13" i="28" s="1"/>
  <c r="AM13" i="29"/>
  <c r="AM14" i="29"/>
  <c r="AM15" i="29"/>
  <c r="AM16" i="29"/>
  <c r="T17" i="28" s="1"/>
  <c r="AM17" i="29"/>
  <c r="AM18" i="29"/>
  <c r="AM19" i="29"/>
  <c r="AM20" i="29"/>
  <c r="AM21" i="29"/>
  <c r="AM22" i="29"/>
  <c r="AM23" i="29"/>
  <c r="T24" i="28" s="1"/>
  <c r="AM24" i="29"/>
  <c r="AM25" i="29"/>
  <c r="AM26" i="29"/>
  <c r="AM27" i="29"/>
  <c r="T28" i="28" s="1"/>
  <c r="AM28" i="29"/>
  <c r="T29" i="28" s="1"/>
  <c r="AM29" i="29"/>
  <c r="AM30" i="29"/>
  <c r="AM31" i="29"/>
  <c r="AM32" i="29"/>
  <c r="T33" i="28" s="1"/>
  <c r="AM33" i="29"/>
  <c r="AM34" i="29"/>
  <c r="AM35" i="29"/>
  <c r="AM36" i="29"/>
  <c r="T37" i="28" s="1"/>
  <c r="AM37" i="29"/>
  <c r="AM38" i="29"/>
  <c r="AM39" i="29"/>
  <c r="T40" i="28" s="1"/>
  <c r="AM40" i="29"/>
  <c r="AM41" i="29"/>
  <c r="AM42" i="29"/>
  <c r="AM43" i="29"/>
  <c r="AM44" i="29"/>
  <c r="T45" i="28" s="1"/>
  <c r="AM45" i="29"/>
  <c r="AM46" i="29"/>
  <c r="AM47" i="29"/>
  <c r="T48" i="28" s="1"/>
  <c r="AM48" i="29"/>
  <c r="AM49" i="29"/>
  <c r="AM50" i="29"/>
  <c r="AM51" i="29"/>
  <c r="AM52" i="29"/>
  <c r="T53" i="28" s="1"/>
  <c r="U53" i="28" s="1"/>
  <c r="AM53" i="29"/>
  <c r="AM54" i="29"/>
  <c r="AM55" i="29"/>
  <c r="AM56" i="29"/>
  <c r="T57" i="28" s="1"/>
  <c r="AM57" i="29"/>
  <c r="AM58" i="29"/>
  <c r="AM59" i="29"/>
  <c r="AM11" i="25"/>
  <c r="S12" i="28" s="1"/>
  <c r="U12" i="28" s="1"/>
  <c r="AM12" i="25"/>
  <c r="AM13" i="25"/>
  <c r="AM14" i="25"/>
  <c r="AM15" i="25"/>
  <c r="S16" i="28" s="1"/>
  <c r="U16" i="28" s="1"/>
  <c r="AM16" i="25"/>
  <c r="AM17" i="25"/>
  <c r="AM18" i="25"/>
  <c r="S19" i="28" s="1"/>
  <c r="AM19" i="25"/>
  <c r="S20" i="28" s="1"/>
  <c r="U20" i="28" s="1"/>
  <c r="AM20" i="25"/>
  <c r="AM21" i="25"/>
  <c r="AM22" i="25"/>
  <c r="AM23" i="25"/>
  <c r="AM24" i="25"/>
  <c r="AM25" i="25"/>
  <c r="AM26" i="25"/>
  <c r="AM27" i="25"/>
  <c r="S28" i="28" s="1"/>
  <c r="U28" i="28" s="1"/>
  <c r="AM28" i="25"/>
  <c r="AM29" i="25"/>
  <c r="AM30" i="25"/>
  <c r="AM31" i="25"/>
  <c r="S32" i="28" s="1"/>
  <c r="U32" i="28" s="1"/>
  <c r="AM32" i="25"/>
  <c r="AM33" i="25"/>
  <c r="AM34" i="25"/>
  <c r="AM35" i="25"/>
  <c r="S36" i="28" s="1"/>
  <c r="U36" i="28" s="1"/>
  <c r="AM36" i="25"/>
  <c r="AM37" i="25"/>
  <c r="AM38" i="25"/>
  <c r="AM39" i="25"/>
  <c r="S40" i="28" s="1"/>
  <c r="U40" i="28" s="1"/>
  <c r="AM40" i="25"/>
  <c r="AM41" i="25"/>
  <c r="AM42" i="25"/>
  <c r="S43" i="28" s="1"/>
  <c r="AM43" i="25"/>
  <c r="S44" i="28" s="1"/>
  <c r="U44" i="28" s="1"/>
  <c r="AM44" i="25"/>
  <c r="AM45" i="25"/>
  <c r="AM46" i="25"/>
  <c r="AM47" i="25"/>
  <c r="S48" i="28" s="1"/>
  <c r="AM48" i="25"/>
  <c r="AM49" i="25"/>
  <c r="AM50" i="25"/>
  <c r="S51" i="28" s="1"/>
  <c r="U51" i="28" s="1"/>
  <c r="AM51" i="25"/>
  <c r="S52" i="28" s="1"/>
  <c r="AM52" i="25"/>
  <c r="AM53" i="25"/>
  <c r="AM54" i="25"/>
  <c r="S55" i="28" s="1"/>
  <c r="AM55" i="25"/>
  <c r="S56" i="28" s="1"/>
  <c r="U56" i="28" s="1"/>
  <c r="AM56" i="25"/>
  <c r="AM57" i="25"/>
  <c r="AM58" i="25"/>
  <c r="AM59" i="25"/>
  <c r="S60" i="28" s="1"/>
  <c r="AJ11" i="29"/>
  <c r="AJ12" i="29"/>
  <c r="AJ13" i="29"/>
  <c r="AJ14" i="29"/>
  <c r="Q15" i="28" s="1"/>
  <c r="AJ15" i="29"/>
  <c r="Q16" i="28" s="1"/>
  <c r="R16" i="28" s="1"/>
  <c r="AJ16" i="29"/>
  <c r="AJ17" i="29"/>
  <c r="Q18" i="28" s="1"/>
  <c r="AJ18" i="29"/>
  <c r="Q19" i="28" s="1"/>
  <c r="AJ19" i="29"/>
  <c r="Q20" i="28" s="1"/>
  <c r="R20" i="28" s="1"/>
  <c r="AJ20" i="29"/>
  <c r="AJ21" i="29"/>
  <c r="Q22" i="28" s="1"/>
  <c r="AJ22" i="29"/>
  <c r="AJ23" i="29"/>
  <c r="AJ24" i="29"/>
  <c r="AJ25" i="29"/>
  <c r="AJ26" i="29"/>
  <c r="AJ27" i="29"/>
  <c r="AJ28" i="29"/>
  <c r="AJ29" i="29"/>
  <c r="Q30" i="28" s="1"/>
  <c r="AJ30" i="29"/>
  <c r="Q31" i="28" s="1"/>
  <c r="AJ31" i="29"/>
  <c r="Q32" i="28" s="1"/>
  <c r="R32" i="28" s="1"/>
  <c r="AJ32" i="29"/>
  <c r="AJ33" i="29"/>
  <c r="Q34" i="28" s="1"/>
  <c r="AJ34" i="29"/>
  <c r="Q35" i="28" s="1"/>
  <c r="AJ35" i="29"/>
  <c r="Q36" i="28" s="1"/>
  <c r="AJ36" i="29"/>
  <c r="AJ37" i="29"/>
  <c r="Q38" i="28" s="1"/>
  <c r="AJ38" i="29"/>
  <c r="Q39" i="28" s="1"/>
  <c r="AJ39" i="29"/>
  <c r="Q40" i="28" s="1"/>
  <c r="AJ40" i="29"/>
  <c r="AJ41" i="29"/>
  <c r="AJ42" i="29"/>
  <c r="AJ43" i="29"/>
  <c r="Q44" i="28" s="1"/>
  <c r="AJ44" i="29"/>
  <c r="AJ45" i="29"/>
  <c r="AJ46" i="29"/>
  <c r="AJ47" i="29"/>
  <c r="Q48" i="28" s="1"/>
  <c r="AJ48" i="29"/>
  <c r="AJ49" i="29"/>
  <c r="AJ50" i="29"/>
  <c r="AJ51" i="29"/>
  <c r="Q52" i="28" s="1"/>
  <c r="AJ52" i="29"/>
  <c r="AJ53" i="29"/>
  <c r="Q54" i="28" s="1"/>
  <c r="AJ54" i="29"/>
  <c r="AJ55" i="29"/>
  <c r="Q56" i="28" s="1"/>
  <c r="AJ56" i="29"/>
  <c r="AJ57" i="29"/>
  <c r="AJ58" i="29"/>
  <c r="AJ59" i="29"/>
  <c r="Q60" i="28" s="1"/>
  <c r="AJ11" i="25"/>
  <c r="AJ12" i="25"/>
  <c r="AJ13" i="25"/>
  <c r="P14" i="28" s="1"/>
  <c r="AJ14" i="25"/>
  <c r="P15" i="28" s="1"/>
  <c r="R15" i="28" s="1"/>
  <c r="AJ15" i="25"/>
  <c r="AJ16" i="25"/>
  <c r="AJ17" i="25"/>
  <c r="AJ18" i="25"/>
  <c r="AJ19" i="25"/>
  <c r="AJ20" i="25"/>
  <c r="AJ21" i="25"/>
  <c r="AJ22" i="25"/>
  <c r="P23" i="28" s="1"/>
  <c r="R23" i="28" s="1"/>
  <c r="AJ23" i="25"/>
  <c r="AJ24" i="25"/>
  <c r="AJ25" i="25"/>
  <c r="P26" i="28" s="1"/>
  <c r="AJ26" i="25"/>
  <c r="P27" i="28" s="1"/>
  <c r="AJ27" i="25"/>
  <c r="AJ28" i="25"/>
  <c r="AJ29" i="25"/>
  <c r="AJ30" i="25"/>
  <c r="AJ31" i="25"/>
  <c r="AJ32" i="25"/>
  <c r="AJ33" i="25"/>
  <c r="AJ34" i="25"/>
  <c r="P35" i="28" s="1"/>
  <c r="R35" i="28" s="1"/>
  <c r="AJ35" i="25"/>
  <c r="AJ36" i="25"/>
  <c r="AJ37" i="25"/>
  <c r="AJ38" i="25"/>
  <c r="AJ39" i="25"/>
  <c r="AJ40" i="25"/>
  <c r="AJ41" i="25"/>
  <c r="AJ42" i="25"/>
  <c r="P43" i="28" s="1"/>
  <c r="AJ43" i="25"/>
  <c r="AJ44" i="25"/>
  <c r="AJ45" i="25"/>
  <c r="AJ46" i="25"/>
  <c r="P47" i="28" s="1"/>
  <c r="R47" i="28" s="1"/>
  <c r="AJ47" i="25"/>
  <c r="AJ48" i="25"/>
  <c r="AJ49" i="25"/>
  <c r="P50" i="28" s="1"/>
  <c r="R50" i="28" s="1"/>
  <c r="AJ50" i="25"/>
  <c r="P51" i="28" s="1"/>
  <c r="R51" i="28" s="1"/>
  <c r="AJ51" i="25"/>
  <c r="AJ52" i="25"/>
  <c r="AJ53" i="25"/>
  <c r="AJ54" i="25"/>
  <c r="P55" i="28" s="1"/>
  <c r="R55" i="28" s="1"/>
  <c r="AJ55" i="25"/>
  <c r="AJ56" i="25"/>
  <c r="AJ57" i="25"/>
  <c r="AJ58" i="25"/>
  <c r="P59" i="28" s="1"/>
  <c r="R59" i="28" s="1"/>
  <c r="AJ59" i="25"/>
  <c r="AG11" i="29"/>
  <c r="AG12" i="29"/>
  <c r="AG13" i="29"/>
  <c r="AG14" i="29"/>
  <c r="AG15" i="29"/>
  <c r="N16" i="28" s="1"/>
  <c r="AG16" i="29"/>
  <c r="AG17" i="29"/>
  <c r="AG18" i="29"/>
  <c r="AG19" i="29"/>
  <c r="N20" i="28" s="1"/>
  <c r="O20" i="28" s="1"/>
  <c r="AG20" i="29"/>
  <c r="AG21" i="29"/>
  <c r="AG22" i="29"/>
  <c r="AG23" i="29"/>
  <c r="N24" i="28" s="1"/>
  <c r="AG24" i="29"/>
  <c r="AG25" i="29"/>
  <c r="AG26" i="29"/>
  <c r="AG27" i="29"/>
  <c r="N28" i="28" s="1"/>
  <c r="AG28" i="29"/>
  <c r="AG29" i="29"/>
  <c r="AG30" i="29"/>
  <c r="N31" i="28" s="1"/>
  <c r="AG31" i="29"/>
  <c r="N32" i="28" s="1"/>
  <c r="AG32" i="29"/>
  <c r="AG33" i="29"/>
  <c r="AG34" i="29"/>
  <c r="N35" i="28" s="1"/>
  <c r="AG35" i="29"/>
  <c r="AG36" i="29"/>
  <c r="AG37" i="29"/>
  <c r="AG38" i="29"/>
  <c r="AG39" i="29"/>
  <c r="AG40" i="29"/>
  <c r="AG41" i="29"/>
  <c r="AG42" i="29"/>
  <c r="N43" i="28" s="1"/>
  <c r="AG43" i="29"/>
  <c r="N44" i="28" s="1"/>
  <c r="AG44" i="29"/>
  <c r="AG45" i="29"/>
  <c r="AG46" i="29"/>
  <c r="AG47" i="29"/>
  <c r="AG48" i="29"/>
  <c r="AG49" i="29"/>
  <c r="AG50" i="29"/>
  <c r="AG51" i="29"/>
  <c r="N52" i="28" s="1"/>
  <c r="O52" i="28" s="1"/>
  <c r="AG52" i="29"/>
  <c r="AG53" i="29"/>
  <c r="N54" i="28" s="1"/>
  <c r="AG54" i="29"/>
  <c r="AG55" i="29"/>
  <c r="AG56" i="29"/>
  <c r="AG57" i="29"/>
  <c r="AG58" i="29"/>
  <c r="AG59" i="29"/>
  <c r="N60" i="28" s="1"/>
  <c r="O60" i="28" s="1"/>
  <c r="AG11" i="25"/>
  <c r="AG12" i="25"/>
  <c r="AG13" i="25"/>
  <c r="M14" i="28" s="1"/>
  <c r="O14" i="28" s="1"/>
  <c r="AG14" i="25"/>
  <c r="M15" i="28" s="1"/>
  <c r="O15" i="28" s="1"/>
  <c r="AG15" i="25"/>
  <c r="AG16" i="25"/>
  <c r="AG17" i="25"/>
  <c r="M18" i="28" s="1"/>
  <c r="O18" i="28" s="1"/>
  <c r="AG18" i="25"/>
  <c r="M19" i="28" s="1"/>
  <c r="AG19" i="25"/>
  <c r="AG20" i="25"/>
  <c r="AG21" i="25"/>
  <c r="M22" i="28" s="1"/>
  <c r="O22" i="28" s="1"/>
  <c r="AG22" i="25"/>
  <c r="M23" i="28" s="1"/>
  <c r="O23" i="28" s="1"/>
  <c r="AG23" i="25"/>
  <c r="AG24" i="25"/>
  <c r="AG25" i="25"/>
  <c r="M26" i="28" s="1"/>
  <c r="AG26" i="25"/>
  <c r="M27" i="28" s="1"/>
  <c r="AG27" i="25"/>
  <c r="AG28" i="25"/>
  <c r="M29" i="28" s="1"/>
  <c r="AG29" i="25"/>
  <c r="AG30" i="25"/>
  <c r="AG31" i="25"/>
  <c r="AG32" i="25"/>
  <c r="AG33" i="25"/>
  <c r="M34" i="28" s="1"/>
  <c r="O34" i="28" s="1"/>
  <c r="AG34" i="25"/>
  <c r="AG35" i="25"/>
  <c r="AG36" i="25"/>
  <c r="AG37" i="25"/>
  <c r="M38" i="28" s="1"/>
  <c r="O38" i="28" s="1"/>
  <c r="AG38" i="25"/>
  <c r="M39" i="28" s="1"/>
  <c r="AG39" i="25"/>
  <c r="AG40" i="25"/>
  <c r="AG41" i="25"/>
  <c r="AG42" i="25"/>
  <c r="M43" i="28" s="1"/>
  <c r="O43" i="28" s="1"/>
  <c r="AG43" i="25"/>
  <c r="AG44" i="25"/>
  <c r="AG45" i="25"/>
  <c r="M46" i="28" s="1"/>
  <c r="O46" i="28" s="1"/>
  <c r="AG46" i="25"/>
  <c r="M47" i="28" s="1"/>
  <c r="O47" i="28" s="1"/>
  <c r="AG47" i="25"/>
  <c r="AG48" i="25"/>
  <c r="AG49" i="25"/>
  <c r="AG50" i="25"/>
  <c r="M51" i="28" s="1"/>
  <c r="AG51" i="25"/>
  <c r="AG52" i="25"/>
  <c r="M53" i="28" s="1"/>
  <c r="AG53" i="25"/>
  <c r="AG54" i="25"/>
  <c r="M55" i="28" s="1"/>
  <c r="AG55" i="25"/>
  <c r="AG56" i="25"/>
  <c r="AG57" i="25"/>
  <c r="M58" i="28" s="1"/>
  <c r="AG58" i="25"/>
  <c r="M59" i="28" s="1"/>
  <c r="O59" i="28" s="1"/>
  <c r="AG59" i="25"/>
  <c r="AD11" i="29"/>
  <c r="AD12" i="29"/>
  <c r="AD13" i="29"/>
  <c r="AD14" i="29"/>
  <c r="K15" i="28" s="1"/>
  <c r="L15" i="28" s="1"/>
  <c r="AD15" i="29"/>
  <c r="AD16" i="29"/>
  <c r="K17" i="28" s="1"/>
  <c r="AD17" i="29"/>
  <c r="AD18" i="29"/>
  <c r="K19" i="28" s="1"/>
  <c r="AD19" i="29"/>
  <c r="AD20" i="29"/>
  <c r="AD21" i="29"/>
  <c r="K22" i="28" s="1"/>
  <c r="AD22" i="29"/>
  <c r="K23" i="28" s="1"/>
  <c r="AD23" i="29"/>
  <c r="AD24" i="29"/>
  <c r="K25" i="28" s="1"/>
  <c r="AD25" i="29"/>
  <c r="AD26" i="29"/>
  <c r="K27" i="28" s="1"/>
  <c r="AD27" i="29"/>
  <c r="AD28" i="29"/>
  <c r="AD29" i="29"/>
  <c r="AD30" i="29"/>
  <c r="K31" i="28" s="1"/>
  <c r="L31" i="28" s="1"/>
  <c r="AD31" i="29"/>
  <c r="AD32" i="29"/>
  <c r="AD33" i="29"/>
  <c r="K34" i="28" s="1"/>
  <c r="AD34" i="29"/>
  <c r="K35" i="28" s="1"/>
  <c r="AD35" i="29"/>
  <c r="AD36" i="29"/>
  <c r="AD37" i="29"/>
  <c r="AD38" i="29"/>
  <c r="K39" i="28" s="1"/>
  <c r="AD39" i="29"/>
  <c r="AD40" i="29"/>
  <c r="AD41" i="29"/>
  <c r="K42" i="28" s="1"/>
  <c r="AD42" i="29"/>
  <c r="AD43" i="29"/>
  <c r="AD44" i="29"/>
  <c r="AD45" i="29"/>
  <c r="AD46" i="29"/>
  <c r="K47" i="28" s="1"/>
  <c r="L47" i="28" s="1"/>
  <c r="AD47" i="29"/>
  <c r="AD48" i="29"/>
  <c r="AD49" i="29"/>
  <c r="K50" i="28" s="1"/>
  <c r="AD50" i="29"/>
  <c r="K51" i="28" s="1"/>
  <c r="AD51" i="29"/>
  <c r="AD52" i="29"/>
  <c r="K53" i="28" s="1"/>
  <c r="AD53" i="29"/>
  <c r="K54" i="28" s="1"/>
  <c r="AD54" i="29"/>
  <c r="AD55" i="29"/>
  <c r="AD56" i="29"/>
  <c r="AD57" i="29"/>
  <c r="AD58" i="29"/>
  <c r="K59" i="28" s="1"/>
  <c r="AD59" i="29"/>
  <c r="AD11" i="25"/>
  <c r="AD12" i="25"/>
  <c r="J13" i="28" s="1"/>
  <c r="L13" i="28" s="1"/>
  <c r="AD13" i="25"/>
  <c r="J14" i="28" s="1"/>
  <c r="L14" i="28" s="1"/>
  <c r="AD14" i="25"/>
  <c r="AD15" i="25"/>
  <c r="J16" i="28" s="1"/>
  <c r="AD16" i="25"/>
  <c r="AD17" i="25"/>
  <c r="J18" i="28" s="1"/>
  <c r="AD18" i="25"/>
  <c r="AD19" i="25"/>
  <c r="J20" i="28" s="1"/>
  <c r="AD20" i="25"/>
  <c r="J21" i="28" s="1"/>
  <c r="AD22" i="25"/>
  <c r="AD23" i="25"/>
  <c r="AD24" i="25"/>
  <c r="AD25" i="25"/>
  <c r="J26" i="28" s="1"/>
  <c r="AD26" i="25"/>
  <c r="AD27" i="25"/>
  <c r="AD28" i="25"/>
  <c r="AD29" i="25"/>
  <c r="J30" i="28" s="1"/>
  <c r="L30" i="28" s="1"/>
  <c r="AD30" i="25"/>
  <c r="AD31" i="25"/>
  <c r="J32" i="28" s="1"/>
  <c r="AD32" i="25"/>
  <c r="J33" i="28" s="1"/>
  <c r="L33" i="28" s="1"/>
  <c r="AD33" i="25"/>
  <c r="J34" i="28" s="1"/>
  <c r="L34" i="28" s="1"/>
  <c r="AD34" i="25"/>
  <c r="AD35" i="25"/>
  <c r="J36" i="28" s="1"/>
  <c r="AD36" i="25"/>
  <c r="J37" i="28" s="1"/>
  <c r="L37" i="28" s="1"/>
  <c r="AD37" i="25"/>
  <c r="J38" i="28" s="1"/>
  <c r="L38" i="28" s="1"/>
  <c r="AD38" i="25"/>
  <c r="AD39" i="25"/>
  <c r="AD40" i="25"/>
  <c r="J41" i="28" s="1"/>
  <c r="AD41" i="25"/>
  <c r="J42" i="28" s="1"/>
  <c r="AD42" i="25"/>
  <c r="AD43" i="25"/>
  <c r="AD44" i="25"/>
  <c r="J45" i="28" s="1"/>
  <c r="L45" i="28" s="1"/>
  <c r="AD45" i="25"/>
  <c r="J46" i="28" s="1"/>
  <c r="AD46" i="25"/>
  <c r="AD47" i="25"/>
  <c r="AD48" i="25"/>
  <c r="J49" i="28" s="1"/>
  <c r="L49" i="28" s="1"/>
  <c r="AD49" i="25"/>
  <c r="AD50" i="25"/>
  <c r="AD51" i="25"/>
  <c r="AD52" i="25"/>
  <c r="AD53" i="25"/>
  <c r="AD54" i="25"/>
  <c r="AD55" i="25"/>
  <c r="AD56" i="25"/>
  <c r="AD57" i="25"/>
  <c r="J58" i="28" s="1"/>
  <c r="AD58" i="25"/>
  <c r="AD59" i="25"/>
  <c r="J60" i="28" s="1"/>
  <c r="L60" i="28" s="1"/>
  <c r="Y11" i="29"/>
  <c r="H12" i="28" s="1"/>
  <c r="Y12" i="29"/>
  <c r="Y13" i="29"/>
  <c r="Y14" i="29"/>
  <c r="Y15" i="29"/>
  <c r="H16" i="28" s="1"/>
  <c r="Y16" i="29"/>
  <c r="Y17" i="29"/>
  <c r="H18" i="28" s="1"/>
  <c r="Y18" i="29"/>
  <c r="H19" i="28" s="1"/>
  <c r="I19" i="28" s="1"/>
  <c r="Y19" i="29"/>
  <c r="Y20" i="29"/>
  <c r="Y21" i="29"/>
  <c r="Y22" i="29"/>
  <c r="H23" i="28" s="1"/>
  <c r="Y23" i="29"/>
  <c r="H24" i="28" s="1"/>
  <c r="Y24" i="29"/>
  <c r="Y25" i="29"/>
  <c r="Y26" i="29"/>
  <c r="Y27" i="29"/>
  <c r="H28" i="28" s="1"/>
  <c r="I28" i="28" s="1"/>
  <c r="Y28" i="29"/>
  <c r="Y29" i="29"/>
  <c r="Y30" i="29"/>
  <c r="Y31" i="29"/>
  <c r="Y32" i="29"/>
  <c r="Y33" i="29"/>
  <c r="Y34" i="29"/>
  <c r="Y35" i="29"/>
  <c r="Y36" i="29"/>
  <c r="Y37" i="29"/>
  <c r="Y38" i="29"/>
  <c r="Y39" i="29"/>
  <c r="Y40" i="29"/>
  <c r="Y41" i="29"/>
  <c r="Y42" i="29"/>
  <c r="H43" i="28" s="1"/>
  <c r="Y43" i="29"/>
  <c r="H44" i="28" s="1"/>
  <c r="I44" i="28" s="1"/>
  <c r="Y44" i="29"/>
  <c r="Y45" i="29"/>
  <c r="Y46" i="29"/>
  <c r="Y47" i="29"/>
  <c r="H48" i="28" s="1"/>
  <c r="Y48" i="29"/>
  <c r="Y49" i="29"/>
  <c r="H50" i="28" s="1"/>
  <c r="Y50" i="29"/>
  <c r="Y51" i="29"/>
  <c r="H52" i="28" s="1"/>
  <c r="Y52" i="29"/>
  <c r="Y53" i="29"/>
  <c r="Y54" i="29"/>
  <c r="H55" i="28" s="1"/>
  <c r="Y55" i="29"/>
  <c r="H56" i="28" s="1"/>
  <c r="I56" i="28" s="1"/>
  <c r="Y56" i="29"/>
  <c r="Y57" i="29"/>
  <c r="H58" i="28" s="1"/>
  <c r="Y58" i="29"/>
  <c r="Y59" i="29"/>
  <c r="H60" i="28" s="1"/>
  <c r="Y11" i="25"/>
  <c r="Y12" i="25"/>
  <c r="Y13" i="25"/>
  <c r="Y14" i="25"/>
  <c r="G15" i="28" s="1"/>
  <c r="I15" i="28" s="1"/>
  <c r="Y15" i="25"/>
  <c r="Y16" i="25"/>
  <c r="Y17" i="25"/>
  <c r="Y18" i="25"/>
  <c r="Y19" i="25"/>
  <c r="Y20" i="25"/>
  <c r="G21" i="28" s="1"/>
  <c r="I21" i="28" s="1"/>
  <c r="Y21" i="25"/>
  <c r="G22" i="28" s="1"/>
  <c r="Y22" i="25"/>
  <c r="G23" i="28" s="1"/>
  <c r="I23" i="28" s="1"/>
  <c r="Y23" i="25"/>
  <c r="Y24" i="25"/>
  <c r="Y25" i="25"/>
  <c r="G26" i="28" s="1"/>
  <c r="I26" i="28" s="1"/>
  <c r="Y26" i="25"/>
  <c r="G27" i="28" s="1"/>
  <c r="Y27" i="25"/>
  <c r="Y28" i="25"/>
  <c r="Y29" i="25"/>
  <c r="G30" i="28" s="1"/>
  <c r="I30" i="28" s="1"/>
  <c r="Y30" i="25"/>
  <c r="G31" i="28" s="1"/>
  <c r="Y31" i="25"/>
  <c r="Y32" i="25"/>
  <c r="G33" i="28" s="1"/>
  <c r="I33" i="28" s="1"/>
  <c r="Y33" i="25"/>
  <c r="G34" i="28" s="1"/>
  <c r="I34" i="28" s="1"/>
  <c r="Y34" i="25"/>
  <c r="G35" i="28" s="1"/>
  <c r="Y35" i="25"/>
  <c r="Y36" i="25"/>
  <c r="Y37" i="25"/>
  <c r="G38" i="28" s="1"/>
  <c r="I38" i="28" s="1"/>
  <c r="Y38" i="25"/>
  <c r="G39" i="28" s="1"/>
  <c r="I39" i="28" s="1"/>
  <c r="Y39" i="25"/>
  <c r="Y40" i="25"/>
  <c r="G41" i="28" s="1"/>
  <c r="Y41" i="25"/>
  <c r="G42" i="28" s="1"/>
  <c r="I42" i="28" s="1"/>
  <c r="Y42" i="25"/>
  <c r="Y43" i="25"/>
  <c r="Y44" i="25"/>
  <c r="G45" i="28" s="1"/>
  <c r="Y45" i="25"/>
  <c r="G46" i="28" s="1"/>
  <c r="I46" i="28" s="1"/>
  <c r="Y46" i="25"/>
  <c r="G47" i="28" s="1"/>
  <c r="I47" i="28" s="1"/>
  <c r="Y47" i="25"/>
  <c r="Y48" i="25"/>
  <c r="Y49" i="25"/>
  <c r="Y50" i="25"/>
  <c r="G51" i="28" s="1"/>
  <c r="Y51" i="25"/>
  <c r="Y52" i="25"/>
  <c r="Y53" i="25"/>
  <c r="Y54" i="25"/>
  <c r="G55" i="28" s="1"/>
  <c r="Y55" i="25"/>
  <c r="Y56" i="25"/>
  <c r="Y57" i="25"/>
  <c r="Y58" i="25"/>
  <c r="G59" i="28" s="1"/>
  <c r="I59" i="28" s="1"/>
  <c r="Y59" i="25"/>
  <c r="U11" i="29"/>
  <c r="V11" i="29"/>
  <c r="U12" i="29"/>
  <c r="V12" i="29"/>
  <c r="U13" i="29"/>
  <c r="V13" i="29"/>
  <c r="U14" i="29"/>
  <c r="V14" i="29"/>
  <c r="U15" i="29"/>
  <c r="V15" i="29"/>
  <c r="U16" i="29"/>
  <c r="V16" i="29"/>
  <c r="U17" i="29"/>
  <c r="V17" i="29"/>
  <c r="U18" i="29"/>
  <c r="V18" i="29"/>
  <c r="U19" i="29"/>
  <c r="V19" i="29"/>
  <c r="U20" i="29"/>
  <c r="V20" i="29"/>
  <c r="U21" i="29"/>
  <c r="V21" i="29"/>
  <c r="U22" i="29"/>
  <c r="V22" i="29"/>
  <c r="U23" i="29"/>
  <c r="V23" i="29"/>
  <c r="U24" i="29"/>
  <c r="V24" i="29"/>
  <c r="U25" i="29"/>
  <c r="V25" i="29"/>
  <c r="U26" i="29"/>
  <c r="V26" i="29"/>
  <c r="U27" i="29"/>
  <c r="V27" i="29"/>
  <c r="U28" i="29"/>
  <c r="V28" i="29"/>
  <c r="U29" i="29"/>
  <c r="V29" i="29"/>
  <c r="U30" i="29"/>
  <c r="V30" i="29"/>
  <c r="U31" i="29"/>
  <c r="V31" i="29"/>
  <c r="U32" i="29"/>
  <c r="V32" i="29"/>
  <c r="U33" i="29"/>
  <c r="V33" i="29"/>
  <c r="U34" i="29"/>
  <c r="V34" i="29"/>
  <c r="U35" i="29"/>
  <c r="V35" i="29"/>
  <c r="U36" i="29"/>
  <c r="V36" i="29"/>
  <c r="U37" i="29"/>
  <c r="V37" i="29"/>
  <c r="U38" i="29"/>
  <c r="V38" i="29"/>
  <c r="U39" i="29"/>
  <c r="V39" i="29"/>
  <c r="U40" i="29"/>
  <c r="V40" i="29"/>
  <c r="U41" i="29"/>
  <c r="V41" i="29"/>
  <c r="U42" i="29"/>
  <c r="V42" i="29"/>
  <c r="U43" i="29"/>
  <c r="V43" i="29"/>
  <c r="U44" i="29"/>
  <c r="V44" i="29"/>
  <c r="U45" i="29"/>
  <c r="V45" i="29"/>
  <c r="U46" i="29"/>
  <c r="V46" i="29"/>
  <c r="U47" i="29"/>
  <c r="V47" i="29"/>
  <c r="U48" i="29"/>
  <c r="V48" i="29"/>
  <c r="U49" i="29"/>
  <c r="V49" i="29"/>
  <c r="U50" i="29"/>
  <c r="V50" i="29"/>
  <c r="U51" i="29"/>
  <c r="V51" i="29"/>
  <c r="U52" i="29"/>
  <c r="V52" i="29"/>
  <c r="U53" i="29"/>
  <c r="V53" i="29"/>
  <c r="U54" i="29"/>
  <c r="V54" i="29"/>
  <c r="U55" i="29"/>
  <c r="V55" i="29"/>
  <c r="U56" i="29"/>
  <c r="V56" i="29"/>
  <c r="U57" i="29"/>
  <c r="V57" i="29"/>
  <c r="U58" i="29"/>
  <c r="V58" i="29"/>
  <c r="U59" i="29"/>
  <c r="V59" i="29"/>
  <c r="U11" i="25"/>
  <c r="V11" i="25"/>
  <c r="U12" i="25"/>
  <c r="V12" i="25"/>
  <c r="U13" i="25"/>
  <c r="V13" i="25"/>
  <c r="U14" i="25"/>
  <c r="V14" i="25"/>
  <c r="U15" i="25"/>
  <c r="V15" i="25"/>
  <c r="U16" i="25"/>
  <c r="V16" i="25"/>
  <c r="U17" i="25"/>
  <c r="V17" i="25"/>
  <c r="U18" i="25"/>
  <c r="V18" i="25"/>
  <c r="U19" i="25"/>
  <c r="V19" i="25"/>
  <c r="U20" i="25"/>
  <c r="V20" i="25"/>
  <c r="U21" i="25"/>
  <c r="V21" i="25"/>
  <c r="U22" i="25"/>
  <c r="V22" i="25"/>
  <c r="U23" i="25"/>
  <c r="V23" i="25"/>
  <c r="U24" i="25"/>
  <c r="V24" i="25"/>
  <c r="U25" i="25"/>
  <c r="V25" i="25"/>
  <c r="U26" i="25"/>
  <c r="V26" i="25"/>
  <c r="U27" i="25"/>
  <c r="V27" i="25"/>
  <c r="U28" i="25"/>
  <c r="V28" i="25"/>
  <c r="U29" i="25"/>
  <c r="V29" i="25"/>
  <c r="U30" i="25"/>
  <c r="V30" i="25"/>
  <c r="U31" i="25"/>
  <c r="V31" i="25"/>
  <c r="U32" i="25"/>
  <c r="V32" i="25"/>
  <c r="U33" i="25"/>
  <c r="V33" i="25"/>
  <c r="U34" i="25"/>
  <c r="V34" i="25"/>
  <c r="U35" i="25"/>
  <c r="V35" i="25"/>
  <c r="U36" i="25"/>
  <c r="V36" i="25"/>
  <c r="U37" i="25"/>
  <c r="V37" i="25"/>
  <c r="U38" i="25"/>
  <c r="V38" i="25"/>
  <c r="U39" i="25"/>
  <c r="V39" i="25"/>
  <c r="U40" i="25"/>
  <c r="V40" i="25"/>
  <c r="U41" i="25"/>
  <c r="V41" i="25"/>
  <c r="U42" i="25"/>
  <c r="V42" i="25"/>
  <c r="U43" i="25"/>
  <c r="V43" i="25"/>
  <c r="U44" i="25"/>
  <c r="V44" i="25"/>
  <c r="U45" i="25"/>
  <c r="V45" i="25"/>
  <c r="U46" i="25"/>
  <c r="V46" i="25"/>
  <c r="U47" i="25"/>
  <c r="V47" i="25"/>
  <c r="U48" i="25"/>
  <c r="V48" i="25"/>
  <c r="U49" i="25"/>
  <c r="V49" i="25"/>
  <c r="U50" i="25"/>
  <c r="V50" i="25"/>
  <c r="U51" i="25"/>
  <c r="V51" i="25"/>
  <c r="U52" i="25"/>
  <c r="V52" i="25"/>
  <c r="U53" i="25"/>
  <c r="V53" i="25"/>
  <c r="U54" i="25"/>
  <c r="V54" i="25"/>
  <c r="U55" i="25"/>
  <c r="V55" i="25"/>
  <c r="U56" i="25"/>
  <c r="V56" i="25"/>
  <c r="U57" i="25"/>
  <c r="V57" i="25"/>
  <c r="U58" i="25"/>
  <c r="V58" i="25"/>
  <c r="U59" i="25"/>
  <c r="V59" i="25"/>
  <c r="R11" i="29"/>
  <c r="R12" i="29"/>
  <c r="R13" i="29"/>
  <c r="R14" i="29"/>
  <c r="R15" i="29"/>
  <c r="R16" i="29"/>
  <c r="R17" i="29"/>
  <c r="R18" i="29"/>
  <c r="R19" i="29"/>
  <c r="R20" i="29"/>
  <c r="R21" i="29"/>
  <c r="R22" i="29"/>
  <c r="R23" i="29"/>
  <c r="R24" i="29"/>
  <c r="R25" i="29"/>
  <c r="R26" i="29"/>
  <c r="R27" i="29"/>
  <c r="R28" i="29"/>
  <c r="R29" i="29"/>
  <c r="R30" i="29"/>
  <c r="R31" i="29"/>
  <c r="R32" i="29"/>
  <c r="R33" i="29"/>
  <c r="R34" i="29"/>
  <c r="R35" i="29"/>
  <c r="R36" i="29"/>
  <c r="R37" i="29"/>
  <c r="R38" i="29"/>
  <c r="R39" i="29"/>
  <c r="R40" i="29"/>
  <c r="R41" i="29"/>
  <c r="R42" i="29"/>
  <c r="R43" i="29"/>
  <c r="R44" i="29"/>
  <c r="R45" i="29"/>
  <c r="R46" i="29"/>
  <c r="R47" i="29"/>
  <c r="R48" i="29"/>
  <c r="R49" i="29"/>
  <c r="R50" i="29"/>
  <c r="R51" i="29"/>
  <c r="R52" i="29"/>
  <c r="R53" i="29"/>
  <c r="R54" i="29"/>
  <c r="R55" i="29"/>
  <c r="R56" i="29"/>
  <c r="R57" i="29"/>
  <c r="R58" i="29"/>
  <c r="R59" i="29"/>
  <c r="R11" i="25"/>
  <c r="R12" i="25"/>
  <c r="R13" i="25"/>
  <c r="R14" i="25"/>
  <c r="R15" i="25"/>
  <c r="R16" i="25"/>
  <c r="R17" i="25"/>
  <c r="R18" i="25"/>
  <c r="R19" i="25"/>
  <c r="R20" i="25"/>
  <c r="R21" i="25"/>
  <c r="R22" i="25"/>
  <c r="R23" i="25"/>
  <c r="R24" i="25"/>
  <c r="R25" i="25"/>
  <c r="R26" i="25"/>
  <c r="R27" i="25"/>
  <c r="R28" i="25"/>
  <c r="R29" i="25"/>
  <c r="R30" i="25"/>
  <c r="R31" i="25"/>
  <c r="R32" i="25"/>
  <c r="R33" i="25"/>
  <c r="R34" i="25"/>
  <c r="R35" i="25"/>
  <c r="R36" i="25"/>
  <c r="R37" i="25"/>
  <c r="R38" i="25"/>
  <c r="R39" i="25"/>
  <c r="R40" i="25"/>
  <c r="R41" i="25"/>
  <c r="R42" i="25"/>
  <c r="R43" i="25"/>
  <c r="R44" i="25"/>
  <c r="R45" i="25"/>
  <c r="R46" i="25"/>
  <c r="R47" i="25"/>
  <c r="R48" i="25"/>
  <c r="R49" i="25"/>
  <c r="R50" i="25"/>
  <c r="R51" i="25"/>
  <c r="R52" i="25"/>
  <c r="R53" i="25"/>
  <c r="R54" i="25"/>
  <c r="R55" i="25"/>
  <c r="R56" i="25"/>
  <c r="R57" i="25"/>
  <c r="R58" i="25"/>
  <c r="R59" i="25"/>
  <c r="O11" i="29"/>
  <c r="O12" i="29"/>
  <c r="O13" i="29"/>
  <c r="O14" i="29"/>
  <c r="O15" i="29"/>
  <c r="O16" i="29"/>
  <c r="O17" i="29"/>
  <c r="O18" i="29"/>
  <c r="O19" i="29"/>
  <c r="O20" i="29"/>
  <c r="O21" i="29"/>
  <c r="O22" i="29"/>
  <c r="O23" i="29"/>
  <c r="O24" i="29"/>
  <c r="O25" i="29"/>
  <c r="O26" i="29"/>
  <c r="O27" i="29"/>
  <c r="O28" i="29"/>
  <c r="O29" i="29"/>
  <c r="O30" i="29"/>
  <c r="O31" i="29"/>
  <c r="O32" i="29"/>
  <c r="O33" i="29"/>
  <c r="O34" i="29"/>
  <c r="O35" i="29"/>
  <c r="O36" i="29"/>
  <c r="O37" i="29"/>
  <c r="O38" i="29"/>
  <c r="O39" i="29"/>
  <c r="O40" i="29"/>
  <c r="O41" i="29"/>
  <c r="O42" i="29"/>
  <c r="O43" i="29"/>
  <c r="O44" i="29"/>
  <c r="O45" i="29"/>
  <c r="O46" i="29"/>
  <c r="O47" i="29"/>
  <c r="O48" i="29"/>
  <c r="O49" i="29"/>
  <c r="O50" i="29"/>
  <c r="O51" i="29"/>
  <c r="O52" i="29"/>
  <c r="O53" i="29"/>
  <c r="O54" i="29"/>
  <c r="O55" i="29"/>
  <c r="O56" i="29"/>
  <c r="O57" i="29"/>
  <c r="O58" i="29"/>
  <c r="O59" i="29"/>
  <c r="O11" i="25"/>
  <c r="O12" i="25"/>
  <c r="O13" i="25"/>
  <c r="O14" i="25"/>
  <c r="O15" i="25"/>
  <c r="O16" i="25"/>
  <c r="O17" i="25"/>
  <c r="O18" i="25"/>
  <c r="O19" i="25"/>
  <c r="O20" i="25"/>
  <c r="O21" i="25"/>
  <c r="O22" i="25"/>
  <c r="O23" i="25"/>
  <c r="O24" i="25"/>
  <c r="O25" i="25"/>
  <c r="O26" i="25"/>
  <c r="O27" i="25"/>
  <c r="O28" i="25"/>
  <c r="O29" i="25"/>
  <c r="O30" i="25"/>
  <c r="O31" i="25"/>
  <c r="O32" i="25"/>
  <c r="O33" i="25"/>
  <c r="O34" i="25"/>
  <c r="O35" i="25"/>
  <c r="O36" i="25"/>
  <c r="O37" i="25"/>
  <c r="O38" i="25"/>
  <c r="O39" i="25"/>
  <c r="O40" i="25"/>
  <c r="O41" i="25"/>
  <c r="O42" i="25"/>
  <c r="O43" i="25"/>
  <c r="O44" i="25"/>
  <c r="O45" i="25"/>
  <c r="O46" i="25"/>
  <c r="O47" i="25"/>
  <c r="O48" i="25"/>
  <c r="O49" i="25"/>
  <c r="O50" i="25"/>
  <c r="O51" i="25"/>
  <c r="O52" i="25"/>
  <c r="O53" i="25"/>
  <c r="O54" i="25"/>
  <c r="O55" i="25"/>
  <c r="O56" i="25"/>
  <c r="O57" i="25"/>
  <c r="O58" i="25"/>
  <c r="O59" i="25"/>
  <c r="L11" i="29"/>
  <c r="L12" i="29"/>
  <c r="L13" i="29"/>
  <c r="L14" i="29"/>
  <c r="L15" i="29"/>
  <c r="L16" i="29"/>
  <c r="L17" i="29"/>
  <c r="L18" i="29"/>
  <c r="L19" i="29"/>
  <c r="L20" i="29"/>
  <c r="L21" i="29"/>
  <c r="L22" i="29"/>
  <c r="L23" i="29"/>
  <c r="L24" i="29"/>
  <c r="L25" i="29"/>
  <c r="L26" i="29"/>
  <c r="L27" i="29"/>
  <c r="L28" i="29"/>
  <c r="L29" i="29"/>
  <c r="L30" i="29"/>
  <c r="L31" i="29"/>
  <c r="L32" i="29"/>
  <c r="L33" i="29"/>
  <c r="L34" i="29"/>
  <c r="L35" i="29"/>
  <c r="L36" i="29"/>
  <c r="L37" i="29"/>
  <c r="L38" i="29"/>
  <c r="L39" i="29"/>
  <c r="L40" i="29"/>
  <c r="L41" i="29"/>
  <c r="L42" i="29"/>
  <c r="L43" i="29"/>
  <c r="L44" i="29"/>
  <c r="L45" i="29"/>
  <c r="L46" i="29"/>
  <c r="L47" i="29"/>
  <c r="L48" i="29"/>
  <c r="L49" i="29"/>
  <c r="L50" i="29"/>
  <c r="L51" i="29"/>
  <c r="L52" i="29"/>
  <c r="L53" i="29"/>
  <c r="L54" i="29"/>
  <c r="L55" i="29"/>
  <c r="L56" i="29"/>
  <c r="L57" i="29"/>
  <c r="L58" i="29"/>
  <c r="L59" i="29"/>
  <c r="L11" i="25"/>
  <c r="L12" i="25"/>
  <c r="L13" i="25"/>
  <c r="L14" i="25"/>
  <c r="L15" i="25"/>
  <c r="L16" i="25"/>
  <c r="L17" i="25"/>
  <c r="L18" i="25"/>
  <c r="L19" i="25"/>
  <c r="L20" i="25"/>
  <c r="L21" i="25"/>
  <c r="L22" i="25"/>
  <c r="L23" i="25"/>
  <c r="L24" i="25"/>
  <c r="L25" i="25"/>
  <c r="L26" i="25"/>
  <c r="L27" i="25"/>
  <c r="L28" i="25"/>
  <c r="L29" i="25"/>
  <c r="L30" i="25"/>
  <c r="L31" i="25"/>
  <c r="L32" i="25"/>
  <c r="L33" i="25"/>
  <c r="L34" i="25"/>
  <c r="L35" i="25"/>
  <c r="L36" i="25"/>
  <c r="L37" i="25"/>
  <c r="L38" i="25"/>
  <c r="L39" i="25"/>
  <c r="L40" i="25"/>
  <c r="L41" i="25"/>
  <c r="L42" i="25"/>
  <c r="L43" i="25"/>
  <c r="L44" i="25"/>
  <c r="L45" i="25"/>
  <c r="L46" i="25"/>
  <c r="L47" i="25"/>
  <c r="L48" i="25"/>
  <c r="L49" i="25"/>
  <c r="L50" i="25"/>
  <c r="L51" i="25"/>
  <c r="L52" i="25"/>
  <c r="L53" i="25"/>
  <c r="L54" i="25"/>
  <c r="L55" i="25"/>
  <c r="L56" i="25"/>
  <c r="L57" i="25"/>
  <c r="L58" i="25"/>
  <c r="L59" i="25"/>
  <c r="I11" i="29"/>
  <c r="I12" i="29"/>
  <c r="I13" i="29"/>
  <c r="I14" i="29"/>
  <c r="I15" i="29"/>
  <c r="I16" i="29"/>
  <c r="I17" i="29"/>
  <c r="I18" i="29"/>
  <c r="I19" i="29"/>
  <c r="I20" i="29"/>
  <c r="I21" i="29"/>
  <c r="I22" i="29"/>
  <c r="I23" i="29"/>
  <c r="I24" i="29"/>
  <c r="I25" i="29"/>
  <c r="I26" i="29"/>
  <c r="I27" i="29"/>
  <c r="I28" i="29"/>
  <c r="I29" i="29"/>
  <c r="I30" i="29"/>
  <c r="I31" i="29"/>
  <c r="I32" i="29"/>
  <c r="I33" i="29"/>
  <c r="I34" i="29"/>
  <c r="I35" i="29"/>
  <c r="I36" i="29"/>
  <c r="I37" i="29"/>
  <c r="I38" i="29"/>
  <c r="I39" i="29"/>
  <c r="I40" i="29"/>
  <c r="I41" i="29"/>
  <c r="I42" i="29"/>
  <c r="I43" i="29"/>
  <c r="I44" i="29"/>
  <c r="I45" i="29"/>
  <c r="I46" i="29"/>
  <c r="I47" i="29"/>
  <c r="I48" i="29"/>
  <c r="I49" i="29"/>
  <c r="I50" i="29"/>
  <c r="I51" i="29"/>
  <c r="I52" i="29"/>
  <c r="I53" i="29"/>
  <c r="I54" i="29"/>
  <c r="I55" i="29"/>
  <c r="I56" i="29"/>
  <c r="I57" i="29"/>
  <c r="I58" i="29"/>
  <c r="I59" i="29"/>
  <c r="I11" i="25"/>
  <c r="I12" i="25"/>
  <c r="I13" i="25"/>
  <c r="I14" i="25"/>
  <c r="I15" i="25"/>
  <c r="I16" i="25"/>
  <c r="I17" i="25"/>
  <c r="I18" i="25"/>
  <c r="I19" i="25"/>
  <c r="I20" i="25"/>
  <c r="I21" i="25"/>
  <c r="I22" i="25"/>
  <c r="I23" i="25"/>
  <c r="I24" i="25"/>
  <c r="I25" i="25"/>
  <c r="I26" i="25"/>
  <c r="I27" i="25"/>
  <c r="I28" i="25"/>
  <c r="I29" i="25"/>
  <c r="I30" i="25"/>
  <c r="I31" i="25"/>
  <c r="I32" i="25"/>
  <c r="I33" i="25"/>
  <c r="I34" i="25"/>
  <c r="I35" i="25"/>
  <c r="I36" i="25"/>
  <c r="I37" i="25"/>
  <c r="I38" i="25"/>
  <c r="I39" i="25"/>
  <c r="I40" i="25"/>
  <c r="I41" i="25"/>
  <c r="I42" i="25"/>
  <c r="I43" i="25"/>
  <c r="I44" i="25"/>
  <c r="I45" i="25"/>
  <c r="I46" i="25"/>
  <c r="I47" i="25"/>
  <c r="I48" i="25"/>
  <c r="I49" i="25"/>
  <c r="I50" i="25"/>
  <c r="I51" i="25"/>
  <c r="I52" i="25"/>
  <c r="I53" i="25"/>
  <c r="I54" i="25"/>
  <c r="I55" i="25"/>
  <c r="I56" i="25"/>
  <c r="I57" i="25"/>
  <c r="I58" i="25"/>
  <c r="I59" i="25"/>
  <c r="AS10" i="29"/>
  <c r="AS10" i="25"/>
  <c r="AP10" i="29"/>
  <c r="AP10" i="25"/>
  <c r="AM10" i="25"/>
  <c r="AJ10" i="29"/>
  <c r="Q11" i="28" s="1"/>
  <c r="AJ10" i="25"/>
  <c r="AG10" i="29"/>
  <c r="AG10" i="25"/>
  <c r="Y10" i="29"/>
  <c r="H11" i="28" s="1"/>
  <c r="Y10" i="25"/>
  <c r="U10" i="29"/>
  <c r="U10" i="25"/>
  <c r="R10" i="29"/>
  <c r="V10" i="29" s="1"/>
  <c r="R10" i="25"/>
  <c r="O10" i="29"/>
  <c r="O10" i="25"/>
  <c r="L10" i="29"/>
  <c r="L10" i="25"/>
  <c r="I10" i="29"/>
  <c r="I10" i="25"/>
  <c r="G12" i="28"/>
  <c r="I12" i="28" s="1"/>
  <c r="J12" i="28"/>
  <c r="K12" i="28"/>
  <c r="M12" i="28"/>
  <c r="N12" i="28"/>
  <c r="P12" i="28"/>
  <c r="R12" i="28" s="1"/>
  <c r="Q12" i="28"/>
  <c r="T12" i="28"/>
  <c r="V12" i="28"/>
  <c r="Y12" i="28"/>
  <c r="G13" i="28"/>
  <c r="H13" i="28"/>
  <c r="K13" i="28"/>
  <c r="M13" i="28"/>
  <c r="N13" i="28"/>
  <c r="O13" i="28" s="1"/>
  <c r="P13" i="28"/>
  <c r="R13" i="28" s="1"/>
  <c r="Q13" i="28"/>
  <c r="S13" i="28"/>
  <c r="V13" i="28"/>
  <c r="W13" i="28"/>
  <c r="Y13" i="28"/>
  <c r="Z13" i="28"/>
  <c r="AA13" i="28"/>
  <c r="G14" i="28"/>
  <c r="H14" i="28"/>
  <c r="I14" i="28" s="1"/>
  <c r="K14" i="28"/>
  <c r="N14" i="28"/>
  <c r="Q14" i="28"/>
  <c r="S14" i="28"/>
  <c r="T14" i="28"/>
  <c r="U14" i="28"/>
  <c r="V14" i="28"/>
  <c r="Z14" i="28"/>
  <c r="H15" i="28"/>
  <c r="J15" i="28"/>
  <c r="N15" i="28"/>
  <c r="S15" i="28"/>
  <c r="T15" i="28"/>
  <c r="U15" i="28" s="1"/>
  <c r="G16" i="28"/>
  <c r="K16" i="28"/>
  <c r="M16" i="28"/>
  <c r="P16" i="28"/>
  <c r="T16" i="28"/>
  <c r="V16" i="28"/>
  <c r="W16" i="28"/>
  <c r="Y16" i="28"/>
  <c r="G17" i="28"/>
  <c r="H17" i="28"/>
  <c r="J17" i="28"/>
  <c r="M17" i="28"/>
  <c r="O17" i="28" s="1"/>
  <c r="N17" i="28"/>
  <c r="P17" i="28"/>
  <c r="R17" i="28" s="1"/>
  <c r="Q17" i="28"/>
  <c r="S17" i="28"/>
  <c r="V17" i="28"/>
  <c r="X17" i="28" s="1"/>
  <c r="W17" i="28"/>
  <c r="Y17" i="28"/>
  <c r="Z17" i="28"/>
  <c r="AA17" i="28" s="1"/>
  <c r="G18" i="28"/>
  <c r="K18" i="28"/>
  <c r="N18" i="28"/>
  <c r="P18" i="28"/>
  <c r="S18" i="28"/>
  <c r="T18" i="28"/>
  <c r="U18" i="28" s="1"/>
  <c r="W18" i="28"/>
  <c r="Y18" i="28"/>
  <c r="Z18" i="28"/>
  <c r="G19" i="28"/>
  <c r="J19" i="28"/>
  <c r="N19" i="28"/>
  <c r="P19" i="28"/>
  <c r="T19" i="28"/>
  <c r="V19" i="28"/>
  <c r="X19" i="28" s="1"/>
  <c r="Z19" i="28"/>
  <c r="G20" i="28"/>
  <c r="I20" i="28" s="1"/>
  <c r="H20" i="28"/>
  <c r="K20" i="28"/>
  <c r="M20" i="28"/>
  <c r="P20" i="28"/>
  <c r="T20" i="28"/>
  <c r="V20" i="28"/>
  <c r="W20" i="28"/>
  <c r="Y20" i="28"/>
  <c r="H21" i="28"/>
  <c r="K21" i="28"/>
  <c r="M21" i="28"/>
  <c r="N21" i="28"/>
  <c r="P21" i="28"/>
  <c r="R21" i="28" s="1"/>
  <c r="Q21" i="28"/>
  <c r="S21" i="28"/>
  <c r="T21" i="28"/>
  <c r="V21" i="28"/>
  <c r="W21" i="28"/>
  <c r="Y21" i="28"/>
  <c r="Z21" i="28"/>
  <c r="AA21" i="28"/>
  <c r="H22" i="28"/>
  <c r="N22" i="28"/>
  <c r="P22" i="28"/>
  <c r="S22" i="28"/>
  <c r="T22" i="28"/>
  <c r="U22" i="28" s="1"/>
  <c r="V22" i="28"/>
  <c r="X22" i="28" s="1"/>
  <c r="W22" i="28"/>
  <c r="Z22" i="28"/>
  <c r="J23" i="28"/>
  <c r="N23" i="28"/>
  <c r="Q23" i="28"/>
  <c r="S23" i="28"/>
  <c r="T23" i="28"/>
  <c r="Y23" i="28"/>
  <c r="G24" i="28"/>
  <c r="J24" i="28"/>
  <c r="K24" i="28"/>
  <c r="M24" i="28"/>
  <c r="O24" i="28" s="1"/>
  <c r="P24" i="28"/>
  <c r="R24" i="28" s="1"/>
  <c r="Q24" i="28"/>
  <c r="S24" i="28"/>
  <c r="V24" i="28"/>
  <c r="Y24" i="28"/>
  <c r="G25" i="28"/>
  <c r="H25" i="28"/>
  <c r="J25" i="28"/>
  <c r="M25" i="28"/>
  <c r="O25" i="28" s="1"/>
  <c r="N25" i="28"/>
  <c r="P25" i="28"/>
  <c r="Q25" i="28"/>
  <c r="R25" i="28"/>
  <c r="S25" i="28"/>
  <c r="T25" i="28"/>
  <c r="V25" i="28"/>
  <c r="W25" i="28"/>
  <c r="Z25" i="28"/>
  <c r="H26" i="28"/>
  <c r="K26" i="28"/>
  <c r="N26" i="28"/>
  <c r="Q26" i="28"/>
  <c r="S26" i="28"/>
  <c r="T26" i="28"/>
  <c r="W26" i="28"/>
  <c r="Z26" i="28"/>
  <c r="H27" i="28"/>
  <c r="J27" i="28"/>
  <c r="N27" i="28"/>
  <c r="Q27" i="28"/>
  <c r="S27" i="28"/>
  <c r="U27" i="28" s="1"/>
  <c r="T27" i="28"/>
  <c r="V27" i="28"/>
  <c r="Y27" i="28"/>
  <c r="G28" i="28"/>
  <c r="J28" i="28"/>
  <c r="K28" i="28"/>
  <c r="M28" i="28"/>
  <c r="P28" i="28"/>
  <c r="R28" i="28" s="1"/>
  <c r="Q28" i="28"/>
  <c r="V28" i="28"/>
  <c r="Y28" i="28"/>
  <c r="G29" i="28"/>
  <c r="H29" i="28"/>
  <c r="J29" i="28"/>
  <c r="K29" i="28"/>
  <c r="N29" i="28"/>
  <c r="P29" i="28"/>
  <c r="Q29" i="28"/>
  <c r="R29" i="28"/>
  <c r="S29" i="28"/>
  <c r="V29" i="28"/>
  <c r="W29" i="28"/>
  <c r="Y29" i="28"/>
  <c r="Z29" i="28"/>
  <c r="AA29" i="28"/>
  <c r="H30" i="28"/>
  <c r="K30" i="28"/>
  <c r="M30" i="28"/>
  <c r="N30" i="28"/>
  <c r="P30" i="28"/>
  <c r="S30" i="28"/>
  <c r="U30" i="28" s="1"/>
  <c r="T30" i="28"/>
  <c r="V30" i="28"/>
  <c r="W30" i="28"/>
  <c r="X30" i="28" s="1"/>
  <c r="Z30" i="28"/>
  <c r="H31" i="28"/>
  <c r="J31" i="28"/>
  <c r="M31" i="28"/>
  <c r="P31" i="28"/>
  <c r="S31" i="28"/>
  <c r="T31" i="28"/>
  <c r="W31" i="28"/>
  <c r="Y31" i="28"/>
  <c r="G32" i="28"/>
  <c r="H32" i="28"/>
  <c r="K32" i="28"/>
  <c r="M32" i="28"/>
  <c r="P32" i="28"/>
  <c r="T32" i="28"/>
  <c r="V32" i="28"/>
  <c r="Y32" i="28"/>
  <c r="H33" i="28"/>
  <c r="K33" i="28"/>
  <c r="M33" i="28"/>
  <c r="N33" i="28"/>
  <c r="O33" i="28"/>
  <c r="P33" i="28"/>
  <c r="Q33" i="28"/>
  <c r="S33" i="28"/>
  <c r="W33" i="28"/>
  <c r="Y33" i="28"/>
  <c r="Z33" i="28"/>
  <c r="H34" i="28"/>
  <c r="N34" i="28"/>
  <c r="P34" i="28"/>
  <c r="S34" i="28"/>
  <c r="T34" i="28"/>
  <c r="U34" i="28"/>
  <c r="V34" i="28"/>
  <c r="X34" i="28" s="1"/>
  <c r="W34" i="28"/>
  <c r="Z34" i="28"/>
  <c r="H35" i="28"/>
  <c r="J35" i="28"/>
  <c r="M35" i="28"/>
  <c r="S35" i="28"/>
  <c r="U35" i="28" s="1"/>
  <c r="T35" i="28"/>
  <c r="G36" i="28"/>
  <c r="H36" i="28"/>
  <c r="K36" i="28"/>
  <c r="M36" i="28"/>
  <c r="O36" i="28" s="1"/>
  <c r="N36" i="28"/>
  <c r="P36" i="28"/>
  <c r="R36" i="28" s="1"/>
  <c r="T36" i="28"/>
  <c r="V36" i="28"/>
  <c r="Y36" i="28"/>
  <c r="Z36" i="28"/>
  <c r="G37" i="28"/>
  <c r="H37" i="28"/>
  <c r="K37" i="28"/>
  <c r="M37" i="28"/>
  <c r="N37" i="28"/>
  <c r="O37" i="28"/>
  <c r="P37" i="28"/>
  <c r="Q37" i="28"/>
  <c r="S37" i="28"/>
  <c r="V37" i="28"/>
  <c r="W37" i="28"/>
  <c r="X37" i="28"/>
  <c r="Z37" i="28"/>
  <c r="H38" i="28"/>
  <c r="K38" i="28"/>
  <c r="N38" i="28"/>
  <c r="P38" i="28"/>
  <c r="S38" i="28"/>
  <c r="U38" i="28" s="1"/>
  <c r="T38" i="28"/>
  <c r="W38" i="28"/>
  <c r="Y38" i="28"/>
  <c r="Z38" i="28"/>
  <c r="H39" i="28"/>
  <c r="J39" i="28"/>
  <c r="N39" i="28"/>
  <c r="P39" i="28"/>
  <c r="R39" i="28" s="1"/>
  <c r="S39" i="28"/>
  <c r="T39" i="28"/>
  <c r="U39" i="28" s="1"/>
  <c r="V39" i="28"/>
  <c r="X39" i="28" s="1"/>
  <c r="Y39" i="28"/>
  <c r="G40" i="28"/>
  <c r="I40" i="28" s="1"/>
  <c r="H40" i="28"/>
  <c r="J40" i="28"/>
  <c r="K40" i="28"/>
  <c r="M40" i="28"/>
  <c r="O40" i="28" s="1"/>
  <c r="N40" i="28"/>
  <c r="P40" i="28"/>
  <c r="V40" i="28"/>
  <c r="Y40" i="28"/>
  <c r="H41" i="28"/>
  <c r="K41" i="28"/>
  <c r="M41" i="28"/>
  <c r="N41" i="28"/>
  <c r="O41" i="28" s="1"/>
  <c r="P41" i="28"/>
  <c r="Q41" i="28"/>
  <c r="R41" i="28"/>
  <c r="S41" i="28"/>
  <c r="T41" i="28"/>
  <c r="V41" i="28"/>
  <c r="W41" i="28"/>
  <c r="Y41" i="28"/>
  <c r="AA41" i="28" s="1"/>
  <c r="Z41" i="28"/>
  <c r="H42" i="28"/>
  <c r="M42" i="28"/>
  <c r="O42" i="28" s="1"/>
  <c r="N42" i="28"/>
  <c r="P42" i="28"/>
  <c r="Q42" i="28"/>
  <c r="S42" i="28"/>
  <c r="T42" i="28"/>
  <c r="W42" i="28"/>
  <c r="Y42" i="28"/>
  <c r="Z42" i="28"/>
  <c r="AA42" i="28" s="1"/>
  <c r="G43" i="28"/>
  <c r="J43" i="28"/>
  <c r="K43" i="28"/>
  <c r="L43" i="28" s="1"/>
  <c r="Q43" i="28"/>
  <c r="T43" i="28"/>
  <c r="W43" i="28"/>
  <c r="Z43" i="28"/>
  <c r="G44" i="28"/>
  <c r="J44" i="28"/>
  <c r="K44" i="28"/>
  <c r="L44" i="28"/>
  <c r="M44" i="28"/>
  <c r="P44" i="28"/>
  <c r="T44" i="28"/>
  <c r="V44" i="28"/>
  <c r="X44" i="28" s="1"/>
  <c r="W44" i="28"/>
  <c r="Y44" i="28"/>
  <c r="H45" i="28"/>
  <c r="K45" i="28"/>
  <c r="M45" i="28"/>
  <c r="N45" i="28"/>
  <c r="P45" i="28"/>
  <c r="Q45" i="28"/>
  <c r="S45" i="28"/>
  <c r="V45" i="28"/>
  <c r="X45" i="28" s="1"/>
  <c r="W45" i="28"/>
  <c r="Z45" i="28"/>
  <c r="H46" i="28"/>
  <c r="K46" i="28"/>
  <c r="N46" i="28"/>
  <c r="P46" i="28"/>
  <c r="R46" i="28" s="1"/>
  <c r="Q46" i="28"/>
  <c r="S46" i="28"/>
  <c r="U46" i="28" s="1"/>
  <c r="T46" i="28"/>
  <c r="V46" i="28"/>
  <c r="W46" i="28"/>
  <c r="Y46" i="28"/>
  <c r="H47" i="28"/>
  <c r="J47" i="28"/>
  <c r="N47" i="28"/>
  <c r="Q47" i="28"/>
  <c r="S47" i="28"/>
  <c r="T47" i="28"/>
  <c r="Y47" i="28"/>
  <c r="AA47" i="28" s="1"/>
  <c r="G48" i="28"/>
  <c r="J48" i="28"/>
  <c r="K48" i="28"/>
  <c r="L48" i="28" s="1"/>
  <c r="M48" i="28"/>
  <c r="O48" i="28" s="1"/>
  <c r="N48" i="28"/>
  <c r="P48" i="28"/>
  <c r="V48" i="28"/>
  <c r="Y48" i="28"/>
  <c r="G49" i="28"/>
  <c r="I49" i="28" s="1"/>
  <c r="H49" i="28"/>
  <c r="K49" i="28"/>
  <c r="M49" i="28"/>
  <c r="N49" i="28"/>
  <c r="P49" i="28"/>
  <c r="R49" i="28" s="1"/>
  <c r="Q49" i="28"/>
  <c r="S49" i="28"/>
  <c r="T49" i="28"/>
  <c r="U49" i="28" s="1"/>
  <c r="V49" i="28"/>
  <c r="X49" i="28" s="1"/>
  <c r="W49" i="28"/>
  <c r="Y49" i="28"/>
  <c r="Z49" i="28"/>
  <c r="G50" i="28"/>
  <c r="I50" i="28" s="1"/>
  <c r="J50" i="28"/>
  <c r="M50" i="28"/>
  <c r="O50" i="28" s="1"/>
  <c r="N50" i="28"/>
  <c r="Q50" i="28"/>
  <c r="S50" i="28"/>
  <c r="T50" i="28"/>
  <c r="V50" i="28"/>
  <c r="W50" i="28"/>
  <c r="Z50" i="28"/>
  <c r="H51" i="28"/>
  <c r="J51" i="28"/>
  <c r="N51" i="28"/>
  <c r="Q51" i="28"/>
  <c r="T51" i="28"/>
  <c r="Z51" i="28"/>
  <c r="G52" i="28"/>
  <c r="J52" i="28"/>
  <c r="K52" i="28"/>
  <c r="L52" i="28" s="1"/>
  <c r="M52" i="28"/>
  <c r="P52" i="28"/>
  <c r="T52" i="28"/>
  <c r="V52" i="28"/>
  <c r="Y52" i="28"/>
  <c r="AA52" i="28" s="1"/>
  <c r="G53" i="28"/>
  <c r="H53" i="28"/>
  <c r="I53" i="28"/>
  <c r="J53" i="28"/>
  <c r="N53" i="28"/>
  <c r="P53" i="28"/>
  <c r="Q53" i="28"/>
  <c r="R53" i="28"/>
  <c r="S53" i="28"/>
  <c r="V53" i="28"/>
  <c r="W53" i="28"/>
  <c r="Y53" i="28"/>
  <c r="Z53" i="28"/>
  <c r="G54" i="28"/>
  <c r="I54" i="28" s="1"/>
  <c r="H54" i="28"/>
  <c r="J54" i="28"/>
  <c r="M54" i="28"/>
  <c r="P54" i="28"/>
  <c r="S54" i="28"/>
  <c r="T54" i="28"/>
  <c r="U54" i="28"/>
  <c r="W54" i="28"/>
  <c r="Z54" i="28"/>
  <c r="J55" i="28"/>
  <c r="K55" i="28"/>
  <c r="N55" i="28"/>
  <c r="Q55" i="28"/>
  <c r="T55" i="28"/>
  <c r="V55" i="28"/>
  <c r="Z55" i="28"/>
  <c r="G56" i="28"/>
  <c r="J56" i="28"/>
  <c r="K56" i="28"/>
  <c r="L56" i="28"/>
  <c r="M56" i="28"/>
  <c r="N56" i="28"/>
  <c r="P56" i="28"/>
  <c r="T56" i="28"/>
  <c r="V56" i="28"/>
  <c r="Y56" i="28"/>
  <c r="G57" i="28"/>
  <c r="H57" i="28"/>
  <c r="I57" i="28"/>
  <c r="J57" i="28"/>
  <c r="L57" i="28" s="1"/>
  <c r="K57" i="28"/>
  <c r="M57" i="28"/>
  <c r="N57" i="28"/>
  <c r="P57" i="28"/>
  <c r="Q57" i="28"/>
  <c r="R57" i="28"/>
  <c r="S57" i="28"/>
  <c r="W57" i="28"/>
  <c r="Z57" i="28"/>
  <c r="G58" i="28"/>
  <c r="K58" i="28"/>
  <c r="N58" i="28"/>
  <c r="P58" i="28"/>
  <c r="Q58" i="28"/>
  <c r="R58" i="28" s="1"/>
  <c r="S58" i="28"/>
  <c r="U58" i="28" s="1"/>
  <c r="T58" i="28"/>
  <c r="V58" i="28"/>
  <c r="Y58" i="28"/>
  <c r="Z58" i="28"/>
  <c r="H59" i="28"/>
  <c r="J59" i="28"/>
  <c r="N59" i="28"/>
  <c r="Q59" i="28"/>
  <c r="S59" i="28"/>
  <c r="T59" i="28"/>
  <c r="W59" i="28"/>
  <c r="Y59" i="28"/>
  <c r="AA59" i="28" s="1"/>
  <c r="G60" i="28"/>
  <c r="K60" i="28"/>
  <c r="M60" i="28"/>
  <c r="P60" i="28"/>
  <c r="T60" i="28"/>
  <c r="V60" i="28"/>
  <c r="X60" i="28" s="1"/>
  <c r="Y60" i="28"/>
  <c r="Z11" i="28"/>
  <c r="T11" i="28"/>
  <c r="N11" i="28"/>
  <c r="A26" i="27" l="1"/>
  <c r="A27" i="27"/>
  <c r="V10" i="25"/>
  <c r="AA46" i="28"/>
  <c r="AA31" i="28"/>
  <c r="AA38" i="28"/>
  <c r="AA36" i="28"/>
  <c r="AA18" i="28"/>
  <c r="AA48" i="28"/>
  <c r="AA44" i="28"/>
  <c r="AA25" i="28"/>
  <c r="AA33" i="28"/>
  <c r="AA28" i="28"/>
  <c r="X51" i="28"/>
  <c r="X55" i="28"/>
  <c r="X40" i="28"/>
  <c r="X27" i="28"/>
  <c r="X38" i="28"/>
  <c r="X25" i="28"/>
  <c r="X20" i="28"/>
  <c r="X53" i="28"/>
  <c r="X41" i="28"/>
  <c r="X28" i="28"/>
  <c r="X26" i="28"/>
  <c r="X12" i="28"/>
  <c r="X21" i="28"/>
  <c r="U45" i="28"/>
  <c r="U48" i="28"/>
  <c r="U57" i="28"/>
  <c r="U37" i="28"/>
  <c r="U59" i="28"/>
  <c r="U50" i="28"/>
  <c r="U41" i="28"/>
  <c r="U19" i="28"/>
  <c r="U43" i="28"/>
  <c r="U24" i="28"/>
  <c r="U25" i="28"/>
  <c r="R54" i="28"/>
  <c r="R40" i="28"/>
  <c r="R60" i="28"/>
  <c r="R22" i="28"/>
  <c r="R37" i="28"/>
  <c r="R27" i="28"/>
  <c r="R48" i="28"/>
  <c r="O55" i="28"/>
  <c r="O31" i="28"/>
  <c r="O57" i="28"/>
  <c r="O56" i="28"/>
  <c r="O51" i="28"/>
  <c r="O30" i="28"/>
  <c r="O32" i="28"/>
  <c r="O29" i="28"/>
  <c r="O21" i="28"/>
  <c r="O16" i="28"/>
  <c r="L42" i="28"/>
  <c r="L53" i="28"/>
  <c r="L26" i="28"/>
  <c r="L55" i="28"/>
  <c r="L29" i="28"/>
  <c r="L39" i="28"/>
  <c r="L23" i="28"/>
  <c r="L19" i="28"/>
  <c r="L35" i="28"/>
  <c r="L27" i="28"/>
  <c r="I24" i="28"/>
  <c r="I60" i="28"/>
  <c r="I58" i="28"/>
  <c r="I43" i="28"/>
  <c r="I35" i="28"/>
  <c r="I31" i="28"/>
  <c r="I18" i="28"/>
  <c r="I37" i="28"/>
  <c r="I36" i="28"/>
  <c r="I32" i="28"/>
  <c r="I27" i="28"/>
  <c r="I52" i="28"/>
  <c r="I45" i="28"/>
  <c r="I16" i="28"/>
  <c r="O58" i="28"/>
  <c r="L50" i="28"/>
  <c r="L46" i="28"/>
  <c r="R33" i="28"/>
  <c r="R45" i="28"/>
  <c r="R44" i="28"/>
  <c r="R38" i="28"/>
  <c r="U31" i="28"/>
  <c r="L21" i="28"/>
  <c r="U60" i="28"/>
  <c r="L59" i="28"/>
  <c r="AA57" i="28"/>
  <c r="O54" i="28"/>
  <c r="O53" i="28"/>
  <c r="X50" i="28"/>
  <c r="R34" i="28"/>
  <c r="L18" i="28"/>
  <c r="AA58" i="28"/>
  <c r="U52" i="28"/>
  <c r="L51" i="28"/>
  <c r="I48" i="28"/>
  <c r="U47" i="28"/>
  <c r="L36" i="28"/>
  <c r="O26" i="28"/>
  <c r="AA27" i="28"/>
  <c r="L24" i="28"/>
  <c r="U23" i="28"/>
  <c r="L17" i="28"/>
  <c r="L58" i="28"/>
  <c r="R56" i="28"/>
  <c r="I55" i="28"/>
  <c r="AA53" i="28"/>
  <c r="O49" i="28"/>
  <c r="X46" i="28"/>
  <c r="L40" i="28"/>
  <c r="O39" i="28"/>
  <c r="U33" i="28"/>
  <c r="X24" i="28"/>
  <c r="L20" i="28"/>
  <c r="AA16" i="28"/>
  <c r="L16" i="28"/>
  <c r="X13" i="28"/>
  <c r="I13" i="28"/>
  <c r="O12" i="28"/>
  <c r="X58" i="28"/>
  <c r="U55" i="28"/>
  <c r="L54" i="28"/>
  <c r="R52" i="28"/>
  <c r="I51" i="28"/>
  <c r="AA49" i="28"/>
  <c r="O45" i="28"/>
  <c r="R43" i="28"/>
  <c r="U42" i="28"/>
  <c r="R31" i="28"/>
  <c r="R30" i="28"/>
  <c r="X29" i="28"/>
  <c r="I29" i="28"/>
  <c r="O28" i="28"/>
  <c r="U26" i="28"/>
  <c r="L25" i="28"/>
  <c r="I22" i="28"/>
  <c r="U21" i="28"/>
  <c r="R18" i="28"/>
  <c r="U17" i="28"/>
  <c r="R14" i="28"/>
  <c r="O44" i="28"/>
  <c r="L41" i="28"/>
  <c r="X36" i="28"/>
  <c r="AA32" i="28"/>
  <c r="L32" i="28"/>
  <c r="O27" i="28"/>
  <c r="R19" i="28"/>
  <c r="I17" i="28"/>
  <c r="AA15" i="28"/>
  <c r="R42" i="28"/>
  <c r="I41" i="28"/>
  <c r="AA39" i="28"/>
  <c r="O35" i="28"/>
  <c r="X32" i="28"/>
  <c r="U29" i="28"/>
  <c r="L28" i="28"/>
  <c r="R26" i="28"/>
  <c r="I25" i="28"/>
  <c r="AA23" i="28"/>
  <c r="O19" i="28"/>
  <c r="X16" i="28"/>
  <c r="U13" i="28"/>
  <c r="L12" i="28"/>
  <c r="W11" i="28"/>
  <c r="V11" i="28"/>
  <c r="A28" i="27" l="1"/>
  <c r="A29" i="27"/>
  <c r="X11" i="28"/>
  <c r="M11" i="27"/>
  <c r="N11" i="27"/>
  <c r="N10" i="27"/>
  <c r="M10" i="27"/>
  <c r="A30" i="27" l="1"/>
  <c r="E51" i="28"/>
  <c r="AC51" i="28" s="1"/>
  <c r="AB50" i="29"/>
  <c r="E52" i="28"/>
  <c r="AC52" i="28" s="1"/>
  <c r="AB51" i="29"/>
  <c r="E53" i="28"/>
  <c r="AC53" i="28" s="1"/>
  <c r="AB52" i="29"/>
  <c r="E54" i="28"/>
  <c r="AC54" i="28" s="1"/>
  <c r="AB53" i="29"/>
  <c r="E55" i="28"/>
  <c r="AC55" i="28" s="1"/>
  <c r="AB54" i="29"/>
  <c r="E56" i="28"/>
  <c r="AC56" i="28" s="1"/>
  <c r="AB55" i="29"/>
  <c r="E57" i="28"/>
  <c r="AC57" i="28" s="1"/>
  <c r="AB56" i="29"/>
  <c r="E58" i="28"/>
  <c r="AC58" i="28" s="1"/>
  <c r="AB57" i="29"/>
  <c r="E59" i="28"/>
  <c r="AC59" i="28" s="1"/>
  <c r="AB58" i="29"/>
  <c r="E60" i="28"/>
  <c r="AC60" i="28" s="1"/>
  <c r="AB59" i="29"/>
  <c r="A11" i="29"/>
  <c r="A12" i="29"/>
  <c r="A13" i="29"/>
  <c r="A14" i="29"/>
  <c r="A15" i="29"/>
  <c r="A16" i="29"/>
  <c r="A17" i="29"/>
  <c r="A18" i="29"/>
  <c r="A19" i="29"/>
  <c r="A20" i="29"/>
  <c r="A21" i="29"/>
  <c r="A22" i="29"/>
  <c r="A23" i="29"/>
  <c r="A35" i="29"/>
  <c r="A36" i="29"/>
  <c r="A37" i="29"/>
  <c r="A38" i="29"/>
  <c r="A39" i="29"/>
  <c r="A40" i="29"/>
  <c r="A41" i="29"/>
  <c r="A42" i="29"/>
  <c r="A43" i="29"/>
  <c r="A44" i="29"/>
  <c r="A45" i="29"/>
  <c r="B45" i="29"/>
  <c r="A46" i="29"/>
  <c r="A47" i="29"/>
  <c r="B47" i="29"/>
  <c r="A48" i="29"/>
  <c r="A49" i="29"/>
  <c r="A50" i="29"/>
  <c r="A51" i="29"/>
  <c r="A52" i="29"/>
  <c r="A53" i="29"/>
  <c r="A54" i="29"/>
  <c r="A55" i="29"/>
  <c r="B55" i="29"/>
  <c r="A56" i="29"/>
  <c r="A57" i="29"/>
  <c r="A58" i="29"/>
  <c r="A59" i="29"/>
  <c r="A10" i="29"/>
  <c r="D51" i="28"/>
  <c r="AB50" i="25"/>
  <c r="D52" i="28"/>
  <c r="AB51" i="25"/>
  <c r="D53" i="28"/>
  <c r="AB52" i="25"/>
  <c r="D54" i="28"/>
  <c r="AB53" i="25"/>
  <c r="D55" i="28"/>
  <c r="AB54" i="25"/>
  <c r="D56" i="28"/>
  <c r="AB55" i="25"/>
  <c r="D57" i="28"/>
  <c r="AB56" i="25"/>
  <c r="D58" i="28"/>
  <c r="AB57" i="25"/>
  <c r="D59" i="28"/>
  <c r="AB58" i="25"/>
  <c r="D60" i="28"/>
  <c r="AB59" i="25"/>
  <c r="AW40" i="25"/>
  <c r="D10" i="25"/>
  <c r="A11" i="25"/>
  <c r="A12" i="25"/>
  <c r="A13" i="25"/>
  <c r="A14" i="25"/>
  <c r="A15" i="25"/>
  <c r="A16" i="25"/>
  <c r="A17" i="25"/>
  <c r="A18" i="25"/>
  <c r="A19" i="25"/>
  <c r="A20" i="25"/>
  <c r="A21" i="25"/>
  <c r="A22" i="25"/>
  <c r="A23" i="25"/>
  <c r="A35" i="25"/>
  <c r="A36" i="25"/>
  <c r="A37" i="25"/>
  <c r="A38" i="25"/>
  <c r="A39" i="25"/>
  <c r="A40" i="25"/>
  <c r="A41" i="25"/>
  <c r="A42" i="25"/>
  <c r="A43" i="25"/>
  <c r="A44" i="25"/>
  <c r="A45" i="25"/>
  <c r="A46" i="25"/>
  <c r="A47" i="25"/>
  <c r="A48" i="25"/>
  <c r="A49" i="25"/>
  <c r="A50" i="25"/>
  <c r="A51" i="25"/>
  <c r="A52" i="25"/>
  <c r="A53" i="25"/>
  <c r="A54" i="25"/>
  <c r="A55" i="25"/>
  <c r="A56" i="25"/>
  <c r="A57" i="25"/>
  <c r="A58" i="25"/>
  <c r="A59" i="25"/>
  <c r="A10" i="25"/>
  <c r="E59" i="25" l="1"/>
  <c r="AU59" i="25"/>
  <c r="E55" i="25"/>
  <c r="AU55" i="25"/>
  <c r="E51" i="25"/>
  <c r="AU51" i="25"/>
  <c r="E47" i="25"/>
  <c r="AU47" i="25"/>
  <c r="E43" i="25"/>
  <c r="AU43" i="25"/>
  <c r="E39" i="25"/>
  <c r="AU39" i="25"/>
  <c r="E35" i="25"/>
  <c r="AU35" i="25"/>
  <c r="E23" i="25"/>
  <c r="AU23" i="25"/>
  <c r="E19" i="25"/>
  <c r="AU19" i="25"/>
  <c r="E15" i="25"/>
  <c r="AU15" i="25"/>
  <c r="E11" i="25"/>
  <c r="AU11" i="25"/>
  <c r="E56" i="29"/>
  <c r="AU56" i="29"/>
  <c r="E53" i="29"/>
  <c r="AU53" i="29"/>
  <c r="E49" i="29"/>
  <c r="AU49" i="29"/>
  <c r="E46" i="29"/>
  <c r="AU46" i="29"/>
  <c r="E43" i="29"/>
  <c r="AU43" i="29"/>
  <c r="E39" i="29"/>
  <c r="AU39" i="29"/>
  <c r="E35" i="29"/>
  <c r="AU35" i="29"/>
  <c r="E23" i="29"/>
  <c r="AU23" i="29"/>
  <c r="E19" i="29"/>
  <c r="AU19" i="29"/>
  <c r="E15" i="29"/>
  <c r="AU15" i="29"/>
  <c r="E11" i="29"/>
  <c r="AU11" i="29"/>
  <c r="E58" i="25"/>
  <c r="AU58" i="25"/>
  <c r="E54" i="25"/>
  <c r="AU54" i="25"/>
  <c r="E50" i="25"/>
  <c r="AU50" i="25"/>
  <c r="E46" i="25"/>
  <c r="AU46" i="25"/>
  <c r="E42" i="25"/>
  <c r="AU42" i="25"/>
  <c r="E38" i="25"/>
  <c r="AU38" i="25"/>
  <c r="E22" i="25"/>
  <c r="AU22" i="25"/>
  <c r="E18" i="25"/>
  <c r="AU18" i="25"/>
  <c r="E14" i="25"/>
  <c r="AU14" i="25"/>
  <c r="E59" i="29"/>
  <c r="AU59" i="29"/>
  <c r="E52" i="29"/>
  <c r="AU52" i="29"/>
  <c r="E48" i="29"/>
  <c r="AU48" i="29"/>
  <c r="E42" i="29"/>
  <c r="AU42" i="29"/>
  <c r="E38" i="29"/>
  <c r="AU38" i="29"/>
  <c r="E22" i="29"/>
  <c r="AU22" i="29"/>
  <c r="E18" i="29"/>
  <c r="AU18" i="29"/>
  <c r="E14" i="29"/>
  <c r="AU14" i="29"/>
  <c r="A31" i="27"/>
  <c r="E57" i="25"/>
  <c r="AU57" i="25"/>
  <c r="E53" i="25"/>
  <c r="AU53" i="25"/>
  <c r="E49" i="25"/>
  <c r="AU49" i="25"/>
  <c r="E45" i="25"/>
  <c r="AU45" i="25"/>
  <c r="E41" i="25"/>
  <c r="AU41" i="25"/>
  <c r="E37" i="25"/>
  <c r="AU37" i="25"/>
  <c r="E21" i="25"/>
  <c r="AU21" i="25"/>
  <c r="E17" i="25"/>
  <c r="AU17" i="25"/>
  <c r="E13" i="25"/>
  <c r="AU13" i="25"/>
  <c r="E58" i="29"/>
  <c r="AU58" i="29"/>
  <c r="E55" i="29"/>
  <c r="AU55" i="29"/>
  <c r="E51" i="29"/>
  <c r="AU51" i="29"/>
  <c r="E45" i="29"/>
  <c r="AU45" i="29"/>
  <c r="E41" i="29"/>
  <c r="AU41" i="29"/>
  <c r="E37" i="29"/>
  <c r="AU37" i="29"/>
  <c r="E21" i="29"/>
  <c r="AU21" i="29"/>
  <c r="E17" i="29"/>
  <c r="AU17" i="29"/>
  <c r="E13" i="29"/>
  <c r="AU13" i="29"/>
  <c r="E56" i="25"/>
  <c r="AU56" i="25"/>
  <c r="E52" i="25"/>
  <c r="AU52" i="25"/>
  <c r="E48" i="25"/>
  <c r="AU48" i="25"/>
  <c r="E44" i="25"/>
  <c r="AU44" i="25"/>
  <c r="E40" i="25"/>
  <c r="AU40" i="25"/>
  <c r="E36" i="25"/>
  <c r="AU36" i="25"/>
  <c r="A24" i="25"/>
  <c r="E20" i="25"/>
  <c r="AU20" i="25"/>
  <c r="E16" i="25"/>
  <c r="AU16" i="25"/>
  <c r="E12" i="25"/>
  <c r="AU12" i="25"/>
  <c r="E57" i="29"/>
  <c r="AU57" i="29"/>
  <c r="E54" i="29"/>
  <c r="AU54" i="29"/>
  <c r="E50" i="29"/>
  <c r="AU50" i="29"/>
  <c r="E47" i="29"/>
  <c r="AU47" i="29"/>
  <c r="E44" i="29"/>
  <c r="AU44" i="29"/>
  <c r="E40" i="29"/>
  <c r="AU40" i="29"/>
  <c r="E36" i="29"/>
  <c r="AU36" i="29"/>
  <c r="A24" i="29"/>
  <c r="E20" i="29"/>
  <c r="AU20" i="29"/>
  <c r="E16" i="29"/>
  <c r="AU16" i="29"/>
  <c r="E12" i="29"/>
  <c r="AU12" i="29"/>
  <c r="E10" i="25"/>
  <c r="I27" i="26"/>
  <c r="I30" i="26"/>
  <c r="AU10" i="25"/>
  <c r="E10" i="29"/>
  <c r="AU10" i="29"/>
  <c r="F51" i="28"/>
  <c r="AB51" i="28"/>
  <c r="AD51" i="28" s="1"/>
  <c r="F60" i="28"/>
  <c r="AB60" i="28"/>
  <c r="AD60" i="28" s="1"/>
  <c r="F58" i="28"/>
  <c r="AB58" i="28"/>
  <c r="AD58" i="28" s="1"/>
  <c r="F56" i="28"/>
  <c r="AB56" i="28"/>
  <c r="AD56" i="28" s="1"/>
  <c r="F54" i="28"/>
  <c r="AB54" i="28"/>
  <c r="AD54" i="28" s="1"/>
  <c r="AB52" i="28"/>
  <c r="AD52" i="28" s="1"/>
  <c r="F52" i="28"/>
  <c r="F59" i="28"/>
  <c r="AB59" i="28"/>
  <c r="AD59" i="28" s="1"/>
  <c r="F57" i="28"/>
  <c r="AB57" i="28"/>
  <c r="AD57" i="28" s="1"/>
  <c r="AB55" i="28"/>
  <c r="AD55" i="28" s="1"/>
  <c r="F55" i="28"/>
  <c r="F53" i="28"/>
  <c r="AB53" i="28"/>
  <c r="AD53" i="28" s="1"/>
  <c r="AV45" i="29"/>
  <c r="B53" i="29"/>
  <c r="F50" i="29"/>
  <c r="C47" i="29"/>
  <c r="F45" i="29"/>
  <c r="F20" i="29"/>
  <c r="F58" i="29"/>
  <c r="C55" i="29"/>
  <c r="F53" i="29"/>
  <c r="C44" i="29"/>
  <c r="B24" i="29"/>
  <c r="F18" i="29"/>
  <c r="AV39" i="25"/>
  <c r="AW55" i="29"/>
  <c r="BA42" i="29"/>
  <c r="AV48" i="25"/>
  <c r="AY36" i="25"/>
  <c r="B12" i="25"/>
  <c r="AW48" i="25"/>
  <c r="AY59" i="25"/>
  <c r="B10" i="25"/>
  <c r="AV40" i="25"/>
  <c r="AW44" i="25"/>
  <c r="C48" i="25"/>
  <c r="B19" i="29"/>
  <c r="AX37" i="25"/>
  <c r="B37" i="25"/>
  <c r="C17" i="25"/>
  <c r="C13" i="25"/>
  <c r="AV37" i="25"/>
  <c r="AX48" i="25"/>
  <c r="AX43" i="25"/>
  <c r="AY47" i="25"/>
  <c r="AW59" i="25"/>
  <c r="AV57" i="25"/>
  <c r="AY55" i="25"/>
  <c r="AY53" i="25"/>
  <c r="B56" i="25"/>
  <c r="B51" i="25"/>
  <c r="F47" i="25"/>
  <c r="B44" i="25"/>
  <c r="C41" i="25"/>
  <c r="C36" i="25"/>
  <c r="B24" i="25"/>
  <c r="B17" i="25"/>
  <c r="B13" i="25"/>
  <c r="B56" i="29"/>
  <c r="B48" i="29"/>
  <c r="F42" i="29"/>
  <c r="F38" i="29"/>
  <c r="BA47" i="29"/>
  <c r="AV42" i="29"/>
  <c r="AZ55" i="29"/>
  <c r="AX50" i="29"/>
  <c r="AY57" i="25"/>
  <c r="C57" i="25"/>
  <c r="B53" i="25"/>
  <c r="B45" i="25"/>
  <c r="F41" i="25"/>
  <c r="AX41" i="25"/>
  <c r="AY39" i="25"/>
  <c r="AW55" i="25"/>
  <c r="AV53" i="25"/>
  <c r="AY51" i="25"/>
  <c r="F59" i="25"/>
  <c r="F55" i="25"/>
  <c r="C49" i="25"/>
  <c r="F45" i="25"/>
  <c r="F43" i="25"/>
  <c r="F39" i="25"/>
  <c r="B35" i="25"/>
  <c r="F21" i="25"/>
  <c r="B15" i="25"/>
  <c r="C52" i="29"/>
  <c r="F39" i="29"/>
  <c r="F11" i="29"/>
  <c r="AV35" i="25"/>
  <c r="AX45" i="25"/>
  <c r="AW51" i="25"/>
  <c r="F57" i="25"/>
  <c r="F53" i="25"/>
  <c r="B49" i="25"/>
  <c r="C45" i="25"/>
  <c r="B43" i="25"/>
  <c r="F37" i="25"/>
  <c r="B21" i="25"/>
  <c r="F13" i="25"/>
  <c r="F11" i="25"/>
  <c r="B52" i="29"/>
  <c r="B41" i="29"/>
  <c r="B39" i="29"/>
  <c r="F22" i="29"/>
  <c r="B11" i="29"/>
  <c r="BA39" i="29"/>
  <c r="AV37" i="29"/>
  <c r="B23" i="29"/>
  <c r="C23" i="29"/>
  <c r="D23" i="29"/>
  <c r="C15" i="29"/>
  <c r="D15" i="29"/>
  <c r="F15" i="29"/>
  <c r="AY37" i="29"/>
  <c r="B57" i="29"/>
  <c r="AY57" i="29"/>
  <c r="B49" i="29"/>
  <c r="B43" i="29"/>
  <c r="D43" i="29"/>
  <c r="F59" i="29"/>
  <c r="F51" i="29"/>
  <c r="D40" i="29"/>
  <c r="B40" i="29"/>
  <c r="AX40" i="29"/>
  <c r="C40" i="29"/>
  <c r="AY40" i="29"/>
  <c r="AW35" i="29"/>
  <c r="B35" i="29"/>
  <c r="BA35" i="29"/>
  <c r="F35" i="29"/>
  <c r="C17" i="29"/>
  <c r="B17" i="29"/>
  <c r="F17" i="29"/>
  <c r="F23" i="29"/>
  <c r="D16" i="29"/>
  <c r="B16" i="29"/>
  <c r="C16" i="29"/>
  <c r="F16" i="29"/>
  <c r="F12" i="29"/>
  <c r="AW43" i="29"/>
  <c r="C41" i="29"/>
  <c r="B18" i="29"/>
  <c r="AZ41" i="29"/>
  <c r="AX39" i="29"/>
  <c r="B42" i="29"/>
  <c r="D39" i="29"/>
  <c r="AX47" i="29"/>
  <c r="AX44" i="29"/>
  <c r="AZ42" i="29"/>
  <c r="AY41" i="29"/>
  <c r="AW39" i="29"/>
  <c r="AX58" i="29"/>
  <c r="AY53" i="29"/>
  <c r="AY52" i="29"/>
  <c r="AW50" i="29"/>
  <c r="F55" i="29"/>
  <c r="F52" i="29"/>
  <c r="F47" i="29"/>
  <c r="F44" i="29"/>
  <c r="F41" i="29"/>
  <c r="C39" i="29"/>
  <c r="AY45" i="29"/>
  <c r="AW42" i="29"/>
  <c r="AV41" i="29"/>
  <c r="AZ38" i="29"/>
  <c r="AW58" i="29"/>
  <c r="AV52" i="29"/>
  <c r="D58" i="25"/>
  <c r="AX58" i="25"/>
  <c r="B58" i="25"/>
  <c r="AY58" i="25"/>
  <c r="F58" i="25"/>
  <c r="AW58" i="25"/>
  <c r="D54" i="25"/>
  <c r="AX54" i="25"/>
  <c r="B54" i="25"/>
  <c r="AY54" i="25"/>
  <c r="AW54" i="25"/>
  <c r="D50" i="25"/>
  <c r="AX50" i="25"/>
  <c r="B50" i="25"/>
  <c r="AY50" i="25"/>
  <c r="AW50" i="25"/>
  <c r="D46" i="25"/>
  <c r="B46" i="25"/>
  <c r="C46" i="25"/>
  <c r="AW46" i="25"/>
  <c r="D42" i="25"/>
  <c r="B42" i="25"/>
  <c r="AW42" i="25"/>
  <c r="F42" i="25"/>
  <c r="AY42" i="25"/>
  <c r="AX42" i="25"/>
  <c r="D38" i="25"/>
  <c r="B38" i="25"/>
  <c r="AY38" i="25"/>
  <c r="AX38" i="25"/>
  <c r="D22" i="25"/>
  <c r="B22" i="25"/>
  <c r="D18" i="25"/>
  <c r="B18" i="25"/>
  <c r="C18" i="25"/>
  <c r="D14" i="25"/>
  <c r="B14" i="25"/>
  <c r="C14" i="25"/>
  <c r="F14" i="25"/>
  <c r="AV46" i="25"/>
  <c r="C58" i="25"/>
  <c r="F46" i="25"/>
  <c r="F18" i="25"/>
  <c r="AW38" i="25"/>
  <c r="AY46" i="25"/>
  <c r="AV58" i="25"/>
  <c r="AV54" i="25"/>
  <c r="AV50" i="25"/>
  <c r="F50" i="25"/>
  <c r="F38" i="25"/>
  <c r="C10" i="25"/>
  <c r="D56" i="25"/>
  <c r="AX56" i="25"/>
  <c r="F56" i="25"/>
  <c r="AV56" i="25"/>
  <c r="AY56" i="25"/>
  <c r="D52" i="25"/>
  <c r="AX52" i="25"/>
  <c r="F52" i="25"/>
  <c r="AV52" i="25"/>
  <c r="AY52" i="25"/>
  <c r="D48" i="25"/>
  <c r="F48" i="25"/>
  <c r="AY48" i="25"/>
  <c r="B48" i="25"/>
  <c r="D44" i="25"/>
  <c r="F44" i="25"/>
  <c r="AX44" i="25"/>
  <c r="C44" i="25"/>
  <c r="D40" i="25"/>
  <c r="F40" i="25"/>
  <c r="D36" i="25"/>
  <c r="F36" i="25"/>
  <c r="AX36" i="25"/>
  <c r="AV36" i="25"/>
  <c r="B36" i="25"/>
  <c r="D24" i="25"/>
  <c r="F24" i="25"/>
  <c r="D20" i="25"/>
  <c r="F20" i="25"/>
  <c r="B20" i="25"/>
  <c r="D16" i="25"/>
  <c r="F16" i="25"/>
  <c r="B16" i="25"/>
  <c r="C16" i="25"/>
  <c r="D12" i="25"/>
  <c r="F12" i="25"/>
  <c r="C12" i="25"/>
  <c r="F10" i="25"/>
  <c r="AV42" i="25"/>
  <c r="AX46" i="25"/>
  <c r="AY44" i="25"/>
  <c r="F54" i="25"/>
  <c r="C52" i="25"/>
  <c r="C50" i="25"/>
  <c r="C40" i="25"/>
  <c r="C38" i="25"/>
  <c r="F22" i="25"/>
  <c r="C20" i="25"/>
  <c r="D59" i="25"/>
  <c r="AX59" i="25"/>
  <c r="C59" i="25"/>
  <c r="AV59" i="25"/>
  <c r="D55" i="25"/>
  <c r="AX55" i="25"/>
  <c r="C55" i="25"/>
  <c r="B55" i="25"/>
  <c r="AV55" i="25"/>
  <c r="D51" i="25"/>
  <c r="AX51" i="25"/>
  <c r="C51" i="25"/>
  <c r="F51" i="25"/>
  <c r="AV51" i="25"/>
  <c r="D47" i="25"/>
  <c r="AW47" i="25"/>
  <c r="C47" i="25"/>
  <c r="AX47" i="25"/>
  <c r="AV47" i="25"/>
  <c r="D43" i="25"/>
  <c r="AW43" i="25"/>
  <c r="C43" i="25"/>
  <c r="AY43" i="25"/>
  <c r="AV43" i="25"/>
  <c r="D39" i="25"/>
  <c r="AW39" i="25"/>
  <c r="C39" i="25"/>
  <c r="AX39" i="25"/>
  <c r="B39" i="25"/>
  <c r="D35" i="25"/>
  <c r="AW35" i="25"/>
  <c r="C35" i="25"/>
  <c r="F35" i="25"/>
  <c r="AY35" i="25"/>
  <c r="AX35" i="25"/>
  <c r="D23" i="25"/>
  <c r="C23" i="25"/>
  <c r="B23" i="25"/>
  <c r="F23" i="25"/>
  <c r="D19" i="25"/>
  <c r="C19" i="25"/>
  <c r="F19" i="25"/>
  <c r="D15" i="25"/>
  <c r="C15" i="25"/>
  <c r="D11" i="25"/>
  <c r="C11" i="25"/>
  <c r="B11" i="25"/>
  <c r="AV44" i="25"/>
  <c r="AV38" i="25"/>
  <c r="AX40" i="25"/>
  <c r="AW36" i="25"/>
  <c r="AY40" i="25"/>
  <c r="AW56" i="25"/>
  <c r="AW52" i="25"/>
  <c r="B59" i="25"/>
  <c r="C56" i="25"/>
  <c r="C54" i="25"/>
  <c r="B52" i="25"/>
  <c r="B47" i="25"/>
  <c r="C42" i="25"/>
  <c r="B40" i="25"/>
  <c r="C22" i="25"/>
  <c r="B19" i="25"/>
  <c r="F15" i="25"/>
  <c r="D57" i="25"/>
  <c r="AX57" i="25"/>
  <c r="AW57" i="25"/>
  <c r="D53" i="25"/>
  <c r="AX53" i="25"/>
  <c r="AW53" i="25"/>
  <c r="D49" i="25"/>
  <c r="AY49" i="25"/>
  <c r="AW49" i="25"/>
  <c r="D45" i="25"/>
  <c r="AY45" i="25"/>
  <c r="AW45" i="25"/>
  <c r="D41" i="25"/>
  <c r="AY41" i="25"/>
  <c r="AW41" i="25"/>
  <c r="D37" i="25"/>
  <c r="AY37" i="25"/>
  <c r="AW37" i="25"/>
  <c r="D21" i="25"/>
  <c r="D17" i="25"/>
  <c r="D13" i="25"/>
  <c r="AV49" i="25"/>
  <c r="AV45" i="25"/>
  <c r="AV41" i="25"/>
  <c r="AX49" i="25"/>
  <c r="B57" i="25"/>
  <c r="C53" i="25"/>
  <c r="F49" i="25"/>
  <c r="B41" i="25"/>
  <c r="C37" i="25"/>
  <c r="C21" i="25"/>
  <c r="F17" i="25"/>
  <c r="F10" i="29"/>
  <c r="AX59" i="29"/>
  <c r="AY59" i="29"/>
  <c r="B54" i="29"/>
  <c r="AY54" i="29"/>
  <c r="AV54" i="29"/>
  <c r="AZ54" i="29"/>
  <c r="AX51" i="29"/>
  <c r="AY51" i="29"/>
  <c r="B46" i="29"/>
  <c r="AX46" i="29"/>
  <c r="AY46" i="29"/>
  <c r="D36" i="29"/>
  <c r="AV36" i="29"/>
  <c r="AZ36" i="29"/>
  <c r="B36" i="29"/>
  <c r="AW36" i="29"/>
  <c r="BA36" i="29"/>
  <c r="C36" i="29"/>
  <c r="C21" i="29"/>
  <c r="B21" i="29"/>
  <c r="F21" i="29"/>
  <c r="B14" i="29"/>
  <c r="AZ46" i="29"/>
  <c r="AX36" i="29"/>
  <c r="AV59" i="29"/>
  <c r="AV51" i="29"/>
  <c r="B10" i="29"/>
  <c r="D59" i="29"/>
  <c r="C57" i="29"/>
  <c r="AV57" i="29"/>
  <c r="AZ57" i="29"/>
  <c r="AW57" i="29"/>
  <c r="BA57" i="29"/>
  <c r="D56" i="29"/>
  <c r="AW56" i="29"/>
  <c r="BA56" i="29"/>
  <c r="AX56" i="29"/>
  <c r="D51" i="29"/>
  <c r="C49" i="29"/>
  <c r="AW49" i="29"/>
  <c r="BA49" i="29"/>
  <c r="AX49" i="29"/>
  <c r="D48" i="29"/>
  <c r="AV48" i="29"/>
  <c r="AZ48" i="29"/>
  <c r="AW48" i="29"/>
  <c r="BA48" i="29"/>
  <c r="B38" i="29"/>
  <c r="AX38" i="29"/>
  <c r="AY38" i="29"/>
  <c r="C19" i="29"/>
  <c r="D19" i="29"/>
  <c r="C13" i="29"/>
  <c r="B13" i="29"/>
  <c r="F13" i="29"/>
  <c r="AZ49" i="29"/>
  <c r="AY48" i="29"/>
  <c r="AW46" i="29"/>
  <c r="AW38" i="29"/>
  <c r="BA59" i="29"/>
  <c r="AX57" i="29"/>
  <c r="AZ56" i="29"/>
  <c r="BA54" i="29"/>
  <c r="BA51" i="29"/>
  <c r="C10" i="29"/>
  <c r="C59" i="29"/>
  <c r="B58" i="29"/>
  <c r="AY58" i="29"/>
  <c r="AV58" i="29"/>
  <c r="AZ58" i="29"/>
  <c r="F56" i="29"/>
  <c r="AX55" i="29"/>
  <c r="AY55" i="29"/>
  <c r="C51" i="29"/>
  <c r="B50" i="29"/>
  <c r="AY50" i="29"/>
  <c r="AV50" i="29"/>
  <c r="AZ50" i="29"/>
  <c r="F48" i="29"/>
  <c r="AY47" i="29"/>
  <c r="AV47" i="29"/>
  <c r="AZ47" i="29"/>
  <c r="D44" i="29"/>
  <c r="AV44" i="29"/>
  <c r="AZ44" i="29"/>
  <c r="B44" i="29"/>
  <c r="AW44" i="29"/>
  <c r="BA44" i="29"/>
  <c r="AY43" i="29"/>
  <c r="C43" i="29"/>
  <c r="AV43" i="29"/>
  <c r="AZ43" i="29"/>
  <c r="C37" i="29"/>
  <c r="AW37" i="29"/>
  <c r="BA37" i="29"/>
  <c r="B37" i="29"/>
  <c r="AX37" i="29"/>
  <c r="F37" i="29"/>
  <c r="D20" i="29"/>
  <c r="B20" i="29"/>
  <c r="C20" i="29"/>
  <c r="C11" i="29"/>
  <c r="D11" i="29"/>
  <c r="AY49" i="29"/>
  <c r="AX48" i="29"/>
  <c r="AW47" i="29"/>
  <c r="AV46" i="29"/>
  <c r="BA43" i="29"/>
  <c r="AV38" i="29"/>
  <c r="AZ59" i="29"/>
  <c r="AY56" i="29"/>
  <c r="AV55" i="29"/>
  <c r="AX54" i="29"/>
  <c r="AZ51" i="29"/>
  <c r="D10" i="29"/>
  <c r="B59" i="29"/>
  <c r="F57" i="29"/>
  <c r="C56" i="29"/>
  <c r="D55" i="29"/>
  <c r="F54" i="29"/>
  <c r="C53" i="29"/>
  <c r="AV53" i="29"/>
  <c r="AZ53" i="29"/>
  <c r="AW53" i="29"/>
  <c r="BA53" i="29"/>
  <c r="D52" i="29"/>
  <c r="AW52" i="29"/>
  <c r="BA52" i="29"/>
  <c r="AX52" i="29"/>
  <c r="B51" i="29"/>
  <c r="F49" i="29"/>
  <c r="C48" i="29"/>
  <c r="D47" i="29"/>
  <c r="F46" i="29"/>
  <c r="C45" i="29"/>
  <c r="AW45" i="29"/>
  <c r="BA45" i="29"/>
  <c r="AX45" i="29"/>
  <c r="F43" i="29"/>
  <c r="F36" i="29"/>
  <c r="AY35" i="29"/>
  <c r="C35" i="29"/>
  <c r="AV35" i="29"/>
  <c r="AZ35" i="29"/>
  <c r="D35" i="29"/>
  <c r="B22" i="29"/>
  <c r="F19" i="29"/>
  <c r="F14" i="29"/>
  <c r="D12" i="29"/>
  <c r="B12" i="29"/>
  <c r="C12" i="29"/>
  <c r="AV49" i="29"/>
  <c r="BA46" i="29"/>
  <c r="AZ45" i="29"/>
  <c r="AY44" i="29"/>
  <c r="AX43" i="29"/>
  <c r="BA38" i="29"/>
  <c r="AZ37" i="29"/>
  <c r="AY36" i="29"/>
  <c r="AX35" i="29"/>
  <c r="AW59" i="29"/>
  <c r="BA58" i="29"/>
  <c r="AV56" i="29"/>
  <c r="BA55" i="29"/>
  <c r="AW54" i="29"/>
  <c r="AX53" i="29"/>
  <c r="AZ52" i="29"/>
  <c r="AW51" i="29"/>
  <c r="BA50" i="29"/>
  <c r="B15" i="29"/>
  <c r="AY42" i="29"/>
  <c r="AX41" i="29"/>
  <c r="BA40" i="29"/>
  <c r="AW40" i="29"/>
  <c r="AZ39" i="29"/>
  <c r="AV39" i="29"/>
  <c r="F40" i="29"/>
  <c r="F24" i="29"/>
  <c r="AX42" i="29"/>
  <c r="BA41" i="29"/>
  <c r="AW41" i="29"/>
  <c r="AZ40" i="29"/>
  <c r="AV40" i="29"/>
  <c r="AY39" i="29"/>
  <c r="D58" i="29"/>
  <c r="D54" i="29"/>
  <c r="D50" i="29"/>
  <c r="D46" i="29"/>
  <c r="D42" i="29"/>
  <c r="D38" i="29"/>
  <c r="D22" i="29"/>
  <c r="D18" i="29"/>
  <c r="D14" i="29"/>
  <c r="C58" i="29"/>
  <c r="D57" i="29"/>
  <c r="C54" i="29"/>
  <c r="D53" i="29"/>
  <c r="C50" i="29"/>
  <c r="D49" i="29"/>
  <c r="C46" i="29"/>
  <c r="D45" i="29"/>
  <c r="C42" i="29"/>
  <c r="D41" i="29"/>
  <c r="C38" i="29"/>
  <c r="D37" i="29"/>
  <c r="C22" i="29"/>
  <c r="D21" i="29"/>
  <c r="C18" i="29"/>
  <c r="D17" i="29"/>
  <c r="C14" i="29"/>
  <c r="D13" i="29"/>
  <c r="AB49" i="29"/>
  <c r="E50" i="28"/>
  <c r="AC50" i="28" s="1"/>
  <c r="AB48" i="29"/>
  <c r="AB47" i="29"/>
  <c r="AB46" i="29"/>
  <c r="AB45" i="29"/>
  <c r="AB44" i="29"/>
  <c r="AB43" i="29"/>
  <c r="AB42" i="29"/>
  <c r="AB41" i="29"/>
  <c r="AB40" i="29"/>
  <c r="AB39" i="29"/>
  <c r="AB38" i="29"/>
  <c r="AB37" i="29"/>
  <c r="AB36" i="29"/>
  <c r="AB35" i="29"/>
  <c r="AB34" i="29"/>
  <c r="AB33" i="29"/>
  <c r="AB32" i="29"/>
  <c r="AB31" i="29"/>
  <c r="AB30" i="29"/>
  <c r="AB29" i="29"/>
  <c r="AB28" i="29"/>
  <c r="AB27" i="29"/>
  <c r="AB26" i="29"/>
  <c r="AB25" i="29"/>
  <c r="AB24" i="29"/>
  <c r="AB23" i="29"/>
  <c r="AB22" i="29"/>
  <c r="AB21" i="29"/>
  <c r="AB20" i="29"/>
  <c r="AB19" i="29"/>
  <c r="AB18" i="29"/>
  <c r="AB17" i="29"/>
  <c r="AB16" i="29"/>
  <c r="AB15" i="29"/>
  <c r="AB14" i="29"/>
  <c r="AB13" i="29"/>
  <c r="AB12" i="29"/>
  <c r="AB11" i="29"/>
  <c r="AB10" i="29"/>
  <c r="AG1" i="29"/>
  <c r="E24" i="29" l="1"/>
  <c r="AU24" i="29"/>
  <c r="D24" i="29"/>
  <c r="C24" i="29"/>
  <c r="E24" i="25"/>
  <c r="AU24" i="25"/>
  <c r="C24" i="25"/>
  <c r="A25" i="29"/>
  <c r="A25" i="25"/>
  <c r="A32" i="27"/>
  <c r="AD10" i="29"/>
  <c r="K11" i="28" s="1"/>
  <c r="E14" i="28"/>
  <c r="AC14" i="28" s="1"/>
  <c r="E15" i="28"/>
  <c r="AC15" i="28" s="1"/>
  <c r="E16" i="28"/>
  <c r="AC16" i="28" s="1"/>
  <c r="E17" i="28"/>
  <c r="AC17" i="28" s="1"/>
  <c r="E18" i="28"/>
  <c r="AC18" i="28" s="1"/>
  <c r="E19" i="28"/>
  <c r="AC19" i="28" s="1"/>
  <c r="E21" i="28"/>
  <c r="AC21" i="28" s="1"/>
  <c r="E23" i="28"/>
  <c r="AC23" i="28" s="1"/>
  <c r="E24" i="28"/>
  <c r="AC24" i="28" s="1"/>
  <c r="E25" i="28"/>
  <c r="AC25" i="28" s="1"/>
  <c r="E27" i="28"/>
  <c r="AC27" i="28" s="1"/>
  <c r="E28" i="28"/>
  <c r="AC28" i="28" s="1"/>
  <c r="E29" i="28"/>
  <c r="AC29" i="28" s="1"/>
  <c r="E31" i="28"/>
  <c r="AC31" i="28" s="1"/>
  <c r="E32" i="28"/>
  <c r="AC32" i="28" s="1"/>
  <c r="E33" i="28"/>
  <c r="AC33" i="28" s="1"/>
  <c r="E35" i="28"/>
  <c r="AC35" i="28" s="1"/>
  <c r="E36" i="28"/>
  <c r="AC36" i="28" s="1"/>
  <c r="E37" i="28"/>
  <c r="AC37" i="28" s="1"/>
  <c r="E38" i="28"/>
  <c r="AC38" i="28" s="1"/>
  <c r="E39" i="28"/>
  <c r="E40" i="28"/>
  <c r="AC40" i="28" s="1"/>
  <c r="E41" i="28"/>
  <c r="AC41" i="28" s="1"/>
  <c r="E42" i="28"/>
  <c r="AC42" i="28" s="1"/>
  <c r="E43" i="28"/>
  <c r="AC43" i="28" s="1"/>
  <c r="E44" i="28"/>
  <c r="AC44" i="28" s="1"/>
  <c r="E45" i="28"/>
  <c r="AC45" i="28" s="1"/>
  <c r="E46" i="28"/>
  <c r="AC46" i="28" s="1"/>
  <c r="E47" i="28"/>
  <c r="AC47" i="28" s="1"/>
  <c r="E48" i="28"/>
  <c r="AC48" i="28" s="1"/>
  <c r="E49" i="28"/>
  <c r="AC49" i="28" s="1"/>
  <c r="E12" i="28"/>
  <c r="AC12" i="28" s="1"/>
  <c r="E13" i="28"/>
  <c r="AC13" i="28" s="1"/>
  <c r="AA6" i="28"/>
  <c r="AA2" i="28"/>
  <c r="AA3" i="28"/>
  <c r="AA4" i="28"/>
  <c r="AA5" i="28"/>
  <c r="AA1" i="28"/>
  <c r="A26" i="29" l="1"/>
  <c r="A26" i="25"/>
  <c r="A33" i="27"/>
  <c r="E25" i="25"/>
  <c r="AU25" i="25"/>
  <c r="D25" i="25"/>
  <c r="F25" i="25"/>
  <c r="B25" i="25"/>
  <c r="C25" i="25"/>
  <c r="E25" i="29"/>
  <c r="AU25" i="29"/>
  <c r="B25" i="29"/>
  <c r="F25" i="29"/>
  <c r="C25" i="29"/>
  <c r="D25" i="29"/>
  <c r="AC39" i="28"/>
  <c r="E34" i="28"/>
  <c r="AC34" i="28" s="1"/>
  <c r="E30" i="28"/>
  <c r="AC30" i="28" s="1"/>
  <c r="AV25" i="29"/>
  <c r="E26" i="28"/>
  <c r="AC26" i="28" s="1"/>
  <c r="AV21" i="29"/>
  <c r="AW21" i="29" s="1"/>
  <c r="AY21" i="29" s="1"/>
  <c r="E22" i="28"/>
  <c r="AC22" i="28" s="1"/>
  <c r="AV19" i="29"/>
  <c r="AW19" i="29" s="1"/>
  <c r="AY19" i="29" s="1"/>
  <c r="E20" i="28"/>
  <c r="AC20" i="28" s="1"/>
  <c r="AV10" i="29"/>
  <c r="E11" i="28"/>
  <c r="AC11" i="28" s="1"/>
  <c r="AV11" i="29"/>
  <c r="AW11" i="29" s="1"/>
  <c r="AY11" i="29" s="1"/>
  <c r="AV26" i="29"/>
  <c r="AV22" i="29"/>
  <c r="AW22" i="29" s="1"/>
  <c r="AY22" i="29" s="1"/>
  <c r="AV16" i="29"/>
  <c r="AW16" i="29" s="1"/>
  <c r="AY16" i="29" s="1"/>
  <c r="AV24" i="29"/>
  <c r="AW24" i="29" s="1"/>
  <c r="AY24" i="29" s="1"/>
  <c r="AV15" i="29"/>
  <c r="AW15" i="29" s="1"/>
  <c r="AY15" i="29" s="1"/>
  <c r="AV20" i="29"/>
  <c r="AW20" i="29" s="1"/>
  <c r="AY20" i="29" s="1"/>
  <c r="AV13" i="29"/>
  <c r="AW13" i="29" s="1"/>
  <c r="AV12" i="29"/>
  <c r="AW12" i="29" s="1"/>
  <c r="AV23" i="29"/>
  <c r="AW23" i="29" s="1"/>
  <c r="AV18" i="29"/>
  <c r="AW18" i="29" s="1"/>
  <c r="AV14" i="29"/>
  <c r="AW14" i="29" s="1"/>
  <c r="AV17" i="29"/>
  <c r="AW17" i="29" s="1"/>
  <c r="AG1" i="25"/>
  <c r="O11" i="27"/>
  <c r="O10" i="27"/>
  <c r="N12" i="27"/>
  <c r="M12" i="27"/>
  <c r="A27" i="29" l="1"/>
  <c r="A27" i="25"/>
  <c r="E26" i="25"/>
  <c r="AU26" i="25"/>
  <c r="D26" i="25"/>
  <c r="B26" i="25"/>
  <c r="F26" i="25"/>
  <c r="C26" i="25"/>
  <c r="AW25" i="29"/>
  <c r="AY25" i="29" s="1"/>
  <c r="A34" i="27"/>
  <c r="E26" i="29"/>
  <c r="AU26" i="29"/>
  <c r="AW26" i="29" s="1"/>
  <c r="F26" i="29"/>
  <c r="D26" i="29"/>
  <c r="C26" i="29"/>
  <c r="B26" i="29"/>
  <c r="AW10" i="29"/>
  <c r="AY14" i="29"/>
  <c r="AY17" i="29"/>
  <c r="AY18" i="29"/>
  <c r="AY12" i="29"/>
  <c r="AY23" i="29"/>
  <c r="AY13" i="29"/>
  <c r="O12" i="27"/>
  <c r="AY26" i="29" l="1"/>
  <c r="A28" i="29"/>
  <c r="A28" i="25"/>
  <c r="A35" i="27"/>
  <c r="E27" i="25"/>
  <c r="AU27" i="25"/>
  <c r="F27" i="25"/>
  <c r="D27" i="25"/>
  <c r="C27" i="25"/>
  <c r="B27" i="25"/>
  <c r="E27" i="29"/>
  <c r="AU27" i="29"/>
  <c r="C27" i="29"/>
  <c r="D27" i="29"/>
  <c r="B27" i="29"/>
  <c r="F27" i="29"/>
  <c r="AV27" i="29"/>
  <c r="AW27" i="29" s="1"/>
  <c r="AY27" i="29" s="1"/>
  <c r="AY10" i="29"/>
  <c r="M6" i="27"/>
  <c r="I29" i="26"/>
  <c r="I28" i="26"/>
  <c r="G11" i="28"/>
  <c r="I11" i="28" s="1"/>
  <c r="AB49" i="25"/>
  <c r="D50" i="28"/>
  <c r="Y11" i="28"/>
  <c r="AA11" i="28" s="1"/>
  <c r="S11" i="28"/>
  <c r="U11" i="28" s="1"/>
  <c r="P11" i="28"/>
  <c r="R11" i="28" s="1"/>
  <c r="M11" i="28"/>
  <c r="O11" i="28" s="1"/>
  <c r="AB48" i="25"/>
  <c r="AB47" i="25"/>
  <c r="AB46" i="25"/>
  <c r="AB45" i="25"/>
  <c r="AB44" i="25"/>
  <c r="AB43" i="25"/>
  <c r="AB42" i="25"/>
  <c r="AB41" i="25"/>
  <c r="AB40" i="25"/>
  <c r="AB39" i="25"/>
  <c r="AB38" i="25"/>
  <c r="AB37" i="25"/>
  <c r="AB36" i="25"/>
  <c r="AB35" i="25"/>
  <c r="AB34" i="25"/>
  <c r="AB33" i="25"/>
  <c r="AB32" i="25"/>
  <c r="AB31" i="25"/>
  <c r="AB30" i="25"/>
  <c r="AB29" i="25"/>
  <c r="AB28" i="25"/>
  <c r="AB27" i="25"/>
  <c r="AB26" i="25"/>
  <c r="AB25" i="25"/>
  <c r="AB24" i="25"/>
  <c r="AB23" i="25"/>
  <c r="AB22" i="25"/>
  <c r="AB20" i="25"/>
  <c r="AB19" i="25"/>
  <c r="AB18" i="25"/>
  <c r="AB17" i="25"/>
  <c r="AB16" i="25"/>
  <c r="AB15" i="25"/>
  <c r="AB14" i="25"/>
  <c r="AB13" i="25"/>
  <c r="AB12" i="25"/>
  <c r="AB11" i="25"/>
  <c r="AB10" i="25"/>
  <c r="D49" i="28"/>
  <c r="D48" i="28"/>
  <c r="D47" i="28"/>
  <c r="D46" i="28"/>
  <c r="D45" i="28"/>
  <c r="D44" i="28"/>
  <c r="D43" i="28"/>
  <c r="D42" i="28"/>
  <c r="D41" i="28"/>
  <c r="D40" i="28"/>
  <c r="D39" i="28"/>
  <c r="D38" i="28"/>
  <c r="D37" i="28"/>
  <c r="D36" i="28"/>
  <c r="G29" i="26" l="1"/>
  <c r="L29" i="26" s="1"/>
  <c r="L31" i="26" s="1"/>
  <c r="M27" i="26" s="1"/>
  <c r="AD21" i="25"/>
  <c r="J22" i="28" s="1"/>
  <c r="L22" i="28" s="1"/>
  <c r="E28" i="25"/>
  <c r="AU28" i="25"/>
  <c r="C28" i="25"/>
  <c r="B28" i="25"/>
  <c r="D28" i="25"/>
  <c r="F28" i="25"/>
  <c r="E28" i="29"/>
  <c r="AU28" i="29"/>
  <c r="C28" i="29"/>
  <c r="F28" i="29"/>
  <c r="D28" i="29"/>
  <c r="B28" i="29"/>
  <c r="AV28" i="29"/>
  <c r="A29" i="29"/>
  <c r="A29" i="25"/>
  <c r="A36" i="27"/>
  <c r="F38" i="28"/>
  <c r="AB38" i="28"/>
  <c r="AD38" i="28" s="1"/>
  <c r="AB42" i="28"/>
  <c r="AD42" i="28" s="1"/>
  <c r="F42" i="28"/>
  <c r="F46" i="28"/>
  <c r="AB46" i="28"/>
  <c r="AD46" i="28" s="1"/>
  <c r="AB39" i="28"/>
  <c r="AD39" i="28" s="1"/>
  <c r="F39" i="28"/>
  <c r="F43" i="28"/>
  <c r="AB43" i="28"/>
  <c r="AD43" i="28" s="1"/>
  <c r="F47" i="28"/>
  <c r="AB47" i="28"/>
  <c r="AD47" i="28" s="1"/>
  <c r="F36" i="28"/>
  <c r="AB36" i="28"/>
  <c r="AD36" i="28" s="1"/>
  <c r="F40" i="28"/>
  <c r="AB40" i="28"/>
  <c r="AD40" i="28" s="1"/>
  <c r="F44" i="28"/>
  <c r="AB44" i="28"/>
  <c r="AD44" i="28" s="1"/>
  <c r="AB48" i="28"/>
  <c r="AD48" i="28" s="1"/>
  <c r="F48" i="28"/>
  <c r="F50" i="28"/>
  <c r="AB50" i="28"/>
  <c r="AD50" i="28" s="1"/>
  <c r="AB37" i="28"/>
  <c r="AD37" i="28" s="1"/>
  <c r="F37" i="28"/>
  <c r="F41" i="28"/>
  <c r="AB41" i="28"/>
  <c r="AD41" i="28" s="1"/>
  <c r="AB45" i="28"/>
  <c r="AD45" i="28" s="1"/>
  <c r="F45" i="28"/>
  <c r="AB49" i="28"/>
  <c r="AD49" i="28" s="1"/>
  <c r="F49" i="28"/>
  <c r="AD10" i="25"/>
  <c r="J11" i="28" s="1"/>
  <c r="L11" i="28" s="1"/>
  <c r="D16" i="28"/>
  <c r="D24" i="28"/>
  <c r="D28" i="28"/>
  <c r="D32" i="28"/>
  <c r="D14" i="28"/>
  <c r="D18" i="28"/>
  <c r="D22" i="28"/>
  <c r="D26" i="28"/>
  <c r="D30" i="28"/>
  <c r="D34" i="28"/>
  <c r="D15" i="28"/>
  <c r="D19" i="28"/>
  <c r="D23" i="28"/>
  <c r="D27" i="28"/>
  <c r="D31" i="28"/>
  <c r="D35" i="28"/>
  <c r="D25" i="28"/>
  <c r="D29" i="28"/>
  <c r="D20" i="28"/>
  <c r="E29" i="29" l="1"/>
  <c r="AU29" i="29"/>
  <c r="F29" i="29"/>
  <c r="D29" i="29"/>
  <c r="C29" i="29"/>
  <c r="B29" i="29"/>
  <c r="AV29" i="29"/>
  <c r="A30" i="29"/>
  <c r="A30" i="25"/>
  <c r="A37" i="27"/>
  <c r="E29" i="25"/>
  <c r="AU29" i="25"/>
  <c r="B29" i="25"/>
  <c r="F29" i="25"/>
  <c r="C29" i="25"/>
  <c r="D29" i="25"/>
  <c r="AW28" i="29"/>
  <c r="F25" i="28"/>
  <c r="AB25" i="28"/>
  <c r="AD25" i="28" s="1"/>
  <c r="F31" i="28"/>
  <c r="AB31" i="28"/>
  <c r="AD31" i="28" s="1"/>
  <c r="F15" i="28"/>
  <c r="AB15" i="28"/>
  <c r="AD15" i="28" s="1"/>
  <c r="AB22" i="28"/>
  <c r="AD22" i="28" s="1"/>
  <c r="F22" i="28"/>
  <c r="F32" i="28"/>
  <c r="AB32" i="28"/>
  <c r="AD32" i="28" s="1"/>
  <c r="AV12" i="25"/>
  <c r="AW12" i="25" s="1"/>
  <c r="AZ12" i="29" s="1"/>
  <c r="BA12" i="29" s="1"/>
  <c r="D13" i="28"/>
  <c r="F20" i="28"/>
  <c r="AB20" i="28"/>
  <c r="AD20" i="28" s="1"/>
  <c r="AV20" i="25"/>
  <c r="AW20" i="25" s="1"/>
  <c r="AY20" i="25" s="1"/>
  <c r="D21" i="28"/>
  <c r="F27" i="28"/>
  <c r="AB27" i="28"/>
  <c r="AD27" i="28" s="1"/>
  <c r="F34" i="28"/>
  <c r="AB34" i="28"/>
  <c r="AD34" i="28" s="1"/>
  <c r="AB18" i="28"/>
  <c r="AD18" i="28" s="1"/>
  <c r="F18" i="28"/>
  <c r="F28" i="28"/>
  <c r="AB28" i="28"/>
  <c r="AD28" i="28" s="1"/>
  <c r="D12" i="28"/>
  <c r="D33" i="28"/>
  <c r="AV16" i="25"/>
  <c r="AW16" i="25" s="1"/>
  <c r="AZ16" i="29" s="1"/>
  <c r="BA16" i="29" s="1"/>
  <c r="D17" i="28"/>
  <c r="F23" i="28"/>
  <c r="AB23" i="28"/>
  <c r="AD23" i="28" s="1"/>
  <c r="F30" i="28"/>
  <c r="AB30" i="28"/>
  <c r="AD30" i="28" s="1"/>
  <c r="AB14" i="28"/>
  <c r="AD14" i="28" s="1"/>
  <c r="F14" i="28"/>
  <c r="F24" i="28"/>
  <c r="AB24" i="28"/>
  <c r="AD24" i="28" s="1"/>
  <c r="F29" i="28"/>
  <c r="AB29" i="28"/>
  <c r="AD29" i="28" s="1"/>
  <c r="F35" i="28"/>
  <c r="AB35" i="28"/>
  <c r="AD35" i="28" s="1"/>
  <c r="AB19" i="28"/>
  <c r="AD19" i="28" s="1"/>
  <c r="F19" i="28"/>
  <c r="AB26" i="28"/>
  <c r="AD26" i="28" s="1"/>
  <c r="F26" i="28"/>
  <c r="F16" i="28"/>
  <c r="AB16" i="28"/>
  <c r="AD16" i="28" s="1"/>
  <c r="AV10" i="25"/>
  <c r="D11" i="28"/>
  <c r="AV19" i="25"/>
  <c r="AW19" i="25" s="1"/>
  <c r="AY19" i="25" s="1"/>
  <c r="AV28" i="25"/>
  <c r="AW28" i="25" s="1"/>
  <c r="AZ28" i="29" s="1"/>
  <c r="BA28" i="29" s="1"/>
  <c r="AV24" i="25"/>
  <c r="AW24" i="25" s="1"/>
  <c r="AZ24" i="29" s="1"/>
  <c r="BA24" i="29" s="1"/>
  <c r="AV29" i="25"/>
  <c r="AV21" i="25"/>
  <c r="AV11" i="25"/>
  <c r="AV18" i="25"/>
  <c r="AW18" i="25" s="1"/>
  <c r="AV27" i="25"/>
  <c r="AW27" i="25" s="1"/>
  <c r="AV17" i="25"/>
  <c r="AW17" i="25" s="1"/>
  <c r="AV14" i="25"/>
  <c r="AW14" i="25" s="1"/>
  <c r="AV25" i="25"/>
  <c r="AW25" i="25" s="1"/>
  <c r="AV15" i="25"/>
  <c r="AW15" i="25" s="1"/>
  <c r="AV26" i="25"/>
  <c r="AW26" i="25" s="1"/>
  <c r="AV23" i="25"/>
  <c r="AW23" i="25" s="1"/>
  <c r="AV13" i="25"/>
  <c r="AW13" i="25" s="1"/>
  <c r="AV22" i="25"/>
  <c r="AW22" i="25" s="1"/>
  <c r="AG60" i="28"/>
  <c r="AE60" i="28"/>
  <c r="AF60" i="28"/>
  <c r="AG59" i="28"/>
  <c r="AE59" i="28"/>
  <c r="AF59" i="28"/>
  <c r="AG58" i="28"/>
  <c r="AE58" i="28"/>
  <c r="AF58" i="28"/>
  <c r="AG57" i="28"/>
  <c r="AE57" i="28"/>
  <c r="AF57" i="28"/>
  <c r="AG56" i="28"/>
  <c r="AE56" i="28"/>
  <c r="AF56" i="28"/>
  <c r="AG55" i="28"/>
  <c r="AE55" i="28"/>
  <c r="AF55" i="28"/>
  <c r="AG54" i="28"/>
  <c r="AE54" i="28"/>
  <c r="AF54" i="28"/>
  <c r="AG53" i="28"/>
  <c r="AE53" i="28"/>
  <c r="AF53" i="28"/>
  <c r="AG52" i="28"/>
  <c r="AE52" i="28"/>
  <c r="AF52" i="28"/>
  <c r="AG51" i="28"/>
  <c r="AE51" i="28"/>
  <c r="AF51" i="28"/>
  <c r="AG50" i="28"/>
  <c r="AE50" i="28"/>
  <c r="AF50" i="28"/>
  <c r="AW21" i="25" l="1"/>
  <c r="E44" i="26" s="1"/>
  <c r="E43" i="26"/>
  <c r="A31" i="29"/>
  <c r="A31" i="25"/>
  <c r="A38" i="27"/>
  <c r="AY28" i="29"/>
  <c r="AW29" i="29"/>
  <c r="E30" i="25"/>
  <c r="AU30" i="25"/>
  <c r="D30" i="25"/>
  <c r="B30" i="25"/>
  <c r="C30" i="25"/>
  <c r="F30" i="25"/>
  <c r="AV30" i="25"/>
  <c r="AW30" i="25" s="1"/>
  <c r="AY30" i="25" s="1"/>
  <c r="AW29" i="25"/>
  <c r="E30" i="29"/>
  <c r="AU30" i="29"/>
  <c r="C30" i="29"/>
  <c r="B30" i="29"/>
  <c r="D30" i="29"/>
  <c r="F30" i="29"/>
  <c r="AV30" i="29"/>
  <c r="AW30" i="29" s="1"/>
  <c r="AY30" i="29" s="1"/>
  <c r="AY16" i="25"/>
  <c r="AY12" i="25"/>
  <c r="AZ20" i="29"/>
  <c r="BA20" i="29" s="1"/>
  <c r="F17" i="28"/>
  <c r="AB17" i="28"/>
  <c r="AD17" i="28" s="1"/>
  <c r="AF17" i="28" s="1"/>
  <c r="F12" i="28"/>
  <c r="AB12" i="28"/>
  <c r="AD12" i="28" s="1"/>
  <c r="F33" i="28"/>
  <c r="AB33" i="28"/>
  <c r="AD33" i="28" s="1"/>
  <c r="AF33" i="28" s="1"/>
  <c r="F21" i="28"/>
  <c r="AB21" i="28"/>
  <c r="AD21" i="28" s="1"/>
  <c r="AF21" i="28" s="1"/>
  <c r="AB13" i="28"/>
  <c r="AD13" i="28" s="1"/>
  <c r="F13" i="28"/>
  <c r="F11" i="28"/>
  <c r="AB11" i="28"/>
  <c r="AD11" i="28" s="1"/>
  <c r="AG11" i="28" s="1"/>
  <c r="AW10" i="25"/>
  <c r="AZ19" i="29"/>
  <c r="BA19" i="29" s="1"/>
  <c r="AY28" i="25"/>
  <c r="AF31" i="28"/>
  <c r="AG23" i="28"/>
  <c r="AG27" i="28"/>
  <c r="AF30" i="28"/>
  <c r="AY24" i="25"/>
  <c r="AW11" i="25"/>
  <c r="AY11" i="25" s="1"/>
  <c r="AG22" i="28"/>
  <c r="AG34" i="28"/>
  <c r="AF15" i="28"/>
  <c r="AG26" i="28"/>
  <c r="AF14" i="28"/>
  <c r="AF18" i="28"/>
  <c r="AG24" i="28"/>
  <c r="AG28" i="28"/>
  <c r="AG32" i="28"/>
  <c r="AY22" i="25"/>
  <c r="AZ22" i="29"/>
  <c r="BA22" i="29" s="1"/>
  <c r="AY23" i="25"/>
  <c r="AZ23" i="29"/>
  <c r="BA23" i="29" s="1"/>
  <c r="AZ26" i="29"/>
  <c r="BA26" i="29" s="1"/>
  <c r="AY26" i="25"/>
  <c r="AZ25" i="29"/>
  <c r="BA25" i="29" s="1"/>
  <c r="AY25" i="25"/>
  <c r="AY14" i="25"/>
  <c r="AZ14" i="29"/>
  <c r="BA14" i="29" s="1"/>
  <c r="AY17" i="25"/>
  <c r="AZ17" i="29"/>
  <c r="BA17" i="29" s="1"/>
  <c r="AY21" i="25"/>
  <c r="H44" i="26" s="1"/>
  <c r="AZ21" i="29"/>
  <c r="BA21" i="29" s="1"/>
  <c r="AY18" i="25"/>
  <c r="AZ18" i="29"/>
  <c r="BA18" i="29" s="1"/>
  <c r="AZ13" i="29"/>
  <c r="BA13" i="29" s="1"/>
  <c r="AY13" i="25"/>
  <c r="AY15" i="25"/>
  <c r="AZ15" i="29"/>
  <c r="BA15" i="29" s="1"/>
  <c r="AZ30" i="29"/>
  <c r="BA30" i="29" s="1"/>
  <c r="AY27" i="25"/>
  <c r="AZ27" i="29"/>
  <c r="BA27" i="29" s="1"/>
  <c r="AZ29" i="29"/>
  <c r="BA29" i="29" s="1"/>
  <c r="AY29" i="25"/>
  <c r="AF19" i="28"/>
  <c r="AF35" i="28"/>
  <c r="AF20" i="28"/>
  <c r="AF23" i="28"/>
  <c r="AG25" i="28"/>
  <c r="AF25" i="28"/>
  <c r="AG29" i="28"/>
  <c r="AF29" i="28"/>
  <c r="AG37" i="28"/>
  <c r="AE37" i="28"/>
  <c r="AF37" i="28"/>
  <c r="AG39" i="28"/>
  <c r="AE39" i="28"/>
  <c r="AF39" i="28"/>
  <c r="AG41" i="28"/>
  <c r="AE41" i="28"/>
  <c r="AF41" i="28"/>
  <c r="AG43" i="28"/>
  <c r="AE43" i="28"/>
  <c r="AF43" i="28"/>
  <c r="AG45" i="28"/>
  <c r="AE45" i="28"/>
  <c r="AF45" i="28"/>
  <c r="AG47" i="28"/>
  <c r="AE47" i="28"/>
  <c r="AF47" i="28"/>
  <c r="AG49" i="28"/>
  <c r="AE49" i="28"/>
  <c r="AF49" i="28"/>
  <c r="AG16" i="28"/>
  <c r="AF16" i="28"/>
  <c r="AF34" i="28"/>
  <c r="AG36" i="28"/>
  <c r="AE36" i="28"/>
  <c r="AF36" i="28"/>
  <c r="AG38" i="28"/>
  <c r="AE38" i="28"/>
  <c r="AF38" i="28"/>
  <c r="AG40" i="28"/>
  <c r="AE40" i="28"/>
  <c r="AF40" i="28"/>
  <c r="AG42" i="28"/>
  <c r="AE42" i="28"/>
  <c r="AF42" i="28"/>
  <c r="AG44" i="28"/>
  <c r="AE44" i="28"/>
  <c r="AF44" i="28"/>
  <c r="AG46" i="28"/>
  <c r="AE46" i="28"/>
  <c r="AF46" i="28"/>
  <c r="AG48" i="28"/>
  <c r="AE48" i="28"/>
  <c r="AF48" i="28"/>
  <c r="A32" i="29" l="1"/>
  <c r="A32" i="25"/>
  <c r="A39" i="27"/>
  <c r="E31" i="25"/>
  <c r="AU31" i="25"/>
  <c r="F31" i="25"/>
  <c r="C31" i="25"/>
  <c r="D31" i="25"/>
  <c r="B31" i="25"/>
  <c r="AV31" i="25"/>
  <c r="AW31" i="25" s="1"/>
  <c r="AY29" i="29"/>
  <c r="E31" i="29"/>
  <c r="AU31" i="29"/>
  <c r="D31" i="29"/>
  <c r="B31" i="29"/>
  <c r="F31" i="29"/>
  <c r="C31" i="29"/>
  <c r="AV31" i="29"/>
  <c r="AW31" i="29" s="1"/>
  <c r="AG33" i="28"/>
  <c r="AG17" i="28"/>
  <c r="AG21" i="28"/>
  <c r="AY10" i="25"/>
  <c r="AZ10" i="29"/>
  <c r="AG30" i="28"/>
  <c r="AG31" i="28"/>
  <c r="AG20" i="28"/>
  <c r="AF28" i="28"/>
  <c r="AG19" i="28"/>
  <c r="AF22" i="28"/>
  <c r="AF27" i="28"/>
  <c r="AG18" i="28"/>
  <c r="AG15" i="28"/>
  <c r="AG14" i="28"/>
  <c r="AF32" i="28"/>
  <c r="AF24" i="28"/>
  <c r="AG35" i="28"/>
  <c r="AZ11" i="29"/>
  <c r="BA11" i="29" s="1"/>
  <c r="AF26" i="28"/>
  <c r="AE14" i="28"/>
  <c r="AE16" i="28"/>
  <c r="AE24" i="28"/>
  <c r="AE35" i="28"/>
  <c r="AE27" i="28"/>
  <c r="AE19" i="28"/>
  <c r="AE28" i="28"/>
  <c r="AE18" i="28"/>
  <c r="AE31" i="28"/>
  <c r="AE23" i="28"/>
  <c r="AE15" i="28"/>
  <c r="AE30" i="28"/>
  <c r="AE22" i="28"/>
  <c r="AE33" i="28"/>
  <c r="AE25" i="28"/>
  <c r="AE17" i="28"/>
  <c r="AE32" i="28"/>
  <c r="AE34" i="28"/>
  <c r="AE26" i="28"/>
  <c r="AE29" i="28"/>
  <c r="AE21" i="28"/>
  <c r="AE20" i="28"/>
  <c r="AG13" i="28"/>
  <c r="AE13" i="28"/>
  <c r="AF13" i="28"/>
  <c r="AG12" i="28"/>
  <c r="AE12" i="28"/>
  <c r="AF12" i="28"/>
  <c r="AF11" i="28"/>
  <c r="AE11" i="28"/>
  <c r="E32" i="25" l="1"/>
  <c r="AU32" i="25"/>
  <c r="B32" i="25"/>
  <c r="C32" i="25"/>
  <c r="D32" i="25"/>
  <c r="F32" i="25"/>
  <c r="AV32" i="25"/>
  <c r="E32" i="29"/>
  <c r="AU32" i="29"/>
  <c r="D32" i="29"/>
  <c r="B32" i="29"/>
  <c r="C32" i="29"/>
  <c r="F32" i="29"/>
  <c r="AV32" i="29"/>
  <c r="AW32" i="29" s="1"/>
  <c r="AY32" i="29" s="1"/>
  <c r="AY31" i="25"/>
  <c r="AZ31" i="29"/>
  <c r="BA31" i="29" s="1"/>
  <c r="A40" i="27"/>
  <c r="A33" i="29"/>
  <c r="A33" i="25"/>
  <c r="AY31" i="29"/>
  <c r="BA10" i="29"/>
  <c r="A34" i="29" l="1"/>
  <c r="A34" i="25"/>
  <c r="E33" i="25"/>
  <c r="AU33" i="25"/>
  <c r="C33" i="25"/>
  <c r="F33" i="25"/>
  <c r="D33" i="25"/>
  <c r="B33" i="25"/>
  <c r="AV33" i="25"/>
  <c r="E33" i="29"/>
  <c r="AU33" i="29"/>
  <c r="B33" i="29"/>
  <c r="C33" i="29"/>
  <c r="F33" i="29"/>
  <c r="D33" i="29"/>
  <c r="AV33" i="29"/>
  <c r="AW33" i="29" s="1"/>
  <c r="AW32" i="25"/>
  <c r="E34" i="29" l="1"/>
  <c r="AU34" i="29"/>
  <c r="D34" i="29"/>
  <c r="B34" i="29"/>
  <c r="F34" i="29"/>
  <c r="C34" i="29"/>
  <c r="AV34" i="29"/>
  <c r="AW34" i="29" s="1"/>
  <c r="AX23" i="29" s="1"/>
  <c r="AY32" i="25"/>
  <c r="AZ32" i="29"/>
  <c r="BA32" i="29" s="1"/>
  <c r="AY33" i="29"/>
  <c r="AX21" i="29"/>
  <c r="AX18" i="29"/>
  <c r="AX11" i="29"/>
  <c r="AW33" i="25"/>
  <c r="E34" i="25"/>
  <c r="AU34" i="25"/>
  <c r="D34" i="25"/>
  <c r="B34" i="25"/>
  <c r="F34" i="25"/>
  <c r="C34" i="25"/>
  <c r="AV34" i="25"/>
  <c r="AW34" i="25" s="1"/>
  <c r="AX34" i="25" s="1"/>
  <c r="AY34" i="25"/>
  <c r="AY33" i="25" l="1"/>
  <c r="AX33" i="25"/>
  <c r="AZ33" i="29"/>
  <c r="BA33" i="29" s="1"/>
  <c r="BG16" i="29" s="1"/>
  <c r="AX32" i="25"/>
  <c r="AX12" i="25"/>
  <c r="AX24" i="25"/>
  <c r="AX26" i="29"/>
  <c r="AX32" i="29"/>
  <c r="AX19" i="25"/>
  <c r="AX31" i="25"/>
  <c r="AX30" i="29"/>
  <c r="AX10" i="29"/>
  <c r="AX12" i="29"/>
  <c r="AX27" i="29"/>
  <c r="AX10" i="25"/>
  <c r="AX18" i="25"/>
  <c r="AX25" i="25"/>
  <c r="AX11" i="25"/>
  <c r="AX13" i="25"/>
  <c r="AX22" i="25"/>
  <c r="AZ34" i="29"/>
  <c r="BA34" i="29" s="1"/>
  <c r="AX28" i="25"/>
  <c r="AX27" i="25"/>
  <c r="AX15" i="25"/>
  <c r="AY34" i="29"/>
  <c r="AX22" i="29"/>
  <c r="AX17" i="29"/>
  <c r="AX19" i="29"/>
  <c r="AX14" i="29"/>
  <c r="AX16" i="29"/>
  <c r="AX28" i="29"/>
  <c r="AX25" i="29"/>
  <c r="AX31" i="29"/>
  <c r="AX24" i="29"/>
  <c r="BD16" i="29"/>
  <c r="BD10" i="29"/>
  <c r="BG11" i="29"/>
  <c r="BG18" i="29"/>
  <c r="BG17" i="29"/>
  <c r="BG15" i="29"/>
  <c r="BG19" i="29"/>
  <c r="BG12" i="29"/>
  <c r="AX17" i="25"/>
  <c r="AX26" i="25"/>
  <c r="AX30" i="25"/>
  <c r="AX13" i="29"/>
  <c r="AX20" i="29"/>
  <c r="AX15" i="29"/>
  <c r="AX29" i="29"/>
  <c r="AX21" i="25"/>
  <c r="E45" i="26" s="1"/>
  <c r="AX29" i="25"/>
  <c r="AX20" i="25"/>
  <c r="AX14" i="25"/>
  <c r="AX23" i="25"/>
  <c r="AX16" i="25"/>
  <c r="AX34" i="29"/>
  <c r="AX33" i="29"/>
  <c r="BC16" i="29" l="1"/>
  <c r="BE16" i="29" s="1"/>
  <c r="BG10" i="29"/>
  <c r="BG13" i="29"/>
  <c r="BC10" i="29"/>
  <c r="BE10" i="29" s="1"/>
  <c r="BE19" i="29" s="1"/>
  <c r="BC12" i="29" s="1"/>
  <c r="BG14" i="29"/>
  <c r="BC18" i="29" l="1"/>
  <c r="BG21" i="29"/>
</calcChain>
</file>

<file path=xl/sharedStrings.xml><?xml version="1.0" encoding="utf-8"?>
<sst xmlns="http://schemas.openxmlformats.org/spreadsheetml/2006/main" count="473" uniqueCount="163">
  <si>
    <t>التعبير الشفوي</t>
  </si>
  <si>
    <t>الإملاء</t>
  </si>
  <si>
    <t>النشاط العلمي</t>
  </si>
  <si>
    <t>التربية الفنية</t>
  </si>
  <si>
    <t>الرياضيات</t>
  </si>
  <si>
    <t>معدل الوحدة</t>
  </si>
  <si>
    <t>رقم التسجيل</t>
  </si>
  <si>
    <t>عدد التلاميذ</t>
  </si>
  <si>
    <t>النقطة1</t>
  </si>
  <si>
    <t>النقطة2</t>
  </si>
  <si>
    <t>المعدل</t>
  </si>
  <si>
    <t>مجموع معدل الوحدات</t>
  </si>
  <si>
    <t>الرتبة</t>
  </si>
  <si>
    <t>الوحدات</t>
  </si>
  <si>
    <t>اللغة العربية</t>
  </si>
  <si>
    <t xml:space="preserve">النشاط </t>
  </si>
  <si>
    <t>العلمي</t>
  </si>
  <si>
    <t>التربية</t>
  </si>
  <si>
    <t>الفنية</t>
  </si>
  <si>
    <t>بطاقة المراقبة المستمرة</t>
  </si>
  <si>
    <t>الانشطة</t>
  </si>
  <si>
    <t>ر.ت</t>
  </si>
  <si>
    <t>الاسم و النسب</t>
  </si>
  <si>
    <t>ر.التسجيل</t>
  </si>
  <si>
    <t>معدل</t>
  </si>
  <si>
    <t>ذكور</t>
  </si>
  <si>
    <t>مجموع</t>
  </si>
  <si>
    <t>التربية البدنية</t>
  </si>
  <si>
    <t>البدنية</t>
  </si>
  <si>
    <t>تاريخ الإزدياد</t>
  </si>
  <si>
    <t>ن1</t>
  </si>
  <si>
    <t>ن2</t>
  </si>
  <si>
    <t>القراءة</t>
  </si>
  <si>
    <t>الخط</t>
  </si>
  <si>
    <t>الوحدة</t>
  </si>
  <si>
    <t>رقم التلميذ</t>
  </si>
  <si>
    <t>مج</t>
  </si>
  <si>
    <t>النقل</t>
  </si>
  <si>
    <t>المملكة المغربية</t>
  </si>
  <si>
    <t>وزارة التربية الوطنية و التكوين المهني</t>
  </si>
  <si>
    <t>الموسم الدراسي</t>
  </si>
  <si>
    <t>القسم</t>
  </si>
  <si>
    <t>الاسم والنسب</t>
  </si>
  <si>
    <t>نتائج الأسدوس الأول</t>
  </si>
  <si>
    <t>الأول</t>
  </si>
  <si>
    <t>رقم ت في القسم</t>
  </si>
  <si>
    <t>المعدل الدوري</t>
  </si>
  <si>
    <t>الميزة</t>
  </si>
  <si>
    <t xml:space="preserve">التربية </t>
  </si>
  <si>
    <t>الإسلامية</t>
  </si>
  <si>
    <t>ملاحظات</t>
  </si>
  <si>
    <t>خاتم و توقيع رئيس المؤسسة</t>
  </si>
  <si>
    <t>الأمازيغية</t>
  </si>
  <si>
    <t>التربية الإسلامية</t>
  </si>
  <si>
    <t>اللغة</t>
  </si>
  <si>
    <t>مدرسة</t>
  </si>
  <si>
    <t>الرقم الوطني</t>
  </si>
  <si>
    <t>الأكاديمية الجهوية للتربية والتكوين</t>
  </si>
  <si>
    <t>رقم</t>
  </si>
  <si>
    <t>تاريخ</t>
  </si>
  <si>
    <t>مدة الدراسة</t>
  </si>
  <si>
    <t>التسجيل</t>
  </si>
  <si>
    <t>التسجيل.م</t>
  </si>
  <si>
    <t>الأستاذ (ة)</t>
  </si>
  <si>
    <t xml:space="preserve">المستوى </t>
  </si>
  <si>
    <t>الوحدة المدرسية</t>
  </si>
  <si>
    <t>الفوج</t>
  </si>
  <si>
    <t>جدد</t>
  </si>
  <si>
    <t>إناث</t>
  </si>
  <si>
    <t>إحصائيات</t>
  </si>
  <si>
    <t>الدورة الأولى</t>
  </si>
  <si>
    <t>مك</t>
  </si>
  <si>
    <t>د1</t>
  </si>
  <si>
    <t>د2</t>
  </si>
  <si>
    <t xml:space="preserve">المعدل </t>
  </si>
  <si>
    <t>الدوري</t>
  </si>
  <si>
    <t>الرتية</t>
  </si>
  <si>
    <t>السنة</t>
  </si>
  <si>
    <t>العربية</t>
  </si>
  <si>
    <t>النشاط</t>
  </si>
  <si>
    <t xml:space="preserve">المعدل  </t>
  </si>
  <si>
    <t xml:space="preserve">قرار </t>
  </si>
  <si>
    <t>نهاية</t>
  </si>
  <si>
    <t xml:space="preserve"> السنوي</t>
  </si>
  <si>
    <t>مجمل  نتائج الأسدوس الأول</t>
  </si>
  <si>
    <t>العتبة</t>
  </si>
  <si>
    <t>عدد الناجحين</t>
  </si>
  <si>
    <t xml:space="preserve">استثمار النتائج </t>
  </si>
  <si>
    <t>حسب العتبة</t>
  </si>
  <si>
    <t>المجموع</t>
  </si>
  <si>
    <t>نسبة النجاح</t>
  </si>
  <si>
    <t>عدد الراسبين</t>
  </si>
  <si>
    <t>نسبة الرسوب</t>
  </si>
  <si>
    <t>المعدل الدورة الأولى</t>
  </si>
  <si>
    <t>المعدل العام السنوي</t>
  </si>
  <si>
    <t>[5]</t>
  </si>
  <si>
    <t>[10]</t>
  </si>
  <si>
    <t>مجمل نقط المراقبة السنوي</t>
  </si>
  <si>
    <t>مجمل  نتائج الأسدوس الثاني</t>
  </si>
  <si>
    <t>نتائج الأسدوس الثاني</t>
  </si>
  <si>
    <t xml:space="preserve">جهة دكالة عبدة </t>
  </si>
  <si>
    <t>رضوان</t>
  </si>
  <si>
    <t>محمد</t>
  </si>
  <si>
    <t>سلمى</t>
  </si>
  <si>
    <t>شعيب</t>
  </si>
  <si>
    <t>ميلود</t>
  </si>
  <si>
    <t>فاطمة</t>
  </si>
  <si>
    <t>مصطفى</t>
  </si>
  <si>
    <t>فريد</t>
  </si>
  <si>
    <t>كمال</t>
  </si>
  <si>
    <t>لبنى</t>
  </si>
  <si>
    <t>أحمد</t>
  </si>
  <si>
    <t>سلمان</t>
  </si>
  <si>
    <t>مروة</t>
  </si>
  <si>
    <t>خالد</t>
  </si>
  <si>
    <t>سفيان</t>
  </si>
  <si>
    <t>لمياء</t>
  </si>
  <si>
    <t>مريم</t>
  </si>
  <si>
    <t>لقمان</t>
  </si>
  <si>
    <t>سليم</t>
  </si>
  <si>
    <t>فتيحة</t>
  </si>
  <si>
    <t>رقية</t>
  </si>
  <si>
    <t>جميلة</t>
  </si>
  <si>
    <t>نادية</t>
  </si>
  <si>
    <t>سكينة</t>
  </si>
  <si>
    <t xml:space="preserve">هشام </t>
  </si>
  <si>
    <t>لايهم</t>
  </si>
  <si>
    <t>نيابة المديرية</t>
  </si>
  <si>
    <t>المدرسة</t>
  </si>
  <si>
    <t>الجنس</t>
  </si>
  <si>
    <t>ذ</t>
  </si>
  <si>
    <t>أ</t>
  </si>
  <si>
    <t>معدل الأسدس1</t>
  </si>
  <si>
    <t>معدل الدورة</t>
  </si>
  <si>
    <t>مج المعدلات</t>
  </si>
  <si>
    <t>مج المعاملات</t>
  </si>
  <si>
    <t>معامل ت ب</t>
  </si>
  <si>
    <t>] 3 - 0 ]</t>
  </si>
  <si>
    <t>] 4 - 3 ]</t>
  </si>
  <si>
    <t>] 5 - 4 ]</t>
  </si>
  <si>
    <t>] 6 - 5 ]</t>
  </si>
  <si>
    <t>] 7 - 6 ]</t>
  </si>
  <si>
    <t>] 8 - 7 ]</t>
  </si>
  <si>
    <t>] 9 - 8 ]</t>
  </si>
  <si>
    <t>] 10 - 9 ]</t>
  </si>
  <si>
    <t>التكرار</t>
  </si>
  <si>
    <t>فرض1</t>
  </si>
  <si>
    <t>فرض2</t>
  </si>
  <si>
    <t>فرض3</t>
  </si>
  <si>
    <t>أنشطة</t>
  </si>
  <si>
    <t>ن3</t>
  </si>
  <si>
    <t>ن4</t>
  </si>
  <si>
    <t>الفرنسية</t>
  </si>
  <si>
    <t>الفرض 1</t>
  </si>
  <si>
    <t>الفرض 2</t>
  </si>
  <si>
    <t>الفرض 3</t>
  </si>
  <si>
    <t xml:space="preserve">العـام الدراســي </t>
  </si>
  <si>
    <t>المواد غير المعممة</t>
  </si>
  <si>
    <t xml:space="preserve">العــام الدراســي </t>
  </si>
  <si>
    <t>الأستاذ(ة)</t>
  </si>
  <si>
    <t>2018-2017</t>
  </si>
  <si>
    <t>الازدياد</t>
  </si>
  <si>
    <t>ر. تسجيل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</si>
</sst>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27" x14ac:knownFonts="1">
    <font>
      <sz val="10"/>
      <name val="Arial"/>
      <charset val="178"/>
    </font>
    <font>
      <b/>
      <sz val="14"/>
      <name val="Times New Roman"/>
      <family val="1"/>
    </font>
    <font>
      <b/>
      <sz val="12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20"/>
      <name val="Arial"/>
      <family val="2"/>
    </font>
    <font>
      <b/>
      <sz val="20"/>
      <name val="Times New Roman"/>
      <family val="1"/>
    </font>
    <font>
      <b/>
      <u/>
      <sz val="14"/>
      <name val="Times New Roman"/>
      <family val="1"/>
    </font>
    <font>
      <sz val="14"/>
      <name val="Times New Roman"/>
      <family val="1"/>
    </font>
    <font>
      <b/>
      <sz val="11"/>
      <name val="Arial"/>
      <family val="2"/>
    </font>
    <font>
      <b/>
      <sz val="14"/>
      <color rgb="FFFF0000"/>
      <name val="Times New Roman"/>
      <family val="1"/>
    </font>
    <font>
      <b/>
      <sz val="14"/>
      <color rgb="FF3333FF"/>
      <name val="Times New Roman"/>
      <family val="1"/>
    </font>
    <font>
      <b/>
      <sz val="14"/>
      <color rgb="FF339966"/>
      <name val="Times New Roman"/>
      <family val="1"/>
    </font>
    <font>
      <b/>
      <sz val="13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2"/>
      <color indexed="1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0000FF"/>
      <name val="Times New Roman"/>
      <family val="1"/>
    </font>
    <font>
      <b/>
      <sz val="12"/>
      <color theme="9" tint="-0.499984740745262"/>
      <name val="Times New Roman"/>
      <family val="1"/>
    </font>
    <font>
      <b/>
      <sz val="12"/>
      <color indexed="58"/>
      <name val="Times New Roman"/>
      <family val="1"/>
    </font>
    <font>
      <b/>
      <sz val="12"/>
      <color rgb="FFFF0000"/>
      <name val="Arial"/>
      <family val="2"/>
    </font>
    <font>
      <b/>
      <sz val="14"/>
      <color rgb="FF0000FF"/>
      <name val="Times New Roman"/>
      <family val="1"/>
    </font>
    <font>
      <b/>
      <sz val="14"/>
      <color theme="1"/>
      <name val="Times New Roman"/>
      <family val="1"/>
    </font>
    <font>
      <sz val="12"/>
      <name val="Times New Roman"/>
      <family val="1"/>
    </font>
    <font>
      <sz val="10"/>
      <color rgb="FF00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BE5F8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8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3">
    <xf numFmtId="0" fontId="0" fillId="0" borderId="0" xfId="0"/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Protection="1"/>
    <xf numFmtId="0" fontId="9" fillId="0" borderId="0" xfId="0" applyFont="1" applyFill="1" applyProtection="1"/>
    <xf numFmtId="2" fontId="10" fillId="0" borderId="1" xfId="0" applyNumberFormat="1" applyFont="1" applyBorder="1" applyAlignment="1" applyProtection="1">
      <alignment horizontal="center"/>
      <protection locked="0"/>
    </xf>
    <xf numFmtId="0" fontId="3" fillId="0" borderId="0" xfId="0" applyFont="1"/>
    <xf numFmtId="0" fontId="4" fillId="5" borderId="0" xfId="0" applyFont="1" applyFill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</xf>
    <xf numFmtId="2" fontId="5" fillId="7" borderId="1" xfId="0" applyNumberFormat="1" applyFont="1" applyFill="1" applyBorder="1" applyAlignment="1" applyProtection="1">
      <alignment horizontal="center" vertical="center"/>
    </xf>
    <xf numFmtId="1" fontId="2" fillId="12" borderId="1" xfId="0" applyNumberFormat="1" applyFont="1" applyFill="1" applyBorder="1" applyAlignment="1" applyProtection="1">
      <alignment horizontal="center" vertical="center"/>
    </xf>
    <xf numFmtId="2" fontId="4" fillId="13" borderId="1" xfId="0" applyNumberFormat="1" applyFont="1" applyFill="1" applyBorder="1" applyAlignment="1" applyProtection="1">
      <alignment horizontal="center" vertical="center"/>
    </xf>
    <xf numFmtId="2" fontId="4" fillId="9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16" borderId="1" xfId="0" applyFont="1" applyFill="1" applyBorder="1" applyAlignment="1">
      <alignment horizontal="center" vertical="center"/>
    </xf>
    <xf numFmtId="0" fontId="3" fillId="0" borderId="0" xfId="0" applyFont="1" applyAlignment="1"/>
    <xf numFmtId="0" fontId="9" fillId="18" borderId="7" xfId="0" applyFont="1" applyFill="1" applyBorder="1" applyAlignment="1" applyProtection="1">
      <alignment horizontal="center" vertical="center"/>
    </xf>
    <xf numFmtId="0" fontId="9" fillId="18" borderId="3" xfId="0" applyFont="1" applyFill="1" applyBorder="1" applyAlignment="1" applyProtection="1">
      <alignment horizontal="center" vertical="center"/>
    </xf>
    <xf numFmtId="0" fontId="1" fillId="18" borderId="7" xfId="0" applyFont="1" applyFill="1" applyBorder="1" applyAlignment="1" applyProtection="1">
      <alignment horizontal="center" vertical="center"/>
    </xf>
    <xf numFmtId="0" fontId="1" fillId="18" borderId="10" xfId="0" applyFont="1" applyFill="1" applyBorder="1" applyAlignment="1" applyProtection="1">
      <alignment vertical="center"/>
    </xf>
    <xf numFmtId="0" fontId="1" fillId="18" borderId="0" xfId="0" applyFont="1" applyFill="1" applyBorder="1" applyAlignment="1" applyProtection="1">
      <alignment horizontal="center" vertical="center"/>
    </xf>
    <xf numFmtId="0" fontId="1" fillId="18" borderId="15" xfId="0" applyFont="1" applyFill="1" applyBorder="1" applyAlignment="1" applyProtection="1">
      <alignment vertical="center"/>
    </xf>
    <xf numFmtId="0" fontId="1" fillId="18" borderId="11" xfId="0" applyFont="1" applyFill="1" applyBorder="1" applyAlignment="1" applyProtection="1">
      <alignment vertical="center"/>
    </xf>
    <xf numFmtId="0" fontId="1" fillId="18" borderId="16" xfId="0" applyFont="1" applyFill="1" applyBorder="1" applyAlignment="1" applyProtection="1">
      <alignment horizontal="center" vertical="center"/>
    </xf>
    <xf numFmtId="0" fontId="1" fillId="18" borderId="10" xfId="0" applyFont="1" applyFill="1" applyBorder="1" applyAlignment="1" applyProtection="1">
      <alignment horizontal="center" vertical="center"/>
    </xf>
    <xf numFmtId="2" fontId="1" fillId="16" borderId="1" xfId="0" applyNumberFormat="1" applyFont="1" applyFill="1" applyBorder="1" applyAlignment="1" applyProtection="1">
      <alignment horizontal="center" vertical="center"/>
    </xf>
    <xf numFmtId="0" fontId="1" fillId="17" borderId="1" xfId="0" applyFont="1" applyFill="1" applyBorder="1" applyAlignment="1" applyProtection="1">
      <alignment horizontal="center" vertical="center"/>
    </xf>
    <xf numFmtId="0" fontId="2" fillId="19" borderId="1" xfId="0" applyFont="1" applyFill="1" applyBorder="1" applyAlignment="1" applyProtection="1">
      <alignment horizontal="center" vertical="center"/>
      <protection locked="0"/>
    </xf>
    <xf numFmtId="0" fontId="18" fillId="21" borderId="1" xfId="0" applyFont="1" applyFill="1" applyBorder="1" applyAlignment="1" applyProtection="1">
      <alignment horizontal="center" vertical="center"/>
    </xf>
    <xf numFmtId="0" fontId="19" fillId="21" borderId="1" xfId="0" applyFont="1" applyFill="1" applyBorder="1" applyAlignment="1" applyProtection="1">
      <alignment horizontal="center" vertical="center"/>
    </xf>
    <xf numFmtId="0" fontId="20" fillId="21" borderId="1" xfId="0" applyFont="1" applyFill="1" applyBorder="1" applyAlignment="1" applyProtection="1">
      <alignment horizontal="center" vertical="center"/>
    </xf>
    <xf numFmtId="3" fontId="20" fillId="7" borderId="1" xfId="0" applyNumberFormat="1" applyFont="1" applyFill="1" applyBorder="1" applyAlignment="1" applyProtection="1">
      <alignment horizontal="center" vertical="center"/>
      <protection locked="0"/>
    </xf>
    <xf numFmtId="0" fontId="3" fillId="22" borderId="1" xfId="0" applyFont="1" applyFill="1" applyBorder="1" applyAlignment="1" applyProtection="1">
      <alignment horizontal="center" vertical="center" wrapText="1" readingOrder="2"/>
    </xf>
    <xf numFmtId="1" fontId="21" fillId="2" borderId="1" xfId="0" applyNumberFormat="1" applyFont="1" applyFill="1" applyBorder="1" applyAlignment="1" applyProtection="1">
      <alignment horizontal="center" vertical="center"/>
    </xf>
    <xf numFmtId="3" fontId="4" fillId="24" borderId="1" xfId="0" applyNumberFormat="1" applyFont="1" applyFill="1" applyBorder="1" applyAlignment="1" applyProtection="1">
      <alignment horizontal="center" vertical="center"/>
    </xf>
    <xf numFmtId="3" fontId="17" fillId="0" borderId="1" xfId="0" applyNumberFormat="1" applyFont="1" applyFill="1" applyBorder="1" applyAlignment="1" applyProtection="1">
      <alignment horizontal="center" vertical="center"/>
      <protection locked="0"/>
    </xf>
    <xf numFmtId="3" fontId="19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0" fillId="0" borderId="0" xfId="0" applyProtection="1"/>
    <xf numFmtId="0" fontId="3" fillId="17" borderId="5" xfId="0" applyFont="1" applyFill="1" applyBorder="1" applyAlignment="1" applyProtection="1">
      <alignment horizontal="center" vertical="center"/>
    </xf>
    <xf numFmtId="0" fontId="3" fillId="17" borderId="2" xfId="0" applyFont="1" applyFill="1" applyBorder="1" applyAlignment="1" applyProtection="1">
      <alignment horizontal="center" vertical="center"/>
    </xf>
    <xf numFmtId="0" fontId="3" fillId="19" borderId="1" xfId="0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3" fillId="17" borderId="6" xfId="0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2" fontId="3" fillId="0" borderId="1" xfId="0" applyNumberFormat="1" applyFont="1" applyFill="1" applyBorder="1" applyAlignment="1" applyProtection="1">
      <alignment horizontal="center" vertical="center"/>
    </xf>
    <xf numFmtId="2" fontId="3" fillId="7" borderId="1" xfId="0" applyNumberFormat="1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right" vertical="center"/>
      <protection locked="0"/>
    </xf>
    <xf numFmtId="0" fontId="2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2" fontId="5" fillId="10" borderId="1" xfId="0" applyNumberFormat="1" applyFont="1" applyFill="1" applyBorder="1" applyAlignment="1" applyProtection="1">
      <alignment horizontal="center" vertical="center"/>
    </xf>
    <xf numFmtId="1" fontId="2" fillId="11" borderId="1" xfId="0" applyNumberFormat="1" applyFont="1" applyFill="1" applyBorder="1" applyAlignment="1" applyProtection="1">
      <alignment horizontal="center" vertical="center"/>
      <protection locked="0"/>
    </xf>
    <xf numFmtId="2" fontId="22" fillId="23" borderId="1" xfId="0" applyNumberFormat="1" applyFont="1" applyFill="1" applyBorder="1" applyAlignment="1">
      <alignment horizontal="center" vertical="center"/>
    </xf>
    <xf numFmtId="2" fontId="22" fillId="24" borderId="1" xfId="0" applyNumberFormat="1" applyFont="1" applyFill="1" applyBorder="1" applyAlignment="1">
      <alignment horizontal="center" vertical="center"/>
    </xf>
    <xf numFmtId="0" fontId="4" fillId="5" borderId="9" xfId="0" applyFont="1" applyFill="1" applyBorder="1" applyAlignment="1" applyProtection="1">
      <alignment horizontal="center" vertical="center"/>
    </xf>
    <xf numFmtId="0" fontId="4" fillId="5" borderId="12" xfId="0" applyFont="1" applyFill="1" applyBorder="1" applyAlignment="1" applyProtection="1">
      <alignment horizontal="center" vertical="center"/>
    </xf>
    <xf numFmtId="0" fontId="2" fillId="10" borderId="5" xfId="0" applyFont="1" applyFill="1" applyBorder="1" applyAlignment="1" applyProtection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4" fillId="5" borderId="9" xfId="0" applyNumberFormat="1" applyFont="1" applyFill="1" applyBorder="1" applyAlignment="1" applyProtection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right" vertical="center" indent="1"/>
    </xf>
    <xf numFmtId="0" fontId="3" fillId="22" borderId="1" xfId="0" applyFont="1" applyFill="1" applyBorder="1" applyAlignment="1" applyProtection="1">
      <alignment horizontal="center" vertical="center" wrapText="1" readingOrder="1"/>
    </xf>
    <xf numFmtId="0" fontId="2" fillId="15" borderId="1" xfId="0" applyFont="1" applyFill="1" applyBorder="1" applyAlignment="1" applyProtection="1">
      <alignment horizontal="center" vertical="center"/>
    </xf>
    <xf numFmtId="0" fontId="1" fillId="17" borderId="1" xfId="0" applyFont="1" applyFill="1" applyBorder="1" applyAlignment="1" applyProtection="1">
      <alignment horizontal="center" vertical="center"/>
    </xf>
    <xf numFmtId="0" fontId="4" fillId="5" borderId="9" xfId="0" applyNumberFormat="1" applyFont="1" applyFill="1" applyBorder="1" applyAlignment="1" applyProtection="1">
      <alignment horizontal="center" vertical="center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2" fillId="5" borderId="0" xfId="0" applyNumberFormat="1" applyFont="1" applyFill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0" fontId="1" fillId="18" borderId="9" xfId="0" applyFont="1" applyFill="1" applyBorder="1" applyAlignment="1" applyProtection="1">
      <alignment vertical="center"/>
    </xf>
    <xf numFmtId="2" fontId="1" fillId="3" borderId="1" xfId="0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25" fillId="0" borderId="0" xfId="0" applyFont="1" applyAlignment="1">
      <alignment horizontal="center" vertical="center"/>
    </xf>
    <xf numFmtId="0" fontId="3" fillId="26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right" vertical="center" indent="1"/>
    </xf>
    <xf numFmtId="0" fontId="3" fillId="7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7" borderId="5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 wrapText="1"/>
    </xf>
    <xf numFmtId="0" fontId="15" fillId="7" borderId="6" xfId="0" applyFont="1" applyFill="1" applyBorder="1" applyAlignment="1">
      <alignment horizontal="center" vertical="center" wrapText="1"/>
    </xf>
    <xf numFmtId="0" fontId="3" fillId="26" borderId="5" xfId="0" applyFont="1" applyFill="1" applyBorder="1" applyAlignment="1">
      <alignment horizontal="center" vertical="center" textRotation="90"/>
    </xf>
    <xf numFmtId="0" fontId="3" fillId="26" borderId="6" xfId="0" applyFont="1" applyFill="1" applyBorder="1" applyAlignment="1">
      <alignment horizontal="center" vertical="center" textRotation="90"/>
    </xf>
    <xf numFmtId="0" fontId="2" fillId="14" borderId="3" xfId="0" applyFont="1" applyFill="1" applyBorder="1" applyAlignment="1" applyProtection="1">
      <alignment horizontal="center" vertical="center"/>
    </xf>
    <xf numFmtId="0" fontId="2" fillId="14" borderId="7" xfId="0" applyFont="1" applyFill="1" applyBorder="1" applyAlignment="1" applyProtection="1">
      <alignment horizontal="center" vertical="center"/>
    </xf>
    <xf numFmtId="0" fontId="2" fillId="14" borderId="8" xfId="0" applyFont="1" applyFill="1" applyBorder="1" applyAlignment="1" applyProtection="1">
      <alignment horizontal="center" vertical="center"/>
    </xf>
    <xf numFmtId="0" fontId="2" fillId="14" borderId="1" xfId="0" applyFont="1" applyFill="1" applyBorder="1" applyAlignment="1" applyProtection="1">
      <alignment horizontal="center" vertical="center"/>
    </xf>
    <xf numFmtId="0" fontId="4" fillId="14" borderId="1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15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11" borderId="5" xfId="0" applyFont="1" applyFill="1" applyBorder="1" applyAlignment="1" applyProtection="1">
      <alignment horizontal="center" vertical="center" wrapText="1"/>
    </xf>
    <xf numFmtId="0" fontId="2" fillId="11" borderId="2" xfId="0" applyFont="1" applyFill="1" applyBorder="1" applyAlignment="1" applyProtection="1">
      <alignment horizontal="center" vertical="center" wrapText="1"/>
    </xf>
    <xf numFmtId="0" fontId="2" fillId="11" borderId="6" xfId="0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 applyProtection="1">
      <alignment horizontal="center" vertical="center"/>
    </xf>
    <xf numFmtId="0" fontId="2" fillId="12" borderId="5" xfId="0" applyFont="1" applyFill="1" applyBorder="1" applyAlignment="1" applyProtection="1">
      <alignment horizontal="center" vertical="center" wrapText="1"/>
    </xf>
    <xf numFmtId="0" fontId="2" fillId="12" borderId="2" xfId="0" applyFont="1" applyFill="1" applyBorder="1" applyAlignment="1" applyProtection="1">
      <alignment horizontal="center" vertical="center" wrapText="1"/>
    </xf>
    <xf numFmtId="0" fontId="2" fillId="12" borderId="6" xfId="0" applyFont="1" applyFill="1" applyBorder="1" applyAlignment="1" applyProtection="1">
      <alignment horizontal="center" vertical="center" wrapText="1"/>
    </xf>
    <xf numFmtId="0" fontId="2" fillId="13" borderId="5" xfId="0" applyFont="1" applyFill="1" applyBorder="1" applyAlignment="1" applyProtection="1">
      <alignment horizontal="center" vertical="center" wrapText="1"/>
    </xf>
    <xf numFmtId="0" fontId="2" fillId="13" borderId="2" xfId="0" applyFont="1" applyFill="1" applyBorder="1" applyAlignment="1" applyProtection="1">
      <alignment horizontal="center" vertical="center" wrapText="1"/>
    </xf>
    <xf numFmtId="0" fontId="2" fillId="13" borderId="6" xfId="0" applyFont="1" applyFill="1" applyBorder="1" applyAlignment="1" applyProtection="1">
      <alignment horizontal="center" vertical="center" wrapText="1"/>
    </xf>
    <xf numFmtId="0" fontId="2" fillId="9" borderId="5" xfId="0" applyFont="1" applyFill="1" applyBorder="1" applyAlignment="1" applyProtection="1">
      <alignment horizontal="center" vertical="center" wrapText="1"/>
    </xf>
    <xf numFmtId="0" fontId="2" fillId="9" borderId="2" xfId="0" applyFont="1" applyFill="1" applyBorder="1" applyAlignment="1" applyProtection="1">
      <alignment horizontal="center" vertical="center" wrapText="1"/>
    </xf>
    <xf numFmtId="0" fontId="2" fillId="9" borderId="6" xfId="0" applyFont="1" applyFill="1" applyBorder="1" applyAlignment="1" applyProtection="1">
      <alignment horizontal="center" vertical="center" wrapText="1"/>
    </xf>
    <xf numFmtId="164" fontId="2" fillId="0" borderId="1" xfId="0" applyNumberFormat="1" applyFont="1" applyFill="1" applyBorder="1" applyAlignment="1" applyProtection="1">
      <alignment horizontal="center" vertical="center"/>
    </xf>
    <xf numFmtId="0" fontId="2" fillId="19" borderId="1" xfId="0" applyFont="1" applyFill="1" applyBorder="1" applyAlignment="1" applyProtection="1">
      <alignment horizontal="center" vertical="center"/>
    </xf>
    <xf numFmtId="0" fontId="2" fillId="26" borderId="5" xfId="0" applyNumberFormat="1" applyFont="1" applyFill="1" applyBorder="1" applyAlignment="1" applyProtection="1">
      <alignment horizontal="center" vertical="center" textRotation="90"/>
    </xf>
    <xf numFmtId="0" fontId="2" fillId="26" borderId="6" xfId="0" applyNumberFormat="1" applyFont="1" applyFill="1" applyBorder="1" applyAlignment="1" applyProtection="1">
      <alignment horizontal="center" vertical="center" textRotation="90"/>
    </xf>
    <xf numFmtId="0" fontId="1" fillId="0" borderId="1" xfId="0" applyFont="1" applyFill="1" applyBorder="1" applyAlignment="1" applyProtection="1">
      <alignment horizontal="center" vertical="center"/>
    </xf>
    <xf numFmtId="0" fontId="1" fillId="19" borderId="5" xfId="0" applyFont="1" applyFill="1" applyBorder="1" applyAlignment="1" applyProtection="1">
      <alignment horizontal="center" vertical="center"/>
    </xf>
    <xf numFmtId="0" fontId="1" fillId="19" borderId="2" xfId="0" applyFont="1" applyFill="1" applyBorder="1" applyAlignment="1" applyProtection="1">
      <alignment horizontal="center" vertical="center"/>
    </xf>
    <xf numFmtId="0" fontId="14" fillId="0" borderId="1" xfId="0" applyFont="1" applyFill="1" applyBorder="1" applyAlignment="1" applyProtection="1">
      <alignment horizontal="center" vertical="center"/>
    </xf>
    <xf numFmtId="0" fontId="1" fillId="17" borderId="1" xfId="0" applyFont="1" applyFill="1" applyBorder="1" applyAlignment="1" applyProtection="1">
      <alignment horizontal="center" vertical="center"/>
    </xf>
    <xf numFmtId="0" fontId="7" fillId="17" borderId="1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7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</xf>
    <xf numFmtId="0" fontId="7" fillId="13" borderId="1" xfId="0" applyFont="1" applyFill="1" applyBorder="1" applyAlignment="1" applyProtection="1">
      <alignment horizontal="center" vertical="center"/>
    </xf>
    <xf numFmtId="0" fontId="1" fillId="17" borderId="6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 readingOrder="2"/>
    </xf>
    <xf numFmtId="0" fontId="1" fillId="19" borderId="1" xfId="0" applyFont="1" applyFill="1" applyBorder="1" applyAlignment="1" applyProtection="1">
      <alignment horizontal="center" vertical="center"/>
    </xf>
    <xf numFmtId="0" fontId="1" fillId="15" borderId="5" xfId="0" applyFont="1" applyFill="1" applyBorder="1" applyAlignment="1" applyProtection="1">
      <alignment horizontal="center" vertical="center"/>
    </xf>
    <xf numFmtId="0" fontId="1" fillId="15" borderId="6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17" borderId="1" xfId="0" applyFont="1" applyFill="1" applyBorder="1" applyAlignment="1" applyProtection="1">
      <alignment horizontal="center" vertical="center" wrapText="1" readingOrder="2"/>
    </xf>
    <xf numFmtId="0" fontId="1" fillId="19" borderId="15" xfId="0" applyFont="1" applyFill="1" applyBorder="1" applyAlignment="1" applyProtection="1">
      <alignment horizontal="center" vertical="center"/>
    </xf>
    <xf numFmtId="0" fontId="1" fillId="19" borderId="16" xfId="0" applyFont="1" applyFill="1" applyBorder="1" applyAlignment="1" applyProtection="1">
      <alignment horizontal="center" vertical="center"/>
    </xf>
    <xf numFmtId="0" fontId="1" fillId="19" borderId="4" xfId="0" applyFont="1" applyFill="1" applyBorder="1" applyAlignment="1" applyProtection="1">
      <alignment horizontal="center" vertical="center"/>
    </xf>
    <xf numFmtId="0" fontId="1" fillId="19" borderId="11" xfId="0" applyFont="1" applyFill="1" applyBorder="1" applyAlignment="1" applyProtection="1">
      <alignment horizontal="center" vertical="center"/>
    </xf>
    <xf numFmtId="0" fontId="1" fillId="19" borderId="9" xfId="0" applyFont="1" applyFill="1" applyBorder="1" applyAlignment="1" applyProtection="1">
      <alignment horizontal="center" vertical="center"/>
    </xf>
    <xf numFmtId="0" fontId="1" fillId="19" borderId="12" xfId="0" applyFont="1" applyFill="1" applyBorder="1" applyAlignment="1" applyProtection="1">
      <alignment horizontal="center" vertical="center"/>
    </xf>
    <xf numFmtId="0" fontId="1" fillId="19" borderId="6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 wrapText="1" readingOrder="2"/>
    </xf>
    <xf numFmtId="0" fontId="1" fillId="0" borderId="7" xfId="0" applyFont="1" applyFill="1" applyBorder="1" applyAlignment="1" applyProtection="1">
      <alignment horizontal="center" vertical="center" wrapText="1" readingOrder="2"/>
    </xf>
    <xf numFmtId="0" fontId="1" fillId="0" borderId="8" xfId="0" applyFont="1" applyFill="1" applyBorder="1" applyAlignment="1" applyProtection="1">
      <alignment horizontal="center" vertical="center" wrapText="1" readingOrder="2"/>
    </xf>
    <xf numFmtId="0" fontId="12" fillId="0" borderId="1" xfId="0" applyFont="1" applyFill="1" applyBorder="1" applyAlignment="1" applyProtection="1">
      <alignment horizontal="center" vertical="center"/>
    </xf>
    <xf numFmtId="0" fontId="1" fillId="17" borderId="3" xfId="0" applyFont="1" applyFill="1" applyBorder="1" applyAlignment="1" applyProtection="1">
      <alignment horizontal="center" vertical="center"/>
    </xf>
    <xf numFmtId="0" fontId="1" fillId="17" borderId="7" xfId="0" applyFont="1" applyFill="1" applyBorder="1" applyAlignment="1" applyProtection="1">
      <alignment horizontal="center" vertical="center"/>
    </xf>
    <xf numFmtId="0" fontId="1" fillId="17" borderId="8" xfId="0" applyFont="1" applyFill="1" applyBorder="1" applyAlignment="1" applyProtection="1">
      <alignment horizontal="center" vertical="center"/>
    </xf>
    <xf numFmtId="0" fontId="13" fillId="0" borderId="1" xfId="0" applyFont="1" applyBorder="1" applyAlignment="1" applyProtection="1">
      <alignment horizontal="center" vertical="center"/>
    </xf>
    <xf numFmtId="2" fontId="1" fillId="4" borderId="1" xfId="0" applyNumberFormat="1" applyFont="1" applyFill="1" applyBorder="1" applyAlignment="1" applyProtection="1">
      <alignment horizontal="center" vertical="center"/>
    </xf>
    <xf numFmtId="2" fontId="11" fillId="16" borderId="3" xfId="0" applyNumberFormat="1" applyFont="1" applyFill="1" applyBorder="1" applyAlignment="1" applyProtection="1">
      <alignment horizontal="center" vertical="center"/>
    </xf>
    <xf numFmtId="2" fontId="11" fillId="16" borderId="8" xfId="0" applyNumberFormat="1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/>
    </xf>
    <xf numFmtId="0" fontId="1" fillId="8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1" fillId="16" borderId="1" xfId="0" applyFont="1" applyFill="1" applyBorder="1" applyAlignment="1" applyProtection="1">
      <alignment horizontal="center" vertical="center"/>
    </xf>
    <xf numFmtId="0" fontId="1" fillId="15" borderId="15" xfId="0" applyFont="1" applyFill="1" applyBorder="1" applyAlignment="1" applyProtection="1">
      <alignment horizontal="center" vertical="center"/>
    </xf>
    <xf numFmtId="0" fontId="1" fillId="15" borderId="16" xfId="0" applyFont="1" applyFill="1" applyBorder="1" applyAlignment="1" applyProtection="1">
      <alignment horizontal="center" vertical="center"/>
    </xf>
    <xf numFmtId="0" fontId="1" fillId="15" borderId="4" xfId="0" applyFont="1" applyFill="1" applyBorder="1" applyAlignment="1" applyProtection="1">
      <alignment horizontal="center" vertical="center"/>
    </xf>
    <xf numFmtId="0" fontId="1" fillId="15" borderId="11" xfId="0" applyFont="1" applyFill="1" applyBorder="1" applyAlignment="1" applyProtection="1">
      <alignment horizontal="center" vertical="center"/>
    </xf>
    <xf numFmtId="0" fontId="1" fillId="15" borderId="9" xfId="0" applyFont="1" applyFill="1" applyBorder="1" applyAlignment="1" applyProtection="1">
      <alignment horizontal="center" vertical="center"/>
    </xf>
    <xf numFmtId="0" fontId="1" fillId="15" borderId="12" xfId="0" applyFont="1" applyFill="1" applyBorder="1" applyAlignment="1" applyProtection="1">
      <alignment horizontal="center" vertical="center"/>
    </xf>
    <xf numFmtId="0" fontId="17" fillId="24" borderId="5" xfId="0" applyFont="1" applyFill="1" applyBorder="1" applyAlignment="1" applyProtection="1">
      <alignment horizontal="center" vertical="center" wrapText="1"/>
    </xf>
    <xf numFmtId="0" fontId="17" fillId="24" borderId="2" xfId="0" applyFont="1" applyFill="1" applyBorder="1" applyAlignment="1" applyProtection="1">
      <alignment horizontal="center" vertical="center" wrapText="1"/>
    </xf>
    <xf numFmtId="0" fontId="17" fillId="24" borderId="6" xfId="0" applyFont="1" applyFill="1" applyBorder="1" applyAlignment="1" applyProtection="1">
      <alignment horizontal="center" vertical="center" wrapText="1"/>
    </xf>
    <xf numFmtId="0" fontId="3" fillId="21" borderId="15" xfId="0" applyFont="1" applyFill="1" applyBorder="1" applyAlignment="1" applyProtection="1">
      <alignment horizontal="center" vertical="center"/>
    </xf>
    <xf numFmtId="0" fontId="3" fillId="21" borderId="16" xfId="0" applyFont="1" applyFill="1" applyBorder="1" applyAlignment="1" applyProtection="1">
      <alignment horizontal="center" vertical="center"/>
    </xf>
    <xf numFmtId="0" fontId="3" fillId="21" borderId="4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8" borderId="5" xfId="0" applyFont="1" applyFill="1" applyBorder="1" applyAlignment="1" applyProtection="1">
      <alignment horizontal="center" vertical="center"/>
      <protection locked="0"/>
    </xf>
    <xf numFmtId="2" fontId="18" fillId="8" borderId="6" xfId="0" applyNumberFormat="1" applyFont="1" applyFill="1" applyBorder="1" applyAlignment="1" applyProtection="1">
      <alignment horizontal="center" vertical="center"/>
    </xf>
    <xf numFmtId="0" fontId="3" fillId="21" borderId="6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0" fontId="3" fillId="2" borderId="16" xfId="0" applyFont="1" applyFill="1" applyBorder="1" applyAlignment="1" applyProtection="1">
      <alignment horizontal="center" vertical="center"/>
    </xf>
    <xf numFmtId="0" fontId="3" fillId="2" borderId="10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</xf>
    <xf numFmtId="0" fontId="3" fillId="21" borderId="10" xfId="0" applyFont="1" applyFill="1" applyBorder="1" applyAlignment="1" applyProtection="1">
      <alignment horizontal="center" vertical="center"/>
    </xf>
    <xf numFmtId="0" fontId="3" fillId="21" borderId="0" xfId="0" applyFont="1" applyFill="1" applyBorder="1" applyAlignment="1" applyProtection="1">
      <alignment horizontal="center" vertical="center"/>
    </xf>
    <xf numFmtId="0" fontId="3" fillId="21" borderId="21" xfId="0" applyFont="1" applyFill="1" applyBorder="1" applyAlignment="1" applyProtection="1">
      <alignment horizontal="center" vertical="center"/>
    </xf>
    <xf numFmtId="0" fontId="3" fillId="20" borderId="4" xfId="0" applyFont="1" applyFill="1" applyBorder="1" applyAlignment="1" applyProtection="1">
      <alignment horizontal="center" vertical="center"/>
    </xf>
    <xf numFmtId="0" fontId="3" fillId="20" borderId="21" xfId="0" applyFont="1" applyFill="1" applyBorder="1" applyAlignment="1" applyProtection="1">
      <alignment horizontal="center" vertical="center"/>
    </xf>
    <xf numFmtId="0" fontId="3" fillId="20" borderId="12" xfId="0" applyFont="1" applyFill="1" applyBorder="1" applyAlignment="1" applyProtection="1">
      <alignment horizontal="center" vertical="center"/>
    </xf>
    <xf numFmtId="0" fontId="17" fillId="2" borderId="5" xfId="0" applyFont="1" applyFill="1" applyBorder="1" applyAlignment="1" applyProtection="1">
      <alignment horizontal="center" vertical="center" wrapText="1"/>
    </xf>
    <xf numFmtId="0" fontId="17" fillId="2" borderId="2" xfId="0" applyFont="1" applyFill="1" applyBorder="1" applyAlignment="1" applyProtection="1">
      <alignment horizontal="center" vertical="center" wrapText="1"/>
    </xf>
    <xf numFmtId="0" fontId="17" fillId="2" borderId="6" xfId="0" applyFont="1" applyFill="1" applyBorder="1" applyAlignment="1" applyProtection="1">
      <alignment horizontal="center" vertical="center" wrapText="1"/>
    </xf>
    <xf numFmtId="0" fontId="2" fillId="6" borderId="1" xfId="0" applyFont="1" applyFill="1" applyBorder="1" applyAlignment="1" applyProtection="1">
      <alignment horizontal="center" vertical="center" wrapText="1"/>
    </xf>
    <xf numFmtId="0" fontId="2" fillId="24" borderId="3" xfId="0" applyFont="1" applyFill="1" applyBorder="1" applyAlignment="1" applyProtection="1">
      <alignment horizontal="center" vertical="center"/>
    </xf>
    <xf numFmtId="0" fontId="2" fillId="24" borderId="8" xfId="0" applyFont="1" applyFill="1" applyBorder="1" applyAlignment="1" applyProtection="1">
      <alignment horizontal="center" vertical="center"/>
    </xf>
    <xf numFmtId="0" fontId="1" fillId="17" borderId="3" xfId="0" applyFont="1" applyFill="1" applyBorder="1" applyAlignment="1" applyProtection="1">
      <alignment horizontal="center" vertical="center" wrapText="1" readingOrder="2"/>
    </xf>
    <xf numFmtId="0" fontId="1" fillId="17" borderId="7" xfId="0" applyFont="1" applyFill="1" applyBorder="1" applyAlignment="1" applyProtection="1">
      <alignment horizontal="center" vertical="center" wrapText="1" readingOrder="2"/>
    </xf>
    <xf numFmtId="0" fontId="1" fillId="17" borderId="8" xfId="0" applyFont="1" applyFill="1" applyBorder="1" applyAlignment="1" applyProtection="1">
      <alignment horizontal="center" vertical="center" wrapText="1" readingOrder="2"/>
    </xf>
    <xf numFmtId="0" fontId="11" fillId="25" borderId="3" xfId="0" applyFont="1" applyFill="1" applyBorder="1" applyAlignment="1" applyProtection="1">
      <alignment horizontal="center" vertical="center"/>
    </xf>
    <xf numFmtId="0" fontId="11" fillId="25" borderId="7" xfId="0" applyFont="1" applyFill="1" applyBorder="1" applyAlignment="1" applyProtection="1">
      <alignment horizontal="center" vertical="center"/>
    </xf>
    <xf numFmtId="0" fontId="11" fillId="25" borderId="8" xfId="0" applyFont="1" applyFill="1" applyBorder="1" applyAlignment="1" applyProtection="1">
      <alignment horizontal="center" vertical="center"/>
    </xf>
    <xf numFmtId="2" fontId="24" fillId="16" borderId="3" xfId="0" applyNumberFormat="1" applyFont="1" applyFill="1" applyBorder="1" applyAlignment="1" applyProtection="1">
      <alignment horizontal="center" vertical="center"/>
    </xf>
    <xf numFmtId="2" fontId="24" fillId="16" borderId="8" xfId="0" applyNumberFormat="1" applyFont="1" applyFill="1" applyBorder="1" applyAlignment="1" applyProtection="1">
      <alignment horizontal="center" vertical="center"/>
    </xf>
    <xf numFmtId="2" fontId="11" fillId="8" borderId="3" xfId="0" applyNumberFormat="1" applyFont="1" applyFill="1" applyBorder="1" applyAlignment="1" applyProtection="1">
      <alignment horizontal="center" vertical="center"/>
    </xf>
    <xf numFmtId="2" fontId="11" fillId="8" borderId="8" xfId="0" applyNumberFormat="1" applyFont="1" applyFill="1" applyBorder="1" applyAlignment="1" applyProtection="1">
      <alignment horizontal="center" vertical="center"/>
    </xf>
    <xf numFmtId="0" fontId="23" fillId="16" borderId="3" xfId="0" applyFont="1" applyFill="1" applyBorder="1" applyAlignment="1" applyProtection="1">
      <alignment horizontal="center" vertical="center"/>
    </xf>
    <xf numFmtId="0" fontId="23" fillId="16" borderId="7" xfId="0" applyFont="1" applyFill="1" applyBorder="1" applyAlignment="1" applyProtection="1">
      <alignment horizontal="center" vertical="center"/>
    </xf>
    <xf numFmtId="0" fontId="23" fillId="16" borderId="8" xfId="0" applyFont="1" applyFill="1" applyBorder="1" applyAlignment="1" applyProtection="1">
      <alignment horizontal="center" vertical="center"/>
    </xf>
    <xf numFmtId="2" fontId="23" fillId="16" borderId="3" xfId="0" applyNumberFormat="1" applyFont="1" applyFill="1" applyBorder="1" applyAlignment="1" applyProtection="1">
      <alignment horizontal="center" vertical="center"/>
    </xf>
    <xf numFmtId="2" fontId="23" fillId="16" borderId="8" xfId="0" applyNumberFormat="1" applyFont="1" applyFill="1" applyBorder="1" applyAlignment="1" applyProtection="1">
      <alignment horizontal="center" vertical="center"/>
    </xf>
    <xf numFmtId="0" fontId="24" fillId="16" borderId="3" xfId="0" applyFont="1" applyFill="1" applyBorder="1" applyAlignment="1" applyProtection="1">
      <alignment horizontal="center" vertical="center"/>
    </xf>
    <xf numFmtId="0" fontId="24" fillId="16" borderId="7" xfId="0" applyFont="1" applyFill="1" applyBorder="1" applyAlignment="1" applyProtection="1">
      <alignment horizontal="center" vertical="center"/>
    </xf>
    <xf numFmtId="0" fontId="24" fillId="16" borderId="8" xfId="0" applyFont="1" applyFill="1" applyBorder="1" applyAlignment="1" applyProtection="1">
      <alignment horizontal="center" vertical="center"/>
    </xf>
    <xf numFmtId="0" fontId="1" fillId="19" borderId="10" xfId="0" applyFont="1" applyFill="1" applyBorder="1" applyAlignment="1" applyProtection="1">
      <alignment horizontal="center" vertical="center"/>
    </xf>
    <xf numFmtId="0" fontId="1" fillId="19" borderId="0" xfId="0" applyFont="1" applyFill="1" applyBorder="1" applyAlignment="1" applyProtection="1">
      <alignment horizontal="center" vertical="center"/>
    </xf>
    <xf numFmtId="0" fontId="1" fillId="19" borderId="21" xfId="0" applyFont="1" applyFill="1" applyBorder="1" applyAlignment="1" applyProtection="1">
      <alignment horizontal="center" vertical="center"/>
    </xf>
    <xf numFmtId="0" fontId="1" fillId="17" borderId="15" xfId="0" applyFont="1" applyFill="1" applyBorder="1" applyAlignment="1" applyProtection="1">
      <alignment horizontal="center" vertical="center"/>
    </xf>
    <xf numFmtId="0" fontId="1" fillId="17" borderId="16" xfId="0" applyFont="1" applyFill="1" applyBorder="1" applyAlignment="1" applyProtection="1">
      <alignment horizontal="center" vertical="center"/>
    </xf>
    <xf numFmtId="0" fontId="1" fillId="17" borderId="4" xfId="0" applyFont="1" applyFill="1" applyBorder="1" applyAlignment="1" applyProtection="1">
      <alignment horizontal="center" vertical="center"/>
    </xf>
    <xf numFmtId="0" fontId="1" fillId="17" borderId="11" xfId="0" applyFont="1" applyFill="1" applyBorder="1" applyAlignment="1" applyProtection="1">
      <alignment horizontal="center" vertical="center"/>
    </xf>
    <xf numFmtId="0" fontId="1" fillId="17" borderId="9" xfId="0" applyFont="1" applyFill="1" applyBorder="1" applyAlignment="1" applyProtection="1">
      <alignment horizontal="center" vertical="center"/>
    </xf>
    <xf numFmtId="0" fontId="1" fillId="17" borderId="12" xfId="0" applyFont="1" applyFill="1" applyBorder="1" applyAlignment="1" applyProtection="1">
      <alignment horizontal="center" vertical="center"/>
    </xf>
    <xf numFmtId="0" fontId="3" fillId="17" borderId="5" xfId="0" applyFont="1" applyFill="1" applyBorder="1" applyAlignment="1" applyProtection="1">
      <alignment horizontal="center" vertical="center"/>
    </xf>
    <xf numFmtId="0" fontId="3" fillId="17" borderId="2" xfId="0" applyFont="1" applyFill="1" applyBorder="1" applyAlignment="1" applyProtection="1">
      <alignment horizontal="center" vertical="center"/>
    </xf>
    <xf numFmtId="0" fontId="3" fillId="17" borderId="6" xfId="0" applyFont="1" applyFill="1" applyBorder="1" applyAlignment="1" applyProtection="1">
      <alignment horizontal="center" vertical="center"/>
    </xf>
    <xf numFmtId="0" fontId="3" fillId="17" borderId="15" xfId="0" applyFont="1" applyFill="1" applyBorder="1" applyAlignment="1" applyProtection="1">
      <alignment horizontal="center" vertical="center"/>
    </xf>
    <xf numFmtId="0" fontId="3" fillId="17" borderId="4" xfId="0" applyFont="1" applyFill="1" applyBorder="1" applyAlignment="1" applyProtection="1">
      <alignment horizontal="center" vertical="center"/>
    </xf>
    <xf numFmtId="0" fontId="3" fillId="17" borderId="11" xfId="0" applyFont="1" applyFill="1" applyBorder="1" applyAlignment="1" applyProtection="1">
      <alignment horizontal="center" vertical="center"/>
    </xf>
    <xf numFmtId="0" fontId="3" fillId="17" borderId="9" xfId="0" applyFont="1" applyFill="1" applyBorder="1" applyAlignment="1" applyProtection="1">
      <alignment horizontal="center" vertical="center"/>
    </xf>
    <xf numFmtId="0" fontId="3" fillId="17" borderId="12" xfId="0" applyFont="1" applyFill="1" applyBorder="1" applyAlignment="1" applyProtection="1">
      <alignment horizontal="center" vertical="center"/>
    </xf>
    <xf numFmtId="0" fontId="3" fillId="17" borderId="16" xfId="0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17" borderId="1" xfId="0" applyFont="1" applyFill="1" applyBorder="1" applyAlignment="1" applyProtection="1">
      <alignment horizontal="center" vertical="center" shrinkToFit="1"/>
    </xf>
    <xf numFmtId="0" fontId="3" fillId="17" borderId="1" xfId="0" applyFont="1" applyFill="1" applyBorder="1" applyAlignment="1" applyProtection="1">
      <alignment horizontal="center" vertical="center" textRotation="90" shrinkToFit="1"/>
    </xf>
    <xf numFmtId="0" fontId="16" fillId="17" borderId="17" xfId="0" applyFont="1" applyFill="1" applyBorder="1" applyAlignment="1" applyProtection="1">
      <alignment horizontal="center" vertical="center"/>
    </xf>
    <xf numFmtId="0" fontId="16" fillId="17" borderId="18" xfId="0" applyFont="1" applyFill="1" applyBorder="1" applyAlignment="1" applyProtection="1">
      <alignment horizontal="center" vertical="center"/>
    </xf>
    <xf numFmtId="0" fontId="16" fillId="17" borderId="19" xfId="0" applyFont="1" applyFill="1" applyBorder="1" applyAlignment="1" applyProtection="1">
      <alignment horizontal="center" vertical="center"/>
    </xf>
    <xf numFmtId="0" fontId="16" fillId="17" borderId="20" xfId="0" applyFont="1" applyFill="1" applyBorder="1" applyAlignment="1" applyProtection="1">
      <alignment horizontal="center" vertical="center"/>
    </xf>
    <xf numFmtId="0" fontId="16" fillId="17" borderId="13" xfId="0" applyFont="1" applyFill="1" applyBorder="1" applyAlignment="1" applyProtection="1">
      <alignment horizontal="center" vertical="center"/>
    </xf>
    <xf numFmtId="0" fontId="16" fillId="17" borderId="1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3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0000FF"/>
      <color rgb="FF99FF99"/>
      <color rgb="FFCCFFFF"/>
      <color rgb="FFFFFF99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://1.bp.blogspot.com/_SjeIpQaJngg/SPdaGEg_pYI/AAAAAAAADwI/rJZ1sDVfkAg/s400/550px-Coat_of_arms_of_Morocco.svg.png" TargetMode="External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http://1.bp.blogspot.com/_SjeIpQaJngg/SPdaGEg_pYI/AAAAAAAADwI/rJZ1sDVfkAg/s400/550px-Coat_of_arms_of_Morocco.svg.png" TargetMode="External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http://1.bp.blogspot.com/_SjeIpQaJngg/SPdaGEg_pYI/AAAAAAAADwI/rJZ1sDVfkAg/s400/550px-Coat_of_arms_of_Morocco.svg.png" TargetMode="External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160931</xdr:colOff>
      <xdr:row>0</xdr:row>
      <xdr:rowOff>23555</xdr:rowOff>
    </xdr:from>
    <xdr:to>
      <xdr:col>7</xdr:col>
      <xdr:colOff>125887</xdr:colOff>
      <xdr:row>4</xdr:row>
      <xdr:rowOff>76955</xdr:rowOff>
    </xdr:to>
    <xdr:pic>
      <xdr:nvPicPr>
        <xdr:cNvPr id="2" name="Picture 3" descr="http://1.bp.blogspot.com/_SjeIpQaJngg/SPdaGEg_pYI/AAAAAAAADwI/rJZ1sDVfkAg/s400/550px-Coat_of_arms_of_Morocco.svg.png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822661" y="23555"/>
          <a:ext cx="917456" cy="8727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981997</xdr:colOff>
      <xdr:row>7</xdr:row>
      <xdr:rowOff>20484</xdr:rowOff>
    </xdr:from>
    <xdr:to>
      <xdr:col>6</xdr:col>
      <xdr:colOff>839430</xdr:colOff>
      <xdr:row>11</xdr:row>
      <xdr:rowOff>8808</xdr:rowOff>
    </xdr:to>
    <xdr:sp macro="" textlink="">
      <xdr:nvSpPr>
        <xdr:cNvPr id="3" name="AutoShape 4"/>
        <xdr:cNvSpPr>
          <a:spLocks noChangeArrowheads="1"/>
        </xdr:cNvSpPr>
      </xdr:nvSpPr>
      <xdr:spPr bwMode="auto">
        <a:xfrm>
          <a:off x="5032467586" y="1454355"/>
          <a:ext cx="2274529" cy="807679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</xdr:spPr>
      <xdr:txBody>
        <a:bodyPr vertOverflow="clip" wrap="square" lIns="54864" tIns="41148" rIns="54864" bIns="0" anchor="ctr" upright="1"/>
        <a:lstStyle/>
        <a:p>
          <a:pPr algn="ctr" rtl="0">
            <a:defRPr sz="1000"/>
          </a:pPr>
          <a:r>
            <a:rPr lang="ar-MA" sz="3600" b="1" i="0" strike="noStrike">
              <a:solidFill>
                <a:srgbClr val="000000"/>
              </a:solidFill>
              <a:latin typeface="Traditional Arabic" pitchFamily="18" charset="-78"/>
              <a:cs typeface="Traditional Arabic" pitchFamily="18" charset="-78"/>
            </a:rPr>
            <a:t>الجدول الدراسي</a:t>
          </a:r>
        </a:p>
      </xdr:txBody>
    </xdr:sp>
    <xdr:clientData/>
  </xdr:twoCellAnchor>
  <xdr:twoCellAnchor>
    <xdr:from>
      <xdr:col>15</xdr:col>
      <xdr:colOff>204840</xdr:colOff>
      <xdr:row>4</xdr:row>
      <xdr:rowOff>0</xdr:rowOff>
    </xdr:from>
    <xdr:to>
      <xdr:col>22</xdr:col>
      <xdr:colOff>61453</xdr:colOff>
      <xdr:row>7</xdr:row>
      <xdr:rowOff>10242</xdr:rowOff>
    </xdr:to>
    <xdr:sp macro="[0]!Empty_Info" textlink="">
      <xdr:nvSpPr>
        <xdr:cNvPr id="4" name="Ellipse 3"/>
        <xdr:cNvSpPr/>
      </xdr:nvSpPr>
      <xdr:spPr>
        <a:xfrm>
          <a:off x="5027294999" y="819355"/>
          <a:ext cx="1188065" cy="62475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 rtl="1"/>
          <a:r>
            <a:rPr lang="ar-DZ" sz="1500" b="1"/>
            <a:t>تفريغ</a:t>
          </a:r>
          <a:r>
            <a:rPr lang="ar-DZ" sz="1500" b="1" baseline="0"/>
            <a:t> الجدول</a:t>
          </a:r>
          <a:endParaRPr lang="fr-FR" sz="1500" b="1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243418</xdr:colOff>
      <xdr:row>0</xdr:row>
      <xdr:rowOff>105832</xdr:rowOff>
    </xdr:from>
    <xdr:to>
      <xdr:col>1</xdr:col>
      <xdr:colOff>709084</xdr:colOff>
      <xdr:row>6</xdr:row>
      <xdr:rowOff>21166</xdr:rowOff>
    </xdr:to>
    <xdr:sp macro="[0]!Empty_Data" textlink="">
      <xdr:nvSpPr>
        <xdr:cNvPr id="2" name="Ellipse 1"/>
        <xdr:cNvSpPr/>
      </xdr:nvSpPr>
      <xdr:spPr>
        <a:xfrm>
          <a:off x="10049774583" y="105832"/>
          <a:ext cx="751416" cy="112183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 rtl="1"/>
          <a:r>
            <a:rPr lang="ar-DZ" sz="1800" b="1"/>
            <a:t>تفريغ</a:t>
          </a:r>
          <a:r>
            <a:rPr lang="ar-DZ" sz="1800" b="1" baseline="0"/>
            <a:t> الجدول</a:t>
          </a:r>
          <a:endParaRPr lang="fr-FR" sz="18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306916</xdr:colOff>
      <xdr:row>0</xdr:row>
      <xdr:rowOff>5459</xdr:rowOff>
    </xdr:from>
    <xdr:to>
      <xdr:col>9</xdr:col>
      <xdr:colOff>195791</xdr:colOff>
      <xdr:row>4</xdr:row>
      <xdr:rowOff>124889</xdr:rowOff>
    </xdr:to>
    <xdr:pic>
      <xdr:nvPicPr>
        <xdr:cNvPr id="2165" name="Picture 3" descr="http://1.bp.blogspot.com/_SjeIpQaJngg/SPdaGEg_pYI/AAAAAAAADwI/rJZ1sDVfkAg/s400/550px-Coat_of_arms_of_Morocco.svg.png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76459" y="5459"/>
          <a:ext cx="1190625" cy="109309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0</xdr:colOff>
      <xdr:row>1</xdr:row>
      <xdr:rowOff>0</xdr:rowOff>
    </xdr:from>
    <xdr:to>
      <xdr:col>19</xdr:col>
      <xdr:colOff>342900</xdr:colOff>
      <xdr:row>3</xdr:row>
      <xdr:rowOff>137583</xdr:rowOff>
    </xdr:to>
    <xdr:sp macro="[0]!Print_All" textlink="">
      <xdr:nvSpPr>
        <xdr:cNvPr id="4" name="Ellipse 3"/>
        <xdr:cNvSpPr/>
      </xdr:nvSpPr>
      <xdr:spPr>
        <a:xfrm>
          <a:off x="7014105225" y="238125"/>
          <a:ext cx="1628775" cy="61383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 rtl="1"/>
          <a:r>
            <a:rPr lang="ar-DZ" sz="1800" b="1" baseline="0"/>
            <a:t>طباعة الكل</a:t>
          </a:r>
          <a:endParaRPr lang="fr-FR" sz="18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211666</xdr:colOff>
      <xdr:row>0</xdr:row>
      <xdr:rowOff>95250</xdr:rowOff>
    </xdr:from>
    <xdr:to>
      <xdr:col>1</xdr:col>
      <xdr:colOff>677332</xdr:colOff>
      <xdr:row>6</xdr:row>
      <xdr:rowOff>10584</xdr:rowOff>
    </xdr:to>
    <xdr:sp macro="[0]!Empty_Data" textlink="">
      <xdr:nvSpPr>
        <xdr:cNvPr id="2" name="Ellipse 1"/>
        <xdr:cNvSpPr/>
      </xdr:nvSpPr>
      <xdr:spPr>
        <a:xfrm>
          <a:off x="10049658168" y="95250"/>
          <a:ext cx="751416" cy="112183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 rtl="1"/>
          <a:r>
            <a:rPr lang="ar-DZ" sz="1800" b="1"/>
            <a:t>تفريغ</a:t>
          </a:r>
          <a:r>
            <a:rPr lang="ar-DZ" sz="1800" b="1" baseline="0"/>
            <a:t> الجدول</a:t>
          </a:r>
          <a:endParaRPr lang="fr-FR" sz="18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306916</xdr:colOff>
      <xdr:row>0</xdr:row>
      <xdr:rowOff>5459</xdr:rowOff>
    </xdr:from>
    <xdr:to>
      <xdr:col>9</xdr:col>
      <xdr:colOff>195791</xdr:colOff>
      <xdr:row>4</xdr:row>
      <xdr:rowOff>124889</xdr:rowOff>
    </xdr:to>
    <xdr:pic>
      <xdr:nvPicPr>
        <xdr:cNvPr id="2" name="Picture 3" descr="http://1.bp.blogspot.com/_SjeIpQaJngg/SPdaGEg_pYI/AAAAAAAADwI/rJZ1sDVfkAg/s400/550px-Coat_of_arms_of_Morocco.svg.png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252959" y="5459"/>
          <a:ext cx="917575" cy="107193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433916</xdr:colOff>
      <xdr:row>1</xdr:row>
      <xdr:rowOff>0</xdr:rowOff>
    </xdr:from>
    <xdr:to>
      <xdr:col>19</xdr:col>
      <xdr:colOff>317499</xdr:colOff>
      <xdr:row>3</xdr:row>
      <xdr:rowOff>127000</xdr:rowOff>
    </xdr:to>
    <xdr:sp macro="[0]!Module2.Print_All" textlink="">
      <xdr:nvSpPr>
        <xdr:cNvPr id="3" name="Ellipse 2"/>
        <xdr:cNvSpPr/>
      </xdr:nvSpPr>
      <xdr:spPr>
        <a:xfrm>
          <a:off x="7100728751" y="243417"/>
          <a:ext cx="1619250" cy="61383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 rtl="1"/>
          <a:r>
            <a:rPr lang="fr-FR" sz="1800" b="1" baseline="0"/>
            <a:t>print</a:t>
          </a:r>
          <a:endParaRPr lang="fr-FR" sz="18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200025</xdr:colOff>
          <xdr:row>8</xdr:row>
          <xdr:rowOff>95250</xdr:rowOff>
        </xdr:from>
        <xdr:to>
          <xdr:col>24</xdr:col>
          <xdr:colOff>390525</xdr:colOff>
          <xdr:row>10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&#1602;&#1575;&#1593;&#1583;&#1577;_&#1605;_&#1605;_&#1593;&#1605;&#1585;&#1608;%20&#1576;&#1606;%20&#1575;&#1604;&#1593;&#1575;&#1589;_2014_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BD"/>
      <sheetName val="الإحصاء الرسمي"/>
      <sheetName val="إحصاء الفرعيات"/>
      <sheetName val="جداول الدراسة  "/>
      <sheetName val="مليون محفضة"/>
      <sheetName val="الوزرة"/>
      <sheetName val="المطعم"/>
      <sheetName val="التأمين"/>
      <sheetName val="الغير الملتحقين"/>
      <sheetName val="المعاد تسجيلهم"/>
      <sheetName val="التلاميــذ الوافدون"/>
      <sheetName val="التلاميــذ المغادرون"/>
      <sheetName val="التلاميــذ المنقطعون"/>
      <sheetName val="aide"/>
    </sheetNames>
    <sheetDataSet>
      <sheetData sheetId="0">
        <row r="7">
          <cell r="H7" t="str">
            <v>الأول</v>
          </cell>
          <cell r="I7" t="str">
            <v xml:space="preserve">المركزية </v>
          </cell>
        </row>
        <row r="8">
          <cell r="H8" t="str">
            <v>الثاني</v>
          </cell>
        </row>
        <row r="9">
          <cell r="H9" t="str">
            <v>الثالث</v>
          </cell>
        </row>
        <row r="10">
          <cell r="H10" t="str">
            <v xml:space="preserve">الرابع </v>
          </cell>
        </row>
        <row r="11">
          <cell r="H11" t="str">
            <v>الخامس</v>
          </cell>
        </row>
        <row r="12">
          <cell r="H12" t="str">
            <v>السادس</v>
          </cell>
        </row>
        <row r="13">
          <cell r="H13" t="str">
            <v>الأول+الثاني</v>
          </cell>
        </row>
        <row r="14">
          <cell r="H14" t="str">
            <v>الثالث+الرابع</v>
          </cell>
        </row>
        <row r="15">
          <cell r="H15" t="str">
            <v>الخامس+السادس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00FF"/>
  </sheetPr>
  <dimension ref="A1:V65"/>
  <sheetViews>
    <sheetView rightToLeft="1" view="pageBreakPreview" zoomScale="93" zoomScaleNormal="100" zoomScaleSheetLayoutView="93" workbookViewId="0">
      <selection activeCell="O12" sqref="O12"/>
    </sheetView>
  </sheetViews>
  <sheetFormatPr baseColWidth="10" defaultColWidth="4.5703125" defaultRowHeight="15.75" x14ac:dyDescent="0.25"/>
  <cols>
    <col min="1" max="1" width="4.5703125" style="8"/>
    <col min="2" max="2" width="13.28515625" style="8" customWidth="1"/>
    <col min="3" max="3" width="17.85546875" style="8" customWidth="1"/>
    <col min="4" max="5" width="4.42578125" style="8" customWidth="1"/>
    <col min="6" max="6" width="9.5703125" style="8" customWidth="1"/>
    <col min="7" max="7" width="14.28515625" style="8" customWidth="1"/>
    <col min="8" max="8" width="13" style="8" customWidth="1"/>
    <col min="9" max="14" width="4.7109375" style="8" customWidth="1"/>
    <col min="15" max="15" width="5.85546875" style="8" customWidth="1"/>
    <col min="16" max="16" width="6.140625" bestFit="1" customWidth="1"/>
    <col min="20" max="20" width="0" style="8" hidden="1" customWidth="1"/>
    <col min="21" max="22" width="0" style="86" hidden="1" customWidth="1"/>
    <col min="23" max="16384" width="4.5703125" style="8"/>
  </cols>
  <sheetData>
    <row r="1" spans="1:22" x14ac:dyDescent="0.25">
      <c r="A1" s="93" t="s">
        <v>38</v>
      </c>
      <c r="B1" s="93"/>
      <c r="C1" s="93"/>
      <c r="D1" s="68"/>
      <c r="E1" s="68"/>
      <c r="F1" s="23"/>
      <c r="G1" s="23"/>
      <c r="J1" s="92" t="s">
        <v>156</v>
      </c>
      <c r="K1" s="92"/>
      <c r="L1" s="92"/>
      <c r="M1" s="92" t="s">
        <v>160</v>
      </c>
      <c r="N1" s="92"/>
      <c r="O1" s="92"/>
      <c r="P1" s="89" t="s">
        <v>157</v>
      </c>
      <c r="Q1" s="89"/>
      <c r="R1" s="89"/>
      <c r="S1" s="89"/>
      <c r="T1" s="8">
        <v>0</v>
      </c>
      <c r="U1" s="86" t="s">
        <v>130</v>
      </c>
    </row>
    <row r="2" spans="1:22" x14ac:dyDescent="0.25">
      <c r="A2" s="93" t="s">
        <v>39</v>
      </c>
      <c r="B2" s="93"/>
      <c r="C2" s="93"/>
      <c r="D2" s="68"/>
      <c r="E2" s="68"/>
      <c r="F2" s="23"/>
      <c r="G2" s="23"/>
      <c r="J2" s="92" t="s">
        <v>63</v>
      </c>
      <c r="K2" s="92"/>
      <c r="L2" s="92"/>
      <c r="M2" s="92" t="s">
        <v>125</v>
      </c>
      <c r="N2" s="92"/>
      <c r="O2" s="92"/>
      <c r="P2" s="90" t="s">
        <v>52</v>
      </c>
      <c r="Q2" s="90"/>
      <c r="R2" s="90"/>
      <c r="S2" s="90"/>
      <c r="T2" s="8">
        <v>1</v>
      </c>
      <c r="U2" s="86" t="s">
        <v>131</v>
      </c>
      <c r="V2" s="86" t="s">
        <v>71</v>
      </c>
    </row>
    <row r="3" spans="1:22" x14ac:dyDescent="0.25">
      <c r="A3" s="93" t="s">
        <v>57</v>
      </c>
      <c r="B3" s="93"/>
      <c r="C3" s="93"/>
      <c r="D3" s="68"/>
      <c r="E3" s="68"/>
      <c r="F3" s="23"/>
      <c r="G3" s="23"/>
      <c r="J3" s="92" t="s">
        <v>64</v>
      </c>
      <c r="K3" s="92"/>
      <c r="L3" s="92"/>
      <c r="M3" s="92" t="s">
        <v>44</v>
      </c>
      <c r="N3" s="92"/>
      <c r="O3" s="92"/>
      <c r="P3" s="91">
        <v>0</v>
      </c>
      <c r="Q3" s="91"/>
      <c r="R3" s="91"/>
      <c r="S3" s="91"/>
    </row>
    <row r="4" spans="1:22" x14ac:dyDescent="0.25">
      <c r="A4" s="93" t="s">
        <v>100</v>
      </c>
      <c r="B4" s="93"/>
      <c r="C4" s="93"/>
      <c r="D4" s="68"/>
      <c r="E4" s="68"/>
      <c r="F4" s="23"/>
      <c r="G4" s="23"/>
      <c r="J4" s="92" t="s">
        <v>65</v>
      </c>
      <c r="K4" s="92"/>
      <c r="L4" s="92"/>
      <c r="M4" s="92" t="s">
        <v>126</v>
      </c>
      <c r="N4" s="92"/>
      <c r="O4" s="92"/>
    </row>
    <row r="5" spans="1:22" x14ac:dyDescent="0.25">
      <c r="A5" s="93" t="s">
        <v>127</v>
      </c>
      <c r="B5" s="93"/>
      <c r="C5" s="93"/>
      <c r="D5" s="68"/>
      <c r="E5" s="68"/>
      <c r="F5" s="23"/>
      <c r="G5" s="23"/>
      <c r="J5" s="92" t="s">
        <v>66</v>
      </c>
      <c r="K5" s="92"/>
      <c r="L5" s="92"/>
      <c r="M5" s="92">
        <v>1</v>
      </c>
      <c r="N5" s="92"/>
      <c r="O5" s="92"/>
    </row>
    <row r="6" spans="1:22" x14ac:dyDescent="0.25">
      <c r="A6" s="93" t="s">
        <v>128</v>
      </c>
      <c r="B6" s="93"/>
      <c r="C6" s="93"/>
      <c r="D6" s="68"/>
      <c r="E6" s="68"/>
      <c r="F6" s="23"/>
      <c r="G6" s="23"/>
      <c r="J6" s="96" t="s">
        <v>7</v>
      </c>
      <c r="K6" s="96"/>
      <c r="L6" s="96"/>
      <c r="M6" s="96">
        <f>O12</f>
        <v>25</v>
      </c>
      <c r="N6" s="96"/>
      <c r="O6" s="96"/>
    </row>
    <row r="8" spans="1:22" x14ac:dyDescent="0.25">
      <c r="K8"/>
      <c r="L8" s="90" t="s">
        <v>69</v>
      </c>
      <c r="M8" s="90"/>
      <c r="N8" s="90"/>
      <c r="O8" s="90"/>
    </row>
    <row r="9" spans="1:22" x14ac:dyDescent="0.25">
      <c r="K9"/>
      <c r="L9" s="22"/>
      <c r="M9" s="22" t="s">
        <v>67</v>
      </c>
      <c r="N9" s="22" t="s">
        <v>71</v>
      </c>
      <c r="O9" s="22" t="s">
        <v>26</v>
      </c>
    </row>
    <row r="10" spans="1:22" x14ac:dyDescent="0.25">
      <c r="K10"/>
      <c r="L10" s="22" t="s">
        <v>25</v>
      </c>
      <c r="M10" s="87">
        <f>SUMPRODUCT(($D$16:$D$65="ذ")*($E$16:$E$65=""))</f>
        <v>11</v>
      </c>
      <c r="N10" s="87">
        <f>SUMPRODUCT(($D$16:$D$65="ذ")*($E$16:$E$65="مك"))</f>
        <v>3</v>
      </c>
      <c r="O10" s="22">
        <f>SUM(M10:N10)</f>
        <v>14</v>
      </c>
    </row>
    <row r="11" spans="1:22" x14ac:dyDescent="0.25">
      <c r="K11"/>
      <c r="L11" s="22" t="s">
        <v>68</v>
      </c>
      <c r="M11" s="87">
        <f>SUMPRODUCT(($D$16:$D$65="أ")*($E$16:$E$65=""))</f>
        <v>10</v>
      </c>
      <c r="N11" s="87">
        <f>SUMPRODUCT(($D$16:$D$65="أ")*($E$16:$E$65="مك"))</f>
        <v>1</v>
      </c>
      <c r="O11" s="22">
        <f>SUM(M11:N11)</f>
        <v>11</v>
      </c>
    </row>
    <row r="12" spans="1:22" x14ac:dyDescent="0.25">
      <c r="K12"/>
      <c r="L12" s="22" t="s">
        <v>36</v>
      </c>
      <c r="M12" s="22">
        <f>SUM(M10:M11)</f>
        <v>21</v>
      </c>
      <c r="N12" s="22">
        <f>SUM(N10:N11)</f>
        <v>4</v>
      </c>
      <c r="O12" s="22">
        <f>SUM(O10:O11)</f>
        <v>25</v>
      </c>
    </row>
    <row r="13" spans="1:22" ht="7.5" customHeight="1" x14ac:dyDescent="0.25"/>
    <row r="14" spans="1:22" ht="15.75" customHeight="1" x14ac:dyDescent="0.25">
      <c r="A14" s="94" t="s">
        <v>21</v>
      </c>
      <c r="B14" s="94" t="s">
        <v>35</v>
      </c>
      <c r="C14" s="94" t="s">
        <v>22</v>
      </c>
      <c r="D14" s="102" t="s">
        <v>129</v>
      </c>
      <c r="E14" s="102" t="s">
        <v>145</v>
      </c>
      <c r="F14" s="20" t="s">
        <v>58</v>
      </c>
      <c r="G14" s="20" t="s">
        <v>59</v>
      </c>
      <c r="H14" s="20" t="s">
        <v>59</v>
      </c>
      <c r="I14" s="97" t="s">
        <v>60</v>
      </c>
      <c r="J14" s="98"/>
      <c r="K14" s="98"/>
      <c r="L14" s="98"/>
      <c r="M14" s="98"/>
      <c r="N14" s="99"/>
      <c r="O14" s="100" t="s">
        <v>50</v>
      </c>
    </row>
    <row r="15" spans="1:22" ht="15.75" customHeight="1" x14ac:dyDescent="0.25">
      <c r="A15" s="95"/>
      <c r="B15" s="95"/>
      <c r="C15" s="95"/>
      <c r="D15" s="103"/>
      <c r="E15" s="103"/>
      <c r="F15" s="21" t="s">
        <v>61</v>
      </c>
      <c r="G15" s="21" t="s">
        <v>161</v>
      </c>
      <c r="H15" s="21" t="s">
        <v>62</v>
      </c>
      <c r="I15" s="19">
        <v>1</v>
      </c>
      <c r="J15" s="19">
        <v>2</v>
      </c>
      <c r="K15" s="19">
        <v>3</v>
      </c>
      <c r="L15" s="19">
        <v>4</v>
      </c>
      <c r="M15" s="19">
        <v>5</v>
      </c>
      <c r="N15" s="19">
        <v>6</v>
      </c>
      <c r="O15" s="101"/>
    </row>
    <row r="16" spans="1:22" x14ac:dyDescent="0.25">
      <c r="A16" s="56">
        <f>IF($C16="","",MAX($A$15:$A15)+1)</f>
        <v>1</v>
      </c>
      <c r="B16" s="56">
        <v>1</v>
      </c>
      <c r="C16" s="57" t="s">
        <v>101</v>
      </c>
      <c r="D16" s="56" t="s">
        <v>130</v>
      </c>
      <c r="E16" s="56" t="s">
        <v>71</v>
      </c>
      <c r="F16" s="56"/>
      <c r="G16" s="69">
        <v>38526</v>
      </c>
      <c r="H16" s="56"/>
      <c r="I16" s="56"/>
      <c r="J16" s="56"/>
      <c r="K16" s="56"/>
      <c r="L16" s="56"/>
      <c r="M16" s="56"/>
      <c r="N16" s="56"/>
      <c r="O16" s="56"/>
    </row>
    <row r="17" spans="1:15" x14ac:dyDescent="0.25">
      <c r="A17" s="56">
        <f>IF($C17="","",MAX($A$15:$A16)+1)</f>
        <v>2</v>
      </c>
      <c r="B17" s="56">
        <v>2</v>
      </c>
      <c r="C17" s="57" t="s">
        <v>102</v>
      </c>
      <c r="D17" s="56" t="s">
        <v>130</v>
      </c>
      <c r="E17" s="56"/>
      <c r="F17" s="56"/>
      <c r="G17" s="69">
        <v>39521</v>
      </c>
      <c r="H17" s="56"/>
      <c r="I17" s="56"/>
      <c r="J17" s="56"/>
      <c r="K17" s="56"/>
      <c r="L17" s="56"/>
      <c r="M17" s="56"/>
      <c r="N17" s="56"/>
      <c r="O17" s="56"/>
    </row>
    <row r="18" spans="1:15" x14ac:dyDescent="0.25">
      <c r="A18" s="56">
        <f>IF($C18="","",MAX($A$15:$A17)+1)</f>
        <v>3</v>
      </c>
      <c r="B18" s="56">
        <v>3</v>
      </c>
      <c r="C18" s="57" t="s">
        <v>103</v>
      </c>
      <c r="D18" s="56" t="s">
        <v>131</v>
      </c>
      <c r="E18" s="56"/>
      <c r="F18" s="56"/>
      <c r="G18" s="69">
        <v>39362</v>
      </c>
      <c r="H18" s="56"/>
      <c r="I18" s="56"/>
      <c r="J18" s="56"/>
      <c r="K18" s="56"/>
      <c r="L18" s="56"/>
      <c r="M18" s="56"/>
      <c r="N18" s="56"/>
      <c r="O18" s="56"/>
    </row>
    <row r="19" spans="1:15" x14ac:dyDescent="0.25">
      <c r="A19" s="56">
        <f>IF($C19="","",MAX($A$15:$A18)+1)</f>
        <v>4</v>
      </c>
      <c r="B19" s="56">
        <v>4</v>
      </c>
      <c r="C19" s="57" t="s">
        <v>104</v>
      </c>
      <c r="D19" s="56" t="s">
        <v>130</v>
      </c>
      <c r="E19" s="56"/>
      <c r="F19" s="56"/>
      <c r="G19" s="69">
        <v>39788</v>
      </c>
      <c r="H19" s="56"/>
      <c r="I19" s="56"/>
      <c r="J19" s="56"/>
      <c r="K19" s="56"/>
      <c r="L19" s="56"/>
      <c r="M19" s="56"/>
      <c r="N19" s="56"/>
      <c r="O19" s="56"/>
    </row>
    <row r="20" spans="1:15" x14ac:dyDescent="0.25">
      <c r="A20" s="56">
        <f>IF($C20="","",MAX($A$15:$A19)+1)</f>
        <v>5</v>
      </c>
      <c r="B20" s="56">
        <v>5</v>
      </c>
      <c r="C20" s="57" t="s">
        <v>105</v>
      </c>
      <c r="D20" s="56" t="s">
        <v>130</v>
      </c>
      <c r="E20" s="56" t="s">
        <v>71</v>
      </c>
      <c r="F20" s="56"/>
      <c r="G20" s="69">
        <v>39639</v>
      </c>
      <c r="H20" s="56"/>
      <c r="I20" s="56"/>
      <c r="J20" s="56"/>
      <c r="K20" s="56"/>
      <c r="L20" s="56"/>
      <c r="M20" s="56"/>
      <c r="N20" s="56"/>
      <c r="O20" s="56"/>
    </row>
    <row r="21" spans="1:15" x14ac:dyDescent="0.25">
      <c r="A21" s="56">
        <f>IF($C21="","",MAX($A$15:$A20)+1)</f>
        <v>6</v>
      </c>
      <c r="B21" s="56">
        <v>6</v>
      </c>
      <c r="C21" s="57" t="s">
        <v>106</v>
      </c>
      <c r="D21" s="56" t="s">
        <v>131</v>
      </c>
      <c r="E21" s="56"/>
      <c r="F21" s="56"/>
      <c r="G21" s="69">
        <v>39455</v>
      </c>
      <c r="H21" s="56"/>
      <c r="I21" s="56"/>
      <c r="J21" s="56"/>
      <c r="K21" s="56"/>
      <c r="L21" s="56"/>
      <c r="M21" s="56"/>
      <c r="N21" s="56"/>
      <c r="O21" s="56"/>
    </row>
    <row r="22" spans="1:15" x14ac:dyDescent="0.25">
      <c r="A22" s="56">
        <f>IF($C22="","",MAX($A$15:$A21)+1)</f>
        <v>7</v>
      </c>
      <c r="B22" s="56">
        <v>7</v>
      </c>
      <c r="C22" s="57" t="s">
        <v>107</v>
      </c>
      <c r="D22" s="56" t="s">
        <v>130</v>
      </c>
      <c r="E22" s="56" t="s">
        <v>71</v>
      </c>
      <c r="F22" s="56"/>
      <c r="G22" s="69">
        <v>39815</v>
      </c>
      <c r="H22" s="56"/>
      <c r="I22" s="56"/>
      <c r="J22" s="56"/>
      <c r="K22" s="56"/>
      <c r="L22" s="56"/>
      <c r="M22" s="56"/>
      <c r="N22" s="56"/>
      <c r="O22" s="56"/>
    </row>
    <row r="23" spans="1:15" x14ac:dyDescent="0.25">
      <c r="A23" s="56">
        <f>IF($C23="","",MAX($A$15:$A22)+1)</f>
        <v>8</v>
      </c>
      <c r="B23" s="56">
        <v>8</v>
      </c>
      <c r="C23" s="57" t="s">
        <v>108</v>
      </c>
      <c r="D23" s="56" t="s">
        <v>130</v>
      </c>
      <c r="E23" s="56"/>
      <c r="F23" s="56"/>
      <c r="G23" s="69">
        <v>39656</v>
      </c>
      <c r="H23" s="56"/>
      <c r="I23" s="56"/>
      <c r="J23" s="56"/>
      <c r="K23" s="56"/>
      <c r="L23" s="56"/>
      <c r="M23" s="56"/>
      <c r="N23" s="56"/>
      <c r="O23" s="56"/>
    </row>
    <row r="24" spans="1:15" x14ac:dyDescent="0.25">
      <c r="A24" s="56">
        <f>IF($C24="","",MAX($A$15:$A23)+1)</f>
        <v>9</v>
      </c>
      <c r="B24" s="56">
        <v>9</v>
      </c>
      <c r="C24" s="57" t="s">
        <v>109</v>
      </c>
      <c r="D24" s="56" t="s">
        <v>130</v>
      </c>
      <c r="E24" s="56"/>
      <c r="F24" s="56"/>
      <c r="G24" s="69">
        <v>39645</v>
      </c>
      <c r="H24" s="56"/>
      <c r="I24" s="56"/>
      <c r="J24" s="56"/>
      <c r="K24" s="56"/>
      <c r="L24" s="56"/>
      <c r="M24" s="56"/>
      <c r="N24" s="56"/>
      <c r="O24" s="56"/>
    </row>
    <row r="25" spans="1:15" x14ac:dyDescent="0.25">
      <c r="A25" s="56">
        <f>IF($C25="","",MAX($A$15:$A24)+1)</f>
        <v>10</v>
      </c>
      <c r="B25" s="56">
        <v>10</v>
      </c>
      <c r="C25" s="57" t="s">
        <v>110</v>
      </c>
      <c r="D25" s="56" t="s">
        <v>131</v>
      </c>
      <c r="E25" s="56" t="s">
        <v>71</v>
      </c>
      <c r="F25" s="56"/>
      <c r="G25" s="69">
        <v>39887</v>
      </c>
      <c r="H25" s="56"/>
      <c r="I25" s="56"/>
      <c r="J25" s="56"/>
      <c r="K25" s="56"/>
      <c r="L25" s="56"/>
      <c r="M25" s="56"/>
      <c r="N25" s="56"/>
      <c r="O25" s="56"/>
    </row>
    <row r="26" spans="1:15" x14ac:dyDescent="0.25">
      <c r="A26" s="56">
        <f>IF($C26="","",MAX($A$15:$A25)+1)</f>
        <v>11</v>
      </c>
      <c r="B26" s="56">
        <v>11</v>
      </c>
      <c r="C26" s="57" t="s">
        <v>111</v>
      </c>
      <c r="D26" s="56" t="s">
        <v>130</v>
      </c>
      <c r="E26" s="56"/>
      <c r="F26" s="56"/>
      <c r="G26" s="69">
        <v>39642</v>
      </c>
      <c r="H26" s="56"/>
      <c r="I26" s="56"/>
      <c r="J26" s="56"/>
      <c r="K26" s="56"/>
      <c r="L26" s="56"/>
      <c r="M26" s="56"/>
      <c r="N26" s="56"/>
      <c r="O26" s="56"/>
    </row>
    <row r="27" spans="1:15" x14ac:dyDescent="0.25">
      <c r="A27" s="56">
        <f>IF($C27="","",MAX($A$15:$A26)+1)</f>
        <v>12</v>
      </c>
      <c r="B27" s="56">
        <v>12</v>
      </c>
      <c r="C27" s="57" t="s">
        <v>112</v>
      </c>
      <c r="D27" s="56" t="s">
        <v>130</v>
      </c>
      <c r="E27" s="56"/>
      <c r="F27" s="56"/>
      <c r="G27" s="69">
        <v>39447</v>
      </c>
      <c r="H27" s="56"/>
      <c r="I27" s="56"/>
      <c r="J27" s="56"/>
      <c r="K27" s="56"/>
      <c r="L27" s="56"/>
      <c r="M27" s="56"/>
      <c r="N27" s="56"/>
      <c r="O27" s="56"/>
    </row>
    <row r="28" spans="1:15" x14ac:dyDescent="0.25">
      <c r="A28" s="56">
        <f>IF($C28="","",MAX($A$15:$A27)+1)</f>
        <v>13</v>
      </c>
      <c r="B28" s="56">
        <v>13</v>
      </c>
      <c r="C28" s="57" t="s">
        <v>113</v>
      </c>
      <c r="D28" s="56" t="s">
        <v>131</v>
      </c>
      <c r="E28" s="56"/>
      <c r="F28" s="56"/>
      <c r="G28" s="69">
        <v>39545</v>
      </c>
      <c r="H28" s="56"/>
      <c r="I28" s="56"/>
      <c r="J28" s="56"/>
      <c r="K28" s="56"/>
      <c r="L28" s="56"/>
      <c r="M28" s="56"/>
      <c r="N28" s="56"/>
      <c r="O28" s="56"/>
    </row>
    <row r="29" spans="1:15" x14ac:dyDescent="0.25">
      <c r="A29" s="56">
        <f>IF($C29="","",MAX($A$15:$A28)+1)</f>
        <v>14</v>
      </c>
      <c r="B29" s="56">
        <v>14</v>
      </c>
      <c r="C29" s="57" t="s">
        <v>114</v>
      </c>
      <c r="D29" s="56" t="s">
        <v>130</v>
      </c>
      <c r="E29" s="56"/>
      <c r="F29" s="56"/>
      <c r="G29" s="69">
        <v>39552</v>
      </c>
      <c r="H29" s="56"/>
      <c r="I29" s="56"/>
      <c r="J29" s="56"/>
      <c r="K29" s="56"/>
      <c r="L29" s="56"/>
      <c r="M29" s="56"/>
      <c r="N29" s="56"/>
      <c r="O29" s="56"/>
    </row>
    <row r="30" spans="1:15" x14ac:dyDescent="0.25">
      <c r="A30" s="56">
        <f>IF($C30="","",MAX($A$15:$A29)+1)</f>
        <v>15</v>
      </c>
      <c r="B30" s="56">
        <v>15</v>
      </c>
      <c r="C30" s="57" t="s">
        <v>115</v>
      </c>
      <c r="D30" s="56" t="s">
        <v>130</v>
      </c>
      <c r="E30" s="56"/>
      <c r="F30" s="56"/>
      <c r="G30" s="69">
        <v>39673</v>
      </c>
      <c r="H30" s="56"/>
      <c r="I30" s="56"/>
      <c r="J30" s="56"/>
      <c r="K30" s="56"/>
      <c r="L30" s="56"/>
      <c r="M30" s="56"/>
      <c r="N30" s="56"/>
      <c r="O30" s="56"/>
    </row>
    <row r="31" spans="1:15" x14ac:dyDescent="0.25">
      <c r="A31" s="56">
        <f>IF($C31="","",MAX($A$15:$A30)+1)</f>
        <v>16</v>
      </c>
      <c r="B31" s="56">
        <v>16</v>
      </c>
      <c r="C31" s="57" t="s">
        <v>116</v>
      </c>
      <c r="D31" s="56" t="s">
        <v>131</v>
      </c>
      <c r="E31" s="56"/>
      <c r="F31" s="56"/>
      <c r="G31" s="69">
        <v>39837</v>
      </c>
      <c r="H31" s="56"/>
      <c r="I31" s="56"/>
      <c r="J31" s="56"/>
      <c r="K31" s="56"/>
      <c r="L31" s="56"/>
      <c r="M31" s="56"/>
      <c r="N31" s="56"/>
      <c r="O31" s="56"/>
    </row>
    <row r="32" spans="1:15" x14ac:dyDescent="0.25">
      <c r="A32" s="56">
        <f>IF($C32="","",MAX($A$15:$A31)+1)</f>
        <v>17</v>
      </c>
      <c r="B32" s="56">
        <v>17</v>
      </c>
      <c r="C32" s="57" t="s">
        <v>117</v>
      </c>
      <c r="D32" s="56" t="s">
        <v>131</v>
      </c>
      <c r="E32" s="56"/>
      <c r="F32" s="56"/>
      <c r="G32" s="69">
        <v>39813</v>
      </c>
      <c r="H32" s="56"/>
      <c r="I32" s="56"/>
      <c r="J32" s="56"/>
      <c r="K32" s="56"/>
      <c r="L32" s="56"/>
      <c r="M32" s="56"/>
      <c r="N32" s="56"/>
      <c r="O32" s="56"/>
    </row>
    <row r="33" spans="1:15" x14ac:dyDescent="0.25">
      <c r="A33" s="56">
        <f>IF($C33="","",MAX($A$15:$A32)+1)</f>
        <v>18</v>
      </c>
      <c r="B33" s="56">
        <v>18</v>
      </c>
      <c r="C33" s="57" t="s">
        <v>118</v>
      </c>
      <c r="D33" s="56" t="s">
        <v>130</v>
      </c>
      <c r="E33" s="56"/>
      <c r="F33" s="56"/>
      <c r="G33" s="69">
        <v>39864</v>
      </c>
      <c r="H33" s="56"/>
      <c r="I33" s="56"/>
      <c r="J33" s="56"/>
      <c r="K33" s="56"/>
      <c r="L33" s="56"/>
      <c r="M33" s="56"/>
      <c r="N33" s="56"/>
      <c r="O33" s="56"/>
    </row>
    <row r="34" spans="1:15" x14ac:dyDescent="0.25">
      <c r="A34" s="56">
        <f>IF($C34="","",MAX($A$15:$A33)+1)</f>
        <v>19</v>
      </c>
      <c r="B34" s="56">
        <v>19</v>
      </c>
      <c r="C34" s="57" t="s">
        <v>102</v>
      </c>
      <c r="D34" s="56" t="s">
        <v>130</v>
      </c>
      <c r="E34" s="56"/>
      <c r="F34" s="56"/>
      <c r="G34" s="69">
        <v>39815</v>
      </c>
      <c r="H34" s="56"/>
      <c r="I34" s="56"/>
      <c r="J34" s="56"/>
      <c r="K34" s="56"/>
      <c r="L34" s="56"/>
      <c r="M34" s="56"/>
      <c r="N34" s="56"/>
      <c r="O34" s="56"/>
    </row>
    <row r="35" spans="1:15" x14ac:dyDescent="0.25">
      <c r="A35" s="56">
        <f>IF($C35="","",MAX($A$15:$A34)+1)</f>
        <v>20</v>
      </c>
      <c r="B35" s="56">
        <v>20</v>
      </c>
      <c r="C35" s="57" t="s">
        <v>119</v>
      </c>
      <c r="D35" s="56" t="s">
        <v>130</v>
      </c>
      <c r="E35" s="56"/>
      <c r="F35" s="56"/>
      <c r="G35" s="69">
        <v>39713</v>
      </c>
      <c r="H35" s="56"/>
      <c r="I35" s="56"/>
      <c r="J35" s="56"/>
      <c r="K35" s="56"/>
      <c r="L35" s="56"/>
      <c r="M35" s="56"/>
      <c r="N35" s="56"/>
      <c r="O35" s="56"/>
    </row>
    <row r="36" spans="1:15" x14ac:dyDescent="0.25">
      <c r="A36" s="56">
        <f>IF($C36="","",MAX($A$15:$A35)+1)</f>
        <v>21</v>
      </c>
      <c r="B36" s="56">
        <v>21</v>
      </c>
      <c r="C36" s="57" t="s">
        <v>120</v>
      </c>
      <c r="D36" s="56" t="s">
        <v>131</v>
      </c>
      <c r="E36" s="56"/>
      <c r="F36" s="56"/>
      <c r="G36" s="69">
        <v>39550</v>
      </c>
      <c r="H36" s="56"/>
      <c r="I36" s="56"/>
      <c r="J36" s="56"/>
      <c r="K36" s="56"/>
      <c r="L36" s="56"/>
      <c r="M36" s="56"/>
      <c r="N36" s="56"/>
      <c r="O36" s="56"/>
    </row>
    <row r="37" spans="1:15" x14ac:dyDescent="0.25">
      <c r="A37" s="56">
        <f>IF($C37="","",MAX($A$15:$A36)+1)</f>
        <v>22</v>
      </c>
      <c r="B37" s="56">
        <v>22</v>
      </c>
      <c r="C37" s="57" t="s">
        <v>121</v>
      </c>
      <c r="D37" s="56" t="s">
        <v>131</v>
      </c>
      <c r="E37" s="56"/>
      <c r="F37" s="56"/>
      <c r="G37" s="69">
        <v>39804</v>
      </c>
      <c r="H37" s="56"/>
      <c r="I37" s="56"/>
      <c r="J37" s="56"/>
      <c r="K37" s="56"/>
      <c r="L37" s="56"/>
      <c r="M37" s="56"/>
      <c r="N37" s="56"/>
      <c r="O37" s="56"/>
    </row>
    <row r="38" spans="1:15" x14ac:dyDescent="0.25">
      <c r="A38" s="56">
        <f>IF($C38="","",MAX($A$15:$A37)+1)</f>
        <v>23</v>
      </c>
      <c r="B38" s="56">
        <v>23</v>
      </c>
      <c r="C38" s="57" t="s">
        <v>122</v>
      </c>
      <c r="D38" s="56" t="s">
        <v>131</v>
      </c>
      <c r="E38" s="56"/>
      <c r="F38" s="56"/>
      <c r="G38" s="69">
        <v>39781</v>
      </c>
      <c r="H38" s="56"/>
      <c r="I38" s="56"/>
      <c r="J38" s="56"/>
      <c r="K38" s="56"/>
      <c r="L38" s="56"/>
      <c r="M38" s="56"/>
      <c r="N38" s="56"/>
      <c r="O38" s="56"/>
    </row>
    <row r="39" spans="1:15" x14ac:dyDescent="0.25">
      <c r="A39" s="56">
        <f>IF($C39="","",MAX($A$15:$A38)+1)</f>
        <v>24</v>
      </c>
      <c r="B39" s="56">
        <v>24</v>
      </c>
      <c r="C39" s="57" t="s">
        <v>123</v>
      </c>
      <c r="D39" s="56" t="s">
        <v>131</v>
      </c>
      <c r="E39" s="56"/>
      <c r="F39" s="56"/>
      <c r="G39" s="69">
        <v>39623</v>
      </c>
      <c r="H39" s="56"/>
      <c r="I39" s="56"/>
      <c r="J39" s="56"/>
      <c r="K39" s="56"/>
      <c r="L39" s="56"/>
      <c r="M39" s="56"/>
      <c r="N39" s="56"/>
      <c r="O39" s="56"/>
    </row>
    <row r="40" spans="1:15" x14ac:dyDescent="0.25">
      <c r="A40" s="56">
        <f>IF($C40="","",MAX($A$15:$A39)+1)</f>
        <v>25</v>
      </c>
      <c r="B40" s="56">
        <v>25</v>
      </c>
      <c r="C40" s="57" t="s">
        <v>124</v>
      </c>
      <c r="D40" s="56" t="s">
        <v>131</v>
      </c>
      <c r="E40" s="56"/>
      <c r="F40" s="56"/>
      <c r="G40" s="69">
        <v>39606</v>
      </c>
      <c r="H40" s="56"/>
      <c r="I40" s="56"/>
      <c r="J40" s="56"/>
      <c r="K40" s="56"/>
      <c r="L40" s="56"/>
      <c r="M40" s="56"/>
      <c r="N40" s="56"/>
      <c r="O40" s="56"/>
    </row>
    <row r="41" spans="1:15" x14ac:dyDescent="0.25">
      <c r="A41" s="56" t="str">
        <f>IF($C41="","",MAX($A$15:$A40)+1)</f>
        <v/>
      </c>
      <c r="B41" s="56"/>
      <c r="C41" s="57"/>
      <c r="D41" s="56"/>
      <c r="E41" s="56"/>
      <c r="F41" s="56"/>
      <c r="G41" s="69"/>
      <c r="H41" s="56"/>
      <c r="I41" s="56"/>
      <c r="J41" s="56"/>
      <c r="K41" s="56"/>
      <c r="L41" s="56"/>
      <c r="M41" s="56"/>
      <c r="N41" s="56"/>
      <c r="O41" s="56"/>
    </row>
    <row r="42" spans="1:15" x14ac:dyDescent="0.25">
      <c r="A42" s="56" t="str">
        <f>IF($C42="","",MAX($A$15:$A41)+1)</f>
        <v/>
      </c>
      <c r="B42" s="56"/>
      <c r="C42" s="57"/>
      <c r="D42" s="56"/>
      <c r="E42" s="56"/>
      <c r="F42" s="56"/>
      <c r="G42" s="69"/>
      <c r="H42" s="56"/>
      <c r="I42" s="56"/>
      <c r="J42" s="56"/>
      <c r="K42" s="56"/>
      <c r="L42" s="56"/>
      <c r="M42" s="56"/>
      <c r="N42" s="56"/>
      <c r="O42" s="56"/>
    </row>
    <row r="43" spans="1:15" x14ac:dyDescent="0.25">
      <c r="A43" s="56" t="str">
        <f>IF($C43="","",MAX($A$15:$A42)+1)</f>
        <v/>
      </c>
      <c r="B43" s="56"/>
      <c r="C43" s="57"/>
      <c r="D43" s="56"/>
      <c r="E43" s="56"/>
      <c r="F43" s="56"/>
      <c r="G43" s="69"/>
      <c r="H43" s="56"/>
      <c r="I43" s="56"/>
      <c r="J43" s="56"/>
      <c r="K43" s="56"/>
      <c r="L43" s="56"/>
      <c r="M43" s="56"/>
      <c r="N43" s="56"/>
      <c r="O43" s="56"/>
    </row>
    <row r="44" spans="1:15" x14ac:dyDescent="0.25">
      <c r="A44" s="56" t="str">
        <f>IF($C44="","",MAX($A$15:$A43)+1)</f>
        <v/>
      </c>
      <c r="B44" s="56"/>
      <c r="C44" s="57"/>
      <c r="D44" s="56"/>
      <c r="E44" s="56"/>
      <c r="F44" s="56"/>
      <c r="G44" s="69"/>
      <c r="H44" s="56"/>
      <c r="I44" s="56"/>
      <c r="J44" s="56"/>
      <c r="K44" s="56"/>
      <c r="L44" s="56"/>
      <c r="M44" s="56"/>
      <c r="N44" s="56"/>
      <c r="O44" s="56"/>
    </row>
    <row r="45" spans="1:15" x14ac:dyDescent="0.25">
      <c r="A45" s="56" t="str">
        <f>IF($C45="","",MAX($A$15:$A44)+1)</f>
        <v/>
      </c>
      <c r="B45" s="56"/>
      <c r="C45" s="57"/>
      <c r="D45" s="56"/>
      <c r="E45" s="56"/>
      <c r="F45" s="56"/>
      <c r="G45" s="69"/>
      <c r="H45" s="56"/>
      <c r="I45" s="56"/>
      <c r="J45" s="56"/>
      <c r="K45" s="56"/>
      <c r="L45" s="56"/>
      <c r="M45" s="56"/>
      <c r="N45" s="56"/>
      <c r="O45" s="56"/>
    </row>
    <row r="46" spans="1:15" x14ac:dyDescent="0.25">
      <c r="A46" s="56" t="str">
        <f>IF($C46="","",MAX($A$15:$A45)+1)</f>
        <v/>
      </c>
      <c r="B46" s="56"/>
      <c r="C46" s="57"/>
      <c r="D46" s="56"/>
      <c r="E46" s="56"/>
      <c r="F46" s="56"/>
      <c r="G46" s="69"/>
      <c r="H46" s="56"/>
      <c r="I46" s="56"/>
      <c r="J46" s="56"/>
      <c r="K46" s="56"/>
      <c r="L46" s="56"/>
      <c r="M46" s="56"/>
      <c r="N46" s="56"/>
      <c r="O46" s="56"/>
    </row>
    <row r="47" spans="1:15" x14ac:dyDescent="0.25">
      <c r="A47" s="56" t="str">
        <f>IF($C47="","",MAX($A$15:$A46)+1)</f>
        <v/>
      </c>
      <c r="B47" s="56"/>
      <c r="C47" s="57"/>
      <c r="D47" s="56"/>
      <c r="E47" s="56"/>
      <c r="F47" s="56"/>
      <c r="G47" s="69"/>
      <c r="H47" s="56"/>
      <c r="I47" s="56"/>
      <c r="J47" s="56"/>
      <c r="K47" s="56"/>
      <c r="L47" s="56"/>
      <c r="M47" s="56"/>
      <c r="N47" s="56"/>
      <c r="O47" s="56"/>
    </row>
    <row r="48" spans="1:15" x14ac:dyDescent="0.25">
      <c r="A48" s="56" t="str">
        <f>IF($C48="","",MAX($A$15:$A47)+1)</f>
        <v/>
      </c>
      <c r="B48" s="56"/>
      <c r="C48" s="57"/>
      <c r="D48" s="56"/>
      <c r="E48" s="56"/>
      <c r="F48" s="56"/>
      <c r="G48" s="69"/>
      <c r="H48" s="56"/>
      <c r="I48" s="56"/>
      <c r="J48" s="56"/>
      <c r="K48" s="56"/>
      <c r="L48" s="56"/>
      <c r="M48" s="56"/>
      <c r="N48" s="56"/>
      <c r="O48" s="56"/>
    </row>
    <row r="49" spans="1:15" x14ac:dyDescent="0.25">
      <c r="A49" s="56" t="str">
        <f>IF($C49="","",MAX($A$15:$A48)+1)</f>
        <v/>
      </c>
      <c r="B49" s="56"/>
      <c r="C49" s="57"/>
      <c r="D49" s="56"/>
      <c r="E49" s="56"/>
      <c r="F49" s="56"/>
      <c r="G49" s="69"/>
      <c r="H49" s="56"/>
      <c r="I49" s="56"/>
      <c r="J49" s="56"/>
      <c r="K49" s="56"/>
      <c r="L49" s="56"/>
      <c r="M49" s="56"/>
      <c r="N49" s="56"/>
      <c r="O49" s="56"/>
    </row>
    <row r="50" spans="1:15" x14ac:dyDescent="0.25">
      <c r="A50" s="56" t="str">
        <f>IF($C50="","",MAX($A$15:$A49)+1)</f>
        <v/>
      </c>
      <c r="B50" s="56"/>
      <c r="C50" s="57"/>
      <c r="D50" s="56"/>
      <c r="E50" s="56"/>
      <c r="F50" s="56"/>
      <c r="G50" s="69"/>
      <c r="H50" s="56"/>
      <c r="I50" s="56"/>
      <c r="J50" s="56"/>
      <c r="K50" s="56"/>
      <c r="L50" s="56"/>
      <c r="M50" s="56"/>
      <c r="N50" s="56"/>
      <c r="O50" s="56"/>
    </row>
    <row r="51" spans="1:15" x14ac:dyDescent="0.25">
      <c r="A51" s="56" t="str">
        <f>IF($C51="","",MAX($A$15:$A50)+1)</f>
        <v/>
      </c>
      <c r="B51" s="56"/>
      <c r="C51" s="57"/>
      <c r="D51" s="56"/>
      <c r="E51" s="56"/>
      <c r="F51" s="56"/>
      <c r="G51" s="69"/>
      <c r="H51" s="56"/>
      <c r="I51" s="56"/>
      <c r="J51" s="56"/>
      <c r="K51" s="56"/>
      <c r="L51" s="56"/>
      <c r="M51" s="56"/>
      <c r="N51" s="56"/>
      <c r="O51" s="56"/>
    </row>
    <row r="52" spans="1:15" x14ac:dyDescent="0.25">
      <c r="A52" s="56" t="str">
        <f>IF($C52="","",MAX($A$15:$A51)+1)</f>
        <v/>
      </c>
      <c r="B52" s="56"/>
      <c r="C52" s="57"/>
      <c r="D52" s="56"/>
      <c r="E52" s="56"/>
      <c r="F52" s="56"/>
      <c r="G52" s="69"/>
      <c r="H52" s="56"/>
      <c r="I52" s="56"/>
      <c r="J52" s="56"/>
      <c r="K52" s="56"/>
      <c r="L52" s="56"/>
      <c r="M52" s="56"/>
      <c r="N52" s="56"/>
      <c r="O52" s="56"/>
    </row>
    <row r="53" spans="1:15" x14ac:dyDescent="0.25">
      <c r="A53" s="56" t="str">
        <f>IF($C53="","",MAX($A$15:$A52)+1)</f>
        <v/>
      </c>
      <c r="B53" s="56"/>
      <c r="C53" s="57"/>
      <c r="D53" s="56"/>
      <c r="E53" s="56"/>
      <c r="F53" s="56"/>
      <c r="G53" s="69"/>
      <c r="H53" s="56"/>
      <c r="I53" s="56"/>
      <c r="J53" s="56"/>
      <c r="K53" s="56"/>
      <c r="L53" s="56"/>
      <c r="M53" s="56"/>
      <c r="N53" s="56"/>
      <c r="O53" s="56"/>
    </row>
    <row r="54" spans="1:15" x14ac:dyDescent="0.25">
      <c r="A54" s="56" t="str">
        <f>IF($C54="","",MAX($A$15:$A53)+1)</f>
        <v/>
      </c>
      <c r="B54" s="56"/>
      <c r="C54" s="57"/>
      <c r="D54" s="56"/>
      <c r="E54" s="56"/>
      <c r="F54" s="56"/>
      <c r="G54" s="69"/>
      <c r="H54" s="56"/>
      <c r="I54" s="56"/>
      <c r="J54" s="56"/>
      <c r="K54" s="56"/>
      <c r="L54" s="56"/>
      <c r="M54" s="56"/>
      <c r="N54" s="56"/>
      <c r="O54" s="56"/>
    </row>
    <row r="55" spans="1:15" x14ac:dyDescent="0.25">
      <c r="A55" s="56" t="str">
        <f>IF($C55="","",MAX($A$15:$A54)+1)</f>
        <v/>
      </c>
      <c r="B55" s="56"/>
      <c r="C55" s="57"/>
      <c r="D55" s="56"/>
      <c r="E55" s="56"/>
      <c r="F55" s="56"/>
      <c r="G55" s="69"/>
      <c r="H55" s="56"/>
      <c r="I55" s="56"/>
      <c r="J55" s="56"/>
      <c r="K55" s="56"/>
      <c r="L55" s="56"/>
      <c r="M55" s="56"/>
      <c r="N55" s="56"/>
      <c r="O55" s="56"/>
    </row>
    <row r="56" spans="1:15" x14ac:dyDescent="0.25">
      <c r="A56" s="56" t="str">
        <f>IF($C56="","",MAX($A$15:$A55)+1)</f>
        <v/>
      </c>
      <c r="B56" s="56"/>
      <c r="C56" s="57"/>
      <c r="D56" s="56"/>
      <c r="E56" s="56"/>
      <c r="F56" s="56"/>
      <c r="G56" s="69"/>
      <c r="H56" s="56"/>
      <c r="I56" s="56"/>
      <c r="J56" s="56"/>
      <c r="K56" s="56"/>
      <c r="L56" s="56"/>
      <c r="M56" s="56"/>
      <c r="N56" s="56"/>
      <c r="O56" s="56"/>
    </row>
    <row r="57" spans="1:15" x14ac:dyDescent="0.25">
      <c r="A57" s="56" t="str">
        <f>IF($C57="","",MAX($A$15:$A56)+1)</f>
        <v/>
      </c>
      <c r="B57" s="56"/>
      <c r="C57" s="57"/>
      <c r="D57" s="56"/>
      <c r="E57" s="56"/>
      <c r="F57" s="56"/>
      <c r="G57" s="69"/>
      <c r="H57" s="56"/>
      <c r="I57" s="56"/>
      <c r="J57" s="56"/>
      <c r="K57" s="56"/>
      <c r="L57" s="56"/>
      <c r="M57" s="56"/>
      <c r="N57" s="56"/>
      <c r="O57" s="56"/>
    </row>
    <row r="58" spans="1:15" x14ac:dyDescent="0.25">
      <c r="A58" s="56" t="str">
        <f>IF($C58="","",MAX($A$15:$A57)+1)</f>
        <v/>
      </c>
      <c r="B58" s="56"/>
      <c r="C58" s="57"/>
      <c r="D58" s="56"/>
      <c r="E58" s="56"/>
      <c r="F58" s="56"/>
      <c r="G58" s="69"/>
      <c r="H58" s="56"/>
      <c r="I58" s="56"/>
      <c r="J58" s="56"/>
      <c r="K58" s="56"/>
      <c r="L58" s="56"/>
      <c r="M58" s="56"/>
      <c r="N58" s="56"/>
      <c r="O58" s="56"/>
    </row>
    <row r="59" spans="1:15" x14ac:dyDescent="0.25">
      <c r="A59" s="56" t="str">
        <f>IF($C59="","",MAX($A$15:$A58)+1)</f>
        <v/>
      </c>
      <c r="B59" s="56"/>
      <c r="C59" s="57"/>
      <c r="D59" s="56"/>
      <c r="E59" s="56"/>
      <c r="F59" s="56"/>
      <c r="G59" s="69"/>
      <c r="H59" s="56"/>
      <c r="I59" s="56"/>
      <c r="J59" s="56"/>
      <c r="K59" s="56"/>
      <c r="L59" s="56"/>
      <c r="M59" s="56"/>
      <c r="N59" s="56"/>
      <c r="O59" s="56"/>
    </row>
    <row r="60" spans="1:15" x14ac:dyDescent="0.25">
      <c r="A60" s="56" t="str">
        <f>IF($C60="","",MAX($A$15:$A59)+1)</f>
        <v/>
      </c>
      <c r="B60" s="56"/>
      <c r="C60" s="57"/>
      <c r="D60" s="56"/>
      <c r="E60" s="56"/>
      <c r="F60" s="56"/>
      <c r="G60" s="69"/>
      <c r="H60" s="56"/>
      <c r="I60" s="56"/>
      <c r="J60" s="56"/>
      <c r="K60" s="56"/>
      <c r="L60" s="56"/>
      <c r="M60" s="56"/>
      <c r="N60" s="56"/>
      <c r="O60" s="56"/>
    </row>
    <row r="61" spans="1:15" x14ac:dyDescent="0.25">
      <c r="A61" s="56" t="str">
        <f>IF($C61="","",MAX($A$15:$A60)+1)</f>
        <v/>
      </c>
      <c r="B61" s="56"/>
      <c r="C61" s="57"/>
      <c r="D61" s="56"/>
      <c r="E61" s="56"/>
      <c r="F61" s="56"/>
      <c r="G61" s="69"/>
      <c r="H61" s="56"/>
      <c r="I61" s="56"/>
      <c r="J61" s="56"/>
      <c r="K61" s="56"/>
      <c r="L61" s="56"/>
      <c r="M61" s="56"/>
      <c r="N61" s="56"/>
      <c r="O61" s="56"/>
    </row>
    <row r="62" spans="1:15" x14ac:dyDescent="0.25">
      <c r="A62" s="56" t="str">
        <f>IF($C62="","",MAX($A$15:$A61)+1)</f>
        <v/>
      </c>
      <c r="B62" s="56"/>
      <c r="C62" s="57"/>
      <c r="D62" s="56"/>
      <c r="E62" s="56"/>
      <c r="F62" s="56"/>
      <c r="G62" s="69"/>
      <c r="H62" s="56"/>
      <c r="I62" s="56"/>
      <c r="J62" s="56"/>
      <c r="K62" s="56"/>
      <c r="L62" s="56"/>
      <c r="M62" s="56"/>
      <c r="N62" s="56"/>
      <c r="O62" s="56"/>
    </row>
    <row r="63" spans="1:15" x14ac:dyDescent="0.25">
      <c r="A63" s="56" t="str">
        <f>IF($C63="","",MAX($A$15:$A62)+1)</f>
        <v/>
      </c>
      <c r="B63" s="56"/>
      <c r="C63" s="57"/>
      <c r="D63" s="56"/>
      <c r="E63" s="56"/>
      <c r="F63" s="56"/>
      <c r="G63" s="69"/>
      <c r="H63" s="56"/>
      <c r="I63" s="56"/>
      <c r="J63" s="56"/>
      <c r="K63" s="56"/>
      <c r="L63" s="56"/>
      <c r="M63" s="56"/>
      <c r="N63" s="56"/>
      <c r="O63" s="56"/>
    </row>
    <row r="64" spans="1:15" x14ac:dyDescent="0.25">
      <c r="A64" s="56" t="str">
        <f>IF($C64="","",MAX($A$15:$A63)+1)</f>
        <v/>
      </c>
      <c r="B64" s="56"/>
      <c r="C64" s="57"/>
      <c r="D64" s="56"/>
      <c r="E64" s="56"/>
      <c r="F64" s="56"/>
      <c r="G64" s="69"/>
      <c r="H64" s="56"/>
      <c r="I64" s="56"/>
      <c r="J64" s="56"/>
      <c r="K64" s="56"/>
      <c r="L64" s="56"/>
      <c r="M64" s="56"/>
      <c r="N64" s="56"/>
      <c r="O64" s="56"/>
    </row>
    <row r="65" spans="1:15" x14ac:dyDescent="0.25">
      <c r="A65" s="56" t="str">
        <f>IF($C65="","",MAX($A$15:$A64)+1)</f>
        <v/>
      </c>
      <c r="B65" s="56"/>
      <c r="C65" s="57"/>
      <c r="D65" s="56"/>
      <c r="E65" s="56"/>
      <c r="F65" s="56"/>
      <c r="G65" s="69"/>
      <c r="H65" s="56"/>
      <c r="I65" s="56"/>
      <c r="J65" s="56"/>
      <c r="K65" s="56"/>
      <c r="L65" s="56"/>
      <c r="M65" s="56"/>
      <c r="N65" s="56"/>
      <c r="O65" s="56"/>
    </row>
  </sheetData>
  <mergeCells count="29">
    <mergeCell ref="A14:A15"/>
    <mergeCell ref="C14:C15"/>
    <mergeCell ref="J6:L6"/>
    <mergeCell ref="M6:O6"/>
    <mergeCell ref="L8:O8"/>
    <mergeCell ref="B14:B15"/>
    <mergeCell ref="A6:C6"/>
    <mergeCell ref="I14:N14"/>
    <mergeCell ref="O14:O15"/>
    <mergeCell ref="D14:D15"/>
    <mergeCell ref="E14:E15"/>
    <mergeCell ref="A1:C1"/>
    <mergeCell ref="A2:C2"/>
    <mergeCell ref="A3:C3"/>
    <mergeCell ref="A4:C4"/>
    <mergeCell ref="A5:C5"/>
    <mergeCell ref="J1:L1"/>
    <mergeCell ref="J2:L2"/>
    <mergeCell ref="J3:L3"/>
    <mergeCell ref="J4:L4"/>
    <mergeCell ref="J5:L5"/>
    <mergeCell ref="P1:S1"/>
    <mergeCell ref="P2:S2"/>
    <mergeCell ref="P3:S3"/>
    <mergeCell ref="M4:O4"/>
    <mergeCell ref="M5:O5"/>
    <mergeCell ref="M1:O1"/>
    <mergeCell ref="M2:O2"/>
    <mergeCell ref="M3:O3"/>
  </mergeCells>
  <dataValidations count="3">
    <dataValidation type="list" allowBlank="1" showInputMessage="1" showErrorMessage="1" sqref="P3">
      <formula1>matieres</formula1>
    </dataValidation>
    <dataValidation type="list" allowBlank="1" showInputMessage="1" showErrorMessage="1" sqref="D16:D65">
      <formula1>$U$1:$U$2</formula1>
    </dataValidation>
    <dataValidation type="list" allowBlank="1" showInputMessage="1" showErrorMessage="1" sqref="E16:E65">
      <formula1>$V$1:$V$2</formula1>
    </dataValidation>
  </dataValidations>
  <printOptions horizontalCentered="1" verticalCentered="1"/>
  <pageMargins left="0" right="0" top="0" bottom="0" header="0" footer="0"/>
  <pageSetup paperSize="9" scale="9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BA59"/>
  <sheetViews>
    <sheetView rightToLeft="1" topLeftCell="C1" zoomScale="90" zoomScaleNormal="90" workbookViewId="0">
      <selection activeCell="Y17" sqref="Y17"/>
    </sheetView>
  </sheetViews>
  <sheetFormatPr baseColWidth="10" defaultColWidth="9.140625" defaultRowHeight="15.75" x14ac:dyDescent="0.2"/>
  <cols>
    <col min="1" max="1" width="4.28515625" style="9" bestFit="1" customWidth="1"/>
    <col min="2" max="2" width="14.5703125" style="9" bestFit="1" customWidth="1"/>
    <col min="3" max="3" width="18.5703125" style="12" customWidth="1"/>
    <col min="4" max="4" width="14.28515625" style="72" customWidth="1"/>
    <col min="5" max="5" width="3.7109375" style="79" customWidth="1"/>
    <col min="6" max="6" width="8.7109375" style="12" bestFit="1" customWidth="1"/>
    <col min="7" max="45" width="6.7109375" style="9" customWidth="1"/>
    <col min="46" max="46" width="6" style="9" customWidth="1"/>
    <col min="47" max="47" width="7.5703125" style="9" bestFit="1" customWidth="1"/>
    <col min="48" max="49" width="9.140625" style="9"/>
    <col min="50" max="50" width="8.42578125" style="9" customWidth="1"/>
    <col min="51" max="51" width="10.85546875" style="9" bestFit="1" customWidth="1"/>
    <col min="52" max="16384" width="9.140625" style="9"/>
  </cols>
  <sheetData>
    <row r="1" spans="1:53" x14ac:dyDescent="0.2">
      <c r="C1" s="112" t="str">
        <f>info!$A$1</f>
        <v>المملكة المغربية</v>
      </c>
      <c r="D1" s="112"/>
      <c r="E1" s="112"/>
      <c r="F1" s="112"/>
      <c r="AD1" s="116" t="s">
        <v>158</v>
      </c>
      <c r="AE1" s="116"/>
      <c r="AF1" s="116"/>
      <c r="AG1" s="113" t="str">
        <f>info!M1</f>
        <v>2018-2017</v>
      </c>
      <c r="AH1" s="113"/>
      <c r="AI1" s="113"/>
    </row>
    <row r="2" spans="1:53" x14ac:dyDescent="0.2">
      <c r="C2" s="112" t="str">
        <f>info!$A$2</f>
        <v>وزارة التربية الوطنية و التكوين المهني</v>
      </c>
      <c r="D2" s="112"/>
      <c r="E2" s="112"/>
      <c r="F2" s="112"/>
      <c r="AD2" s="116" t="s">
        <v>159</v>
      </c>
      <c r="AE2" s="116"/>
      <c r="AF2" s="116"/>
      <c r="AG2" s="113" t="str">
        <f>info!$M$2</f>
        <v xml:space="preserve">هشام </v>
      </c>
      <c r="AH2" s="113"/>
      <c r="AI2" s="113"/>
    </row>
    <row r="3" spans="1:53" x14ac:dyDescent="0.2">
      <c r="C3" s="112" t="str">
        <f>info!$A$3</f>
        <v>الأكاديمية الجهوية للتربية والتكوين</v>
      </c>
      <c r="D3" s="112"/>
      <c r="E3" s="112"/>
      <c r="F3" s="112"/>
      <c r="AD3" s="116" t="s">
        <v>64</v>
      </c>
      <c r="AE3" s="116"/>
      <c r="AF3" s="116"/>
      <c r="AG3" s="113" t="str">
        <f>info!$M$3</f>
        <v>الأول</v>
      </c>
      <c r="AH3" s="113"/>
      <c r="AI3" s="113"/>
    </row>
    <row r="4" spans="1:53" ht="15.75" customHeight="1" x14ac:dyDescent="0.2">
      <c r="C4" s="112" t="str">
        <f>info!$A$4</f>
        <v xml:space="preserve">جهة دكالة عبدة </v>
      </c>
      <c r="D4" s="112"/>
      <c r="E4" s="112"/>
      <c r="F4" s="112"/>
      <c r="I4" s="115" t="s">
        <v>84</v>
      </c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D4" s="116" t="s">
        <v>65</v>
      </c>
      <c r="AE4" s="116"/>
      <c r="AF4" s="116"/>
      <c r="AG4" s="113" t="str">
        <f>info!$M$4</f>
        <v>لايهم</v>
      </c>
      <c r="AH4" s="113"/>
      <c r="AI4" s="113"/>
    </row>
    <row r="5" spans="1:53" ht="15.75" customHeight="1" x14ac:dyDescent="0.2">
      <c r="C5" s="112" t="str">
        <f>info!$A$5</f>
        <v>نيابة المديرية</v>
      </c>
      <c r="D5" s="112"/>
      <c r="E5" s="112"/>
      <c r="F5" s="112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  <c r="Y5" s="115"/>
      <c r="Z5" s="115"/>
      <c r="AA5" s="115"/>
      <c r="AD5" s="116" t="s">
        <v>66</v>
      </c>
      <c r="AE5" s="116"/>
      <c r="AF5" s="116"/>
      <c r="AG5" s="113">
        <f>info!$M$5</f>
        <v>1</v>
      </c>
      <c r="AH5" s="113"/>
      <c r="AI5" s="113"/>
    </row>
    <row r="6" spans="1:53" x14ac:dyDescent="0.2">
      <c r="C6" s="114" t="str">
        <f>info!$A$6</f>
        <v>المدرسة</v>
      </c>
      <c r="D6" s="114"/>
      <c r="E6" s="114"/>
      <c r="F6" s="114"/>
    </row>
    <row r="7" spans="1:53" ht="21" customHeight="1" x14ac:dyDescent="0.2">
      <c r="A7" s="64"/>
      <c r="B7" s="64"/>
      <c r="C7" s="64"/>
      <c r="D7" s="70"/>
      <c r="E7" s="77"/>
      <c r="F7" s="65"/>
      <c r="G7" s="107" t="s">
        <v>14</v>
      </c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12" t="s">
        <v>52</v>
      </c>
      <c r="X7" s="113"/>
      <c r="Y7" s="113"/>
      <c r="Z7" s="104" t="s">
        <v>53</v>
      </c>
      <c r="AA7" s="105"/>
      <c r="AB7" s="105"/>
      <c r="AC7" s="105"/>
      <c r="AD7" s="106"/>
      <c r="AE7" s="112" t="s">
        <v>2</v>
      </c>
      <c r="AF7" s="113"/>
      <c r="AG7" s="113"/>
      <c r="AH7" s="107" t="s">
        <v>3</v>
      </c>
      <c r="AI7" s="108"/>
      <c r="AJ7" s="108"/>
      <c r="AK7" s="112" t="s">
        <v>4</v>
      </c>
      <c r="AL7" s="113"/>
      <c r="AM7" s="113"/>
      <c r="AN7" s="107" t="s">
        <v>152</v>
      </c>
      <c r="AO7" s="108"/>
      <c r="AP7" s="108"/>
      <c r="AQ7" s="112" t="s">
        <v>27</v>
      </c>
      <c r="AR7" s="113"/>
      <c r="AS7" s="113"/>
      <c r="AT7" s="118" t="s">
        <v>136</v>
      </c>
      <c r="AU7" s="122" t="s">
        <v>135</v>
      </c>
      <c r="AV7" s="125" t="s">
        <v>134</v>
      </c>
      <c r="AW7" s="128" t="s">
        <v>133</v>
      </c>
      <c r="AX7" s="121" t="s">
        <v>12</v>
      </c>
      <c r="AY7" s="112" t="s">
        <v>47</v>
      </c>
    </row>
    <row r="8" spans="1:53" x14ac:dyDescent="0.2">
      <c r="A8" s="112" t="s">
        <v>21</v>
      </c>
      <c r="B8" s="112" t="s">
        <v>35</v>
      </c>
      <c r="C8" s="112" t="s">
        <v>22</v>
      </c>
      <c r="D8" s="131" t="s">
        <v>29</v>
      </c>
      <c r="E8" s="133" t="s">
        <v>129</v>
      </c>
      <c r="F8" s="132" t="s">
        <v>23</v>
      </c>
      <c r="G8" s="111" t="s">
        <v>32</v>
      </c>
      <c r="H8" s="111"/>
      <c r="I8" s="111"/>
      <c r="J8" s="117" t="s">
        <v>1</v>
      </c>
      <c r="K8" s="117"/>
      <c r="L8" s="117"/>
      <c r="M8" s="111" t="s">
        <v>33</v>
      </c>
      <c r="N8" s="111"/>
      <c r="O8" s="111"/>
      <c r="P8" s="117" t="s">
        <v>0</v>
      </c>
      <c r="Q8" s="117"/>
      <c r="R8" s="117"/>
      <c r="S8" s="111" t="s">
        <v>37</v>
      </c>
      <c r="T8" s="111"/>
      <c r="U8" s="111"/>
      <c r="V8" s="66" t="s">
        <v>24</v>
      </c>
      <c r="W8" s="117" t="s">
        <v>52</v>
      </c>
      <c r="X8" s="117"/>
      <c r="Y8" s="66" t="s">
        <v>24</v>
      </c>
      <c r="Z8" s="75" t="s">
        <v>146</v>
      </c>
      <c r="AA8" s="75" t="s">
        <v>147</v>
      </c>
      <c r="AB8" s="75" t="s">
        <v>148</v>
      </c>
      <c r="AC8" s="75" t="s">
        <v>149</v>
      </c>
      <c r="AD8" s="66" t="s">
        <v>24</v>
      </c>
      <c r="AE8" s="117" t="s">
        <v>2</v>
      </c>
      <c r="AF8" s="117"/>
      <c r="AG8" s="66" t="s">
        <v>24</v>
      </c>
      <c r="AH8" s="111" t="s">
        <v>3</v>
      </c>
      <c r="AI8" s="111"/>
      <c r="AJ8" s="66" t="s">
        <v>24</v>
      </c>
      <c r="AK8" s="109" t="s">
        <v>4</v>
      </c>
      <c r="AL8" s="110"/>
      <c r="AM8" s="66" t="s">
        <v>24</v>
      </c>
      <c r="AN8" s="111" t="s">
        <v>152</v>
      </c>
      <c r="AO8" s="111"/>
      <c r="AP8" s="66" t="s">
        <v>24</v>
      </c>
      <c r="AQ8" s="109" t="s">
        <v>27</v>
      </c>
      <c r="AR8" s="110"/>
      <c r="AS8" s="66" t="s">
        <v>24</v>
      </c>
      <c r="AT8" s="119"/>
      <c r="AU8" s="123"/>
      <c r="AV8" s="126"/>
      <c r="AW8" s="129"/>
      <c r="AX8" s="121"/>
      <c r="AY8" s="112"/>
    </row>
    <row r="9" spans="1:53" s="12" customFormat="1" x14ac:dyDescent="0.2">
      <c r="A9" s="112"/>
      <c r="B9" s="112"/>
      <c r="C9" s="112"/>
      <c r="D9" s="131"/>
      <c r="E9" s="134"/>
      <c r="F9" s="132"/>
      <c r="G9" s="10" t="s">
        <v>30</v>
      </c>
      <c r="H9" s="10" t="s">
        <v>31</v>
      </c>
      <c r="I9" s="11" t="s">
        <v>24</v>
      </c>
      <c r="J9" s="10" t="s">
        <v>30</v>
      </c>
      <c r="K9" s="10" t="s">
        <v>31</v>
      </c>
      <c r="L9" s="11" t="s">
        <v>24</v>
      </c>
      <c r="M9" s="10" t="s">
        <v>30</v>
      </c>
      <c r="N9" s="10" t="s">
        <v>31</v>
      </c>
      <c r="O9" s="11" t="s">
        <v>24</v>
      </c>
      <c r="P9" s="10" t="s">
        <v>30</v>
      </c>
      <c r="Q9" s="10" t="s">
        <v>31</v>
      </c>
      <c r="R9" s="11" t="s">
        <v>24</v>
      </c>
      <c r="S9" s="10" t="s">
        <v>30</v>
      </c>
      <c r="T9" s="10" t="s">
        <v>31</v>
      </c>
      <c r="U9" s="11" t="s">
        <v>24</v>
      </c>
      <c r="V9" s="67" t="s">
        <v>34</v>
      </c>
      <c r="W9" s="10" t="s">
        <v>30</v>
      </c>
      <c r="X9" s="10" t="s">
        <v>31</v>
      </c>
      <c r="Y9" s="67" t="s">
        <v>34</v>
      </c>
      <c r="Z9" s="10" t="s">
        <v>30</v>
      </c>
      <c r="AA9" s="10" t="s">
        <v>31</v>
      </c>
      <c r="AB9" s="10" t="s">
        <v>150</v>
      </c>
      <c r="AC9" s="10" t="s">
        <v>151</v>
      </c>
      <c r="AD9" s="67" t="s">
        <v>34</v>
      </c>
      <c r="AE9" s="10" t="s">
        <v>30</v>
      </c>
      <c r="AF9" s="10" t="s">
        <v>31</v>
      </c>
      <c r="AG9" s="67" t="s">
        <v>34</v>
      </c>
      <c r="AH9" s="10" t="s">
        <v>30</v>
      </c>
      <c r="AI9" s="10" t="s">
        <v>31</v>
      </c>
      <c r="AJ9" s="67" t="s">
        <v>34</v>
      </c>
      <c r="AK9" s="10" t="s">
        <v>30</v>
      </c>
      <c r="AL9" s="10" t="s">
        <v>31</v>
      </c>
      <c r="AM9" s="67" t="s">
        <v>34</v>
      </c>
      <c r="AN9" s="10" t="s">
        <v>30</v>
      </c>
      <c r="AO9" s="10" t="s">
        <v>31</v>
      </c>
      <c r="AP9" s="67" t="s">
        <v>34</v>
      </c>
      <c r="AQ9" s="10" t="s">
        <v>30</v>
      </c>
      <c r="AR9" s="10" t="s">
        <v>31</v>
      </c>
      <c r="AS9" s="67" t="s">
        <v>34</v>
      </c>
      <c r="AT9" s="120"/>
      <c r="AU9" s="124"/>
      <c r="AV9" s="127"/>
      <c r="AW9" s="130"/>
      <c r="AX9" s="121"/>
      <c r="AY9" s="112"/>
      <c r="AZ9" s="9"/>
      <c r="BA9" s="9"/>
    </row>
    <row r="10" spans="1:53" x14ac:dyDescent="0.25">
      <c r="A10" s="80">
        <f>IF(info!A16="","",info!A16)</f>
        <v>1</v>
      </c>
      <c r="B10" s="80">
        <f>IF($A10="","",info!B16)</f>
        <v>1</v>
      </c>
      <c r="C10" s="73" t="str">
        <f>IF($A10="","",info!C16)</f>
        <v>رضوان</v>
      </c>
      <c r="D10" s="82">
        <f>IF($A10="","",info!G16)</f>
        <v>38526</v>
      </c>
      <c r="E10" s="78" t="str">
        <f>IF($A10="","",info!D16)</f>
        <v>ذ</v>
      </c>
      <c r="F10" s="35">
        <f>IF($A10="","",info!F16)</f>
        <v>0</v>
      </c>
      <c r="G10" s="7">
        <v>4</v>
      </c>
      <c r="H10" s="7">
        <v>3</v>
      </c>
      <c r="I10" s="13">
        <f>IF(OR(G10="",H10=""),"",AVERAGE(G10:H10))</f>
        <v>3.5</v>
      </c>
      <c r="J10" s="7">
        <v>4</v>
      </c>
      <c r="K10" s="7">
        <v>3</v>
      </c>
      <c r="L10" s="13">
        <f>IF(OR(J10="",K10=""),"",AVERAGE(J10:K10))</f>
        <v>3.5</v>
      </c>
      <c r="M10" s="7">
        <v>4</v>
      </c>
      <c r="N10" s="7">
        <v>4</v>
      </c>
      <c r="O10" s="13">
        <f>IF(OR(M10="",N10=""),"",AVERAGE(M10:N10))</f>
        <v>4</v>
      </c>
      <c r="P10" s="7">
        <v>4</v>
      </c>
      <c r="Q10" s="7">
        <v>3</v>
      </c>
      <c r="R10" s="13">
        <f>IF(OR(P10="",Q10=""),"",AVERAGE(P10:Q10))</f>
        <v>3.5</v>
      </c>
      <c r="S10" s="7">
        <v>4</v>
      </c>
      <c r="T10" s="7">
        <v>4</v>
      </c>
      <c r="U10" s="13">
        <f>IF(OR(S10="",T10=""),"",AVERAGE(S10:T10))</f>
        <v>4</v>
      </c>
      <c r="V10" s="60">
        <f>IF(OR(U10="",R10="",O10="",L10="",I10=""),"",AVERAGE(U10,R10,O10,L10,I10))</f>
        <v>3.7</v>
      </c>
      <c r="W10" s="7"/>
      <c r="X10" s="7"/>
      <c r="Y10" s="60" t="str">
        <f>IF(OR(W10="",X10=""),"",AVERAGE(W10:X10))</f>
        <v/>
      </c>
      <c r="Z10" s="7">
        <v>4</v>
      </c>
      <c r="AA10" s="7">
        <v>3</v>
      </c>
      <c r="AB10" s="7">
        <f>IF(Z10="","",IF(AA10="","",AVERAGE(Z10:AA10)))</f>
        <v>3.5</v>
      </c>
      <c r="AC10" s="7">
        <v>4</v>
      </c>
      <c r="AD10" s="60">
        <f>IF(OR(Z10="",AA10="",AB10="",AC10=""),"",AVERAGE(Z10:AC10))</f>
        <v>3.625</v>
      </c>
      <c r="AE10" s="7">
        <v>4</v>
      </c>
      <c r="AF10" s="7">
        <v>4</v>
      </c>
      <c r="AG10" s="60">
        <f>IF(OR(AE10="",AF10=""),"",AVERAGE(AE10:AF10))</f>
        <v>4</v>
      </c>
      <c r="AH10" s="7">
        <v>4</v>
      </c>
      <c r="AI10" s="7">
        <v>6.5</v>
      </c>
      <c r="AJ10" s="60">
        <f>IF(OR(AH10="",AI10=""),"",AVERAGE(AH10:AI10))</f>
        <v>5.25</v>
      </c>
      <c r="AK10" s="7">
        <v>3</v>
      </c>
      <c r="AL10" s="7">
        <v>3.5</v>
      </c>
      <c r="AM10" s="60">
        <f>IF(OR(AK10="",AL10=""),"",AVERAGE(AK10:AL10))</f>
        <v>3.25</v>
      </c>
      <c r="AN10" s="7">
        <v>4</v>
      </c>
      <c r="AO10" s="7">
        <v>3.5</v>
      </c>
      <c r="AP10" s="60">
        <f>IF(OR(AN10="",AO10=""),"",AVERAGE(AN10:AO10))</f>
        <v>3.75</v>
      </c>
      <c r="AQ10" s="7">
        <v>5.5</v>
      </c>
      <c r="AR10" s="7">
        <v>6.5</v>
      </c>
      <c r="AS10" s="60">
        <f>IF(OR(AQ10="",AR10=""),"",AVERAGE(AQ10:AR10))</f>
        <v>6</v>
      </c>
      <c r="AT10" s="61">
        <v>1</v>
      </c>
      <c r="AU10" s="14">
        <f>IF($A10="","",6+AT10+info!$P$3)</f>
        <v>7</v>
      </c>
      <c r="AV10" s="15">
        <f t="shared" ref="AV10:AV41" si="0">IF($A10="","",SUM(V10,AD10,AG10,AJ10,AM10,AS10,Y10))</f>
        <v>25.824999999999999</v>
      </c>
      <c r="AW10" s="16">
        <f>IF($A10="","",AV10/AU10)</f>
        <v>3.6892857142857141</v>
      </c>
      <c r="AX10" s="17">
        <f t="shared" ref="AX10:AX41" si="1">IF($A10="","",RANK(AW10,$AW$10:$AW$59))</f>
        <v>23</v>
      </c>
      <c r="AY10" s="81" t="str">
        <f>IF($A10="","",IF(AW10&gt;=8," تنويه ",IF(AW10&gt;=7,"تشجيع ",IF(AW10&gt;=6,"لوحة الشرف",IF(AW10&gt;=5,"متوسط",IF(AW10&gt;=4,"دون المتوسط",IF(AW10&gt;=3,"ناقص",IF(AW10&gt;=2,"تنبيه",IF(AW10&gt;=1,"إنذار","توبيخ")))))))))</f>
        <v>ناقص</v>
      </c>
    </row>
    <row r="11" spans="1:53" x14ac:dyDescent="0.25">
      <c r="A11" s="58">
        <f>IF(info!A17="","",info!A17)</f>
        <v>2</v>
      </c>
      <c r="B11" s="58">
        <f>IF($A11="","",info!B17)</f>
        <v>2</v>
      </c>
      <c r="C11" s="73" t="str">
        <f>IF($A11="","",info!C17)</f>
        <v>محمد</v>
      </c>
      <c r="D11" s="71">
        <f>IF($A11="","",info!G17)</f>
        <v>39521</v>
      </c>
      <c r="E11" s="78" t="str">
        <f>IF($A11="","",info!D17)</f>
        <v>ذ</v>
      </c>
      <c r="F11" s="35">
        <f>IF($A11="","",info!F17)</f>
        <v>0</v>
      </c>
      <c r="G11" s="7">
        <v>4</v>
      </c>
      <c r="H11" s="7">
        <v>4.5</v>
      </c>
      <c r="I11" s="13">
        <f t="shared" ref="I11:I59" si="2">IF(OR(G11="",H11=""),"",AVERAGE(G11:H11))</f>
        <v>4.25</v>
      </c>
      <c r="J11" s="7">
        <v>6.5</v>
      </c>
      <c r="K11" s="7">
        <v>6</v>
      </c>
      <c r="L11" s="13">
        <f t="shared" ref="L11:L59" si="3">IF(OR(J11="",K11=""),"",AVERAGE(J11:K11))</f>
        <v>6.25</v>
      </c>
      <c r="M11" s="7">
        <v>6</v>
      </c>
      <c r="N11" s="7">
        <v>6</v>
      </c>
      <c r="O11" s="13">
        <f t="shared" ref="O11:O59" si="4">IF(OR(M11="",N11=""),"",AVERAGE(M11:N11))</f>
        <v>6</v>
      </c>
      <c r="P11" s="7">
        <v>4</v>
      </c>
      <c r="Q11" s="7">
        <v>6.5</v>
      </c>
      <c r="R11" s="13">
        <f t="shared" ref="R11:R59" si="5">IF(OR(P11="",Q11=""),"",AVERAGE(P11:Q11))</f>
        <v>5.25</v>
      </c>
      <c r="S11" s="7">
        <v>6</v>
      </c>
      <c r="T11" s="7">
        <v>5</v>
      </c>
      <c r="U11" s="13">
        <f t="shared" ref="U11:U59" si="6">IF(OR(S11="",T11=""),"",AVERAGE(S11:T11))</f>
        <v>5.5</v>
      </c>
      <c r="V11" s="60">
        <f t="shared" ref="V11:V59" si="7">IF(OR(U11="",R11="",O11="",L11="",I11=""),"",AVERAGE(U11,R11,O11,L11,I11))</f>
        <v>5.45</v>
      </c>
      <c r="W11" s="7"/>
      <c r="X11" s="7"/>
      <c r="Y11" s="60" t="str">
        <f t="shared" ref="Y11:Y59" si="8">IF(OR(W11="",X11=""),"",AVERAGE(W11:X11))</f>
        <v/>
      </c>
      <c r="Z11" s="7">
        <v>6.5</v>
      </c>
      <c r="AA11" s="7">
        <v>4</v>
      </c>
      <c r="AB11" s="7">
        <f t="shared" ref="AB11:AB48" si="9">IF(Z11="","",IF(AA11="","",AVERAGE(Z11:AA11)))</f>
        <v>5.25</v>
      </c>
      <c r="AC11" s="7">
        <v>6</v>
      </c>
      <c r="AD11" s="60">
        <f t="shared" ref="AD11:AD59" si="10">IF(OR(Z11="",AA11="",AB11="",AC11=""),"",AVERAGE(Z11:AC11))</f>
        <v>5.4375</v>
      </c>
      <c r="AE11" s="7">
        <v>9.5</v>
      </c>
      <c r="AF11" s="7">
        <v>9</v>
      </c>
      <c r="AG11" s="60">
        <f t="shared" ref="AG11:AG59" si="11">IF(OR(AE11="",AF11=""),"",AVERAGE(AE11:AF11))</f>
        <v>9.25</v>
      </c>
      <c r="AH11" s="7">
        <v>7.25</v>
      </c>
      <c r="AI11" s="7">
        <v>6.5</v>
      </c>
      <c r="AJ11" s="60">
        <f t="shared" ref="AJ11:AJ59" si="12">IF(OR(AH11="",AI11=""),"",AVERAGE(AH11:AI11))</f>
        <v>6.875</v>
      </c>
      <c r="AK11" s="7">
        <v>6.58</v>
      </c>
      <c r="AL11" s="7">
        <v>6.75</v>
      </c>
      <c r="AM11" s="60">
        <f t="shared" ref="AM11:AM59" si="13">IF(OR(AK11="",AL11=""),"",AVERAGE(AK11:AL11))</f>
        <v>6.665</v>
      </c>
      <c r="AN11" s="7">
        <v>6</v>
      </c>
      <c r="AO11" s="7">
        <v>5.25</v>
      </c>
      <c r="AP11" s="60">
        <f t="shared" ref="AP11:AP59" si="14">IF(OR(AN11="",AO11=""),"",AVERAGE(AN11:AO11))</f>
        <v>5.625</v>
      </c>
      <c r="AQ11" s="7">
        <v>5.5</v>
      </c>
      <c r="AR11" s="7">
        <v>6.75</v>
      </c>
      <c r="AS11" s="60">
        <f t="shared" ref="AS11:AS59" si="15">IF(OR(AQ11="",AR11=""),"",AVERAGE(AQ11:AR11))</f>
        <v>6.125</v>
      </c>
      <c r="AT11" s="61">
        <v>1</v>
      </c>
      <c r="AU11" s="14">
        <f>IF($A11="","",6+AT11+info!$P$3)</f>
        <v>7</v>
      </c>
      <c r="AV11" s="15">
        <f t="shared" si="0"/>
        <v>39.802500000000002</v>
      </c>
      <c r="AW11" s="16">
        <f t="shared" ref="AW11:AW49" si="16">IF($A11="","",AV11/AU11)</f>
        <v>5.6860714285714291</v>
      </c>
      <c r="AX11" s="17">
        <f t="shared" si="1"/>
        <v>8</v>
      </c>
      <c r="AY11" s="59" t="str">
        <f t="shared" ref="AY11:AY49" si="17">IF($A11="","",IF(AW11&gt;=8," تنويه ",IF(AW11&gt;=7,"تشجيع ",IF(AW11&gt;=6,"لوحة الشرف",IF(AW11&gt;=5,"متوسط",IF(AW11&gt;=4,"دون المتوسط",IF(AW11&gt;=3,"ناقص",IF(AW11&gt;=2,"تنبيه",IF(AW11&gt;=1,"إنذار","توبيخ")))))))))</f>
        <v>متوسط</v>
      </c>
    </row>
    <row r="12" spans="1:53" x14ac:dyDescent="0.25">
      <c r="A12" s="58">
        <f>IF(info!A18="","",info!A18)</f>
        <v>3</v>
      </c>
      <c r="B12" s="58">
        <f>IF($A12="","",info!B18)</f>
        <v>3</v>
      </c>
      <c r="C12" s="73" t="str">
        <f>IF($A12="","",info!C18)</f>
        <v>سلمى</v>
      </c>
      <c r="D12" s="71">
        <f>IF($A12="","",info!G18)</f>
        <v>39362</v>
      </c>
      <c r="E12" s="78" t="str">
        <f>IF($A12="","",info!D18)</f>
        <v>أ</v>
      </c>
      <c r="F12" s="35">
        <f>IF($A12="","",info!F18)</f>
        <v>0</v>
      </c>
      <c r="G12" s="7">
        <v>3.5</v>
      </c>
      <c r="H12" s="7">
        <v>4.5</v>
      </c>
      <c r="I12" s="13">
        <f t="shared" si="2"/>
        <v>4</v>
      </c>
      <c r="J12" s="7">
        <v>6</v>
      </c>
      <c r="K12" s="7">
        <v>5</v>
      </c>
      <c r="L12" s="13">
        <f t="shared" si="3"/>
        <v>5.5</v>
      </c>
      <c r="M12" s="7">
        <v>5</v>
      </c>
      <c r="N12" s="7">
        <v>5.5</v>
      </c>
      <c r="O12" s="13">
        <f t="shared" si="4"/>
        <v>5.25</v>
      </c>
      <c r="P12" s="7">
        <v>3.5</v>
      </c>
      <c r="Q12" s="7">
        <v>4.5</v>
      </c>
      <c r="R12" s="13">
        <f t="shared" si="5"/>
        <v>4</v>
      </c>
      <c r="S12" s="7">
        <v>5</v>
      </c>
      <c r="T12" s="7">
        <v>5</v>
      </c>
      <c r="U12" s="13">
        <f t="shared" si="6"/>
        <v>5</v>
      </c>
      <c r="V12" s="60">
        <f t="shared" si="7"/>
        <v>4.75</v>
      </c>
      <c r="W12" s="7"/>
      <c r="X12" s="7"/>
      <c r="Y12" s="60" t="str">
        <f t="shared" si="8"/>
        <v/>
      </c>
      <c r="Z12" s="7">
        <v>5</v>
      </c>
      <c r="AA12" s="7">
        <v>3</v>
      </c>
      <c r="AB12" s="7">
        <f t="shared" si="9"/>
        <v>4</v>
      </c>
      <c r="AC12" s="7">
        <v>5.5</v>
      </c>
      <c r="AD12" s="60">
        <f t="shared" si="10"/>
        <v>4.375</v>
      </c>
      <c r="AE12" s="7">
        <v>5</v>
      </c>
      <c r="AF12" s="7">
        <v>6.66</v>
      </c>
      <c r="AG12" s="60">
        <f t="shared" si="11"/>
        <v>5.83</v>
      </c>
      <c r="AH12" s="7">
        <v>8</v>
      </c>
      <c r="AI12" s="7">
        <v>6.5</v>
      </c>
      <c r="AJ12" s="60">
        <f t="shared" si="12"/>
        <v>7.25</v>
      </c>
      <c r="AK12" s="7">
        <v>5</v>
      </c>
      <c r="AL12" s="7">
        <v>5.5</v>
      </c>
      <c r="AM12" s="60">
        <f t="shared" si="13"/>
        <v>5.25</v>
      </c>
      <c r="AN12" s="7">
        <v>5</v>
      </c>
      <c r="AO12" s="7">
        <v>4</v>
      </c>
      <c r="AP12" s="60">
        <f t="shared" si="14"/>
        <v>4.5</v>
      </c>
      <c r="AQ12" s="7">
        <v>6.25</v>
      </c>
      <c r="AR12" s="7">
        <v>6.5</v>
      </c>
      <c r="AS12" s="60">
        <f t="shared" si="15"/>
        <v>6.375</v>
      </c>
      <c r="AT12" s="61">
        <v>1</v>
      </c>
      <c r="AU12" s="14">
        <f>IF($A12="","",6+AT12+info!$P$3)</f>
        <v>7</v>
      </c>
      <c r="AV12" s="15">
        <f t="shared" si="0"/>
        <v>33.83</v>
      </c>
      <c r="AW12" s="16">
        <f t="shared" si="16"/>
        <v>4.8328571428571427</v>
      </c>
      <c r="AX12" s="17">
        <f t="shared" si="1"/>
        <v>12</v>
      </c>
      <c r="AY12" s="59" t="str">
        <f t="shared" si="17"/>
        <v>دون المتوسط</v>
      </c>
    </row>
    <row r="13" spans="1:53" x14ac:dyDescent="0.25">
      <c r="A13" s="58">
        <f>IF(info!A19="","",info!A19)</f>
        <v>4</v>
      </c>
      <c r="B13" s="58">
        <f>IF($A13="","",info!B19)</f>
        <v>4</v>
      </c>
      <c r="C13" s="73" t="str">
        <f>IF($A13="","",info!C19)</f>
        <v>شعيب</v>
      </c>
      <c r="D13" s="71">
        <f>IF($A13="","",info!G19)</f>
        <v>39788</v>
      </c>
      <c r="E13" s="78" t="str">
        <f>IF($A13="","",info!D19)</f>
        <v>ذ</v>
      </c>
      <c r="F13" s="35">
        <f>IF($A13="","",info!F19)</f>
        <v>0</v>
      </c>
      <c r="G13" s="7">
        <v>7</v>
      </c>
      <c r="H13" s="7">
        <v>6.5</v>
      </c>
      <c r="I13" s="13">
        <f t="shared" si="2"/>
        <v>6.75</v>
      </c>
      <c r="J13" s="7">
        <v>6</v>
      </c>
      <c r="K13" s="7">
        <v>6.75</v>
      </c>
      <c r="L13" s="13">
        <f t="shared" si="3"/>
        <v>6.375</v>
      </c>
      <c r="M13" s="7">
        <v>6</v>
      </c>
      <c r="N13" s="7">
        <v>7</v>
      </c>
      <c r="O13" s="13">
        <f t="shared" si="4"/>
        <v>6.5</v>
      </c>
      <c r="P13" s="7">
        <v>6.5</v>
      </c>
      <c r="Q13" s="7">
        <v>8</v>
      </c>
      <c r="R13" s="13">
        <f t="shared" si="5"/>
        <v>7.25</v>
      </c>
      <c r="S13" s="7">
        <v>6</v>
      </c>
      <c r="T13" s="7">
        <v>6</v>
      </c>
      <c r="U13" s="13">
        <f t="shared" si="6"/>
        <v>6</v>
      </c>
      <c r="V13" s="60">
        <f t="shared" si="7"/>
        <v>6.5750000000000002</v>
      </c>
      <c r="W13" s="7"/>
      <c r="X13" s="7"/>
      <c r="Y13" s="60" t="str">
        <f t="shared" si="8"/>
        <v/>
      </c>
      <c r="Z13" s="7">
        <v>8.75</v>
      </c>
      <c r="AA13" s="7">
        <v>5.5</v>
      </c>
      <c r="AB13" s="7">
        <f t="shared" si="9"/>
        <v>7.125</v>
      </c>
      <c r="AC13" s="7">
        <v>7.5</v>
      </c>
      <c r="AD13" s="60">
        <f t="shared" si="10"/>
        <v>7.21875</v>
      </c>
      <c r="AE13" s="7">
        <v>6</v>
      </c>
      <c r="AF13" s="7">
        <v>9.5</v>
      </c>
      <c r="AG13" s="60">
        <f t="shared" si="11"/>
        <v>7.75</v>
      </c>
      <c r="AH13" s="7">
        <v>7.5</v>
      </c>
      <c r="AI13" s="7">
        <v>9</v>
      </c>
      <c r="AJ13" s="60">
        <f t="shared" si="12"/>
        <v>8.25</v>
      </c>
      <c r="AK13" s="7">
        <v>8.83</v>
      </c>
      <c r="AL13" s="7">
        <v>9.5</v>
      </c>
      <c r="AM13" s="60">
        <f t="shared" si="13"/>
        <v>9.1649999999999991</v>
      </c>
      <c r="AN13" s="7">
        <v>6</v>
      </c>
      <c r="AO13" s="7">
        <v>7.125</v>
      </c>
      <c r="AP13" s="60">
        <f t="shared" si="14"/>
        <v>6.5625</v>
      </c>
      <c r="AQ13" s="7">
        <v>6.25</v>
      </c>
      <c r="AR13" s="7">
        <v>6.75</v>
      </c>
      <c r="AS13" s="60">
        <f t="shared" si="15"/>
        <v>6.5</v>
      </c>
      <c r="AT13" s="61">
        <v>1</v>
      </c>
      <c r="AU13" s="14">
        <f>IF($A13="","",6+AT13+info!$P$3)</f>
        <v>7</v>
      </c>
      <c r="AV13" s="15">
        <f t="shared" si="0"/>
        <v>45.458749999999995</v>
      </c>
      <c r="AW13" s="16">
        <f t="shared" si="16"/>
        <v>6.4941071428571417</v>
      </c>
      <c r="AX13" s="17">
        <f t="shared" si="1"/>
        <v>3</v>
      </c>
      <c r="AY13" s="59" t="str">
        <f t="shared" si="17"/>
        <v>لوحة الشرف</v>
      </c>
    </row>
    <row r="14" spans="1:53" x14ac:dyDescent="0.25">
      <c r="A14" s="58">
        <f>IF(info!A20="","",info!A20)</f>
        <v>5</v>
      </c>
      <c r="B14" s="58">
        <f>IF($A14="","",info!B20)</f>
        <v>5</v>
      </c>
      <c r="C14" s="73" t="str">
        <f>IF($A14="","",info!C20)</f>
        <v>ميلود</v>
      </c>
      <c r="D14" s="71">
        <f>IF($A14="","",info!G20)</f>
        <v>39639</v>
      </c>
      <c r="E14" s="78" t="str">
        <f>IF($A14="","",info!D20)</f>
        <v>ذ</v>
      </c>
      <c r="F14" s="35">
        <f>IF($A14="","",info!F20)</f>
        <v>0</v>
      </c>
      <c r="G14" s="7">
        <v>4</v>
      </c>
      <c r="H14" s="7">
        <v>5</v>
      </c>
      <c r="I14" s="13">
        <f t="shared" si="2"/>
        <v>4.5</v>
      </c>
      <c r="J14" s="7">
        <v>5.5</v>
      </c>
      <c r="K14" s="7">
        <v>5</v>
      </c>
      <c r="L14" s="13">
        <f t="shared" si="3"/>
        <v>5.25</v>
      </c>
      <c r="M14" s="7">
        <v>4</v>
      </c>
      <c r="N14" s="7">
        <v>6.5</v>
      </c>
      <c r="O14" s="13">
        <f t="shared" si="4"/>
        <v>5.25</v>
      </c>
      <c r="P14" s="7">
        <v>4</v>
      </c>
      <c r="Q14" s="7">
        <v>6.5</v>
      </c>
      <c r="R14" s="13">
        <f t="shared" si="5"/>
        <v>5.25</v>
      </c>
      <c r="S14" s="7">
        <v>4</v>
      </c>
      <c r="T14" s="7">
        <v>6</v>
      </c>
      <c r="U14" s="13">
        <f t="shared" si="6"/>
        <v>5</v>
      </c>
      <c r="V14" s="60">
        <f t="shared" si="7"/>
        <v>5.05</v>
      </c>
      <c r="W14" s="7"/>
      <c r="X14" s="7"/>
      <c r="Y14" s="60" t="str">
        <f t="shared" si="8"/>
        <v/>
      </c>
      <c r="Z14" s="7">
        <v>5.25</v>
      </c>
      <c r="AA14" s="7">
        <v>4.5</v>
      </c>
      <c r="AB14" s="7">
        <f t="shared" si="9"/>
        <v>4.875</v>
      </c>
      <c r="AC14" s="7">
        <v>6</v>
      </c>
      <c r="AD14" s="60">
        <f t="shared" si="10"/>
        <v>5.15625</v>
      </c>
      <c r="AE14" s="7">
        <v>7</v>
      </c>
      <c r="AF14" s="7">
        <v>9</v>
      </c>
      <c r="AG14" s="60">
        <f t="shared" si="11"/>
        <v>8</v>
      </c>
      <c r="AH14" s="7">
        <v>6</v>
      </c>
      <c r="AI14" s="7">
        <v>7</v>
      </c>
      <c r="AJ14" s="60">
        <f t="shared" si="12"/>
        <v>6.5</v>
      </c>
      <c r="AK14" s="7">
        <v>4.66</v>
      </c>
      <c r="AL14" s="7">
        <v>6.25</v>
      </c>
      <c r="AM14" s="60">
        <f t="shared" si="13"/>
        <v>5.4550000000000001</v>
      </c>
      <c r="AN14" s="7">
        <v>4</v>
      </c>
      <c r="AO14" s="7">
        <v>4.875</v>
      </c>
      <c r="AP14" s="60">
        <f t="shared" si="14"/>
        <v>4.4375</v>
      </c>
      <c r="AQ14" s="7">
        <v>5.5</v>
      </c>
      <c r="AR14" s="7">
        <v>6.75</v>
      </c>
      <c r="AS14" s="60">
        <f t="shared" si="15"/>
        <v>6.125</v>
      </c>
      <c r="AT14" s="61">
        <v>1</v>
      </c>
      <c r="AU14" s="14">
        <f>IF($A14="","",6+AT14+info!$P$3)</f>
        <v>7</v>
      </c>
      <c r="AV14" s="15">
        <f t="shared" si="0"/>
        <v>36.286250000000003</v>
      </c>
      <c r="AW14" s="16">
        <f t="shared" si="16"/>
        <v>5.1837500000000007</v>
      </c>
      <c r="AX14" s="17">
        <f t="shared" si="1"/>
        <v>10</v>
      </c>
      <c r="AY14" s="59" t="str">
        <f t="shared" si="17"/>
        <v>متوسط</v>
      </c>
    </row>
    <row r="15" spans="1:53" x14ac:dyDescent="0.25">
      <c r="A15" s="58">
        <f>IF(info!A21="","",info!A21)</f>
        <v>6</v>
      </c>
      <c r="B15" s="58">
        <f>IF($A15="","",info!B21)</f>
        <v>6</v>
      </c>
      <c r="C15" s="73" t="str">
        <f>IF($A15="","",info!C21)</f>
        <v>فاطمة</v>
      </c>
      <c r="D15" s="71">
        <f>IF($A15="","",info!G21)</f>
        <v>39455</v>
      </c>
      <c r="E15" s="78" t="str">
        <f>IF($A15="","",info!D21)</f>
        <v>أ</v>
      </c>
      <c r="F15" s="35">
        <f>IF($A15="","",info!F21)</f>
        <v>0</v>
      </c>
      <c r="G15" s="7">
        <v>3</v>
      </c>
      <c r="H15" s="7">
        <v>3.5</v>
      </c>
      <c r="I15" s="13">
        <f t="shared" si="2"/>
        <v>3.25</v>
      </c>
      <c r="J15" s="7">
        <v>2</v>
      </c>
      <c r="K15" s="7">
        <v>3</v>
      </c>
      <c r="L15" s="13">
        <f t="shared" si="3"/>
        <v>2.5</v>
      </c>
      <c r="M15" s="7">
        <v>2</v>
      </c>
      <c r="N15" s="7">
        <v>4</v>
      </c>
      <c r="O15" s="13">
        <f t="shared" si="4"/>
        <v>3</v>
      </c>
      <c r="P15" s="7">
        <v>3</v>
      </c>
      <c r="Q15" s="7">
        <v>4</v>
      </c>
      <c r="R15" s="13">
        <f t="shared" si="5"/>
        <v>3.5</v>
      </c>
      <c r="S15" s="7">
        <v>2</v>
      </c>
      <c r="T15" s="7">
        <v>4</v>
      </c>
      <c r="U15" s="13">
        <f t="shared" si="6"/>
        <v>3</v>
      </c>
      <c r="V15" s="60">
        <f t="shared" si="7"/>
        <v>3.05</v>
      </c>
      <c r="W15" s="7"/>
      <c r="X15" s="7"/>
      <c r="Y15" s="60" t="str">
        <f t="shared" si="8"/>
        <v/>
      </c>
      <c r="Z15" s="7">
        <v>3</v>
      </c>
      <c r="AA15" s="7">
        <v>3</v>
      </c>
      <c r="AB15" s="7">
        <f t="shared" si="9"/>
        <v>3</v>
      </c>
      <c r="AC15" s="7">
        <v>4</v>
      </c>
      <c r="AD15" s="60">
        <f t="shared" si="10"/>
        <v>3.25</v>
      </c>
      <c r="AE15" s="7">
        <v>4.5</v>
      </c>
      <c r="AF15" s="7">
        <v>4.5</v>
      </c>
      <c r="AG15" s="60">
        <f t="shared" si="11"/>
        <v>4.5</v>
      </c>
      <c r="AH15" s="7">
        <v>6.25</v>
      </c>
      <c r="AI15" s="7">
        <v>5</v>
      </c>
      <c r="AJ15" s="60">
        <f t="shared" si="12"/>
        <v>5.625</v>
      </c>
      <c r="AK15" s="7">
        <v>4.33</v>
      </c>
      <c r="AL15" s="7">
        <v>2.75</v>
      </c>
      <c r="AM15" s="60">
        <f t="shared" si="13"/>
        <v>3.54</v>
      </c>
      <c r="AN15" s="7">
        <v>2</v>
      </c>
      <c r="AO15" s="7">
        <v>3</v>
      </c>
      <c r="AP15" s="60">
        <f t="shared" si="14"/>
        <v>2.5</v>
      </c>
      <c r="AQ15" s="7">
        <v>5</v>
      </c>
      <c r="AR15" s="7">
        <v>6</v>
      </c>
      <c r="AS15" s="60">
        <f t="shared" si="15"/>
        <v>5.5</v>
      </c>
      <c r="AT15" s="61">
        <v>1</v>
      </c>
      <c r="AU15" s="14">
        <f>IF($A15="","",6+AT15+info!$P$3)</f>
        <v>7</v>
      </c>
      <c r="AV15" s="15">
        <f t="shared" si="0"/>
        <v>25.465</v>
      </c>
      <c r="AW15" s="16">
        <f t="shared" si="16"/>
        <v>3.6378571428571429</v>
      </c>
      <c r="AX15" s="17">
        <f t="shared" si="1"/>
        <v>24</v>
      </c>
      <c r="AY15" s="59" t="str">
        <f t="shared" si="17"/>
        <v>ناقص</v>
      </c>
    </row>
    <row r="16" spans="1:53" x14ac:dyDescent="0.25">
      <c r="A16" s="58">
        <f>IF(info!A22="","",info!A22)</f>
        <v>7</v>
      </c>
      <c r="B16" s="58">
        <f>IF($A16="","",info!B22)</f>
        <v>7</v>
      </c>
      <c r="C16" s="73" t="str">
        <f>IF($A16="","",info!C22)</f>
        <v>مصطفى</v>
      </c>
      <c r="D16" s="71">
        <f>IF($A16="","",info!G22)</f>
        <v>39815</v>
      </c>
      <c r="E16" s="78" t="str">
        <f>IF($A16="","",info!D22)</f>
        <v>ذ</v>
      </c>
      <c r="F16" s="35">
        <f>IF($A16="","",info!F22)</f>
        <v>0</v>
      </c>
      <c r="G16" s="7">
        <v>3</v>
      </c>
      <c r="H16" s="7">
        <v>4.5</v>
      </c>
      <c r="I16" s="13">
        <f t="shared" si="2"/>
        <v>3.75</v>
      </c>
      <c r="J16" s="7">
        <v>3</v>
      </c>
      <c r="K16" s="7">
        <v>5</v>
      </c>
      <c r="L16" s="13">
        <f t="shared" si="3"/>
        <v>4</v>
      </c>
      <c r="M16" s="7">
        <v>3</v>
      </c>
      <c r="N16" s="7">
        <v>5</v>
      </c>
      <c r="O16" s="13">
        <f t="shared" si="4"/>
        <v>4</v>
      </c>
      <c r="P16" s="7">
        <v>3</v>
      </c>
      <c r="Q16" s="7">
        <v>5.5</v>
      </c>
      <c r="R16" s="13">
        <f t="shared" si="5"/>
        <v>4.25</v>
      </c>
      <c r="S16" s="7">
        <v>3</v>
      </c>
      <c r="T16" s="7">
        <v>5</v>
      </c>
      <c r="U16" s="13">
        <f t="shared" si="6"/>
        <v>4</v>
      </c>
      <c r="V16" s="60">
        <f t="shared" si="7"/>
        <v>4</v>
      </c>
      <c r="W16" s="7"/>
      <c r="X16" s="7"/>
      <c r="Y16" s="60" t="str">
        <f t="shared" si="8"/>
        <v/>
      </c>
      <c r="Z16" s="7">
        <v>3</v>
      </c>
      <c r="AA16" s="7">
        <v>3</v>
      </c>
      <c r="AB16" s="7">
        <f t="shared" si="9"/>
        <v>3</v>
      </c>
      <c r="AC16" s="7">
        <v>4</v>
      </c>
      <c r="AD16" s="60">
        <f t="shared" si="10"/>
        <v>3.25</v>
      </c>
      <c r="AE16" s="7">
        <v>6.5</v>
      </c>
      <c r="AF16" s="7">
        <v>6.66</v>
      </c>
      <c r="AG16" s="60">
        <f t="shared" si="11"/>
        <v>6.58</v>
      </c>
      <c r="AH16" s="7">
        <v>5.5</v>
      </c>
      <c r="AI16" s="7">
        <v>6.5</v>
      </c>
      <c r="AJ16" s="60">
        <f t="shared" si="12"/>
        <v>6</v>
      </c>
      <c r="AK16" s="7">
        <v>4.5</v>
      </c>
      <c r="AL16" s="7">
        <v>5.5</v>
      </c>
      <c r="AM16" s="60">
        <f t="shared" si="13"/>
        <v>5</v>
      </c>
      <c r="AN16" s="7">
        <v>3</v>
      </c>
      <c r="AO16" s="7">
        <v>3</v>
      </c>
      <c r="AP16" s="60">
        <f t="shared" si="14"/>
        <v>3</v>
      </c>
      <c r="AQ16" s="7">
        <v>5</v>
      </c>
      <c r="AR16" s="7">
        <v>6</v>
      </c>
      <c r="AS16" s="60">
        <f t="shared" si="15"/>
        <v>5.5</v>
      </c>
      <c r="AT16" s="61">
        <v>1</v>
      </c>
      <c r="AU16" s="14">
        <f>IF($A16="","",6+AT16+info!$P$3)</f>
        <v>7</v>
      </c>
      <c r="AV16" s="15">
        <f t="shared" si="0"/>
        <v>30.33</v>
      </c>
      <c r="AW16" s="16">
        <f t="shared" si="16"/>
        <v>4.3328571428571427</v>
      </c>
      <c r="AX16" s="17">
        <f t="shared" si="1"/>
        <v>17</v>
      </c>
      <c r="AY16" s="59" t="str">
        <f t="shared" si="17"/>
        <v>دون المتوسط</v>
      </c>
    </row>
    <row r="17" spans="1:51" x14ac:dyDescent="0.25">
      <c r="A17" s="58">
        <f>IF(info!A23="","",info!A23)</f>
        <v>8</v>
      </c>
      <c r="B17" s="58">
        <f>IF($A17="","",info!B23)</f>
        <v>8</v>
      </c>
      <c r="C17" s="73" t="str">
        <f>IF($A17="","",info!C23)</f>
        <v>فريد</v>
      </c>
      <c r="D17" s="71">
        <f>IF($A17="","",info!G23)</f>
        <v>39656</v>
      </c>
      <c r="E17" s="78" t="str">
        <f>IF($A17="","",info!D23)</f>
        <v>ذ</v>
      </c>
      <c r="F17" s="35">
        <f>IF($A17="","",info!F23)</f>
        <v>0</v>
      </c>
      <c r="G17" s="7">
        <v>4.5</v>
      </c>
      <c r="H17" s="7">
        <v>6.5</v>
      </c>
      <c r="I17" s="13">
        <f t="shared" si="2"/>
        <v>5.5</v>
      </c>
      <c r="J17" s="7">
        <v>6</v>
      </c>
      <c r="K17" s="7">
        <v>6.75</v>
      </c>
      <c r="L17" s="13">
        <f t="shared" si="3"/>
        <v>6.375</v>
      </c>
      <c r="M17" s="7">
        <v>5</v>
      </c>
      <c r="N17" s="7">
        <v>6</v>
      </c>
      <c r="O17" s="13">
        <f t="shared" si="4"/>
        <v>5.5</v>
      </c>
      <c r="P17" s="7">
        <v>4</v>
      </c>
      <c r="Q17" s="7">
        <v>7.5</v>
      </c>
      <c r="R17" s="13">
        <f t="shared" si="5"/>
        <v>5.75</v>
      </c>
      <c r="S17" s="7">
        <v>5</v>
      </c>
      <c r="T17" s="7">
        <v>6</v>
      </c>
      <c r="U17" s="13">
        <f t="shared" si="6"/>
        <v>5.5</v>
      </c>
      <c r="V17" s="60">
        <f t="shared" si="7"/>
        <v>5.7249999999999996</v>
      </c>
      <c r="W17" s="7"/>
      <c r="X17" s="7"/>
      <c r="Y17" s="60" t="str">
        <f t="shared" si="8"/>
        <v/>
      </c>
      <c r="Z17" s="7">
        <v>5.5</v>
      </c>
      <c r="AA17" s="7">
        <v>4</v>
      </c>
      <c r="AB17" s="7">
        <f t="shared" si="9"/>
        <v>4.75</v>
      </c>
      <c r="AC17" s="7">
        <v>6.5</v>
      </c>
      <c r="AD17" s="60">
        <f t="shared" si="10"/>
        <v>5.1875</v>
      </c>
      <c r="AE17" s="7">
        <v>10</v>
      </c>
      <c r="AF17" s="7">
        <v>9.33</v>
      </c>
      <c r="AG17" s="60">
        <f t="shared" si="11"/>
        <v>9.6649999999999991</v>
      </c>
      <c r="AH17" s="7">
        <v>7.5</v>
      </c>
      <c r="AI17" s="7">
        <v>8.75</v>
      </c>
      <c r="AJ17" s="60">
        <f t="shared" si="12"/>
        <v>8.125</v>
      </c>
      <c r="AK17" s="7">
        <v>8.16</v>
      </c>
      <c r="AL17" s="7">
        <v>8.25</v>
      </c>
      <c r="AM17" s="60">
        <f t="shared" si="13"/>
        <v>8.2050000000000001</v>
      </c>
      <c r="AN17" s="7">
        <v>5</v>
      </c>
      <c r="AO17" s="7">
        <v>4.75</v>
      </c>
      <c r="AP17" s="60">
        <f t="shared" si="14"/>
        <v>4.875</v>
      </c>
      <c r="AQ17" s="7">
        <v>6.5</v>
      </c>
      <c r="AR17" s="7">
        <v>6.5</v>
      </c>
      <c r="AS17" s="60">
        <f t="shared" si="15"/>
        <v>6.5</v>
      </c>
      <c r="AT17" s="61">
        <v>1</v>
      </c>
      <c r="AU17" s="14">
        <f>IF($A17="","",6+AT17+info!$P$3)</f>
        <v>7</v>
      </c>
      <c r="AV17" s="15">
        <f t="shared" si="0"/>
        <v>43.407499999999999</v>
      </c>
      <c r="AW17" s="16">
        <f t="shared" si="16"/>
        <v>6.2010714285714288</v>
      </c>
      <c r="AX17" s="17">
        <f t="shared" si="1"/>
        <v>5</v>
      </c>
      <c r="AY17" s="59" t="str">
        <f t="shared" si="17"/>
        <v>لوحة الشرف</v>
      </c>
    </row>
    <row r="18" spans="1:51" x14ac:dyDescent="0.25">
      <c r="A18" s="58">
        <f>IF(info!A24="","",info!A24)</f>
        <v>9</v>
      </c>
      <c r="B18" s="58">
        <f>IF($A18="","",info!B24)</f>
        <v>9</v>
      </c>
      <c r="C18" s="73" t="str">
        <f>IF($A18="","",info!C24)</f>
        <v>كمال</v>
      </c>
      <c r="D18" s="71">
        <f>IF($A18="","",info!G24)</f>
        <v>39645</v>
      </c>
      <c r="E18" s="78" t="str">
        <f>IF($A18="","",info!D24)</f>
        <v>ذ</v>
      </c>
      <c r="F18" s="35">
        <f>IF($A18="","",info!F24)</f>
        <v>0</v>
      </c>
      <c r="G18" s="7">
        <v>5.75</v>
      </c>
      <c r="H18" s="7">
        <v>6.5</v>
      </c>
      <c r="I18" s="13">
        <f t="shared" si="2"/>
        <v>6.125</v>
      </c>
      <c r="J18" s="7">
        <v>7</v>
      </c>
      <c r="K18" s="7">
        <v>7</v>
      </c>
      <c r="L18" s="13">
        <f t="shared" si="3"/>
        <v>7</v>
      </c>
      <c r="M18" s="7">
        <v>6</v>
      </c>
      <c r="N18" s="7">
        <v>7</v>
      </c>
      <c r="O18" s="13">
        <f t="shared" si="4"/>
        <v>6.5</v>
      </c>
      <c r="P18" s="7">
        <v>6</v>
      </c>
      <c r="Q18" s="7">
        <v>7.75</v>
      </c>
      <c r="R18" s="13">
        <f t="shared" si="5"/>
        <v>6.875</v>
      </c>
      <c r="S18" s="7">
        <v>7</v>
      </c>
      <c r="T18" s="7">
        <v>6.5</v>
      </c>
      <c r="U18" s="13">
        <f t="shared" si="6"/>
        <v>6.75</v>
      </c>
      <c r="V18" s="60">
        <f t="shared" si="7"/>
        <v>6.65</v>
      </c>
      <c r="W18" s="7"/>
      <c r="X18" s="7"/>
      <c r="Y18" s="60" t="str">
        <f t="shared" si="8"/>
        <v/>
      </c>
      <c r="Z18" s="7">
        <v>8.5</v>
      </c>
      <c r="AA18" s="7">
        <v>6.5</v>
      </c>
      <c r="AB18" s="7">
        <f t="shared" si="9"/>
        <v>7.5</v>
      </c>
      <c r="AC18" s="7">
        <v>8.5</v>
      </c>
      <c r="AD18" s="60">
        <f t="shared" si="10"/>
        <v>7.75</v>
      </c>
      <c r="AE18" s="7">
        <v>10</v>
      </c>
      <c r="AF18" s="7">
        <v>8.66</v>
      </c>
      <c r="AG18" s="60">
        <f t="shared" si="11"/>
        <v>9.33</v>
      </c>
      <c r="AH18" s="7">
        <v>8</v>
      </c>
      <c r="AI18" s="7">
        <v>8.75</v>
      </c>
      <c r="AJ18" s="60">
        <f t="shared" si="12"/>
        <v>8.375</v>
      </c>
      <c r="AK18" s="7">
        <v>8.75</v>
      </c>
      <c r="AL18" s="7">
        <v>7.5</v>
      </c>
      <c r="AM18" s="60">
        <f t="shared" si="13"/>
        <v>8.125</v>
      </c>
      <c r="AN18" s="7">
        <v>6</v>
      </c>
      <c r="AO18" s="7">
        <v>7.5</v>
      </c>
      <c r="AP18" s="60">
        <f t="shared" si="14"/>
        <v>6.75</v>
      </c>
      <c r="AQ18" s="7">
        <v>5.75</v>
      </c>
      <c r="AR18" s="7">
        <v>6.75</v>
      </c>
      <c r="AS18" s="60">
        <f t="shared" si="15"/>
        <v>6.25</v>
      </c>
      <c r="AT18" s="61">
        <v>1</v>
      </c>
      <c r="AU18" s="14">
        <f>IF($A18="","",6+AT18+info!$P$3)</f>
        <v>7</v>
      </c>
      <c r="AV18" s="15">
        <f t="shared" si="0"/>
        <v>46.480000000000004</v>
      </c>
      <c r="AW18" s="16">
        <f t="shared" si="16"/>
        <v>6.6400000000000006</v>
      </c>
      <c r="AX18" s="17">
        <f t="shared" si="1"/>
        <v>1</v>
      </c>
      <c r="AY18" s="59" t="str">
        <f t="shared" si="17"/>
        <v>لوحة الشرف</v>
      </c>
    </row>
    <row r="19" spans="1:51" x14ac:dyDescent="0.25">
      <c r="A19" s="58">
        <f>IF(info!A25="","",info!A25)</f>
        <v>10</v>
      </c>
      <c r="B19" s="58">
        <f>IF($A19="","",info!B25)</f>
        <v>10</v>
      </c>
      <c r="C19" s="73" t="str">
        <f>IF($A19="","",info!C25)</f>
        <v>لبنى</v>
      </c>
      <c r="D19" s="71">
        <f>IF($A19="","",info!G25)</f>
        <v>39887</v>
      </c>
      <c r="E19" s="78" t="str">
        <f>IF($A19="","",info!D25)</f>
        <v>أ</v>
      </c>
      <c r="F19" s="35">
        <f>IF($A19="","",info!F25)</f>
        <v>0</v>
      </c>
      <c r="G19" s="7">
        <v>3.5</v>
      </c>
      <c r="H19" s="7">
        <v>3.5</v>
      </c>
      <c r="I19" s="13">
        <f t="shared" si="2"/>
        <v>3.5</v>
      </c>
      <c r="J19" s="7">
        <v>4.5</v>
      </c>
      <c r="K19" s="7">
        <v>5</v>
      </c>
      <c r="L19" s="13">
        <f t="shared" si="3"/>
        <v>4.75</v>
      </c>
      <c r="M19" s="7">
        <v>4</v>
      </c>
      <c r="N19" s="7">
        <v>5</v>
      </c>
      <c r="O19" s="13">
        <f t="shared" si="4"/>
        <v>4.5</v>
      </c>
      <c r="P19" s="7">
        <v>3.5</v>
      </c>
      <c r="Q19" s="7">
        <v>4</v>
      </c>
      <c r="R19" s="13">
        <f t="shared" si="5"/>
        <v>3.75</v>
      </c>
      <c r="S19" s="7">
        <v>4</v>
      </c>
      <c r="T19" s="7">
        <v>5</v>
      </c>
      <c r="U19" s="13">
        <f t="shared" si="6"/>
        <v>4.5</v>
      </c>
      <c r="V19" s="60">
        <f t="shared" si="7"/>
        <v>4.2</v>
      </c>
      <c r="W19" s="7"/>
      <c r="X19" s="7"/>
      <c r="Y19" s="60" t="str">
        <f t="shared" si="8"/>
        <v/>
      </c>
      <c r="Z19" s="7">
        <v>4</v>
      </c>
      <c r="AA19" s="7">
        <v>3</v>
      </c>
      <c r="AB19" s="7">
        <f t="shared" si="9"/>
        <v>3.5</v>
      </c>
      <c r="AC19" s="7">
        <v>5</v>
      </c>
      <c r="AD19" s="60">
        <f t="shared" si="10"/>
        <v>3.875</v>
      </c>
      <c r="AE19" s="7">
        <v>6</v>
      </c>
      <c r="AF19" s="7">
        <v>5</v>
      </c>
      <c r="AG19" s="60">
        <f t="shared" si="11"/>
        <v>5.5</v>
      </c>
      <c r="AH19" s="7">
        <v>6</v>
      </c>
      <c r="AI19" s="7">
        <v>6</v>
      </c>
      <c r="AJ19" s="60">
        <f t="shared" si="12"/>
        <v>6</v>
      </c>
      <c r="AK19" s="7">
        <v>4.25</v>
      </c>
      <c r="AL19" s="7">
        <v>1.5</v>
      </c>
      <c r="AM19" s="60">
        <f t="shared" si="13"/>
        <v>2.875</v>
      </c>
      <c r="AN19" s="7">
        <v>4</v>
      </c>
      <c r="AO19" s="7">
        <v>3.5</v>
      </c>
      <c r="AP19" s="60">
        <f t="shared" si="14"/>
        <v>3.75</v>
      </c>
      <c r="AQ19" s="7">
        <v>5.5</v>
      </c>
      <c r="AR19" s="7">
        <v>6</v>
      </c>
      <c r="AS19" s="60">
        <f t="shared" si="15"/>
        <v>5.75</v>
      </c>
      <c r="AT19" s="61">
        <v>1</v>
      </c>
      <c r="AU19" s="14">
        <f>IF($A19="","",6+AT19+info!$P$3)</f>
        <v>7</v>
      </c>
      <c r="AV19" s="15">
        <f t="shared" si="0"/>
        <v>28.2</v>
      </c>
      <c r="AW19" s="16">
        <f t="shared" si="16"/>
        <v>4.0285714285714285</v>
      </c>
      <c r="AX19" s="17">
        <f t="shared" si="1"/>
        <v>20</v>
      </c>
      <c r="AY19" s="59" t="str">
        <f t="shared" si="17"/>
        <v>دون المتوسط</v>
      </c>
    </row>
    <row r="20" spans="1:51" x14ac:dyDescent="0.25">
      <c r="A20" s="58">
        <f>IF(info!A26="","",info!A26)</f>
        <v>11</v>
      </c>
      <c r="B20" s="58">
        <f>IF($A20="","",info!B26)</f>
        <v>11</v>
      </c>
      <c r="C20" s="73" t="str">
        <f>IF($A20="","",info!C26)</f>
        <v>أحمد</v>
      </c>
      <c r="D20" s="71">
        <f>IF($A20="","",info!G26)</f>
        <v>39642</v>
      </c>
      <c r="E20" s="78" t="str">
        <f>IF($A20="","",info!D26)</f>
        <v>ذ</v>
      </c>
      <c r="F20" s="35">
        <f>IF($A20="","",info!F26)</f>
        <v>0</v>
      </c>
      <c r="G20" s="7">
        <v>6</v>
      </c>
      <c r="H20" s="7">
        <v>6</v>
      </c>
      <c r="I20" s="13">
        <f t="shared" si="2"/>
        <v>6</v>
      </c>
      <c r="J20" s="7">
        <v>6.5</v>
      </c>
      <c r="K20" s="7">
        <v>8.5</v>
      </c>
      <c r="L20" s="13">
        <f t="shared" si="3"/>
        <v>7.5</v>
      </c>
      <c r="M20" s="7">
        <v>6</v>
      </c>
      <c r="N20" s="7">
        <v>6.5</v>
      </c>
      <c r="O20" s="13">
        <f t="shared" si="4"/>
        <v>6.25</v>
      </c>
      <c r="P20" s="7">
        <v>6</v>
      </c>
      <c r="Q20" s="7">
        <v>7.75</v>
      </c>
      <c r="R20" s="13">
        <f t="shared" si="5"/>
        <v>6.875</v>
      </c>
      <c r="S20" s="7">
        <v>6.5</v>
      </c>
      <c r="T20" s="7">
        <v>7.5</v>
      </c>
      <c r="U20" s="13">
        <f t="shared" si="6"/>
        <v>7</v>
      </c>
      <c r="V20" s="60">
        <f t="shared" si="7"/>
        <v>6.7249999999999996</v>
      </c>
      <c r="W20" s="7"/>
      <c r="X20" s="7"/>
      <c r="Y20" s="60" t="str">
        <f t="shared" si="8"/>
        <v/>
      </c>
      <c r="Z20" s="7">
        <v>5</v>
      </c>
      <c r="AA20" s="7">
        <v>4</v>
      </c>
      <c r="AB20" s="7">
        <f t="shared" si="9"/>
        <v>4.5</v>
      </c>
      <c r="AC20" s="7">
        <v>7</v>
      </c>
      <c r="AD20" s="60">
        <f t="shared" si="10"/>
        <v>5.125</v>
      </c>
      <c r="AE20" s="7">
        <v>5.5</v>
      </c>
      <c r="AF20" s="7">
        <v>10</v>
      </c>
      <c r="AG20" s="60">
        <f t="shared" si="11"/>
        <v>7.75</v>
      </c>
      <c r="AH20" s="7">
        <v>7</v>
      </c>
      <c r="AI20" s="7">
        <v>9</v>
      </c>
      <c r="AJ20" s="60">
        <f t="shared" si="12"/>
        <v>8</v>
      </c>
      <c r="AK20" s="7">
        <v>8.16</v>
      </c>
      <c r="AL20" s="7">
        <v>7.5</v>
      </c>
      <c r="AM20" s="60">
        <f t="shared" si="13"/>
        <v>7.83</v>
      </c>
      <c r="AN20" s="7">
        <v>6</v>
      </c>
      <c r="AO20" s="7">
        <v>4.5</v>
      </c>
      <c r="AP20" s="60">
        <f t="shared" si="14"/>
        <v>5.25</v>
      </c>
      <c r="AQ20" s="7">
        <v>6.25</v>
      </c>
      <c r="AR20" s="7">
        <v>6.75</v>
      </c>
      <c r="AS20" s="60">
        <f t="shared" si="15"/>
        <v>6.5</v>
      </c>
      <c r="AT20" s="61">
        <v>1</v>
      </c>
      <c r="AU20" s="14">
        <f>IF($A20="","",6+AT20+info!$P$3)</f>
        <v>7</v>
      </c>
      <c r="AV20" s="15">
        <f t="shared" si="0"/>
        <v>41.93</v>
      </c>
      <c r="AW20" s="16">
        <f t="shared" si="16"/>
        <v>5.99</v>
      </c>
      <c r="AX20" s="17">
        <f t="shared" si="1"/>
        <v>6</v>
      </c>
      <c r="AY20" s="59" t="str">
        <f t="shared" si="17"/>
        <v>متوسط</v>
      </c>
    </row>
    <row r="21" spans="1:51" x14ac:dyDescent="0.25">
      <c r="A21" s="58">
        <f>IF(info!A27="","",info!A27)</f>
        <v>12</v>
      </c>
      <c r="B21" s="58">
        <f>IF($A21="","",info!B27)</f>
        <v>12</v>
      </c>
      <c r="C21" s="73" t="str">
        <f>IF($A21="","",info!C27)</f>
        <v>سلمان</v>
      </c>
      <c r="D21" s="71">
        <f>IF($A21="","",info!G27)</f>
        <v>39447</v>
      </c>
      <c r="E21" s="78" t="str">
        <f>IF($A21="","",info!D27)</f>
        <v>ذ</v>
      </c>
      <c r="F21" s="35">
        <f>IF($A21="","",info!F27)</f>
        <v>0</v>
      </c>
      <c r="G21" s="7">
        <v>7</v>
      </c>
      <c r="H21" s="7">
        <v>6.5</v>
      </c>
      <c r="I21" s="13">
        <f t="shared" si="2"/>
        <v>6.75</v>
      </c>
      <c r="J21" s="7">
        <v>7</v>
      </c>
      <c r="K21" s="7">
        <v>7</v>
      </c>
      <c r="L21" s="13">
        <f t="shared" si="3"/>
        <v>7</v>
      </c>
      <c r="M21" s="7">
        <v>6.5</v>
      </c>
      <c r="N21" s="7">
        <v>7</v>
      </c>
      <c r="O21" s="13">
        <f t="shared" si="4"/>
        <v>6.75</v>
      </c>
      <c r="P21" s="7">
        <v>6.75</v>
      </c>
      <c r="Q21" s="7">
        <v>8.5</v>
      </c>
      <c r="R21" s="13">
        <f t="shared" si="5"/>
        <v>7.625</v>
      </c>
      <c r="S21" s="7">
        <v>6.5</v>
      </c>
      <c r="T21" s="7">
        <v>8</v>
      </c>
      <c r="U21" s="13">
        <f t="shared" si="6"/>
        <v>7.25</v>
      </c>
      <c r="V21" s="60">
        <f t="shared" si="7"/>
        <v>7.0750000000000002</v>
      </c>
      <c r="W21" s="7"/>
      <c r="X21" s="7"/>
      <c r="Y21" s="60" t="str">
        <f t="shared" si="8"/>
        <v/>
      </c>
      <c r="Z21" s="7">
        <v>4</v>
      </c>
      <c r="AA21" s="7">
        <v>4</v>
      </c>
      <c r="AB21" s="7">
        <v>4</v>
      </c>
      <c r="AC21" s="7">
        <v>8</v>
      </c>
      <c r="AD21" s="60">
        <f t="shared" si="10"/>
        <v>5</v>
      </c>
      <c r="AE21" s="7">
        <v>10</v>
      </c>
      <c r="AF21" s="7">
        <v>10</v>
      </c>
      <c r="AG21" s="60">
        <f t="shared" si="11"/>
        <v>10</v>
      </c>
      <c r="AH21" s="7">
        <v>8.5</v>
      </c>
      <c r="AI21" s="7">
        <v>9</v>
      </c>
      <c r="AJ21" s="60">
        <f t="shared" si="12"/>
        <v>8.75</v>
      </c>
      <c r="AK21" s="7">
        <v>7.88</v>
      </c>
      <c r="AL21" s="7">
        <v>10</v>
      </c>
      <c r="AM21" s="60">
        <f t="shared" si="13"/>
        <v>8.94</v>
      </c>
      <c r="AN21" s="7">
        <v>6.5</v>
      </c>
      <c r="AO21" s="7">
        <v>7.5</v>
      </c>
      <c r="AP21" s="60">
        <f t="shared" si="14"/>
        <v>7</v>
      </c>
      <c r="AQ21" s="7">
        <v>6.25</v>
      </c>
      <c r="AR21" s="7">
        <v>6.75</v>
      </c>
      <c r="AS21" s="60">
        <f t="shared" si="15"/>
        <v>6.5</v>
      </c>
      <c r="AT21" s="61">
        <v>1</v>
      </c>
      <c r="AU21" s="14">
        <f>IF($A21="","",6+AT21+info!$P$3)</f>
        <v>7</v>
      </c>
      <c r="AV21" s="15">
        <f t="shared" si="0"/>
        <v>46.265000000000001</v>
      </c>
      <c r="AW21" s="16">
        <f t="shared" si="16"/>
        <v>6.609285714285714</v>
      </c>
      <c r="AX21" s="17">
        <f t="shared" si="1"/>
        <v>2</v>
      </c>
      <c r="AY21" s="59" t="str">
        <f t="shared" si="17"/>
        <v>لوحة الشرف</v>
      </c>
    </row>
    <row r="22" spans="1:51" x14ac:dyDescent="0.25">
      <c r="A22" s="58">
        <f>IF(info!A28="","",info!A28)</f>
        <v>13</v>
      </c>
      <c r="B22" s="58">
        <f>IF($A22="","",info!B28)</f>
        <v>13</v>
      </c>
      <c r="C22" s="73" t="str">
        <f>IF($A22="","",info!C28)</f>
        <v>مروة</v>
      </c>
      <c r="D22" s="71">
        <f>IF($A22="","",info!G28)</f>
        <v>39545</v>
      </c>
      <c r="E22" s="78" t="str">
        <f>IF($A22="","",info!D28)</f>
        <v>أ</v>
      </c>
      <c r="F22" s="35">
        <f>IF($A22="","",info!F28)</f>
        <v>0</v>
      </c>
      <c r="G22" s="7">
        <v>3.5</v>
      </c>
      <c r="H22" s="7">
        <v>3</v>
      </c>
      <c r="I22" s="13">
        <f t="shared" si="2"/>
        <v>3.25</v>
      </c>
      <c r="J22" s="7">
        <v>2</v>
      </c>
      <c r="K22" s="7">
        <v>6</v>
      </c>
      <c r="L22" s="13">
        <f t="shared" si="3"/>
        <v>4</v>
      </c>
      <c r="M22" s="7">
        <v>3</v>
      </c>
      <c r="N22" s="7">
        <v>5</v>
      </c>
      <c r="O22" s="13">
        <f t="shared" si="4"/>
        <v>4</v>
      </c>
      <c r="P22" s="7">
        <v>3.5</v>
      </c>
      <c r="Q22" s="7">
        <v>4.5</v>
      </c>
      <c r="R22" s="13">
        <f t="shared" si="5"/>
        <v>4</v>
      </c>
      <c r="S22" s="7">
        <v>3</v>
      </c>
      <c r="T22" s="7">
        <v>6</v>
      </c>
      <c r="U22" s="13">
        <f t="shared" si="6"/>
        <v>4.5</v>
      </c>
      <c r="V22" s="60">
        <f t="shared" si="7"/>
        <v>3.95</v>
      </c>
      <c r="W22" s="7"/>
      <c r="X22" s="7"/>
      <c r="Y22" s="60" t="str">
        <f t="shared" si="8"/>
        <v/>
      </c>
      <c r="Z22" s="7">
        <v>4</v>
      </c>
      <c r="AA22" s="7">
        <v>3</v>
      </c>
      <c r="AB22" s="7">
        <f t="shared" si="9"/>
        <v>3.5</v>
      </c>
      <c r="AC22" s="7">
        <v>5</v>
      </c>
      <c r="AD22" s="60">
        <f t="shared" si="10"/>
        <v>3.875</v>
      </c>
      <c r="AE22" s="7">
        <v>2.5</v>
      </c>
      <c r="AF22" s="7">
        <v>9.25</v>
      </c>
      <c r="AG22" s="60">
        <f t="shared" si="11"/>
        <v>5.875</v>
      </c>
      <c r="AH22" s="7">
        <v>6.25</v>
      </c>
      <c r="AI22" s="7">
        <v>6.5</v>
      </c>
      <c r="AJ22" s="60">
        <f t="shared" si="12"/>
        <v>6.375</v>
      </c>
      <c r="AK22" s="7">
        <v>4.16</v>
      </c>
      <c r="AL22" s="7">
        <v>2.5</v>
      </c>
      <c r="AM22" s="60">
        <f t="shared" si="13"/>
        <v>3.33</v>
      </c>
      <c r="AN22" s="7">
        <v>3</v>
      </c>
      <c r="AO22" s="7">
        <v>3.5</v>
      </c>
      <c r="AP22" s="60">
        <f t="shared" si="14"/>
        <v>3.25</v>
      </c>
      <c r="AQ22" s="7">
        <v>6</v>
      </c>
      <c r="AR22" s="7">
        <v>6.5</v>
      </c>
      <c r="AS22" s="60">
        <f t="shared" si="15"/>
        <v>6.25</v>
      </c>
      <c r="AT22" s="61">
        <v>1</v>
      </c>
      <c r="AU22" s="14">
        <f>IF($A22="","",6+AT22+info!$P$3)</f>
        <v>7</v>
      </c>
      <c r="AV22" s="15">
        <f t="shared" si="0"/>
        <v>29.655000000000001</v>
      </c>
      <c r="AW22" s="16">
        <f t="shared" si="16"/>
        <v>4.2364285714285712</v>
      </c>
      <c r="AX22" s="17">
        <f t="shared" si="1"/>
        <v>18</v>
      </c>
      <c r="AY22" s="59" t="str">
        <f t="shared" si="17"/>
        <v>دون المتوسط</v>
      </c>
    </row>
    <row r="23" spans="1:51" x14ac:dyDescent="0.25">
      <c r="A23" s="58">
        <f>IF(info!A29="","",info!A29)</f>
        <v>14</v>
      </c>
      <c r="B23" s="58">
        <f>IF($A23="","",info!B29)</f>
        <v>14</v>
      </c>
      <c r="C23" s="73" t="str">
        <f>IF($A23="","",info!C29)</f>
        <v>خالد</v>
      </c>
      <c r="D23" s="71">
        <f>IF($A23="","",info!G29)</f>
        <v>39552</v>
      </c>
      <c r="E23" s="78" t="str">
        <f>IF($A23="","",info!D29)</f>
        <v>ذ</v>
      </c>
      <c r="F23" s="35">
        <f>IF($A23="","",info!F29)</f>
        <v>0</v>
      </c>
      <c r="G23" s="7">
        <v>5.5</v>
      </c>
      <c r="H23" s="7">
        <v>6.75</v>
      </c>
      <c r="I23" s="13">
        <f t="shared" si="2"/>
        <v>6.125</v>
      </c>
      <c r="J23" s="7">
        <v>6</v>
      </c>
      <c r="K23" s="7">
        <v>6.75</v>
      </c>
      <c r="L23" s="13">
        <f t="shared" si="3"/>
        <v>6.375</v>
      </c>
      <c r="M23" s="7">
        <v>6</v>
      </c>
      <c r="N23" s="7">
        <v>6.5</v>
      </c>
      <c r="O23" s="13">
        <f t="shared" si="4"/>
        <v>6.25</v>
      </c>
      <c r="P23" s="7">
        <v>5.5</v>
      </c>
      <c r="Q23" s="7">
        <v>7.75</v>
      </c>
      <c r="R23" s="13">
        <f t="shared" si="5"/>
        <v>6.625</v>
      </c>
      <c r="S23" s="7">
        <v>6</v>
      </c>
      <c r="T23" s="7">
        <v>6</v>
      </c>
      <c r="U23" s="13">
        <f t="shared" si="6"/>
        <v>6</v>
      </c>
      <c r="V23" s="60">
        <f t="shared" si="7"/>
        <v>6.2750000000000004</v>
      </c>
      <c r="W23" s="7"/>
      <c r="X23" s="7"/>
      <c r="Y23" s="60" t="str">
        <f t="shared" si="8"/>
        <v/>
      </c>
      <c r="Z23" s="7">
        <v>6</v>
      </c>
      <c r="AA23" s="7">
        <v>3</v>
      </c>
      <c r="AB23" s="7">
        <f t="shared" si="9"/>
        <v>4.5</v>
      </c>
      <c r="AC23" s="7">
        <v>6.5</v>
      </c>
      <c r="AD23" s="60">
        <f t="shared" si="10"/>
        <v>5</v>
      </c>
      <c r="AE23" s="7">
        <v>6</v>
      </c>
      <c r="AF23" s="7">
        <v>9.33</v>
      </c>
      <c r="AG23" s="60">
        <f t="shared" si="11"/>
        <v>7.665</v>
      </c>
      <c r="AH23" s="7">
        <v>7.5</v>
      </c>
      <c r="AI23" s="7">
        <v>7</v>
      </c>
      <c r="AJ23" s="60">
        <f t="shared" si="12"/>
        <v>7.25</v>
      </c>
      <c r="AK23" s="7">
        <v>4.25</v>
      </c>
      <c r="AL23" s="7">
        <v>9</v>
      </c>
      <c r="AM23" s="60">
        <f t="shared" si="13"/>
        <v>6.625</v>
      </c>
      <c r="AN23" s="7">
        <v>6</v>
      </c>
      <c r="AO23" s="7">
        <v>4.5</v>
      </c>
      <c r="AP23" s="60">
        <f t="shared" si="14"/>
        <v>5.25</v>
      </c>
      <c r="AQ23" s="7">
        <v>6.5</v>
      </c>
      <c r="AR23" s="7">
        <v>6.5</v>
      </c>
      <c r="AS23" s="60">
        <f t="shared" si="15"/>
        <v>6.5</v>
      </c>
      <c r="AT23" s="61">
        <v>1</v>
      </c>
      <c r="AU23" s="14">
        <f>IF($A23="","",6+AT23+info!$P$3)</f>
        <v>7</v>
      </c>
      <c r="AV23" s="15">
        <f t="shared" si="0"/>
        <v>39.314999999999998</v>
      </c>
      <c r="AW23" s="16">
        <f t="shared" si="16"/>
        <v>5.6164285714285711</v>
      </c>
      <c r="AX23" s="17">
        <f t="shared" si="1"/>
        <v>9</v>
      </c>
      <c r="AY23" s="59" t="str">
        <f t="shared" si="17"/>
        <v>متوسط</v>
      </c>
    </row>
    <row r="24" spans="1:51" x14ac:dyDescent="0.25">
      <c r="A24" s="58">
        <f>IF(info!A30="","",info!A30)</f>
        <v>15</v>
      </c>
      <c r="B24" s="58">
        <f>IF($A24="","",info!B30)</f>
        <v>15</v>
      </c>
      <c r="C24" s="73" t="str">
        <f>IF($A24="","",info!C30)</f>
        <v>سفيان</v>
      </c>
      <c r="D24" s="71">
        <f>IF($A24="","",info!G30)</f>
        <v>39673</v>
      </c>
      <c r="E24" s="78" t="str">
        <f>IF($A24="","",info!D30)</f>
        <v>ذ</v>
      </c>
      <c r="F24" s="35">
        <f>IF($A24="","",info!F30)</f>
        <v>0</v>
      </c>
      <c r="G24" s="7">
        <v>3.5</v>
      </c>
      <c r="H24" s="7">
        <v>4.5</v>
      </c>
      <c r="I24" s="13">
        <f t="shared" si="2"/>
        <v>4</v>
      </c>
      <c r="J24" s="7">
        <v>4</v>
      </c>
      <c r="K24" s="7">
        <v>6</v>
      </c>
      <c r="L24" s="13">
        <f t="shared" si="3"/>
        <v>5</v>
      </c>
      <c r="M24" s="7">
        <v>4</v>
      </c>
      <c r="N24" s="7">
        <v>5</v>
      </c>
      <c r="O24" s="13">
        <f t="shared" si="4"/>
        <v>4.5</v>
      </c>
      <c r="P24" s="7">
        <v>3.5</v>
      </c>
      <c r="Q24" s="7">
        <v>4.5</v>
      </c>
      <c r="R24" s="13">
        <f t="shared" si="5"/>
        <v>4</v>
      </c>
      <c r="S24" s="7">
        <v>4</v>
      </c>
      <c r="T24" s="7">
        <v>6</v>
      </c>
      <c r="U24" s="13">
        <f t="shared" si="6"/>
        <v>5</v>
      </c>
      <c r="V24" s="60">
        <f t="shared" si="7"/>
        <v>4.5</v>
      </c>
      <c r="W24" s="7"/>
      <c r="X24" s="7"/>
      <c r="Y24" s="60" t="str">
        <f t="shared" si="8"/>
        <v/>
      </c>
      <c r="Z24" s="7">
        <v>4</v>
      </c>
      <c r="AA24" s="7">
        <v>3</v>
      </c>
      <c r="AB24" s="7">
        <f t="shared" si="9"/>
        <v>3.5</v>
      </c>
      <c r="AC24" s="7">
        <v>5</v>
      </c>
      <c r="AD24" s="60">
        <f t="shared" si="10"/>
        <v>3.875</v>
      </c>
      <c r="AE24" s="7">
        <v>3.5</v>
      </c>
      <c r="AF24" s="7">
        <v>5.33</v>
      </c>
      <c r="AG24" s="60">
        <f t="shared" si="11"/>
        <v>4.415</v>
      </c>
      <c r="AH24" s="7">
        <v>6.75</v>
      </c>
      <c r="AI24" s="7">
        <v>8</v>
      </c>
      <c r="AJ24" s="60">
        <f t="shared" si="12"/>
        <v>7.375</v>
      </c>
      <c r="AK24" s="7">
        <v>5.08</v>
      </c>
      <c r="AL24" s="7">
        <v>5</v>
      </c>
      <c r="AM24" s="60">
        <f t="shared" si="13"/>
        <v>5.04</v>
      </c>
      <c r="AN24" s="7">
        <v>4</v>
      </c>
      <c r="AO24" s="7">
        <v>3.5</v>
      </c>
      <c r="AP24" s="60">
        <f t="shared" si="14"/>
        <v>3.75</v>
      </c>
      <c r="AQ24" s="7">
        <v>5</v>
      </c>
      <c r="AR24" s="7">
        <v>6.5</v>
      </c>
      <c r="AS24" s="60">
        <f t="shared" si="15"/>
        <v>5.75</v>
      </c>
      <c r="AT24" s="61">
        <v>1</v>
      </c>
      <c r="AU24" s="14">
        <f>IF($A24="","",6+AT24+info!$P$3)</f>
        <v>7</v>
      </c>
      <c r="AV24" s="15">
        <f t="shared" si="0"/>
        <v>30.954999999999998</v>
      </c>
      <c r="AW24" s="16">
        <f t="shared" si="16"/>
        <v>4.4221428571428572</v>
      </c>
      <c r="AX24" s="17">
        <f t="shared" si="1"/>
        <v>16</v>
      </c>
      <c r="AY24" s="59" t="str">
        <f t="shared" si="17"/>
        <v>دون المتوسط</v>
      </c>
    </row>
    <row r="25" spans="1:51" x14ac:dyDescent="0.25">
      <c r="A25" s="58">
        <f>IF(info!A31="","",info!A31)</f>
        <v>16</v>
      </c>
      <c r="B25" s="58">
        <f>IF($A25="","",info!B31)</f>
        <v>16</v>
      </c>
      <c r="C25" s="73" t="str">
        <f>IF($A25="","",info!C31)</f>
        <v>لمياء</v>
      </c>
      <c r="D25" s="71">
        <f>IF($A25="","",info!G31)</f>
        <v>39837</v>
      </c>
      <c r="E25" s="78" t="str">
        <f>IF($A25="","",info!D31)</f>
        <v>أ</v>
      </c>
      <c r="F25" s="35">
        <f>IF($A25="","",info!F31)</f>
        <v>0</v>
      </c>
      <c r="G25" s="7">
        <v>5.5</v>
      </c>
      <c r="H25" s="7">
        <v>4.5</v>
      </c>
      <c r="I25" s="13">
        <f t="shared" si="2"/>
        <v>5</v>
      </c>
      <c r="J25" s="7">
        <v>4</v>
      </c>
      <c r="K25" s="7">
        <v>4</v>
      </c>
      <c r="L25" s="13">
        <f t="shared" si="3"/>
        <v>4</v>
      </c>
      <c r="M25" s="7">
        <v>4</v>
      </c>
      <c r="N25" s="7">
        <v>6</v>
      </c>
      <c r="O25" s="13">
        <f t="shared" si="4"/>
        <v>5</v>
      </c>
      <c r="P25" s="7">
        <v>5.75</v>
      </c>
      <c r="Q25" s="7">
        <v>5.5</v>
      </c>
      <c r="R25" s="13">
        <f t="shared" si="5"/>
        <v>5.625</v>
      </c>
      <c r="S25" s="7">
        <v>4.5</v>
      </c>
      <c r="T25" s="7">
        <v>5</v>
      </c>
      <c r="U25" s="13">
        <f t="shared" si="6"/>
        <v>4.75</v>
      </c>
      <c r="V25" s="60">
        <f t="shared" si="7"/>
        <v>4.875</v>
      </c>
      <c r="W25" s="7"/>
      <c r="X25" s="7"/>
      <c r="Y25" s="60" t="str">
        <f t="shared" si="8"/>
        <v/>
      </c>
      <c r="Z25" s="7">
        <v>6</v>
      </c>
      <c r="AA25" s="7">
        <v>3</v>
      </c>
      <c r="AB25" s="7">
        <f t="shared" si="9"/>
        <v>4.5</v>
      </c>
      <c r="AC25" s="7">
        <v>6</v>
      </c>
      <c r="AD25" s="60">
        <f t="shared" si="10"/>
        <v>4.875</v>
      </c>
      <c r="AE25" s="7">
        <v>9</v>
      </c>
      <c r="AF25" s="7">
        <v>4.66</v>
      </c>
      <c r="AG25" s="60">
        <f t="shared" si="11"/>
        <v>6.83</v>
      </c>
      <c r="AH25" s="7">
        <v>7.25</v>
      </c>
      <c r="AI25" s="7">
        <v>6</v>
      </c>
      <c r="AJ25" s="60">
        <f t="shared" si="12"/>
        <v>6.625</v>
      </c>
      <c r="AK25" s="7">
        <v>6.33</v>
      </c>
      <c r="AL25" s="7">
        <v>4.25</v>
      </c>
      <c r="AM25" s="60">
        <f t="shared" si="13"/>
        <v>5.29</v>
      </c>
      <c r="AN25" s="7">
        <v>4</v>
      </c>
      <c r="AO25" s="7">
        <v>4.5</v>
      </c>
      <c r="AP25" s="60">
        <f t="shared" si="14"/>
        <v>4.25</v>
      </c>
      <c r="AQ25" s="7">
        <v>6</v>
      </c>
      <c r="AR25" s="7">
        <v>6</v>
      </c>
      <c r="AS25" s="60">
        <f t="shared" si="15"/>
        <v>6</v>
      </c>
      <c r="AT25" s="61">
        <v>1</v>
      </c>
      <c r="AU25" s="14">
        <f>IF($A25="","",6+AT25+info!$P$3)</f>
        <v>7</v>
      </c>
      <c r="AV25" s="15">
        <f t="shared" si="0"/>
        <v>34.494999999999997</v>
      </c>
      <c r="AW25" s="16">
        <f t="shared" si="16"/>
        <v>4.9278571428571425</v>
      </c>
      <c r="AX25" s="17">
        <f t="shared" si="1"/>
        <v>11</v>
      </c>
      <c r="AY25" s="59" t="str">
        <f t="shared" si="17"/>
        <v>دون المتوسط</v>
      </c>
    </row>
    <row r="26" spans="1:51" x14ac:dyDescent="0.25">
      <c r="A26" s="58">
        <f>IF(info!A32="","",info!A32)</f>
        <v>17</v>
      </c>
      <c r="B26" s="58">
        <f>IF($A26="","",info!B32)</f>
        <v>17</v>
      </c>
      <c r="C26" s="73" t="str">
        <f>IF($A26="","",info!C32)</f>
        <v>مريم</v>
      </c>
      <c r="D26" s="71">
        <f>IF($A26="","",info!G32)</f>
        <v>39813</v>
      </c>
      <c r="E26" s="78" t="str">
        <f>IF($A26="","",info!D32)</f>
        <v>أ</v>
      </c>
      <c r="F26" s="35">
        <f>IF($A26="","",info!F32)</f>
        <v>0</v>
      </c>
      <c r="G26" s="7">
        <v>7</v>
      </c>
      <c r="H26" s="7">
        <v>5.5</v>
      </c>
      <c r="I26" s="13">
        <f t="shared" si="2"/>
        <v>6.25</v>
      </c>
      <c r="J26" s="7">
        <v>8</v>
      </c>
      <c r="K26" s="7">
        <v>9</v>
      </c>
      <c r="L26" s="13">
        <f t="shared" si="3"/>
        <v>8.5</v>
      </c>
      <c r="M26" s="7">
        <v>6</v>
      </c>
      <c r="N26" s="7">
        <v>7</v>
      </c>
      <c r="O26" s="13">
        <f t="shared" si="4"/>
        <v>6.5</v>
      </c>
      <c r="P26" s="7">
        <v>6.5</v>
      </c>
      <c r="Q26" s="7">
        <v>7.5</v>
      </c>
      <c r="R26" s="13">
        <f t="shared" si="5"/>
        <v>7</v>
      </c>
      <c r="S26" s="7">
        <v>6</v>
      </c>
      <c r="T26" s="7">
        <v>7</v>
      </c>
      <c r="U26" s="13">
        <f t="shared" si="6"/>
        <v>6.5</v>
      </c>
      <c r="V26" s="60">
        <f t="shared" si="7"/>
        <v>6.95</v>
      </c>
      <c r="W26" s="7"/>
      <c r="X26" s="7"/>
      <c r="Y26" s="60" t="str">
        <f t="shared" si="8"/>
        <v/>
      </c>
      <c r="Z26" s="7">
        <v>6</v>
      </c>
      <c r="AA26" s="7">
        <v>7.5</v>
      </c>
      <c r="AB26" s="7">
        <f t="shared" si="9"/>
        <v>6.75</v>
      </c>
      <c r="AC26" s="7">
        <v>7</v>
      </c>
      <c r="AD26" s="60">
        <f t="shared" si="10"/>
        <v>6.8125</v>
      </c>
      <c r="AE26" s="7">
        <v>9</v>
      </c>
      <c r="AF26" s="7">
        <v>9.33</v>
      </c>
      <c r="AG26" s="60">
        <f t="shared" si="11"/>
        <v>9.1649999999999991</v>
      </c>
      <c r="AH26" s="7">
        <v>8</v>
      </c>
      <c r="AI26" s="7">
        <v>7</v>
      </c>
      <c r="AJ26" s="60">
        <f t="shared" si="12"/>
        <v>7.5</v>
      </c>
      <c r="AK26" s="7">
        <v>7.58</v>
      </c>
      <c r="AL26" s="7">
        <v>8.5</v>
      </c>
      <c r="AM26" s="60">
        <f t="shared" si="13"/>
        <v>8.0399999999999991</v>
      </c>
      <c r="AN26" s="7">
        <v>6</v>
      </c>
      <c r="AO26" s="7">
        <v>6.75</v>
      </c>
      <c r="AP26" s="60">
        <f t="shared" si="14"/>
        <v>6.375</v>
      </c>
      <c r="AQ26" s="7">
        <v>6.75</v>
      </c>
      <c r="AR26" s="7">
        <v>6.75</v>
      </c>
      <c r="AS26" s="60">
        <f t="shared" si="15"/>
        <v>6.75</v>
      </c>
      <c r="AT26" s="61">
        <v>1</v>
      </c>
      <c r="AU26" s="14">
        <f>IF($A26="","",6+AT26+info!$P$3)</f>
        <v>7</v>
      </c>
      <c r="AV26" s="15">
        <f t="shared" si="0"/>
        <v>45.217500000000001</v>
      </c>
      <c r="AW26" s="16">
        <f t="shared" si="16"/>
        <v>6.4596428571428577</v>
      </c>
      <c r="AX26" s="17">
        <f t="shared" si="1"/>
        <v>4</v>
      </c>
      <c r="AY26" s="59" t="str">
        <f t="shared" si="17"/>
        <v>لوحة الشرف</v>
      </c>
    </row>
    <row r="27" spans="1:51" x14ac:dyDescent="0.25">
      <c r="A27" s="58">
        <f>IF(info!A33="","",info!A33)</f>
        <v>18</v>
      </c>
      <c r="B27" s="58">
        <f>IF($A27="","",info!B33)</f>
        <v>18</v>
      </c>
      <c r="C27" s="73" t="str">
        <f>IF($A27="","",info!C33)</f>
        <v>لقمان</v>
      </c>
      <c r="D27" s="71">
        <f>IF($A27="","",info!G33)</f>
        <v>39864</v>
      </c>
      <c r="E27" s="78" t="str">
        <f>IF($A27="","",info!D33)</f>
        <v>ذ</v>
      </c>
      <c r="F27" s="35">
        <f>IF($A27="","",info!F33)</f>
        <v>0</v>
      </c>
      <c r="G27" s="7">
        <v>3.5</v>
      </c>
      <c r="H27" s="7">
        <v>3</v>
      </c>
      <c r="I27" s="13">
        <f t="shared" si="2"/>
        <v>3.25</v>
      </c>
      <c r="J27" s="7">
        <v>4</v>
      </c>
      <c r="K27" s="7">
        <v>4</v>
      </c>
      <c r="L27" s="13">
        <f t="shared" si="3"/>
        <v>4</v>
      </c>
      <c r="M27" s="7">
        <v>4</v>
      </c>
      <c r="N27" s="7">
        <v>4</v>
      </c>
      <c r="O27" s="13">
        <f t="shared" si="4"/>
        <v>4</v>
      </c>
      <c r="P27" s="7">
        <v>3.5</v>
      </c>
      <c r="Q27" s="7">
        <v>3</v>
      </c>
      <c r="R27" s="13">
        <f t="shared" si="5"/>
        <v>3.25</v>
      </c>
      <c r="S27" s="7">
        <v>4</v>
      </c>
      <c r="T27" s="7">
        <v>3</v>
      </c>
      <c r="U27" s="13">
        <f t="shared" si="6"/>
        <v>3.5</v>
      </c>
      <c r="V27" s="60">
        <f t="shared" si="7"/>
        <v>3.6</v>
      </c>
      <c r="W27" s="7"/>
      <c r="X27" s="7"/>
      <c r="Y27" s="60" t="str">
        <f t="shared" si="8"/>
        <v/>
      </c>
      <c r="Z27" s="7">
        <v>4</v>
      </c>
      <c r="AA27" s="7">
        <v>4</v>
      </c>
      <c r="AB27" s="7">
        <f t="shared" si="9"/>
        <v>4</v>
      </c>
      <c r="AC27" s="7">
        <v>5</v>
      </c>
      <c r="AD27" s="60">
        <f t="shared" si="10"/>
        <v>4.25</v>
      </c>
      <c r="AE27" s="7">
        <v>4</v>
      </c>
      <c r="AF27" s="7">
        <v>6.66</v>
      </c>
      <c r="AG27" s="60">
        <f t="shared" si="11"/>
        <v>5.33</v>
      </c>
      <c r="AH27" s="7">
        <v>5.75</v>
      </c>
      <c r="AI27" s="7">
        <v>5.5</v>
      </c>
      <c r="AJ27" s="60">
        <f t="shared" si="12"/>
        <v>5.625</v>
      </c>
      <c r="AK27" s="7">
        <v>2.5</v>
      </c>
      <c r="AL27" s="7">
        <v>1.75</v>
      </c>
      <c r="AM27" s="60">
        <f t="shared" si="13"/>
        <v>2.125</v>
      </c>
      <c r="AN27" s="7">
        <v>4</v>
      </c>
      <c r="AO27" s="7">
        <v>4</v>
      </c>
      <c r="AP27" s="60">
        <f t="shared" si="14"/>
        <v>4</v>
      </c>
      <c r="AQ27" s="7">
        <v>6</v>
      </c>
      <c r="AR27" s="7">
        <v>6.75</v>
      </c>
      <c r="AS27" s="60">
        <f t="shared" si="15"/>
        <v>6.375</v>
      </c>
      <c r="AT27" s="61">
        <v>1</v>
      </c>
      <c r="AU27" s="14">
        <f>IF($A27="","",6+AT27+info!$P$3)</f>
        <v>7</v>
      </c>
      <c r="AV27" s="15">
        <f t="shared" si="0"/>
        <v>27.305</v>
      </c>
      <c r="AW27" s="16">
        <f t="shared" si="16"/>
        <v>3.9007142857142858</v>
      </c>
      <c r="AX27" s="17">
        <f t="shared" si="1"/>
        <v>21</v>
      </c>
      <c r="AY27" s="59" t="str">
        <f t="shared" si="17"/>
        <v>ناقص</v>
      </c>
    </row>
    <row r="28" spans="1:51" x14ac:dyDescent="0.25">
      <c r="A28" s="58">
        <f>IF(info!A34="","",info!A34)</f>
        <v>19</v>
      </c>
      <c r="B28" s="58">
        <f>IF($A28="","",info!B34)</f>
        <v>19</v>
      </c>
      <c r="C28" s="73" t="str">
        <f>IF($A28="","",info!C34)</f>
        <v>محمد</v>
      </c>
      <c r="D28" s="71">
        <f>IF($A28="","",info!G34)</f>
        <v>39815</v>
      </c>
      <c r="E28" s="78" t="str">
        <f>IF($A28="","",info!D34)</f>
        <v>ذ</v>
      </c>
      <c r="F28" s="35">
        <f>IF($A28="","",info!F34)</f>
        <v>0</v>
      </c>
      <c r="G28" s="7">
        <v>3.5</v>
      </c>
      <c r="H28" s="7">
        <v>3</v>
      </c>
      <c r="I28" s="13">
        <f t="shared" si="2"/>
        <v>3.25</v>
      </c>
      <c r="J28" s="7">
        <v>2</v>
      </c>
      <c r="K28" s="7">
        <v>3</v>
      </c>
      <c r="L28" s="13">
        <f t="shared" si="3"/>
        <v>2.5</v>
      </c>
      <c r="M28" s="7">
        <v>2</v>
      </c>
      <c r="N28" s="7">
        <v>3</v>
      </c>
      <c r="O28" s="13">
        <f t="shared" si="4"/>
        <v>2.5</v>
      </c>
      <c r="P28" s="7">
        <v>3.5</v>
      </c>
      <c r="Q28" s="7">
        <v>3</v>
      </c>
      <c r="R28" s="13">
        <f t="shared" si="5"/>
        <v>3.25</v>
      </c>
      <c r="S28" s="7">
        <v>2</v>
      </c>
      <c r="T28" s="7">
        <v>3</v>
      </c>
      <c r="U28" s="13">
        <f t="shared" si="6"/>
        <v>2.5</v>
      </c>
      <c r="V28" s="60">
        <f t="shared" si="7"/>
        <v>2.8</v>
      </c>
      <c r="W28" s="7"/>
      <c r="X28" s="7"/>
      <c r="Y28" s="60" t="str">
        <f t="shared" si="8"/>
        <v/>
      </c>
      <c r="Z28" s="7">
        <v>4</v>
      </c>
      <c r="AA28" s="7">
        <v>3</v>
      </c>
      <c r="AB28" s="7">
        <f t="shared" si="9"/>
        <v>3.5</v>
      </c>
      <c r="AC28" s="7">
        <v>4</v>
      </c>
      <c r="AD28" s="60">
        <f t="shared" si="10"/>
        <v>3.625</v>
      </c>
      <c r="AE28" s="7">
        <v>3.5</v>
      </c>
      <c r="AF28" s="7">
        <v>2</v>
      </c>
      <c r="AG28" s="60">
        <f t="shared" si="11"/>
        <v>2.75</v>
      </c>
      <c r="AH28" s="7">
        <v>5</v>
      </c>
      <c r="AI28" s="7">
        <v>4</v>
      </c>
      <c r="AJ28" s="60">
        <f t="shared" si="12"/>
        <v>4.5</v>
      </c>
      <c r="AK28" s="7">
        <v>4.5</v>
      </c>
      <c r="AL28" s="7">
        <v>1</v>
      </c>
      <c r="AM28" s="60">
        <f t="shared" si="13"/>
        <v>2.75</v>
      </c>
      <c r="AN28" s="7">
        <v>2</v>
      </c>
      <c r="AO28" s="7">
        <v>3.5</v>
      </c>
      <c r="AP28" s="60">
        <f t="shared" si="14"/>
        <v>2.75</v>
      </c>
      <c r="AQ28" s="7">
        <v>5.25</v>
      </c>
      <c r="AR28" s="7">
        <v>6.5</v>
      </c>
      <c r="AS28" s="60">
        <f t="shared" si="15"/>
        <v>5.875</v>
      </c>
      <c r="AT28" s="61">
        <v>1</v>
      </c>
      <c r="AU28" s="14">
        <f>IF($A28="","",6+AT28+info!$P$3)</f>
        <v>7</v>
      </c>
      <c r="AV28" s="15">
        <f t="shared" si="0"/>
        <v>22.3</v>
      </c>
      <c r="AW28" s="16">
        <f t="shared" si="16"/>
        <v>3.1857142857142859</v>
      </c>
      <c r="AX28" s="17">
        <f t="shared" si="1"/>
        <v>25</v>
      </c>
      <c r="AY28" s="59" t="str">
        <f t="shared" si="17"/>
        <v>ناقص</v>
      </c>
    </row>
    <row r="29" spans="1:51" x14ac:dyDescent="0.25">
      <c r="A29" s="58">
        <f>IF(info!A35="","",info!A35)</f>
        <v>20</v>
      </c>
      <c r="B29" s="58">
        <f>IF($A29="","",info!B35)</f>
        <v>20</v>
      </c>
      <c r="C29" s="73" t="str">
        <f>IF($A29="","",info!C35)</f>
        <v>سليم</v>
      </c>
      <c r="D29" s="71">
        <f>IF($A29="","",info!G35)</f>
        <v>39713</v>
      </c>
      <c r="E29" s="78" t="str">
        <f>IF($A29="","",info!D35)</f>
        <v>ذ</v>
      </c>
      <c r="F29" s="35">
        <f>IF($A29="","",info!F35)</f>
        <v>0</v>
      </c>
      <c r="G29" s="7">
        <v>4</v>
      </c>
      <c r="H29" s="7">
        <v>4.5</v>
      </c>
      <c r="I29" s="13">
        <f t="shared" si="2"/>
        <v>4.25</v>
      </c>
      <c r="J29" s="7">
        <v>7</v>
      </c>
      <c r="K29" s="7">
        <v>7.5</v>
      </c>
      <c r="L29" s="13">
        <f t="shared" si="3"/>
        <v>7.25</v>
      </c>
      <c r="M29" s="7">
        <v>7</v>
      </c>
      <c r="N29" s="7">
        <v>6.5</v>
      </c>
      <c r="O29" s="13">
        <f t="shared" si="4"/>
        <v>6.75</v>
      </c>
      <c r="P29" s="7">
        <v>4</v>
      </c>
      <c r="Q29" s="7">
        <v>7</v>
      </c>
      <c r="R29" s="13">
        <f t="shared" si="5"/>
        <v>5.5</v>
      </c>
      <c r="S29" s="7">
        <v>7</v>
      </c>
      <c r="T29" s="7">
        <v>8</v>
      </c>
      <c r="U29" s="13">
        <f t="shared" si="6"/>
        <v>7.5</v>
      </c>
      <c r="V29" s="60">
        <f t="shared" si="7"/>
        <v>6.25</v>
      </c>
      <c r="W29" s="7"/>
      <c r="X29" s="7"/>
      <c r="Y29" s="60" t="str">
        <f t="shared" si="8"/>
        <v/>
      </c>
      <c r="Z29" s="7">
        <v>6.5</v>
      </c>
      <c r="AA29" s="7">
        <v>4</v>
      </c>
      <c r="AB29" s="7">
        <f t="shared" si="9"/>
        <v>5.25</v>
      </c>
      <c r="AC29" s="7">
        <v>7</v>
      </c>
      <c r="AD29" s="60">
        <f t="shared" si="10"/>
        <v>5.6875</v>
      </c>
      <c r="AE29" s="7">
        <v>8.5</v>
      </c>
      <c r="AF29" s="7">
        <v>6</v>
      </c>
      <c r="AG29" s="60">
        <f t="shared" si="11"/>
        <v>7.25</v>
      </c>
      <c r="AH29" s="7">
        <v>7.5</v>
      </c>
      <c r="AI29" s="7">
        <v>9</v>
      </c>
      <c r="AJ29" s="60">
        <f t="shared" si="12"/>
        <v>8.25</v>
      </c>
      <c r="AK29" s="7">
        <v>7.83</v>
      </c>
      <c r="AL29" s="7">
        <v>6</v>
      </c>
      <c r="AM29" s="60">
        <f t="shared" si="13"/>
        <v>6.915</v>
      </c>
      <c r="AN29" s="7">
        <v>7</v>
      </c>
      <c r="AO29" s="7">
        <v>5.25</v>
      </c>
      <c r="AP29" s="60">
        <f t="shared" si="14"/>
        <v>6.125</v>
      </c>
      <c r="AQ29" s="7">
        <v>6.5</v>
      </c>
      <c r="AR29" s="7">
        <v>6.5</v>
      </c>
      <c r="AS29" s="60">
        <f t="shared" si="15"/>
        <v>6.5</v>
      </c>
      <c r="AT29" s="61">
        <v>1</v>
      </c>
      <c r="AU29" s="14">
        <f>IF($A29="","",6+AT29+info!$P$3)</f>
        <v>7</v>
      </c>
      <c r="AV29" s="15">
        <f t="shared" si="0"/>
        <v>40.852499999999999</v>
      </c>
      <c r="AW29" s="16">
        <f t="shared" si="16"/>
        <v>5.8360714285714286</v>
      </c>
      <c r="AX29" s="17">
        <f t="shared" si="1"/>
        <v>7</v>
      </c>
      <c r="AY29" s="59" t="str">
        <f t="shared" si="17"/>
        <v>متوسط</v>
      </c>
    </row>
    <row r="30" spans="1:51" x14ac:dyDescent="0.25">
      <c r="A30" s="58">
        <f>IF(info!A36="","",info!A36)</f>
        <v>21</v>
      </c>
      <c r="B30" s="58">
        <f>IF($A30="","",info!B36)</f>
        <v>21</v>
      </c>
      <c r="C30" s="73" t="str">
        <f>IF($A30="","",info!C36)</f>
        <v>فتيحة</v>
      </c>
      <c r="D30" s="71">
        <f>IF($A30="","",info!G36)</f>
        <v>39550</v>
      </c>
      <c r="E30" s="78" t="str">
        <f>IF($A30="","",info!D36)</f>
        <v>أ</v>
      </c>
      <c r="F30" s="35">
        <f>IF($A30="","",info!F36)</f>
        <v>0</v>
      </c>
      <c r="G30" s="7">
        <v>3.5</v>
      </c>
      <c r="H30" s="7">
        <v>3</v>
      </c>
      <c r="I30" s="13">
        <f t="shared" si="2"/>
        <v>3.25</v>
      </c>
      <c r="J30" s="7">
        <v>6</v>
      </c>
      <c r="K30" s="7">
        <v>5</v>
      </c>
      <c r="L30" s="13">
        <f t="shared" si="3"/>
        <v>5.5</v>
      </c>
      <c r="M30" s="7">
        <v>4</v>
      </c>
      <c r="N30" s="7">
        <v>5</v>
      </c>
      <c r="O30" s="13">
        <f t="shared" si="4"/>
        <v>4.5</v>
      </c>
      <c r="P30" s="7">
        <v>4</v>
      </c>
      <c r="Q30" s="7">
        <v>5.5</v>
      </c>
      <c r="R30" s="13">
        <f t="shared" si="5"/>
        <v>4.75</v>
      </c>
      <c r="S30" s="7">
        <v>4</v>
      </c>
      <c r="T30" s="7">
        <v>5</v>
      </c>
      <c r="U30" s="13">
        <f t="shared" si="6"/>
        <v>4.5</v>
      </c>
      <c r="V30" s="60">
        <f t="shared" si="7"/>
        <v>4.5</v>
      </c>
      <c r="W30" s="7"/>
      <c r="X30" s="7"/>
      <c r="Y30" s="60" t="str">
        <f t="shared" si="8"/>
        <v/>
      </c>
      <c r="Z30" s="7">
        <v>5</v>
      </c>
      <c r="AA30" s="7">
        <v>3</v>
      </c>
      <c r="AB30" s="7">
        <f t="shared" si="9"/>
        <v>4</v>
      </c>
      <c r="AC30" s="7">
        <v>5</v>
      </c>
      <c r="AD30" s="60">
        <f t="shared" si="10"/>
        <v>4.25</v>
      </c>
      <c r="AE30" s="7">
        <v>6.5</v>
      </c>
      <c r="AF30" s="7">
        <v>6.66</v>
      </c>
      <c r="AG30" s="60">
        <f t="shared" si="11"/>
        <v>6.58</v>
      </c>
      <c r="AH30" s="7">
        <v>7.5</v>
      </c>
      <c r="AI30" s="7">
        <v>7</v>
      </c>
      <c r="AJ30" s="60">
        <f t="shared" si="12"/>
        <v>7.25</v>
      </c>
      <c r="AK30" s="7">
        <v>4.33</v>
      </c>
      <c r="AL30" s="7">
        <v>3</v>
      </c>
      <c r="AM30" s="60">
        <f t="shared" si="13"/>
        <v>3.665</v>
      </c>
      <c r="AN30" s="7">
        <v>4</v>
      </c>
      <c r="AO30" s="7">
        <v>4</v>
      </c>
      <c r="AP30" s="60">
        <f t="shared" si="14"/>
        <v>4</v>
      </c>
      <c r="AQ30" s="7">
        <v>6</v>
      </c>
      <c r="AR30" s="7">
        <v>6.5</v>
      </c>
      <c r="AS30" s="60">
        <f t="shared" si="15"/>
        <v>6.25</v>
      </c>
      <c r="AT30" s="61">
        <v>1</v>
      </c>
      <c r="AU30" s="14">
        <f>IF($A30="","",6+AT30+info!$P$3)</f>
        <v>7</v>
      </c>
      <c r="AV30" s="15">
        <f t="shared" si="0"/>
        <v>32.494999999999997</v>
      </c>
      <c r="AW30" s="16">
        <f t="shared" si="16"/>
        <v>4.6421428571428569</v>
      </c>
      <c r="AX30" s="17">
        <f t="shared" si="1"/>
        <v>14</v>
      </c>
      <c r="AY30" s="59" t="str">
        <f t="shared" si="17"/>
        <v>دون المتوسط</v>
      </c>
    </row>
    <row r="31" spans="1:51" x14ac:dyDescent="0.25">
      <c r="A31" s="58">
        <f>IF(info!A37="","",info!A37)</f>
        <v>22</v>
      </c>
      <c r="B31" s="58">
        <f>IF($A31="","",info!B37)</f>
        <v>22</v>
      </c>
      <c r="C31" s="73" t="str">
        <f>IF($A31="","",info!C37)</f>
        <v>رقية</v>
      </c>
      <c r="D31" s="71">
        <f>IF($A31="","",info!G37)</f>
        <v>39804</v>
      </c>
      <c r="E31" s="78" t="str">
        <f>IF($A31="","",info!D37)</f>
        <v>أ</v>
      </c>
      <c r="F31" s="35">
        <f>IF($A31="","",info!F37)</f>
        <v>0</v>
      </c>
      <c r="G31" s="7">
        <v>3.5</v>
      </c>
      <c r="H31" s="7">
        <v>3</v>
      </c>
      <c r="I31" s="13">
        <f t="shared" si="2"/>
        <v>3.25</v>
      </c>
      <c r="J31" s="7">
        <v>3</v>
      </c>
      <c r="K31" s="7">
        <v>3</v>
      </c>
      <c r="L31" s="13">
        <f t="shared" si="3"/>
        <v>3</v>
      </c>
      <c r="M31" s="7">
        <v>3</v>
      </c>
      <c r="N31" s="7">
        <v>4</v>
      </c>
      <c r="O31" s="13">
        <f t="shared" si="4"/>
        <v>3.5</v>
      </c>
      <c r="P31" s="7">
        <v>4</v>
      </c>
      <c r="Q31" s="7">
        <v>4</v>
      </c>
      <c r="R31" s="13">
        <f t="shared" si="5"/>
        <v>4</v>
      </c>
      <c r="S31" s="7">
        <v>3</v>
      </c>
      <c r="T31" s="7">
        <v>3</v>
      </c>
      <c r="U31" s="13">
        <f t="shared" si="6"/>
        <v>3</v>
      </c>
      <c r="V31" s="60">
        <f t="shared" si="7"/>
        <v>3.35</v>
      </c>
      <c r="W31" s="7"/>
      <c r="X31" s="7"/>
      <c r="Y31" s="60" t="str">
        <f t="shared" si="8"/>
        <v/>
      </c>
      <c r="Z31" s="7">
        <v>4.5</v>
      </c>
      <c r="AA31" s="7">
        <v>3</v>
      </c>
      <c r="AB31" s="7">
        <f t="shared" si="9"/>
        <v>3.75</v>
      </c>
      <c r="AC31" s="7">
        <v>4</v>
      </c>
      <c r="AD31" s="60">
        <f t="shared" si="10"/>
        <v>3.8125</v>
      </c>
      <c r="AE31" s="7">
        <v>7.5</v>
      </c>
      <c r="AF31" s="7">
        <v>4</v>
      </c>
      <c r="AG31" s="60">
        <f t="shared" si="11"/>
        <v>5.75</v>
      </c>
      <c r="AH31" s="7">
        <v>6</v>
      </c>
      <c r="AI31" s="7">
        <v>6.5</v>
      </c>
      <c r="AJ31" s="60">
        <f t="shared" si="12"/>
        <v>6.25</v>
      </c>
      <c r="AK31" s="7">
        <v>3</v>
      </c>
      <c r="AL31" s="7">
        <v>1</v>
      </c>
      <c r="AM31" s="60">
        <f t="shared" si="13"/>
        <v>2</v>
      </c>
      <c r="AN31" s="7">
        <v>3</v>
      </c>
      <c r="AO31" s="7">
        <v>3.75</v>
      </c>
      <c r="AP31" s="60">
        <f t="shared" si="14"/>
        <v>3.375</v>
      </c>
      <c r="AQ31" s="7">
        <v>5</v>
      </c>
      <c r="AR31" s="7">
        <v>6.5</v>
      </c>
      <c r="AS31" s="60">
        <f t="shared" si="15"/>
        <v>5.75</v>
      </c>
      <c r="AT31" s="61">
        <v>1</v>
      </c>
      <c r="AU31" s="14">
        <f>IF($A31="","",6+AT31+info!$P$3)</f>
        <v>7</v>
      </c>
      <c r="AV31" s="15">
        <f t="shared" si="0"/>
        <v>26.912500000000001</v>
      </c>
      <c r="AW31" s="16">
        <f t="shared" si="16"/>
        <v>3.8446428571428575</v>
      </c>
      <c r="AX31" s="17">
        <f t="shared" si="1"/>
        <v>22</v>
      </c>
      <c r="AY31" s="59" t="str">
        <f t="shared" si="17"/>
        <v>ناقص</v>
      </c>
    </row>
    <row r="32" spans="1:51" x14ac:dyDescent="0.25">
      <c r="A32" s="58">
        <f>IF(info!A38="","",info!A38)</f>
        <v>23</v>
      </c>
      <c r="B32" s="58">
        <f>IF($A32="","",info!B38)</f>
        <v>23</v>
      </c>
      <c r="C32" s="73" t="str">
        <f>IF($A32="","",info!C38)</f>
        <v>جميلة</v>
      </c>
      <c r="D32" s="71">
        <f>IF($A32="","",info!G38)</f>
        <v>39781</v>
      </c>
      <c r="E32" s="78" t="str">
        <f>IF($A32="","",info!D38)</f>
        <v>أ</v>
      </c>
      <c r="F32" s="35">
        <f>IF($A32="","",info!F38)</f>
        <v>0</v>
      </c>
      <c r="G32" s="7">
        <v>3.75</v>
      </c>
      <c r="H32" s="7">
        <v>3</v>
      </c>
      <c r="I32" s="13">
        <f t="shared" si="2"/>
        <v>3.375</v>
      </c>
      <c r="J32" s="7">
        <v>2</v>
      </c>
      <c r="K32" s="7">
        <v>4</v>
      </c>
      <c r="L32" s="13">
        <f t="shared" si="3"/>
        <v>3</v>
      </c>
      <c r="M32" s="7">
        <v>2</v>
      </c>
      <c r="N32" s="7">
        <v>4</v>
      </c>
      <c r="O32" s="13">
        <f t="shared" si="4"/>
        <v>3</v>
      </c>
      <c r="P32" s="7">
        <v>4</v>
      </c>
      <c r="Q32" s="7">
        <v>4</v>
      </c>
      <c r="R32" s="13">
        <f t="shared" si="5"/>
        <v>4</v>
      </c>
      <c r="S32" s="7">
        <v>2</v>
      </c>
      <c r="T32" s="7">
        <v>5</v>
      </c>
      <c r="U32" s="13">
        <f t="shared" si="6"/>
        <v>3.5</v>
      </c>
      <c r="V32" s="60">
        <f t="shared" si="7"/>
        <v>3.375</v>
      </c>
      <c r="W32" s="7"/>
      <c r="X32" s="7"/>
      <c r="Y32" s="60" t="str">
        <f t="shared" si="8"/>
        <v/>
      </c>
      <c r="Z32" s="7">
        <v>4.75</v>
      </c>
      <c r="AA32" s="7">
        <v>3</v>
      </c>
      <c r="AB32" s="7">
        <f t="shared" si="9"/>
        <v>3.875</v>
      </c>
      <c r="AC32" s="7">
        <v>5.5</v>
      </c>
      <c r="AD32" s="60">
        <f t="shared" si="10"/>
        <v>4.28125</v>
      </c>
      <c r="AE32" s="7">
        <v>4.5</v>
      </c>
      <c r="AF32" s="7">
        <v>4</v>
      </c>
      <c r="AG32" s="60">
        <f t="shared" si="11"/>
        <v>4.25</v>
      </c>
      <c r="AH32" s="7">
        <v>6.5</v>
      </c>
      <c r="AI32" s="7">
        <v>6.5</v>
      </c>
      <c r="AJ32" s="60">
        <f t="shared" si="12"/>
        <v>6.5</v>
      </c>
      <c r="AK32" s="7">
        <v>4.5</v>
      </c>
      <c r="AL32" s="7">
        <v>4</v>
      </c>
      <c r="AM32" s="60">
        <f t="shared" si="13"/>
        <v>4.25</v>
      </c>
      <c r="AN32" s="7">
        <v>2</v>
      </c>
      <c r="AO32" s="7">
        <v>3.875</v>
      </c>
      <c r="AP32" s="60">
        <f t="shared" si="14"/>
        <v>2.9375</v>
      </c>
      <c r="AQ32" s="7">
        <v>5</v>
      </c>
      <c r="AR32" s="7">
        <v>6.25</v>
      </c>
      <c r="AS32" s="60">
        <f t="shared" si="15"/>
        <v>5.625</v>
      </c>
      <c r="AT32" s="61">
        <v>1</v>
      </c>
      <c r="AU32" s="14">
        <f>IF($A32="","",6+AT32+info!$P$3)</f>
        <v>7</v>
      </c>
      <c r="AV32" s="15">
        <f t="shared" si="0"/>
        <v>28.28125</v>
      </c>
      <c r="AW32" s="16">
        <f t="shared" si="16"/>
        <v>4.0401785714285712</v>
      </c>
      <c r="AX32" s="17">
        <f t="shared" si="1"/>
        <v>19</v>
      </c>
      <c r="AY32" s="59" t="str">
        <f t="shared" si="17"/>
        <v>دون المتوسط</v>
      </c>
    </row>
    <row r="33" spans="1:51" x14ac:dyDescent="0.25">
      <c r="A33" s="58">
        <f>IF(info!A39="","",info!A39)</f>
        <v>24</v>
      </c>
      <c r="B33" s="58">
        <f>IF($A33="","",info!B39)</f>
        <v>24</v>
      </c>
      <c r="C33" s="73" t="str">
        <f>IF($A33="","",info!C39)</f>
        <v>نادية</v>
      </c>
      <c r="D33" s="71">
        <f>IF($A33="","",info!G39)</f>
        <v>39623</v>
      </c>
      <c r="E33" s="78" t="str">
        <f>IF($A33="","",info!D39)</f>
        <v>أ</v>
      </c>
      <c r="F33" s="35">
        <f>IF($A33="","",info!F39)</f>
        <v>0</v>
      </c>
      <c r="G33" s="7">
        <v>3.5</v>
      </c>
      <c r="H33" s="7">
        <v>4</v>
      </c>
      <c r="I33" s="13">
        <f t="shared" si="2"/>
        <v>3.75</v>
      </c>
      <c r="J33" s="7">
        <v>2</v>
      </c>
      <c r="K33" s="7">
        <v>4</v>
      </c>
      <c r="L33" s="13">
        <f t="shared" si="3"/>
        <v>3</v>
      </c>
      <c r="M33" s="7">
        <v>3</v>
      </c>
      <c r="N33" s="7">
        <v>4</v>
      </c>
      <c r="O33" s="13">
        <f t="shared" si="4"/>
        <v>3.5</v>
      </c>
      <c r="P33" s="7">
        <v>3.5</v>
      </c>
      <c r="Q33" s="7">
        <v>4</v>
      </c>
      <c r="R33" s="13">
        <f t="shared" si="5"/>
        <v>3.75</v>
      </c>
      <c r="S33" s="7">
        <v>3</v>
      </c>
      <c r="T33" s="7">
        <v>5</v>
      </c>
      <c r="U33" s="13">
        <f t="shared" si="6"/>
        <v>4</v>
      </c>
      <c r="V33" s="60">
        <f t="shared" si="7"/>
        <v>3.6</v>
      </c>
      <c r="W33" s="7"/>
      <c r="X33" s="7"/>
      <c r="Y33" s="60" t="str">
        <f t="shared" si="8"/>
        <v/>
      </c>
      <c r="Z33" s="7">
        <v>5</v>
      </c>
      <c r="AA33" s="7">
        <v>4</v>
      </c>
      <c r="AB33" s="7">
        <f t="shared" si="9"/>
        <v>4.5</v>
      </c>
      <c r="AC33" s="7">
        <v>4.5</v>
      </c>
      <c r="AD33" s="60">
        <f t="shared" si="10"/>
        <v>4.5</v>
      </c>
      <c r="AE33" s="7">
        <v>7</v>
      </c>
      <c r="AF33" s="7">
        <v>8</v>
      </c>
      <c r="AG33" s="60">
        <f t="shared" si="11"/>
        <v>7.5</v>
      </c>
      <c r="AH33" s="7">
        <v>5</v>
      </c>
      <c r="AI33" s="7">
        <v>8</v>
      </c>
      <c r="AJ33" s="60">
        <f t="shared" si="12"/>
        <v>6.5</v>
      </c>
      <c r="AK33" s="7">
        <v>4.5</v>
      </c>
      <c r="AL33" s="7">
        <v>2</v>
      </c>
      <c r="AM33" s="60">
        <f t="shared" si="13"/>
        <v>3.25</v>
      </c>
      <c r="AN33" s="7">
        <v>3</v>
      </c>
      <c r="AO33" s="7">
        <v>4.5</v>
      </c>
      <c r="AP33" s="60">
        <f t="shared" si="14"/>
        <v>3.75</v>
      </c>
      <c r="AQ33" s="7">
        <v>5</v>
      </c>
      <c r="AR33" s="7">
        <v>6.5</v>
      </c>
      <c r="AS33" s="60">
        <f t="shared" si="15"/>
        <v>5.75</v>
      </c>
      <c r="AT33" s="61">
        <v>1</v>
      </c>
      <c r="AU33" s="14">
        <f>IF($A33="","",6+AT33+info!$P$3)</f>
        <v>7</v>
      </c>
      <c r="AV33" s="15">
        <f t="shared" si="0"/>
        <v>31.1</v>
      </c>
      <c r="AW33" s="16">
        <f t="shared" si="16"/>
        <v>4.4428571428571431</v>
      </c>
      <c r="AX33" s="17">
        <f t="shared" si="1"/>
        <v>15</v>
      </c>
      <c r="AY33" s="59" t="str">
        <f t="shared" si="17"/>
        <v>دون المتوسط</v>
      </c>
    </row>
    <row r="34" spans="1:51" x14ac:dyDescent="0.25">
      <c r="A34" s="58">
        <f>IF(info!A40="","",info!A40)</f>
        <v>25</v>
      </c>
      <c r="B34" s="58">
        <f>IF($A34="","",info!B40)</f>
        <v>25</v>
      </c>
      <c r="C34" s="73" t="str">
        <f>IF($A34="","",info!C40)</f>
        <v>سكينة</v>
      </c>
      <c r="D34" s="71">
        <f>IF($A34="","",info!G40)</f>
        <v>39606</v>
      </c>
      <c r="E34" s="78" t="str">
        <f>IF($A34="","",info!D40)</f>
        <v>أ</v>
      </c>
      <c r="F34" s="35">
        <f>IF($A34="","",info!F40)</f>
        <v>0</v>
      </c>
      <c r="G34" s="7">
        <v>3.5</v>
      </c>
      <c r="H34" s="7">
        <v>4.5</v>
      </c>
      <c r="I34" s="13">
        <f t="shared" si="2"/>
        <v>4</v>
      </c>
      <c r="J34" s="7">
        <v>5</v>
      </c>
      <c r="K34" s="7">
        <v>5</v>
      </c>
      <c r="L34" s="13">
        <f t="shared" si="3"/>
        <v>5</v>
      </c>
      <c r="M34" s="7">
        <v>4</v>
      </c>
      <c r="N34" s="7">
        <v>6</v>
      </c>
      <c r="O34" s="13">
        <f t="shared" si="4"/>
        <v>5</v>
      </c>
      <c r="P34" s="7">
        <v>4.5</v>
      </c>
      <c r="Q34" s="7">
        <v>5.5</v>
      </c>
      <c r="R34" s="13">
        <f t="shared" si="5"/>
        <v>5</v>
      </c>
      <c r="S34" s="7">
        <v>5</v>
      </c>
      <c r="T34" s="7">
        <v>6</v>
      </c>
      <c r="U34" s="13">
        <f t="shared" si="6"/>
        <v>5.5</v>
      </c>
      <c r="V34" s="60">
        <f t="shared" si="7"/>
        <v>4.9000000000000004</v>
      </c>
      <c r="W34" s="7"/>
      <c r="X34" s="7"/>
      <c r="Y34" s="60" t="str">
        <f t="shared" si="8"/>
        <v/>
      </c>
      <c r="Z34" s="7">
        <v>5.75</v>
      </c>
      <c r="AA34" s="7">
        <v>3</v>
      </c>
      <c r="AB34" s="7">
        <f t="shared" si="9"/>
        <v>4.375</v>
      </c>
      <c r="AC34" s="7">
        <v>5.25</v>
      </c>
      <c r="AD34" s="60">
        <f t="shared" si="10"/>
        <v>4.59375</v>
      </c>
      <c r="AE34" s="7">
        <v>6.5</v>
      </c>
      <c r="AF34" s="7">
        <v>4.66</v>
      </c>
      <c r="AG34" s="60">
        <f t="shared" si="11"/>
        <v>5.58</v>
      </c>
      <c r="AH34" s="7">
        <v>7.25</v>
      </c>
      <c r="AI34" s="7">
        <v>6</v>
      </c>
      <c r="AJ34" s="60">
        <f t="shared" si="12"/>
        <v>6.625</v>
      </c>
      <c r="AK34" s="7">
        <v>6</v>
      </c>
      <c r="AL34" s="7">
        <v>4.5</v>
      </c>
      <c r="AM34" s="60">
        <f t="shared" si="13"/>
        <v>5.25</v>
      </c>
      <c r="AN34" s="7">
        <v>4</v>
      </c>
      <c r="AO34" s="7">
        <v>4.375</v>
      </c>
      <c r="AP34" s="60">
        <f t="shared" si="14"/>
        <v>4.1875</v>
      </c>
      <c r="AQ34" s="7">
        <v>5</v>
      </c>
      <c r="AR34" s="7">
        <v>6.5</v>
      </c>
      <c r="AS34" s="60">
        <f t="shared" si="15"/>
        <v>5.75</v>
      </c>
      <c r="AT34" s="61">
        <v>1</v>
      </c>
      <c r="AU34" s="14">
        <f>IF($A34="","",6+AT34+info!$P$3)</f>
        <v>7</v>
      </c>
      <c r="AV34" s="15">
        <f t="shared" si="0"/>
        <v>32.698750000000004</v>
      </c>
      <c r="AW34" s="16">
        <f t="shared" si="16"/>
        <v>4.6712500000000006</v>
      </c>
      <c r="AX34" s="17">
        <f t="shared" si="1"/>
        <v>13</v>
      </c>
      <c r="AY34" s="59" t="str">
        <f t="shared" si="17"/>
        <v>دون المتوسط</v>
      </c>
    </row>
    <row r="35" spans="1:51" x14ac:dyDescent="0.25">
      <c r="A35" s="58" t="str">
        <f>IF(info!A41="","",info!A41)</f>
        <v/>
      </c>
      <c r="B35" s="58" t="str">
        <f>IF($A35="","",info!B41)</f>
        <v/>
      </c>
      <c r="C35" s="73" t="str">
        <f>IF($A35="","",info!C41)</f>
        <v/>
      </c>
      <c r="D35" s="71" t="str">
        <f>IF($A35="","",info!G41)</f>
        <v/>
      </c>
      <c r="E35" s="78" t="str">
        <f>IF($A35="","",info!D41)</f>
        <v/>
      </c>
      <c r="F35" s="35" t="str">
        <f>IF($A35="","",info!F41)</f>
        <v/>
      </c>
      <c r="G35" s="7"/>
      <c r="H35" s="7"/>
      <c r="I35" s="13" t="str">
        <f t="shared" si="2"/>
        <v/>
      </c>
      <c r="J35" s="7"/>
      <c r="K35" s="7"/>
      <c r="L35" s="13" t="str">
        <f t="shared" si="3"/>
        <v/>
      </c>
      <c r="M35" s="7"/>
      <c r="N35" s="7"/>
      <c r="O35" s="13" t="str">
        <f t="shared" si="4"/>
        <v/>
      </c>
      <c r="P35" s="7"/>
      <c r="Q35" s="7"/>
      <c r="R35" s="13" t="str">
        <f t="shared" si="5"/>
        <v/>
      </c>
      <c r="S35" s="7"/>
      <c r="T35" s="7"/>
      <c r="U35" s="13" t="str">
        <f t="shared" si="6"/>
        <v/>
      </c>
      <c r="V35" s="60" t="str">
        <f t="shared" si="7"/>
        <v/>
      </c>
      <c r="W35" s="7"/>
      <c r="X35" s="7"/>
      <c r="Y35" s="60" t="str">
        <f t="shared" si="8"/>
        <v/>
      </c>
      <c r="Z35" s="7"/>
      <c r="AA35" s="7"/>
      <c r="AB35" s="7" t="str">
        <f t="shared" si="9"/>
        <v/>
      </c>
      <c r="AC35" s="7"/>
      <c r="AD35" s="60" t="str">
        <f t="shared" si="10"/>
        <v/>
      </c>
      <c r="AE35" s="7"/>
      <c r="AF35" s="7"/>
      <c r="AG35" s="60" t="str">
        <f t="shared" si="11"/>
        <v/>
      </c>
      <c r="AH35" s="7"/>
      <c r="AI35" s="7"/>
      <c r="AJ35" s="60" t="str">
        <f t="shared" si="12"/>
        <v/>
      </c>
      <c r="AK35" s="7"/>
      <c r="AL35" s="7"/>
      <c r="AM35" s="60" t="str">
        <f t="shared" si="13"/>
        <v/>
      </c>
      <c r="AN35" s="7"/>
      <c r="AO35" s="7"/>
      <c r="AP35" s="60" t="str">
        <f t="shared" si="14"/>
        <v/>
      </c>
      <c r="AQ35" s="7"/>
      <c r="AR35" s="7"/>
      <c r="AS35" s="60" t="str">
        <f t="shared" si="15"/>
        <v/>
      </c>
      <c r="AT35" s="61"/>
      <c r="AU35" s="14" t="str">
        <f>IF($A35="","",6+AT35+info!$P$3)</f>
        <v/>
      </c>
      <c r="AV35" s="15" t="str">
        <f t="shared" si="0"/>
        <v/>
      </c>
      <c r="AW35" s="16" t="str">
        <f t="shared" si="16"/>
        <v/>
      </c>
      <c r="AX35" s="17" t="str">
        <f t="shared" si="1"/>
        <v/>
      </c>
      <c r="AY35" s="59" t="str">
        <f t="shared" si="17"/>
        <v/>
      </c>
    </row>
    <row r="36" spans="1:51" x14ac:dyDescent="0.25">
      <c r="A36" s="58" t="str">
        <f>IF(info!A42="","",info!A42)</f>
        <v/>
      </c>
      <c r="B36" s="58" t="str">
        <f>IF($A36="","",info!B42)</f>
        <v/>
      </c>
      <c r="C36" s="73" t="str">
        <f>IF($A36="","",info!C42)</f>
        <v/>
      </c>
      <c r="D36" s="71" t="str">
        <f>IF($A36="","",info!G42)</f>
        <v/>
      </c>
      <c r="E36" s="78" t="str">
        <f>IF($A36="","",info!D42)</f>
        <v/>
      </c>
      <c r="F36" s="35" t="str">
        <f>IF($A36="","",info!F42)</f>
        <v/>
      </c>
      <c r="G36" s="7"/>
      <c r="H36" s="7"/>
      <c r="I36" s="13" t="str">
        <f t="shared" si="2"/>
        <v/>
      </c>
      <c r="J36" s="7"/>
      <c r="K36" s="7"/>
      <c r="L36" s="13" t="str">
        <f t="shared" si="3"/>
        <v/>
      </c>
      <c r="M36" s="7"/>
      <c r="N36" s="7"/>
      <c r="O36" s="13" t="str">
        <f t="shared" si="4"/>
        <v/>
      </c>
      <c r="P36" s="7"/>
      <c r="Q36" s="7"/>
      <c r="R36" s="13" t="str">
        <f t="shared" si="5"/>
        <v/>
      </c>
      <c r="S36" s="7"/>
      <c r="T36" s="7"/>
      <c r="U36" s="13" t="str">
        <f t="shared" si="6"/>
        <v/>
      </c>
      <c r="V36" s="60" t="str">
        <f t="shared" si="7"/>
        <v/>
      </c>
      <c r="W36" s="7"/>
      <c r="X36" s="7"/>
      <c r="Y36" s="60" t="str">
        <f t="shared" si="8"/>
        <v/>
      </c>
      <c r="Z36" s="7"/>
      <c r="AA36" s="7"/>
      <c r="AB36" s="7" t="str">
        <f t="shared" si="9"/>
        <v/>
      </c>
      <c r="AC36" s="7"/>
      <c r="AD36" s="60" t="str">
        <f t="shared" si="10"/>
        <v/>
      </c>
      <c r="AE36" s="7"/>
      <c r="AF36" s="7"/>
      <c r="AG36" s="60" t="str">
        <f t="shared" si="11"/>
        <v/>
      </c>
      <c r="AH36" s="7"/>
      <c r="AI36" s="7"/>
      <c r="AJ36" s="60" t="str">
        <f t="shared" si="12"/>
        <v/>
      </c>
      <c r="AK36" s="7"/>
      <c r="AL36" s="7"/>
      <c r="AM36" s="60" t="str">
        <f t="shared" si="13"/>
        <v/>
      </c>
      <c r="AN36" s="7"/>
      <c r="AO36" s="7"/>
      <c r="AP36" s="60" t="str">
        <f t="shared" si="14"/>
        <v/>
      </c>
      <c r="AQ36" s="7"/>
      <c r="AR36" s="7"/>
      <c r="AS36" s="60" t="str">
        <f t="shared" si="15"/>
        <v/>
      </c>
      <c r="AT36" s="61"/>
      <c r="AU36" s="14" t="str">
        <f>IF($A36="","",6+AT36+info!$P$3)</f>
        <v/>
      </c>
      <c r="AV36" s="15" t="str">
        <f t="shared" si="0"/>
        <v/>
      </c>
      <c r="AW36" s="16" t="str">
        <f t="shared" si="16"/>
        <v/>
      </c>
      <c r="AX36" s="17" t="str">
        <f t="shared" si="1"/>
        <v/>
      </c>
      <c r="AY36" s="59" t="str">
        <f t="shared" si="17"/>
        <v/>
      </c>
    </row>
    <row r="37" spans="1:51" x14ac:dyDescent="0.25">
      <c r="A37" s="58" t="str">
        <f>IF(info!A43="","",info!A43)</f>
        <v/>
      </c>
      <c r="B37" s="58" t="str">
        <f>IF($A37="","",info!B43)</f>
        <v/>
      </c>
      <c r="C37" s="73" t="str">
        <f>IF($A37="","",info!C43)</f>
        <v/>
      </c>
      <c r="D37" s="71" t="str">
        <f>IF($A37="","",info!G43)</f>
        <v/>
      </c>
      <c r="E37" s="78" t="str">
        <f>IF($A37="","",info!D43)</f>
        <v/>
      </c>
      <c r="F37" s="35" t="str">
        <f>IF($A37="","",info!F43)</f>
        <v/>
      </c>
      <c r="G37" s="7"/>
      <c r="H37" s="7"/>
      <c r="I37" s="13" t="str">
        <f t="shared" si="2"/>
        <v/>
      </c>
      <c r="J37" s="7"/>
      <c r="K37" s="7"/>
      <c r="L37" s="13" t="str">
        <f t="shared" si="3"/>
        <v/>
      </c>
      <c r="M37" s="7"/>
      <c r="N37" s="7"/>
      <c r="O37" s="13" t="str">
        <f t="shared" si="4"/>
        <v/>
      </c>
      <c r="P37" s="7"/>
      <c r="Q37" s="7"/>
      <c r="R37" s="13" t="str">
        <f t="shared" si="5"/>
        <v/>
      </c>
      <c r="S37" s="7"/>
      <c r="T37" s="7"/>
      <c r="U37" s="13" t="str">
        <f t="shared" si="6"/>
        <v/>
      </c>
      <c r="V37" s="60" t="str">
        <f t="shared" si="7"/>
        <v/>
      </c>
      <c r="W37" s="7"/>
      <c r="X37" s="7"/>
      <c r="Y37" s="60" t="str">
        <f t="shared" si="8"/>
        <v/>
      </c>
      <c r="Z37" s="7"/>
      <c r="AA37" s="7"/>
      <c r="AB37" s="7" t="str">
        <f t="shared" si="9"/>
        <v/>
      </c>
      <c r="AC37" s="7"/>
      <c r="AD37" s="60" t="str">
        <f t="shared" si="10"/>
        <v/>
      </c>
      <c r="AE37" s="7"/>
      <c r="AF37" s="7"/>
      <c r="AG37" s="60" t="str">
        <f t="shared" si="11"/>
        <v/>
      </c>
      <c r="AH37" s="7"/>
      <c r="AI37" s="7"/>
      <c r="AJ37" s="60" t="str">
        <f t="shared" si="12"/>
        <v/>
      </c>
      <c r="AK37" s="7"/>
      <c r="AL37" s="7"/>
      <c r="AM37" s="60" t="str">
        <f t="shared" si="13"/>
        <v/>
      </c>
      <c r="AN37" s="7"/>
      <c r="AO37" s="7"/>
      <c r="AP37" s="60" t="str">
        <f t="shared" si="14"/>
        <v/>
      </c>
      <c r="AQ37" s="7"/>
      <c r="AR37" s="7"/>
      <c r="AS37" s="60" t="str">
        <f t="shared" si="15"/>
        <v/>
      </c>
      <c r="AT37" s="61"/>
      <c r="AU37" s="14" t="str">
        <f>IF($A37="","",6+AT37+info!$P$3)</f>
        <v/>
      </c>
      <c r="AV37" s="15" t="str">
        <f t="shared" si="0"/>
        <v/>
      </c>
      <c r="AW37" s="16" t="str">
        <f t="shared" si="16"/>
        <v/>
      </c>
      <c r="AX37" s="17" t="str">
        <f t="shared" si="1"/>
        <v/>
      </c>
      <c r="AY37" s="59" t="str">
        <f t="shared" si="17"/>
        <v/>
      </c>
    </row>
    <row r="38" spans="1:51" x14ac:dyDescent="0.25">
      <c r="A38" s="58" t="str">
        <f>IF(info!A44="","",info!A44)</f>
        <v/>
      </c>
      <c r="B38" s="58" t="str">
        <f>IF($A38="","",info!B44)</f>
        <v/>
      </c>
      <c r="C38" s="73" t="str">
        <f>IF($A38="","",info!C44)</f>
        <v/>
      </c>
      <c r="D38" s="71" t="str">
        <f>IF($A38="","",info!G44)</f>
        <v/>
      </c>
      <c r="E38" s="78" t="str">
        <f>IF($A38="","",info!D44)</f>
        <v/>
      </c>
      <c r="F38" s="35" t="str">
        <f>IF($A38="","",info!F44)</f>
        <v/>
      </c>
      <c r="G38" s="7"/>
      <c r="H38" s="7"/>
      <c r="I38" s="13" t="str">
        <f t="shared" si="2"/>
        <v/>
      </c>
      <c r="J38" s="7"/>
      <c r="K38" s="7"/>
      <c r="L38" s="13" t="str">
        <f t="shared" si="3"/>
        <v/>
      </c>
      <c r="M38" s="7"/>
      <c r="N38" s="7"/>
      <c r="O38" s="13" t="str">
        <f t="shared" si="4"/>
        <v/>
      </c>
      <c r="P38" s="7"/>
      <c r="Q38" s="7"/>
      <c r="R38" s="13" t="str">
        <f t="shared" si="5"/>
        <v/>
      </c>
      <c r="S38" s="7"/>
      <c r="T38" s="7"/>
      <c r="U38" s="13" t="str">
        <f t="shared" si="6"/>
        <v/>
      </c>
      <c r="V38" s="60" t="str">
        <f t="shared" si="7"/>
        <v/>
      </c>
      <c r="W38" s="7"/>
      <c r="X38" s="7"/>
      <c r="Y38" s="60" t="str">
        <f t="shared" si="8"/>
        <v/>
      </c>
      <c r="Z38" s="7"/>
      <c r="AA38" s="7"/>
      <c r="AB38" s="7" t="str">
        <f t="shared" si="9"/>
        <v/>
      </c>
      <c r="AC38" s="7"/>
      <c r="AD38" s="60" t="str">
        <f t="shared" si="10"/>
        <v/>
      </c>
      <c r="AE38" s="7"/>
      <c r="AF38" s="7"/>
      <c r="AG38" s="60" t="str">
        <f t="shared" si="11"/>
        <v/>
      </c>
      <c r="AH38" s="7"/>
      <c r="AI38" s="7"/>
      <c r="AJ38" s="60" t="str">
        <f t="shared" si="12"/>
        <v/>
      </c>
      <c r="AK38" s="7"/>
      <c r="AL38" s="7"/>
      <c r="AM38" s="60" t="str">
        <f t="shared" si="13"/>
        <v/>
      </c>
      <c r="AN38" s="7"/>
      <c r="AO38" s="7"/>
      <c r="AP38" s="60" t="str">
        <f t="shared" si="14"/>
        <v/>
      </c>
      <c r="AQ38" s="7"/>
      <c r="AR38" s="7"/>
      <c r="AS38" s="60" t="str">
        <f t="shared" si="15"/>
        <v/>
      </c>
      <c r="AT38" s="61"/>
      <c r="AU38" s="14" t="str">
        <f>IF($A38="","",6+AT38+info!$P$3)</f>
        <v/>
      </c>
      <c r="AV38" s="15" t="str">
        <f t="shared" si="0"/>
        <v/>
      </c>
      <c r="AW38" s="16" t="str">
        <f t="shared" si="16"/>
        <v/>
      </c>
      <c r="AX38" s="17" t="str">
        <f t="shared" si="1"/>
        <v/>
      </c>
      <c r="AY38" s="59" t="str">
        <f t="shared" si="17"/>
        <v/>
      </c>
    </row>
    <row r="39" spans="1:51" x14ac:dyDescent="0.25">
      <c r="A39" s="58" t="str">
        <f>IF(info!A45="","",info!A45)</f>
        <v/>
      </c>
      <c r="B39" s="58" t="str">
        <f>IF($A39="","",info!B45)</f>
        <v/>
      </c>
      <c r="C39" s="73" t="str">
        <f>IF($A39="","",info!C45)</f>
        <v/>
      </c>
      <c r="D39" s="71" t="str">
        <f>IF($A39="","",info!G45)</f>
        <v/>
      </c>
      <c r="E39" s="78" t="str">
        <f>IF($A39="","",info!D45)</f>
        <v/>
      </c>
      <c r="F39" s="35" t="str">
        <f>IF($A39="","",info!F45)</f>
        <v/>
      </c>
      <c r="G39" s="7"/>
      <c r="H39" s="7"/>
      <c r="I39" s="13" t="str">
        <f t="shared" si="2"/>
        <v/>
      </c>
      <c r="J39" s="7"/>
      <c r="K39" s="7"/>
      <c r="L39" s="13" t="str">
        <f t="shared" si="3"/>
        <v/>
      </c>
      <c r="M39" s="7"/>
      <c r="N39" s="7"/>
      <c r="O39" s="13" t="str">
        <f t="shared" si="4"/>
        <v/>
      </c>
      <c r="P39" s="7"/>
      <c r="Q39" s="7"/>
      <c r="R39" s="13" t="str">
        <f t="shared" si="5"/>
        <v/>
      </c>
      <c r="S39" s="7"/>
      <c r="T39" s="7"/>
      <c r="U39" s="13" t="str">
        <f t="shared" si="6"/>
        <v/>
      </c>
      <c r="V39" s="60" t="str">
        <f t="shared" si="7"/>
        <v/>
      </c>
      <c r="W39" s="7"/>
      <c r="X39" s="7"/>
      <c r="Y39" s="60" t="str">
        <f t="shared" si="8"/>
        <v/>
      </c>
      <c r="Z39" s="7"/>
      <c r="AA39" s="7"/>
      <c r="AB39" s="7" t="str">
        <f t="shared" si="9"/>
        <v/>
      </c>
      <c r="AC39" s="7"/>
      <c r="AD39" s="60" t="str">
        <f t="shared" si="10"/>
        <v/>
      </c>
      <c r="AE39" s="7"/>
      <c r="AF39" s="7"/>
      <c r="AG39" s="60" t="str">
        <f t="shared" si="11"/>
        <v/>
      </c>
      <c r="AH39" s="7"/>
      <c r="AI39" s="7"/>
      <c r="AJ39" s="60" t="str">
        <f t="shared" si="12"/>
        <v/>
      </c>
      <c r="AK39" s="7"/>
      <c r="AL39" s="7"/>
      <c r="AM39" s="60" t="str">
        <f t="shared" si="13"/>
        <v/>
      </c>
      <c r="AN39" s="7"/>
      <c r="AO39" s="7"/>
      <c r="AP39" s="60" t="str">
        <f t="shared" si="14"/>
        <v/>
      </c>
      <c r="AQ39" s="7"/>
      <c r="AR39" s="7"/>
      <c r="AS39" s="60" t="str">
        <f t="shared" si="15"/>
        <v/>
      </c>
      <c r="AT39" s="61"/>
      <c r="AU39" s="14" t="str">
        <f>IF($A39="","",6+AT39+info!$P$3)</f>
        <v/>
      </c>
      <c r="AV39" s="15" t="str">
        <f t="shared" si="0"/>
        <v/>
      </c>
      <c r="AW39" s="16" t="str">
        <f t="shared" si="16"/>
        <v/>
      </c>
      <c r="AX39" s="17" t="str">
        <f t="shared" si="1"/>
        <v/>
      </c>
      <c r="AY39" s="59" t="str">
        <f t="shared" si="17"/>
        <v/>
      </c>
    </row>
    <row r="40" spans="1:51" x14ac:dyDescent="0.25">
      <c r="A40" s="58" t="str">
        <f>IF(info!A46="","",info!A46)</f>
        <v/>
      </c>
      <c r="B40" s="58" t="str">
        <f>IF($A40="","",info!B46)</f>
        <v/>
      </c>
      <c r="C40" s="73" t="str">
        <f>IF($A40="","",info!C46)</f>
        <v/>
      </c>
      <c r="D40" s="71" t="str">
        <f>IF($A40="","",info!G46)</f>
        <v/>
      </c>
      <c r="E40" s="78" t="str">
        <f>IF($A40="","",info!D46)</f>
        <v/>
      </c>
      <c r="F40" s="35" t="str">
        <f>IF($A40="","",info!F46)</f>
        <v/>
      </c>
      <c r="G40" s="7"/>
      <c r="H40" s="7"/>
      <c r="I40" s="13" t="str">
        <f t="shared" si="2"/>
        <v/>
      </c>
      <c r="J40" s="7"/>
      <c r="K40" s="7"/>
      <c r="L40" s="13" t="str">
        <f t="shared" si="3"/>
        <v/>
      </c>
      <c r="M40" s="7"/>
      <c r="N40" s="7"/>
      <c r="O40" s="13" t="str">
        <f t="shared" si="4"/>
        <v/>
      </c>
      <c r="P40" s="7"/>
      <c r="Q40" s="7"/>
      <c r="R40" s="13" t="str">
        <f t="shared" si="5"/>
        <v/>
      </c>
      <c r="S40" s="7"/>
      <c r="T40" s="7"/>
      <c r="U40" s="13" t="str">
        <f t="shared" si="6"/>
        <v/>
      </c>
      <c r="V40" s="60" t="str">
        <f t="shared" si="7"/>
        <v/>
      </c>
      <c r="W40" s="7"/>
      <c r="X40" s="7"/>
      <c r="Y40" s="60" t="str">
        <f t="shared" si="8"/>
        <v/>
      </c>
      <c r="Z40" s="7"/>
      <c r="AA40" s="7"/>
      <c r="AB40" s="7" t="str">
        <f t="shared" si="9"/>
        <v/>
      </c>
      <c r="AC40" s="7"/>
      <c r="AD40" s="60" t="str">
        <f t="shared" si="10"/>
        <v/>
      </c>
      <c r="AE40" s="7"/>
      <c r="AF40" s="7"/>
      <c r="AG40" s="60" t="str">
        <f t="shared" si="11"/>
        <v/>
      </c>
      <c r="AH40" s="7"/>
      <c r="AI40" s="7"/>
      <c r="AJ40" s="60" t="str">
        <f t="shared" si="12"/>
        <v/>
      </c>
      <c r="AK40" s="7"/>
      <c r="AL40" s="7"/>
      <c r="AM40" s="60" t="str">
        <f t="shared" si="13"/>
        <v/>
      </c>
      <c r="AN40" s="7"/>
      <c r="AO40" s="7"/>
      <c r="AP40" s="60" t="str">
        <f t="shared" si="14"/>
        <v/>
      </c>
      <c r="AQ40" s="7"/>
      <c r="AR40" s="7"/>
      <c r="AS40" s="60" t="str">
        <f t="shared" si="15"/>
        <v/>
      </c>
      <c r="AT40" s="61"/>
      <c r="AU40" s="14" t="str">
        <f>IF($A40="","",6+AT40+info!$P$3)</f>
        <v/>
      </c>
      <c r="AV40" s="15" t="str">
        <f t="shared" si="0"/>
        <v/>
      </c>
      <c r="AW40" s="16" t="str">
        <f t="shared" si="16"/>
        <v/>
      </c>
      <c r="AX40" s="17" t="str">
        <f t="shared" si="1"/>
        <v/>
      </c>
      <c r="AY40" s="59" t="str">
        <f t="shared" si="17"/>
        <v/>
      </c>
    </row>
    <row r="41" spans="1:51" x14ac:dyDescent="0.25">
      <c r="A41" s="58" t="str">
        <f>IF(info!A47="","",info!A47)</f>
        <v/>
      </c>
      <c r="B41" s="58" t="str">
        <f>IF($A41="","",info!B47)</f>
        <v/>
      </c>
      <c r="C41" s="73" t="str">
        <f>IF($A41="","",info!C47)</f>
        <v/>
      </c>
      <c r="D41" s="71" t="str">
        <f>IF($A41="","",info!G47)</f>
        <v/>
      </c>
      <c r="E41" s="78" t="str">
        <f>IF($A41="","",info!D47)</f>
        <v/>
      </c>
      <c r="F41" s="35" t="str">
        <f>IF($A41="","",info!F47)</f>
        <v/>
      </c>
      <c r="G41" s="7"/>
      <c r="H41" s="7"/>
      <c r="I41" s="13" t="str">
        <f t="shared" si="2"/>
        <v/>
      </c>
      <c r="J41" s="7"/>
      <c r="K41" s="7"/>
      <c r="L41" s="13" t="str">
        <f t="shared" si="3"/>
        <v/>
      </c>
      <c r="M41" s="7"/>
      <c r="N41" s="7"/>
      <c r="O41" s="13" t="str">
        <f t="shared" si="4"/>
        <v/>
      </c>
      <c r="P41" s="7"/>
      <c r="Q41" s="7"/>
      <c r="R41" s="13" t="str">
        <f t="shared" si="5"/>
        <v/>
      </c>
      <c r="S41" s="7"/>
      <c r="T41" s="7"/>
      <c r="U41" s="13" t="str">
        <f t="shared" si="6"/>
        <v/>
      </c>
      <c r="V41" s="60" t="str">
        <f t="shared" si="7"/>
        <v/>
      </c>
      <c r="W41" s="7"/>
      <c r="X41" s="7"/>
      <c r="Y41" s="60" t="str">
        <f t="shared" si="8"/>
        <v/>
      </c>
      <c r="Z41" s="7"/>
      <c r="AA41" s="7"/>
      <c r="AB41" s="7" t="str">
        <f t="shared" si="9"/>
        <v/>
      </c>
      <c r="AC41" s="7"/>
      <c r="AD41" s="60" t="str">
        <f t="shared" si="10"/>
        <v/>
      </c>
      <c r="AE41" s="7"/>
      <c r="AF41" s="7"/>
      <c r="AG41" s="60" t="str">
        <f t="shared" si="11"/>
        <v/>
      </c>
      <c r="AH41" s="7"/>
      <c r="AI41" s="7"/>
      <c r="AJ41" s="60" t="str">
        <f t="shared" si="12"/>
        <v/>
      </c>
      <c r="AK41" s="7"/>
      <c r="AL41" s="7"/>
      <c r="AM41" s="60" t="str">
        <f t="shared" si="13"/>
        <v/>
      </c>
      <c r="AN41" s="7"/>
      <c r="AO41" s="7"/>
      <c r="AP41" s="60" t="str">
        <f t="shared" si="14"/>
        <v/>
      </c>
      <c r="AQ41" s="7"/>
      <c r="AR41" s="7"/>
      <c r="AS41" s="60" t="str">
        <f t="shared" si="15"/>
        <v/>
      </c>
      <c r="AT41" s="61"/>
      <c r="AU41" s="14" t="str">
        <f>IF($A41="","",6+AT41+info!$P$3)</f>
        <v/>
      </c>
      <c r="AV41" s="15" t="str">
        <f t="shared" si="0"/>
        <v/>
      </c>
      <c r="AW41" s="16" t="str">
        <f t="shared" si="16"/>
        <v/>
      </c>
      <c r="AX41" s="17" t="str">
        <f t="shared" si="1"/>
        <v/>
      </c>
      <c r="AY41" s="59" t="str">
        <f t="shared" si="17"/>
        <v/>
      </c>
    </row>
    <row r="42" spans="1:51" x14ac:dyDescent="0.25">
      <c r="A42" s="58" t="str">
        <f>IF(info!A48="","",info!A48)</f>
        <v/>
      </c>
      <c r="B42" s="58" t="str">
        <f>IF($A42="","",info!B48)</f>
        <v/>
      </c>
      <c r="C42" s="73" t="str">
        <f>IF($A42="","",info!C48)</f>
        <v/>
      </c>
      <c r="D42" s="71" t="str">
        <f>IF($A42="","",info!G48)</f>
        <v/>
      </c>
      <c r="E42" s="78" t="str">
        <f>IF($A42="","",info!D48)</f>
        <v/>
      </c>
      <c r="F42" s="35" t="str">
        <f>IF($A42="","",info!F48)</f>
        <v/>
      </c>
      <c r="G42" s="7"/>
      <c r="H42" s="7"/>
      <c r="I42" s="13" t="str">
        <f t="shared" si="2"/>
        <v/>
      </c>
      <c r="J42" s="7"/>
      <c r="K42" s="7"/>
      <c r="L42" s="13" t="str">
        <f t="shared" si="3"/>
        <v/>
      </c>
      <c r="M42" s="7"/>
      <c r="N42" s="7"/>
      <c r="O42" s="13" t="str">
        <f t="shared" si="4"/>
        <v/>
      </c>
      <c r="P42" s="7"/>
      <c r="Q42" s="7"/>
      <c r="R42" s="13" t="str">
        <f t="shared" si="5"/>
        <v/>
      </c>
      <c r="S42" s="7"/>
      <c r="T42" s="7"/>
      <c r="U42" s="13" t="str">
        <f t="shared" si="6"/>
        <v/>
      </c>
      <c r="V42" s="60" t="str">
        <f t="shared" si="7"/>
        <v/>
      </c>
      <c r="W42" s="7"/>
      <c r="X42" s="7"/>
      <c r="Y42" s="60" t="str">
        <f t="shared" si="8"/>
        <v/>
      </c>
      <c r="Z42" s="7"/>
      <c r="AA42" s="7"/>
      <c r="AB42" s="7" t="str">
        <f t="shared" si="9"/>
        <v/>
      </c>
      <c r="AC42" s="7"/>
      <c r="AD42" s="60" t="str">
        <f t="shared" si="10"/>
        <v/>
      </c>
      <c r="AE42" s="7"/>
      <c r="AF42" s="7"/>
      <c r="AG42" s="60" t="str">
        <f t="shared" si="11"/>
        <v/>
      </c>
      <c r="AH42" s="7"/>
      <c r="AI42" s="7"/>
      <c r="AJ42" s="60" t="str">
        <f t="shared" si="12"/>
        <v/>
      </c>
      <c r="AK42" s="7"/>
      <c r="AL42" s="7"/>
      <c r="AM42" s="60" t="str">
        <f t="shared" si="13"/>
        <v/>
      </c>
      <c r="AN42" s="7"/>
      <c r="AO42" s="7"/>
      <c r="AP42" s="60" t="str">
        <f t="shared" si="14"/>
        <v/>
      </c>
      <c r="AQ42" s="7"/>
      <c r="AR42" s="7"/>
      <c r="AS42" s="60" t="str">
        <f t="shared" si="15"/>
        <v/>
      </c>
      <c r="AT42" s="61"/>
      <c r="AU42" s="14" t="str">
        <f>IF($A42="","",6+AT42+info!$P$3)</f>
        <v/>
      </c>
      <c r="AV42" s="15" t="str">
        <f t="shared" ref="AV42:AV59" si="18">IF($A42="","",SUM(V42,AD42,AG42,AJ42,AM42,AS42,Y42))</f>
        <v/>
      </c>
      <c r="AW42" s="16" t="str">
        <f t="shared" si="16"/>
        <v/>
      </c>
      <c r="AX42" s="17" t="str">
        <f t="shared" ref="AX42:AX59" si="19">IF($A42="","",RANK(AW42,$AW$10:$AW$59))</f>
        <v/>
      </c>
      <c r="AY42" s="59" t="str">
        <f t="shared" si="17"/>
        <v/>
      </c>
    </row>
    <row r="43" spans="1:51" x14ac:dyDescent="0.25">
      <c r="A43" s="58" t="str">
        <f>IF(info!A49="","",info!A49)</f>
        <v/>
      </c>
      <c r="B43" s="58" t="str">
        <f>IF($A43="","",info!B49)</f>
        <v/>
      </c>
      <c r="C43" s="73" t="str">
        <f>IF($A43="","",info!C49)</f>
        <v/>
      </c>
      <c r="D43" s="71" t="str">
        <f>IF($A43="","",info!G49)</f>
        <v/>
      </c>
      <c r="E43" s="78" t="str">
        <f>IF($A43="","",info!D49)</f>
        <v/>
      </c>
      <c r="F43" s="35" t="str">
        <f>IF($A43="","",info!F49)</f>
        <v/>
      </c>
      <c r="G43" s="7"/>
      <c r="H43" s="7"/>
      <c r="I43" s="13" t="str">
        <f t="shared" si="2"/>
        <v/>
      </c>
      <c r="J43" s="7"/>
      <c r="K43" s="7"/>
      <c r="L43" s="13" t="str">
        <f t="shared" si="3"/>
        <v/>
      </c>
      <c r="M43" s="7"/>
      <c r="N43" s="7"/>
      <c r="O43" s="13" t="str">
        <f t="shared" si="4"/>
        <v/>
      </c>
      <c r="P43" s="7"/>
      <c r="Q43" s="7"/>
      <c r="R43" s="13" t="str">
        <f t="shared" si="5"/>
        <v/>
      </c>
      <c r="S43" s="7"/>
      <c r="T43" s="7"/>
      <c r="U43" s="13" t="str">
        <f t="shared" si="6"/>
        <v/>
      </c>
      <c r="V43" s="60" t="str">
        <f t="shared" si="7"/>
        <v/>
      </c>
      <c r="W43" s="7"/>
      <c r="X43" s="7"/>
      <c r="Y43" s="60" t="str">
        <f t="shared" si="8"/>
        <v/>
      </c>
      <c r="Z43" s="7"/>
      <c r="AA43" s="7"/>
      <c r="AB43" s="7" t="str">
        <f t="shared" si="9"/>
        <v/>
      </c>
      <c r="AC43" s="7"/>
      <c r="AD43" s="60" t="str">
        <f t="shared" si="10"/>
        <v/>
      </c>
      <c r="AE43" s="7"/>
      <c r="AF43" s="7"/>
      <c r="AG43" s="60" t="str">
        <f t="shared" si="11"/>
        <v/>
      </c>
      <c r="AH43" s="7"/>
      <c r="AI43" s="7"/>
      <c r="AJ43" s="60" t="str">
        <f t="shared" si="12"/>
        <v/>
      </c>
      <c r="AK43" s="7"/>
      <c r="AL43" s="7"/>
      <c r="AM43" s="60" t="str">
        <f t="shared" si="13"/>
        <v/>
      </c>
      <c r="AN43" s="7"/>
      <c r="AO43" s="7"/>
      <c r="AP43" s="60" t="str">
        <f t="shared" si="14"/>
        <v/>
      </c>
      <c r="AQ43" s="7"/>
      <c r="AR43" s="7"/>
      <c r="AS43" s="60" t="str">
        <f t="shared" si="15"/>
        <v/>
      </c>
      <c r="AT43" s="61"/>
      <c r="AU43" s="14" t="str">
        <f>IF($A43="","",6+AT43+info!$P$3)</f>
        <v/>
      </c>
      <c r="AV43" s="15" t="str">
        <f t="shared" si="18"/>
        <v/>
      </c>
      <c r="AW43" s="16" t="str">
        <f t="shared" si="16"/>
        <v/>
      </c>
      <c r="AX43" s="17" t="str">
        <f t="shared" si="19"/>
        <v/>
      </c>
      <c r="AY43" s="59" t="str">
        <f t="shared" si="17"/>
        <v/>
      </c>
    </row>
    <row r="44" spans="1:51" x14ac:dyDescent="0.25">
      <c r="A44" s="58" t="str">
        <f>IF(info!A50="","",info!A50)</f>
        <v/>
      </c>
      <c r="B44" s="58" t="str">
        <f>IF($A44="","",info!B50)</f>
        <v/>
      </c>
      <c r="C44" s="73" t="str">
        <f>IF($A44="","",info!C50)</f>
        <v/>
      </c>
      <c r="D44" s="71" t="str">
        <f>IF($A44="","",info!G50)</f>
        <v/>
      </c>
      <c r="E44" s="78" t="str">
        <f>IF($A44="","",info!D50)</f>
        <v/>
      </c>
      <c r="F44" s="35" t="str">
        <f>IF($A44="","",info!F50)</f>
        <v/>
      </c>
      <c r="G44" s="7"/>
      <c r="H44" s="7"/>
      <c r="I44" s="13" t="str">
        <f t="shared" si="2"/>
        <v/>
      </c>
      <c r="J44" s="7"/>
      <c r="K44" s="7"/>
      <c r="L44" s="13" t="str">
        <f t="shared" si="3"/>
        <v/>
      </c>
      <c r="M44" s="7"/>
      <c r="N44" s="7"/>
      <c r="O44" s="13" t="str">
        <f t="shared" si="4"/>
        <v/>
      </c>
      <c r="P44" s="7"/>
      <c r="Q44" s="7"/>
      <c r="R44" s="13" t="str">
        <f t="shared" si="5"/>
        <v/>
      </c>
      <c r="S44" s="7"/>
      <c r="T44" s="7"/>
      <c r="U44" s="13" t="str">
        <f t="shared" si="6"/>
        <v/>
      </c>
      <c r="V44" s="60" t="str">
        <f t="shared" si="7"/>
        <v/>
      </c>
      <c r="W44" s="7"/>
      <c r="X44" s="7"/>
      <c r="Y44" s="60" t="str">
        <f t="shared" si="8"/>
        <v/>
      </c>
      <c r="Z44" s="7"/>
      <c r="AA44" s="7"/>
      <c r="AB44" s="7" t="str">
        <f t="shared" si="9"/>
        <v/>
      </c>
      <c r="AC44" s="7"/>
      <c r="AD44" s="60" t="str">
        <f t="shared" si="10"/>
        <v/>
      </c>
      <c r="AE44" s="7"/>
      <c r="AF44" s="7"/>
      <c r="AG44" s="60" t="str">
        <f t="shared" si="11"/>
        <v/>
      </c>
      <c r="AH44" s="7"/>
      <c r="AI44" s="7"/>
      <c r="AJ44" s="60" t="str">
        <f t="shared" si="12"/>
        <v/>
      </c>
      <c r="AK44" s="7"/>
      <c r="AL44" s="7"/>
      <c r="AM44" s="60" t="str">
        <f t="shared" si="13"/>
        <v/>
      </c>
      <c r="AN44" s="7"/>
      <c r="AO44" s="7"/>
      <c r="AP44" s="60" t="str">
        <f t="shared" si="14"/>
        <v/>
      </c>
      <c r="AQ44" s="7"/>
      <c r="AR44" s="7"/>
      <c r="AS44" s="60" t="str">
        <f t="shared" si="15"/>
        <v/>
      </c>
      <c r="AT44" s="61"/>
      <c r="AU44" s="14" t="str">
        <f>IF($A44="","",6+AT44+info!$P$3)</f>
        <v/>
      </c>
      <c r="AV44" s="15" t="str">
        <f t="shared" si="18"/>
        <v/>
      </c>
      <c r="AW44" s="16" t="str">
        <f t="shared" si="16"/>
        <v/>
      </c>
      <c r="AX44" s="17" t="str">
        <f t="shared" si="19"/>
        <v/>
      </c>
      <c r="AY44" s="59" t="str">
        <f t="shared" si="17"/>
        <v/>
      </c>
    </row>
    <row r="45" spans="1:51" x14ac:dyDescent="0.25">
      <c r="A45" s="58" t="str">
        <f>IF(info!A51="","",info!A51)</f>
        <v/>
      </c>
      <c r="B45" s="58" t="str">
        <f>IF($A45="","",info!B51)</f>
        <v/>
      </c>
      <c r="C45" s="73" t="str">
        <f>IF($A45="","",info!C51)</f>
        <v/>
      </c>
      <c r="D45" s="71" t="str">
        <f>IF($A45="","",info!G51)</f>
        <v/>
      </c>
      <c r="E45" s="78" t="str">
        <f>IF($A45="","",info!D51)</f>
        <v/>
      </c>
      <c r="F45" s="35" t="str">
        <f>IF($A45="","",info!F51)</f>
        <v/>
      </c>
      <c r="G45" s="7"/>
      <c r="H45" s="7"/>
      <c r="I45" s="13" t="str">
        <f t="shared" si="2"/>
        <v/>
      </c>
      <c r="J45" s="7"/>
      <c r="K45" s="7"/>
      <c r="L45" s="13" t="str">
        <f t="shared" si="3"/>
        <v/>
      </c>
      <c r="M45" s="7"/>
      <c r="N45" s="7"/>
      <c r="O45" s="13" t="str">
        <f t="shared" si="4"/>
        <v/>
      </c>
      <c r="P45" s="7"/>
      <c r="Q45" s="7"/>
      <c r="R45" s="13" t="str">
        <f t="shared" si="5"/>
        <v/>
      </c>
      <c r="S45" s="7"/>
      <c r="T45" s="7"/>
      <c r="U45" s="13" t="str">
        <f t="shared" si="6"/>
        <v/>
      </c>
      <c r="V45" s="60" t="str">
        <f t="shared" si="7"/>
        <v/>
      </c>
      <c r="W45" s="7"/>
      <c r="X45" s="7"/>
      <c r="Y45" s="60" t="str">
        <f t="shared" si="8"/>
        <v/>
      </c>
      <c r="Z45" s="7"/>
      <c r="AA45" s="7"/>
      <c r="AB45" s="7" t="str">
        <f t="shared" si="9"/>
        <v/>
      </c>
      <c r="AC45" s="7"/>
      <c r="AD45" s="60" t="str">
        <f t="shared" si="10"/>
        <v/>
      </c>
      <c r="AE45" s="7"/>
      <c r="AF45" s="7"/>
      <c r="AG45" s="60" t="str">
        <f t="shared" si="11"/>
        <v/>
      </c>
      <c r="AH45" s="7"/>
      <c r="AI45" s="7"/>
      <c r="AJ45" s="60" t="str">
        <f t="shared" si="12"/>
        <v/>
      </c>
      <c r="AK45" s="7"/>
      <c r="AL45" s="7"/>
      <c r="AM45" s="60" t="str">
        <f t="shared" si="13"/>
        <v/>
      </c>
      <c r="AN45" s="7"/>
      <c r="AO45" s="7"/>
      <c r="AP45" s="60" t="str">
        <f t="shared" si="14"/>
        <v/>
      </c>
      <c r="AQ45" s="7"/>
      <c r="AR45" s="7"/>
      <c r="AS45" s="60" t="str">
        <f t="shared" si="15"/>
        <v/>
      </c>
      <c r="AT45" s="61"/>
      <c r="AU45" s="14" t="str">
        <f>IF($A45="","",6+AT45+info!$P$3)</f>
        <v/>
      </c>
      <c r="AV45" s="15" t="str">
        <f t="shared" si="18"/>
        <v/>
      </c>
      <c r="AW45" s="16" t="str">
        <f t="shared" si="16"/>
        <v/>
      </c>
      <c r="AX45" s="17" t="str">
        <f t="shared" si="19"/>
        <v/>
      </c>
      <c r="AY45" s="59" t="str">
        <f t="shared" si="17"/>
        <v/>
      </c>
    </row>
    <row r="46" spans="1:51" x14ac:dyDescent="0.25">
      <c r="A46" s="58" t="str">
        <f>IF(info!A52="","",info!A52)</f>
        <v/>
      </c>
      <c r="B46" s="58" t="str">
        <f>IF($A46="","",info!B52)</f>
        <v/>
      </c>
      <c r="C46" s="73" t="str">
        <f>IF($A46="","",info!C52)</f>
        <v/>
      </c>
      <c r="D46" s="71" t="str">
        <f>IF($A46="","",info!G52)</f>
        <v/>
      </c>
      <c r="E46" s="78" t="str">
        <f>IF($A46="","",info!D52)</f>
        <v/>
      </c>
      <c r="F46" s="35" t="str">
        <f>IF($A46="","",info!F52)</f>
        <v/>
      </c>
      <c r="G46" s="7"/>
      <c r="H46" s="7"/>
      <c r="I46" s="13" t="str">
        <f t="shared" si="2"/>
        <v/>
      </c>
      <c r="J46" s="7"/>
      <c r="K46" s="7"/>
      <c r="L46" s="13" t="str">
        <f t="shared" si="3"/>
        <v/>
      </c>
      <c r="M46" s="7"/>
      <c r="N46" s="7"/>
      <c r="O46" s="13" t="str">
        <f t="shared" si="4"/>
        <v/>
      </c>
      <c r="P46" s="7"/>
      <c r="Q46" s="7"/>
      <c r="R46" s="13" t="str">
        <f t="shared" si="5"/>
        <v/>
      </c>
      <c r="S46" s="7"/>
      <c r="T46" s="7"/>
      <c r="U46" s="13" t="str">
        <f t="shared" si="6"/>
        <v/>
      </c>
      <c r="V46" s="60" t="str">
        <f t="shared" si="7"/>
        <v/>
      </c>
      <c r="W46" s="7"/>
      <c r="X46" s="7"/>
      <c r="Y46" s="60" t="str">
        <f t="shared" si="8"/>
        <v/>
      </c>
      <c r="Z46" s="7"/>
      <c r="AA46" s="7"/>
      <c r="AB46" s="7" t="str">
        <f t="shared" si="9"/>
        <v/>
      </c>
      <c r="AC46" s="7"/>
      <c r="AD46" s="60" t="str">
        <f t="shared" si="10"/>
        <v/>
      </c>
      <c r="AE46" s="7"/>
      <c r="AF46" s="7"/>
      <c r="AG46" s="60" t="str">
        <f t="shared" si="11"/>
        <v/>
      </c>
      <c r="AH46" s="7"/>
      <c r="AI46" s="7"/>
      <c r="AJ46" s="60" t="str">
        <f t="shared" si="12"/>
        <v/>
      </c>
      <c r="AK46" s="7"/>
      <c r="AL46" s="7"/>
      <c r="AM46" s="60" t="str">
        <f t="shared" si="13"/>
        <v/>
      </c>
      <c r="AN46" s="7"/>
      <c r="AO46" s="7"/>
      <c r="AP46" s="60" t="str">
        <f t="shared" si="14"/>
        <v/>
      </c>
      <c r="AQ46" s="7"/>
      <c r="AR46" s="7"/>
      <c r="AS46" s="60" t="str">
        <f t="shared" si="15"/>
        <v/>
      </c>
      <c r="AT46" s="61"/>
      <c r="AU46" s="14" t="str">
        <f>IF($A46="","",6+AT46+info!$P$3)</f>
        <v/>
      </c>
      <c r="AV46" s="15" t="str">
        <f t="shared" si="18"/>
        <v/>
      </c>
      <c r="AW46" s="16" t="str">
        <f t="shared" si="16"/>
        <v/>
      </c>
      <c r="AX46" s="17" t="str">
        <f t="shared" si="19"/>
        <v/>
      </c>
      <c r="AY46" s="59" t="str">
        <f t="shared" si="17"/>
        <v/>
      </c>
    </row>
    <row r="47" spans="1:51" x14ac:dyDescent="0.25">
      <c r="A47" s="58" t="str">
        <f>IF(info!A53="","",info!A53)</f>
        <v/>
      </c>
      <c r="B47" s="58" t="str">
        <f>IF($A47="","",info!B53)</f>
        <v/>
      </c>
      <c r="C47" s="73" t="str">
        <f>IF($A47="","",info!C53)</f>
        <v/>
      </c>
      <c r="D47" s="71" t="str">
        <f>IF($A47="","",info!G53)</f>
        <v/>
      </c>
      <c r="E47" s="78" t="str">
        <f>IF($A47="","",info!D53)</f>
        <v/>
      </c>
      <c r="F47" s="35" t="str">
        <f>IF($A47="","",info!F53)</f>
        <v/>
      </c>
      <c r="G47" s="7"/>
      <c r="H47" s="7"/>
      <c r="I47" s="13" t="str">
        <f t="shared" si="2"/>
        <v/>
      </c>
      <c r="J47" s="7"/>
      <c r="K47" s="7"/>
      <c r="L47" s="13" t="str">
        <f t="shared" si="3"/>
        <v/>
      </c>
      <c r="M47" s="7"/>
      <c r="N47" s="7"/>
      <c r="O47" s="13" t="str">
        <f t="shared" si="4"/>
        <v/>
      </c>
      <c r="P47" s="7"/>
      <c r="Q47" s="7"/>
      <c r="R47" s="13" t="str">
        <f t="shared" si="5"/>
        <v/>
      </c>
      <c r="S47" s="7"/>
      <c r="T47" s="7"/>
      <c r="U47" s="13" t="str">
        <f t="shared" si="6"/>
        <v/>
      </c>
      <c r="V47" s="60" t="str">
        <f t="shared" si="7"/>
        <v/>
      </c>
      <c r="W47" s="7"/>
      <c r="X47" s="7"/>
      <c r="Y47" s="60" t="str">
        <f t="shared" si="8"/>
        <v/>
      </c>
      <c r="Z47" s="7"/>
      <c r="AA47" s="7"/>
      <c r="AB47" s="7" t="str">
        <f t="shared" si="9"/>
        <v/>
      </c>
      <c r="AC47" s="7"/>
      <c r="AD47" s="60" t="str">
        <f t="shared" si="10"/>
        <v/>
      </c>
      <c r="AE47" s="7"/>
      <c r="AF47" s="7"/>
      <c r="AG47" s="60" t="str">
        <f t="shared" si="11"/>
        <v/>
      </c>
      <c r="AH47" s="7"/>
      <c r="AI47" s="7"/>
      <c r="AJ47" s="60" t="str">
        <f t="shared" si="12"/>
        <v/>
      </c>
      <c r="AK47" s="7"/>
      <c r="AL47" s="7"/>
      <c r="AM47" s="60" t="str">
        <f t="shared" si="13"/>
        <v/>
      </c>
      <c r="AN47" s="7"/>
      <c r="AO47" s="7"/>
      <c r="AP47" s="60" t="str">
        <f t="shared" si="14"/>
        <v/>
      </c>
      <c r="AQ47" s="7"/>
      <c r="AR47" s="7"/>
      <c r="AS47" s="60" t="str">
        <f t="shared" si="15"/>
        <v/>
      </c>
      <c r="AT47" s="61"/>
      <c r="AU47" s="14" t="str">
        <f>IF($A47="","",6+AT47+info!$P$3)</f>
        <v/>
      </c>
      <c r="AV47" s="15" t="str">
        <f t="shared" si="18"/>
        <v/>
      </c>
      <c r="AW47" s="16" t="str">
        <f t="shared" si="16"/>
        <v/>
      </c>
      <c r="AX47" s="17" t="str">
        <f t="shared" si="19"/>
        <v/>
      </c>
      <c r="AY47" s="59" t="str">
        <f t="shared" si="17"/>
        <v/>
      </c>
    </row>
    <row r="48" spans="1:51" x14ac:dyDescent="0.25">
      <c r="A48" s="58" t="str">
        <f>IF(info!A54="","",info!A54)</f>
        <v/>
      </c>
      <c r="B48" s="58" t="str">
        <f>IF($A48="","",info!B54)</f>
        <v/>
      </c>
      <c r="C48" s="73" t="str">
        <f>IF($A48="","",info!C54)</f>
        <v/>
      </c>
      <c r="D48" s="71" t="str">
        <f>IF($A48="","",info!G54)</f>
        <v/>
      </c>
      <c r="E48" s="78" t="str">
        <f>IF($A48="","",info!D54)</f>
        <v/>
      </c>
      <c r="F48" s="35" t="str">
        <f>IF($A48="","",info!F54)</f>
        <v/>
      </c>
      <c r="G48" s="7"/>
      <c r="H48" s="7"/>
      <c r="I48" s="13" t="str">
        <f t="shared" si="2"/>
        <v/>
      </c>
      <c r="J48" s="7"/>
      <c r="K48" s="7"/>
      <c r="L48" s="13" t="str">
        <f t="shared" si="3"/>
        <v/>
      </c>
      <c r="M48" s="7"/>
      <c r="N48" s="7"/>
      <c r="O48" s="13" t="str">
        <f t="shared" si="4"/>
        <v/>
      </c>
      <c r="P48" s="7"/>
      <c r="Q48" s="7"/>
      <c r="R48" s="13" t="str">
        <f t="shared" si="5"/>
        <v/>
      </c>
      <c r="S48" s="7"/>
      <c r="T48" s="7"/>
      <c r="U48" s="13" t="str">
        <f t="shared" si="6"/>
        <v/>
      </c>
      <c r="V48" s="60" t="str">
        <f t="shared" si="7"/>
        <v/>
      </c>
      <c r="W48" s="7"/>
      <c r="X48" s="7"/>
      <c r="Y48" s="60" t="str">
        <f t="shared" si="8"/>
        <v/>
      </c>
      <c r="Z48" s="7"/>
      <c r="AA48" s="7"/>
      <c r="AB48" s="7" t="str">
        <f t="shared" si="9"/>
        <v/>
      </c>
      <c r="AC48" s="7"/>
      <c r="AD48" s="60" t="str">
        <f t="shared" si="10"/>
        <v/>
      </c>
      <c r="AE48" s="7"/>
      <c r="AF48" s="7"/>
      <c r="AG48" s="60" t="str">
        <f t="shared" si="11"/>
        <v/>
      </c>
      <c r="AH48" s="7"/>
      <c r="AI48" s="7"/>
      <c r="AJ48" s="60" t="str">
        <f t="shared" si="12"/>
        <v/>
      </c>
      <c r="AK48" s="7"/>
      <c r="AL48" s="7"/>
      <c r="AM48" s="60" t="str">
        <f t="shared" si="13"/>
        <v/>
      </c>
      <c r="AN48" s="7"/>
      <c r="AO48" s="7"/>
      <c r="AP48" s="60" t="str">
        <f t="shared" si="14"/>
        <v/>
      </c>
      <c r="AQ48" s="7"/>
      <c r="AR48" s="7"/>
      <c r="AS48" s="60" t="str">
        <f t="shared" si="15"/>
        <v/>
      </c>
      <c r="AT48" s="61"/>
      <c r="AU48" s="14" t="str">
        <f>IF($A48="","",6+AT48+info!$P$3)</f>
        <v/>
      </c>
      <c r="AV48" s="15" t="str">
        <f t="shared" si="18"/>
        <v/>
      </c>
      <c r="AW48" s="16" t="str">
        <f t="shared" si="16"/>
        <v/>
      </c>
      <c r="AX48" s="17" t="str">
        <f t="shared" si="19"/>
        <v/>
      </c>
      <c r="AY48" s="59" t="str">
        <f t="shared" si="17"/>
        <v/>
      </c>
    </row>
    <row r="49" spans="1:51" x14ac:dyDescent="0.25">
      <c r="A49" s="58" t="str">
        <f>IF(info!A55="","",info!A55)</f>
        <v/>
      </c>
      <c r="B49" s="58" t="str">
        <f>IF($A49="","",info!B55)</f>
        <v/>
      </c>
      <c r="C49" s="73" t="str">
        <f>IF($A49="","",info!C55)</f>
        <v/>
      </c>
      <c r="D49" s="71" t="str">
        <f>IF($A49="","",info!G55)</f>
        <v/>
      </c>
      <c r="E49" s="78" t="str">
        <f>IF($A49="","",info!D55)</f>
        <v/>
      </c>
      <c r="F49" s="35" t="str">
        <f>IF($A49="","",info!F55)</f>
        <v/>
      </c>
      <c r="G49" s="7"/>
      <c r="H49" s="7"/>
      <c r="I49" s="13" t="str">
        <f t="shared" si="2"/>
        <v/>
      </c>
      <c r="J49" s="7"/>
      <c r="K49" s="7"/>
      <c r="L49" s="13" t="str">
        <f t="shared" si="3"/>
        <v/>
      </c>
      <c r="M49" s="7"/>
      <c r="N49" s="7"/>
      <c r="O49" s="13" t="str">
        <f t="shared" si="4"/>
        <v/>
      </c>
      <c r="P49" s="7"/>
      <c r="Q49" s="7"/>
      <c r="R49" s="13" t="str">
        <f t="shared" si="5"/>
        <v/>
      </c>
      <c r="S49" s="7"/>
      <c r="T49" s="7"/>
      <c r="U49" s="13" t="str">
        <f t="shared" si="6"/>
        <v/>
      </c>
      <c r="V49" s="60" t="str">
        <f t="shared" si="7"/>
        <v/>
      </c>
      <c r="W49" s="7"/>
      <c r="X49" s="7"/>
      <c r="Y49" s="60" t="str">
        <f t="shared" si="8"/>
        <v/>
      </c>
      <c r="Z49" s="7"/>
      <c r="AA49" s="7"/>
      <c r="AB49" s="7" t="str">
        <f>IF(Z49="","",IF(AA49="","",AVERAGE(Z49:AA49)))</f>
        <v/>
      </c>
      <c r="AC49" s="7"/>
      <c r="AD49" s="60" t="str">
        <f t="shared" si="10"/>
        <v/>
      </c>
      <c r="AE49" s="7"/>
      <c r="AF49" s="7"/>
      <c r="AG49" s="60" t="str">
        <f t="shared" si="11"/>
        <v/>
      </c>
      <c r="AH49" s="7"/>
      <c r="AI49" s="7"/>
      <c r="AJ49" s="60" t="str">
        <f t="shared" si="12"/>
        <v/>
      </c>
      <c r="AK49" s="7"/>
      <c r="AL49" s="7"/>
      <c r="AM49" s="60" t="str">
        <f t="shared" si="13"/>
        <v/>
      </c>
      <c r="AN49" s="7"/>
      <c r="AO49" s="7"/>
      <c r="AP49" s="60" t="str">
        <f t="shared" si="14"/>
        <v/>
      </c>
      <c r="AQ49" s="7"/>
      <c r="AR49" s="7"/>
      <c r="AS49" s="60" t="str">
        <f t="shared" si="15"/>
        <v/>
      </c>
      <c r="AT49" s="61"/>
      <c r="AU49" s="14" t="str">
        <f>IF($A49="","",6+AT49+info!$P$3)</f>
        <v/>
      </c>
      <c r="AV49" s="15" t="str">
        <f t="shared" si="18"/>
        <v/>
      </c>
      <c r="AW49" s="16" t="str">
        <f t="shared" si="16"/>
        <v/>
      </c>
      <c r="AX49" s="17" t="str">
        <f t="shared" si="19"/>
        <v/>
      </c>
      <c r="AY49" s="59" t="str">
        <f t="shared" si="17"/>
        <v/>
      </c>
    </row>
    <row r="50" spans="1:51" x14ac:dyDescent="0.25">
      <c r="A50" s="58" t="str">
        <f>IF(info!A56="","",info!A56)</f>
        <v/>
      </c>
      <c r="B50" s="58" t="str">
        <f>IF($A50="","",info!B56)</f>
        <v/>
      </c>
      <c r="C50" s="73" t="str">
        <f>IF($A50="","",info!C56)</f>
        <v/>
      </c>
      <c r="D50" s="71" t="str">
        <f>IF($A50="","",info!G56)</f>
        <v/>
      </c>
      <c r="E50" s="78" t="str">
        <f>IF($A50="","",info!D56)</f>
        <v/>
      </c>
      <c r="F50" s="35" t="str">
        <f>IF($A50="","",info!F56)</f>
        <v/>
      </c>
      <c r="G50" s="7"/>
      <c r="H50" s="7"/>
      <c r="I50" s="13" t="str">
        <f t="shared" si="2"/>
        <v/>
      </c>
      <c r="J50" s="7"/>
      <c r="K50" s="7"/>
      <c r="L50" s="13" t="str">
        <f t="shared" si="3"/>
        <v/>
      </c>
      <c r="M50" s="7"/>
      <c r="N50" s="7"/>
      <c r="O50" s="13" t="str">
        <f t="shared" si="4"/>
        <v/>
      </c>
      <c r="P50" s="7"/>
      <c r="Q50" s="7"/>
      <c r="R50" s="13" t="str">
        <f t="shared" si="5"/>
        <v/>
      </c>
      <c r="S50" s="7"/>
      <c r="T50" s="7"/>
      <c r="U50" s="13" t="str">
        <f t="shared" si="6"/>
        <v/>
      </c>
      <c r="V50" s="60" t="str">
        <f t="shared" si="7"/>
        <v/>
      </c>
      <c r="W50" s="7"/>
      <c r="X50" s="7"/>
      <c r="Y50" s="60" t="str">
        <f t="shared" si="8"/>
        <v/>
      </c>
      <c r="Z50" s="7"/>
      <c r="AA50" s="7"/>
      <c r="AB50" s="7" t="str">
        <f t="shared" ref="AB50:AB59" si="20">IF(Z50="","",IF(AA50="","",AVERAGE(Z50:AA50)))</f>
        <v/>
      </c>
      <c r="AC50" s="7"/>
      <c r="AD50" s="60" t="str">
        <f t="shared" si="10"/>
        <v/>
      </c>
      <c r="AE50" s="7"/>
      <c r="AF50" s="7"/>
      <c r="AG50" s="60" t="str">
        <f t="shared" si="11"/>
        <v/>
      </c>
      <c r="AH50" s="7"/>
      <c r="AI50" s="7"/>
      <c r="AJ50" s="60" t="str">
        <f t="shared" si="12"/>
        <v/>
      </c>
      <c r="AK50" s="7"/>
      <c r="AL50" s="7"/>
      <c r="AM50" s="60" t="str">
        <f t="shared" si="13"/>
        <v/>
      </c>
      <c r="AN50" s="7"/>
      <c r="AO50" s="7"/>
      <c r="AP50" s="60" t="str">
        <f t="shared" si="14"/>
        <v/>
      </c>
      <c r="AQ50" s="7"/>
      <c r="AR50" s="7"/>
      <c r="AS50" s="60" t="str">
        <f t="shared" si="15"/>
        <v/>
      </c>
      <c r="AT50" s="61"/>
      <c r="AU50" s="14" t="str">
        <f>IF($A50="","",6+AT50+info!$P$3)</f>
        <v/>
      </c>
      <c r="AV50" s="15" t="str">
        <f t="shared" si="18"/>
        <v/>
      </c>
      <c r="AW50" s="16" t="str">
        <f t="shared" ref="AW50:AW59" si="21">IF($A50="","",AV50/AU50)</f>
        <v/>
      </c>
      <c r="AX50" s="17" t="str">
        <f t="shared" si="19"/>
        <v/>
      </c>
      <c r="AY50" s="59" t="str">
        <f t="shared" ref="AY50:AY59" si="22">IF($A50="","",IF(AW50&gt;=8," تنويه ",IF(AW50&gt;=7,"تشجيع ",IF(AW50&gt;=6,"لوحة الشرف",IF(AW50&gt;=5,"متوسط",IF(AW50&gt;=4,"دون المتوسط",IF(AW50&gt;=3,"ناقص",IF(AW50&gt;=2,"تنبيه",IF(AW50&gt;=1,"إنذار","توبيخ")))))))))</f>
        <v/>
      </c>
    </row>
    <row r="51" spans="1:51" x14ac:dyDescent="0.25">
      <c r="A51" s="58" t="str">
        <f>IF(info!A57="","",info!A57)</f>
        <v/>
      </c>
      <c r="B51" s="58" t="str">
        <f>IF($A51="","",info!B57)</f>
        <v/>
      </c>
      <c r="C51" s="73" t="str">
        <f>IF($A51="","",info!C57)</f>
        <v/>
      </c>
      <c r="D51" s="71" t="str">
        <f>IF($A51="","",info!G57)</f>
        <v/>
      </c>
      <c r="E51" s="78" t="str">
        <f>IF($A51="","",info!D57)</f>
        <v/>
      </c>
      <c r="F51" s="35" t="str">
        <f>IF($A51="","",info!F57)</f>
        <v/>
      </c>
      <c r="G51" s="7"/>
      <c r="H51" s="7"/>
      <c r="I51" s="13" t="str">
        <f t="shared" si="2"/>
        <v/>
      </c>
      <c r="J51" s="7"/>
      <c r="K51" s="7"/>
      <c r="L51" s="13" t="str">
        <f t="shared" si="3"/>
        <v/>
      </c>
      <c r="M51" s="7"/>
      <c r="N51" s="7"/>
      <c r="O51" s="13" t="str">
        <f t="shared" si="4"/>
        <v/>
      </c>
      <c r="P51" s="7"/>
      <c r="Q51" s="7"/>
      <c r="R51" s="13" t="str">
        <f t="shared" si="5"/>
        <v/>
      </c>
      <c r="S51" s="7"/>
      <c r="T51" s="7"/>
      <c r="U51" s="13" t="str">
        <f t="shared" si="6"/>
        <v/>
      </c>
      <c r="V51" s="60" t="str">
        <f t="shared" si="7"/>
        <v/>
      </c>
      <c r="W51" s="7"/>
      <c r="X51" s="7"/>
      <c r="Y51" s="60" t="str">
        <f t="shared" si="8"/>
        <v/>
      </c>
      <c r="Z51" s="7"/>
      <c r="AA51" s="7"/>
      <c r="AB51" s="7" t="str">
        <f t="shared" si="20"/>
        <v/>
      </c>
      <c r="AC51" s="7"/>
      <c r="AD51" s="60" t="str">
        <f t="shared" si="10"/>
        <v/>
      </c>
      <c r="AE51" s="7"/>
      <c r="AF51" s="7"/>
      <c r="AG51" s="60" t="str">
        <f t="shared" si="11"/>
        <v/>
      </c>
      <c r="AH51" s="7"/>
      <c r="AI51" s="7"/>
      <c r="AJ51" s="60" t="str">
        <f t="shared" si="12"/>
        <v/>
      </c>
      <c r="AK51" s="7"/>
      <c r="AL51" s="7"/>
      <c r="AM51" s="60" t="str">
        <f t="shared" si="13"/>
        <v/>
      </c>
      <c r="AN51" s="7"/>
      <c r="AO51" s="7"/>
      <c r="AP51" s="60" t="str">
        <f t="shared" si="14"/>
        <v/>
      </c>
      <c r="AQ51" s="7"/>
      <c r="AR51" s="7"/>
      <c r="AS51" s="60" t="str">
        <f t="shared" si="15"/>
        <v/>
      </c>
      <c r="AT51" s="61"/>
      <c r="AU51" s="14" t="str">
        <f>IF($A51="","",6+AT51+info!$P$3)</f>
        <v/>
      </c>
      <c r="AV51" s="15" t="str">
        <f t="shared" si="18"/>
        <v/>
      </c>
      <c r="AW51" s="16" t="str">
        <f t="shared" si="21"/>
        <v/>
      </c>
      <c r="AX51" s="17" t="str">
        <f t="shared" si="19"/>
        <v/>
      </c>
      <c r="AY51" s="59" t="str">
        <f t="shared" si="22"/>
        <v/>
      </c>
    </row>
    <row r="52" spans="1:51" x14ac:dyDescent="0.25">
      <c r="A52" s="58" t="str">
        <f>IF(info!A58="","",info!A58)</f>
        <v/>
      </c>
      <c r="B52" s="58" t="str">
        <f>IF($A52="","",info!B58)</f>
        <v/>
      </c>
      <c r="C52" s="73" t="str">
        <f>IF($A52="","",info!C58)</f>
        <v/>
      </c>
      <c r="D52" s="71" t="str">
        <f>IF($A52="","",info!G58)</f>
        <v/>
      </c>
      <c r="E52" s="78" t="str">
        <f>IF($A52="","",info!D58)</f>
        <v/>
      </c>
      <c r="F52" s="35" t="str">
        <f>IF($A52="","",info!F58)</f>
        <v/>
      </c>
      <c r="G52" s="7"/>
      <c r="H52" s="7"/>
      <c r="I52" s="13" t="str">
        <f t="shared" si="2"/>
        <v/>
      </c>
      <c r="J52" s="7"/>
      <c r="K52" s="7"/>
      <c r="L52" s="13" t="str">
        <f t="shared" si="3"/>
        <v/>
      </c>
      <c r="M52" s="7"/>
      <c r="N52" s="7"/>
      <c r="O52" s="13" t="str">
        <f t="shared" si="4"/>
        <v/>
      </c>
      <c r="P52" s="7"/>
      <c r="Q52" s="7"/>
      <c r="R52" s="13" t="str">
        <f t="shared" si="5"/>
        <v/>
      </c>
      <c r="S52" s="7"/>
      <c r="T52" s="7"/>
      <c r="U52" s="13" t="str">
        <f t="shared" si="6"/>
        <v/>
      </c>
      <c r="V52" s="60" t="str">
        <f t="shared" si="7"/>
        <v/>
      </c>
      <c r="W52" s="7"/>
      <c r="X52" s="7"/>
      <c r="Y52" s="60" t="str">
        <f t="shared" si="8"/>
        <v/>
      </c>
      <c r="Z52" s="7"/>
      <c r="AA52" s="7"/>
      <c r="AB52" s="7" t="str">
        <f t="shared" si="20"/>
        <v/>
      </c>
      <c r="AC52" s="7"/>
      <c r="AD52" s="60" t="str">
        <f t="shared" si="10"/>
        <v/>
      </c>
      <c r="AE52" s="7"/>
      <c r="AF52" s="7"/>
      <c r="AG52" s="60" t="str">
        <f t="shared" si="11"/>
        <v/>
      </c>
      <c r="AH52" s="7"/>
      <c r="AI52" s="7"/>
      <c r="AJ52" s="60" t="str">
        <f t="shared" si="12"/>
        <v/>
      </c>
      <c r="AK52" s="7"/>
      <c r="AL52" s="7"/>
      <c r="AM52" s="60" t="str">
        <f t="shared" si="13"/>
        <v/>
      </c>
      <c r="AN52" s="7"/>
      <c r="AO52" s="7"/>
      <c r="AP52" s="60" t="str">
        <f t="shared" si="14"/>
        <v/>
      </c>
      <c r="AQ52" s="7"/>
      <c r="AR52" s="7"/>
      <c r="AS52" s="60" t="str">
        <f t="shared" si="15"/>
        <v/>
      </c>
      <c r="AT52" s="61"/>
      <c r="AU52" s="14" t="str">
        <f>IF($A52="","",6+AT52+info!$P$3)</f>
        <v/>
      </c>
      <c r="AV52" s="15" t="str">
        <f t="shared" si="18"/>
        <v/>
      </c>
      <c r="AW52" s="16" t="str">
        <f t="shared" si="21"/>
        <v/>
      </c>
      <c r="AX52" s="17" t="str">
        <f t="shared" si="19"/>
        <v/>
      </c>
      <c r="AY52" s="59" t="str">
        <f t="shared" si="22"/>
        <v/>
      </c>
    </row>
    <row r="53" spans="1:51" x14ac:dyDescent="0.25">
      <c r="A53" s="58" t="str">
        <f>IF(info!A59="","",info!A59)</f>
        <v/>
      </c>
      <c r="B53" s="58" t="str">
        <f>IF($A53="","",info!B59)</f>
        <v/>
      </c>
      <c r="C53" s="73" t="str">
        <f>IF($A53="","",info!C59)</f>
        <v/>
      </c>
      <c r="D53" s="71" t="str">
        <f>IF($A53="","",info!G59)</f>
        <v/>
      </c>
      <c r="E53" s="78" t="str">
        <f>IF($A53="","",info!D59)</f>
        <v/>
      </c>
      <c r="F53" s="35" t="str">
        <f>IF($A53="","",info!F59)</f>
        <v/>
      </c>
      <c r="G53" s="7"/>
      <c r="H53" s="7"/>
      <c r="I53" s="13" t="str">
        <f t="shared" si="2"/>
        <v/>
      </c>
      <c r="J53" s="7"/>
      <c r="K53" s="7"/>
      <c r="L53" s="13" t="str">
        <f t="shared" si="3"/>
        <v/>
      </c>
      <c r="M53" s="7"/>
      <c r="N53" s="7"/>
      <c r="O53" s="13" t="str">
        <f t="shared" si="4"/>
        <v/>
      </c>
      <c r="P53" s="7"/>
      <c r="Q53" s="7"/>
      <c r="R53" s="13" t="str">
        <f t="shared" si="5"/>
        <v/>
      </c>
      <c r="S53" s="7"/>
      <c r="T53" s="7"/>
      <c r="U53" s="13" t="str">
        <f t="shared" si="6"/>
        <v/>
      </c>
      <c r="V53" s="60" t="str">
        <f t="shared" si="7"/>
        <v/>
      </c>
      <c r="W53" s="7"/>
      <c r="X53" s="7"/>
      <c r="Y53" s="60" t="str">
        <f t="shared" si="8"/>
        <v/>
      </c>
      <c r="Z53" s="7"/>
      <c r="AA53" s="7"/>
      <c r="AB53" s="7" t="str">
        <f t="shared" si="20"/>
        <v/>
      </c>
      <c r="AC53" s="7"/>
      <c r="AD53" s="60" t="str">
        <f t="shared" si="10"/>
        <v/>
      </c>
      <c r="AE53" s="7"/>
      <c r="AF53" s="7"/>
      <c r="AG53" s="60" t="str">
        <f t="shared" si="11"/>
        <v/>
      </c>
      <c r="AH53" s="7"/>
      <c r="AI53" s="7"/>
      <c r="AJ53" s="60" t="str">
        <f t="shared" si="12"/>
        <v/>
      </c>
      <c r="AK53" s="7"/>
      <c r="AL53" s="7"/>
      <c r="AM53" s="60" t="str">
        <f t="shared" si="13"/>
        <v/>
      </c>
      <c r="AN53" s="7"/>
      <c r="AO53" s="7"/>
      <c r="AP53" s="60" t="str">
        <f t="shared" si="14"/>
        <v/>
      </c>
      <c r="AQ53" s="7"/>
      <c r="AR53" s="7"/>
      <c r="AS53" s="60" t="str">
        <f t="shared" si="15"/>
        <v/>
      </c>
      <c r="AT53" s="61"/>
      <c r="AU53" s="14" t="str">
        <f>IF($A53="","",6+AT53+info!$P$3)</f>
        <v/>
      </c>
      <c r="AV53" s="15" t="str">
        <f t="shared" si="18"/>
        <v/>
      </c>
      <c r="AW53" s="16" t="str">
        <f t="shared" si="21"/>
        <v/>
      </c>
      <c r="AX53" s="17" t="str">
        <f t="shared" si="19"/>
        <v/>
      </c>
      <c r="AY53" s="59" t="str">
        <f t="shared" si="22"/>
        <v/>
      </c>
    </row>
    <row r="54" spans="1:51" x14ac:dyDescent="0.25">
      <c r="A54" s="58" t="str">
        <f>IF(info!A60="","",info!A60)</f>
        <v/>
      </c>
      <c r="B54" s="58" t="str">
        <f>IF($A54="","",info!B60)</f>
        <v/>
      </c>
      <c r="C54" s="73" t="str">
        <f>IF($A54="","",info!C60)</f>
        <v/>
      </c>
      <c r="D54" s="71" t="str">
        <f>IF($A54="","",info!G60)</f>
        <v/>
      </c>
      <c r="E54" s="78" t="str">
        <f>IF($A54="","",info!D60)</f>
        <v/>
      </c>
      <c r="F54" s="35" t="str">
        <f>IF($A54="","",info!F60)</f>
        <v/>
      </c>
      <c r="G54" s="7"/>
      <c r="H54" s="7"/>
      <c r="I54" s="13" t="str">
        <f t="shared" si="2"/>
        <v/>
      </c>
      <c r="J54" s="7"/>
      <c r="K54" s="7"/>
      <c r="L54" s="13" t="str">
        <f t="shared" si="3"/>
        <v/>
      </c>
      <c r="M54" s="7"/>
      <c r="N54" s="7"/>
      <c r="O54" s="13" t="str">
        <f t="shared" si="4"/>
        <v/>
      </c>
      <c r="P54" s="7"/>
      <c r="Q54" s="7"/>
      <c r="R54" s="13" t="str">
        <f t="shared" si="5"/>
        <v/>
      </c>
      <c r="S54" s="7"/>
      <c r="T54" s="7"/>
      <c r="U54" s="13" t="str">
        <f t="shared" si="6"/>
        <v/>
      </c>
      <c r="V54" s="60" t="str">
        <f t="shared" si="7"/>
        <v/>
      </c>
      <c r="W54" s="7"/>
      <c r="X54" s="7"/>
      <c r="Y54" s="60" t="str">
        <f t="shared" si="8"/>
        <v/>
      </c>
      <c r="Z54" s="7"/>
      <c r="AA54" s="7"/>
      <c r="AB54" s="7" t="str">
        <f t="shared" si="20"/>
        <v/>
      </c>
      <c r="AC54" s="7"/>
      <c r="AD54" s="60" t="str">
        <f t="shared" si="10"/>
        <v/>
      </c>
      <c r="AE54" s="7"/>
      <c r="AF54" s="7"/>
      <c r="AG54" s="60" t="str">
        <f t="shared" si="11"/>
        <v/>
      </c>
      <c r="AH54" s="7"/>
      <c r="AI54" s="7"/>
      <c r="AJ54" s="60" t="str">
        <f t="shared" si="12"/>
        <v/>
      </c>
      <c r="AK54" s="7"/>
      <c r="AL54" s="7"/>
      <c r="AM54" s="60" t="str">
        <f t="shared" si="13"/>
        <v/>
      </c>
      <c r="AN54" s="7"/>
      <c r="AO54" s="7"/>
      <c r="AP54" s="60" t="str">
        <f t="shared" si="14"/>
        <v/>
      </c>
      <c r="AQ54" s="7"/>
      <c r="AR54" s="7"/>
      <c r="AS54" s="60" t="str">
        <f t="shared" si="15"/>
        <v/>
      </c>
      <c r="AT54" s="61"/>
      <c r="AU54" s="14" t="str">
        <f>IF($A54="","",6+AT54+info!$P$3)</f>
        <v/>
      </c>
      <c r="AV54" s="15" t="str">
        <f t="shared" si="18"/>
        <v/>
      </c>
      <c r="AW54" s="16" t="str">
        <f t="shared" si="21"/>
        <v/>
      </c>
      <c r="AX54" s="17" t="str">
        <f t="shared" si="19"/>
        <v/>
      </c>
      <c r="AY54" s="59" t="str">
        <f t="shared" si="22"/>
        <v/>
      </c>
    </row>
    <row r="55" spans="1:51" x14ac:dyDescent="0.25">
      <c r="A55" s="58" t="str">
        <f>IF(info!A61="","",info!A61)</f>
        <v/>
      </c>
      <c r="B55" s="58" t="str">
        <f>IF($A55="","",info!B61)</f>
        <v/>
      </c>
      <c r="C55" s="73" t="str">
        <f>IF($A55="","",info!C61)</f>
        <v/>
      </c>
      <c r="D55" s="71" t="str">
        <f>IF($A55="","",info!G61)</f>
        <v/>
      </c>
      <c r="E55" s="78" t="str">
        <f>IF($A55="","",info!D61)</f>
        <v/>
      </c>
      <c r="F55" s="35" t="str">
        <f>IF($A55="","",info!F61)</f>
        <v/>
      </c>
      <c r="G55" s="7"/>
      <c r="H55" s="7"/>
      <c r="I55" s="13" t="str">
        <f t="shared" si="2"/>
        <v/>
      </c>
      <c r="J55" s="7"/>
      <c r="K55" s="7"/>
      <c r="L55" s="13" t="str">
        <f t="shared" si="3"/>
        <v/>
      </c>
      <c r="M55" s="7"/>
      <c r="N55" s="7"/>
      <c r="O55" s="13" t="str">
        <f t="shared" si="4"/>
        <v/>
      </c>
      <c r="P55" s="7"/>
      <c r="Q55" s="7"/>
      <c r="R55" s="13" t="str">
        <f t="shared" si="5"/>
        <v/>
      </c>
      <c r="S55" s="7"/>
      <c r="T55" s="7"/>
      <c r="U55" s="13" t="str">
        <f t="shared" si="6"/>
        <v/>
      </c>
      <c r="V55" s="60" t="str">
        <f t="shared" si="7"/>
        <v/>
      </c>
      <c r="W55" s="7"/>
      <c r="X55" s="7"/>
      <c r="Y55" s="60" t="str">
        <f t="shared" si="8"/>
        <v/>
      </c>
      <c r="Z55" s="7"/>
      <c r="AA55" s="7"/>
      <c r="AB55" s="7" t="str">
        <f t="shared" si="20"/>
        <v/>
      </c>
      <c r="AC55" s="7"/>
      <c r="AD55" s="60" t="str">
        <f t="shared" si="10"/>
        <v/>
      </c>
      <c r="AE55" s="7"/>
      <c r="AF55" s="7"/>
      <c r="AG55" s="60" t="str">
        <f t="shared" si="11"/>
        <v/>
      </c>
      <c r="AH55" s="7"/>
      <c r="AI55" s="7"/>
      <c r="AJ55" s="60" t="str">
        <f t="shared" si="12"/>
        <v/>
      </c>
      <c r="AK55" s="7"/>
      <c r="AL55" s="7"/>
      <c r="AM55" s="60" t="str">
        <f t="shared" si="13"/>
        <v/>
      </c>
      <c r="AN55" s="7"/>
      <c r="AO55" s="7"/>
      <c r="AP55" s="60" t="str">
        <f t="shared" si="14"/>
        <v/>
      </c>
      <c r="AQ55" s="7"/>
      <c r="AR55" s="7"/>
      <c r="AS55" s="60" t="str">
        <f t="shared" si="15"/>
        <v/>
      </c>
      <c r="AT55" s="61"/>
      <c r="AU55" s="14" t="str">
        <f>IF($A55="","",6+AT55+info!$P$3)</f>
        <v/>
      </c>
      <c r="AV55" s="15" t="str">
        <f t="shared" si="18"/>
        <v/>
      </c>
      <c r="AW55" s="16" t="str">
        <f t="shared" si="21"/>
        <v/>
      </c>
      <c r="AX55" s="17" t="str">
        <f t="shared" si="19"/>
        <v/>
      </c>
      <c r="AY55" s="59" t="str">
        <f t="shared" si="22"/>
        <v/>
      </c>
    </row>
    <row r="56" spans="1:51" x14ac:dyDescent="0.25">
      <c r="A56" s="58" t="str">
        <f>IF(info!A62="","",info!A62)</f>
        <v/>
      </c>
      <c r="B56" s="58" t="str">
        <f>IF($A56="","",info!B62)</f>
        <v/>
      </c>
      <c r="C56" s="73" t="str">
        <f>IF($A56="","",info!C62)</f>
        <v/>
      </c>
      <c r="D56" s="71" t="str">
        <f>IF($A56="","",info!G62)</f>
        <v/>
      </c>
      <c r="E56" s="78" t="str">
        <f>IF($A56="","",info!D62)</f>
        <v/>
      </c>
      <c r="F56" s="35" t="str">
        <f>IF($A56="","",info!F62)</f>
        <v/>
      </c>
      <c r="G56" s="7"/>
      <c r="H56" s="7"/>
      <c r="I56" s="13" t="str">
        <f t="shared" si="2"/>
        <v/>
      </c>
      <c r="J56" s="7"/>
      <c r="K56" s="7"/>
      <c r="L56" s="13" t="str">
        <f t="shared" si="3"/>
        <v/>
      </c>
      <c r="M56" s="7"/>
      <c r="N56" s="7"/>
      <c r="O56" s="13" t="str">
        <f t="shared" si="4"/>
        <v/>
      </c>
      <c r="P56" s="7"/>
      <c r="Q56" s="7"/>
      <c r="R56" s="13" t="str">
        <f t="shared" si="5"/>
        <v/>
      </c>
      <c r="S56" s="7"/>
      <c r="T56" s="7"/>
      <c r="U56" s="13" t="str">
        <f t="shared" si="6"/>
        <v/>
      </c>
      <c r="V56" s="60" t="str">
        <f t="shared" si="7"/>
        <v/>
      </c>
      <c r="W56" s="7"/>
      <c r="X56" s="7"/>
      <c r="Y56" s="60" t="str">
        <f t="shared" si="8"/>
        <v/>
      </c>
      <c r="Z56" s="7"/>
      <c r="AA56" s="7"/>
      <c r="AB56" s="7" t="str">
        <f t="shared" si="20"/>
        <v/>
      </c>
      <c r="AC56" s="7"/>
      <c r="AD56" s="60" t="str">
        <f t="shared" si="10"/>
        <v/>
      </c>
      <c r="AE56" s="7"/>
      <c r="AF56" s="7"/>
      <c r="AG56" s="60" t="str">
        <f t="shared" si="11"/>
        <v/>
      </c>
      <c r="AH56" s="7"/>
      <c r="AI56" s="7"/>
      <c r="AJ56" s="60" t="str">
        <f t="shared" si="12"/>
        <v/>
      </c>
      <c r="AK56" s="7"/>
      <c r="AL56" s="7"/>
      <c r="AM56" s="60" t="str">
        <f t="shared" si="13"/>
        <v/>
      </c>
      <c r="AN56" s="7"/>
      <c r="AO56" s="7"/>
      <c r="AP56" s="60" t="str">
        <f t="shared" si="14"/>
        <v/>
      </c>
      <c r="AQ56" s="7"/>
      <c r="AR56" s="7"/>
      <c r="AS56" s="60" t="str">
        <f t="shared" si="15"/>
        <v/>
      </c>
      <c r="AT56" s="61"/>
      <c r="AU56" s="14" t="str">
        <f>IF($A56="","",6+AT56+info!$P$3)</f>
        <v/>
      </c>
      <c r="AV56" s="15" t="str">
        <f t="shared" si="18"/>
        <v/>
      </c>
      <c r="AW56" s="16" t="str">
        <f t="shared" si="21"/>
        <v/>
      </c>
      <c r="AX56" s="17" t="str">
        <f t="shared" si="19"/>
        <v/>
      </c>
      <c r="AY56" s="59" t="str">
        <f t="shared" si="22"/>
        <v/>
      </c>
    </row>
    <row r="57" spans="1:51" x14ac:dyDescent="0.25">
      <c r="A57" s="58" t="str">
        <f>IF(info!A63="","",info!A63)</f>
        <v/>
      </c>
      <c r="B57" s="58" t="str">
        <f>IF($A57="","",info!B63)</f>
        <v/>
      </c>
      <c r="C57" s="73" t="str">
        <f>IF($A57="","",info!C63)</f>
        <v/>
      </c>
      <c r="D57" s="71" t="str">
        <f>IF($A57="","",info!G63)</f>
        <v/>
      </c>
      <c r="E57" s="78" t="str">
        <f>IF($A57="","",info!D63)</f>
        <v/>
      </c>
      <c r="F57" s="35" t="str">
        <f>IF($A57="","",info!F63)</f>
        <v/>
      </c>
      <c r="G57" s="7"/>
      <c r="H57" s="7"/>
      <c r="I57" s="13" t="str">
        <f t="shared" si="2"/>
        <v/>
      </c>
      <c r="J57" s="7"/>
      <c r="K57" s="7"/>
      <c r="L57" s="13" t="str">
        <f t="shared" si="3"/>
        <v/>
      </c>
      <c r="M57" s="7"/>
      <c r="N57" s="7"/>
      <c r="O57" s="13" t="str">
        <f t="shared" si="4"/>
        <v/>
      </c>
      <c r="P57" s="7"/>
      <c r="Q57" s="7"/>
      <c r="R57" s="13" t="str">
        <f t="shared" si="5"/>
        <v/>
      </c>
      <c r="S57" s="7"/>
      <c r="T57" s="7"/>
      <c r="U57" s="13" t="str">
        <f t="shared" si="6"/>
        <v/>
      </c>
      <c r="V57" s="60" t="str">
        <f t="shared" si="7"/>
        <v/>
      </c>
      <c r="W57" s="7"/>
      <c r="X57" s="7"/>
      <c r="Y57" s="60" t="str">
        <f t="shared" si="8"/>
        <v/>
      </c>
      <c r="Z57" s="7"/>
      <c r="AA57" s="7"/>
      <c r="AB57" s="7" t="str">
        <f t="shared" si="20"/>
        <v/>
      </c>
      <c r="AC57" s="7"/>
      <c r="AD57" s="60" t="str">
        <f t="shared" si="10"/>
        <v/>
      </c>
      <c r="AE57" s="7"/>
      <c r="AF57" s="7"/>
      <c r="AG57" s="60" t="str">
        <f t="shared" si="11"/>
        <v/>
      </c>
      <c r="AH57" s="7"/>
      <c r="AI57" s="7"/>
      <c r="AJ57" s="60" t="str">
        <f t="shared" si="12"/>
        <v/>
      </c>
      <c r="AK57" s="7"/>
      <c r="AL57" s="7"/>
      <c r="AM57" s="60" t="str">
        <f t="shared" si="13"/>
        <v/>
      </c>
      <c r="AN57" s="7"/>
      <c r="AO57" s="7"/>
      <c r="AP57" s="60" t="str">
        <f t="shared" si="14"/>
        <v/>
      </c>
      <c r="AQ57" s="7"/>
      <c r="AR57" s="7"/>
      <c r="AS57" s="60" t="str">
        <f t="shared" si="15"/>
        <v/>
      </c>
      <c r="AT57" s="61"/>
      <c r="AU57" s="14" t="str">
        <f>IF($A57="","",6+AT57+info!$P$3)</f>
        <v/>
      </c>
      <c r="AV57" s="15" t="str">
        <f t="shared" si="18"/>
        <v/>
      </c>
      <c r="AW57" s="16" t="str">
        <f t="shared" si="21"/>
        <v/>
      </c>
      <c r="AX57" s="17" t="str">
        <f t="shared" si="19"/>
        <v/>
      </c>
      <c r="AY57" s="59" t="str">
        <f t="shared" si="22"/>
        <v/>
      </c>
    </row>
    <row r="58" spans="1:51" x14ac:dyDescent="0.25">
      <c r="A58" s="58" t="str">
        <f>IF(info!A64="","",info!A64)</f>
        <v/>
      </c>
      <c r="B58" s="58" t="str">
        <f>IF($A58="","",info!B64)</f>
        <v/>
      </c>
      <c r="C58" s="73" t="str">
        <f>IF($A58="","",info!C64)</f>
        <v/>
      </c>
      <c r="D58" s="71" t="str">
        <f>IF($A58="","",info!G64)</f>
        <v/>
      </c>
      <c r="E58" s="78" t="str">
        <f>IF($A58="","",info!D64)</f>
        <v/>
      </c>
      <c r="F58" s="35" t="str">
        <f>IF($A58="","",info!F64)</f>
        <v/>
      </c>
      <c r="G58" s="7"/>
      <c r="H58" s="7"/>
      <c r="I58" s="13" t="str">
        <f t="shared" si="2"/>
        <v/>
      </c>
      <c r="J58" s="7"/>
      <c r="K58" s="7"/>
      <c r="L58" s="13" t="str">
        <f t="shared" si="3"/>
        <v/>
      </c>
      <c r="M58" s="7"/>
      <c r="N58" s="7"/>
      <c r="O58" s="13" t="str">
        <f t="shared" si="4"/>
        <v/>
      </c>
      <c r="P58" s="7"/>
      <c r="Q58" s="7"/>
      <c r="R58" s="13" t="str">
        <f t="shared" si="5"/>
        <v/>
      </c>
      <c r="S58" s="7"/>
      <c r="T58" s="7"/>
      <c r="U58" s="13" t="str">
        <f t="shared" si="6"/>
        <v/>
      </c>
      <c r="V58" s="60" t="str">
        <f t="shared" si="7"/>
        <v/>
      </c>
      <c r="W58" s="7"/>
      <c r="X58" s="7"/>
      <c r="Y58" s="60" t="str">
        <f t="shared" si="8"/>
        <v/>
      </c>
      <c r="Z58" s="7"/>
      <c r="AA58" s="7"/>
      <c r="AB58" s="7" t="str">
        <f t="shared" si="20"/>
        <v/>
      </c>
      <c r="AC58" s="7"/>
      <c r="AD58" s="60" t="str">
        <f t="shared" si="10"/>
        <v/>
      </c>
      <c r="AE58" s="7"/>
      <c r="AF58" s="7"/>
      <c r="AG58" s="60" t="str">
        <f t="shared" si="11"/>
        <v/>
      </c>
      <c r="AH58" s="7"/>
      <c r="AI58" s="7"/>
      <c r="AJ58" s="60" t="str">
        <f t="shared" si="12"/>
        <v/>
      </c>
      <c r="AK58" s="7"/>
      <c r="AL58" s="7"/>
      <c r="AM58" s="60" t="str">
        <f t="shared" si="13"/>
        <v/>
      </c>
      <c r="AN58" s="7"/>
      <c r="AO58" s="7"/>
      <c r="AP58" s="60" t="str">
        <f t="shared" si="14"/>
        <v/>
      </c>
      <c r="AQ58" s="7"/>
      <c r="AR58" s="7"/>
      <c r="AS58" s="60" t="str">
        <f t="shared" si="15"/>
        <v/>
      </c>
      <c r="AT58" s="61"/>
      <c r="AU58" s="14" t="str">
        <f>IF($A58="","",6+AT58+info!$P$3)</f>
        <v/>
      </c>
      <c r="AV58" s="15" t="str">
        <f t="shared" si="18"/>
        <v/>
      </c>
      <c r="AW58" s="16" t="str">
        <f t="shared" si="21"/>
        <v/>
      </c>
      <c r="AX58" s="17" t="str">
        <f t="shared" si="19"/>
        <v/>
      </c>
      <c r="AY58" s="59" t="str">
        <f t="shared" si="22"/>
        <v/>
      </c>
    </row>
    <row r="59" spans="1:51" x14ac:dyDescent="0.25">
      <c r="A59" s="58" t="str">
        <f>IF(info!A65="","",info!A65)</f>
        <v/>
      </c>
      <c r="B59" s="58" t="str">
        <f>IF($A59="","",info!B65)</f>
        <v/>
      </c>
      <c r="C59" s="73" t="str">
        <f>IF($A59="","",info!C65)</f>
        <v/>
      </c>
      <c r="D59" s="71" t="str">
        <f>IF($A59="","",info!G65)</f>
        <v/>
      </c>
      <c r="E59" s="78" t="str">
        <f>IF($A59="","",info!D65)</f>
        <v/>
      </c>
      <c r="F59" s="35" t="str">
        <f>IF($A59="","",info!F65)</f>
        <v/>
      </c>
      <c r="G59" s="7"/>
      <c r="H59" s="7"/>
      <c r="I59" s="13" t="str">
        <f t="shared" si="2"/>
        <v/>
      </c>
      <c r="J59" s="7"/>
      <c r="K59" s="7"/>
      <c r="L59" s="13" t="str">
        <f t="shared" si="3"/>
        <v/>
      </c>
      <c r="M59" s="7"/>
      <c r="N59" s="7"/>
      <c r="O59" s="13" t="str">
        <f t="shared" si="4"/>
        <v/>
      </c>
      <c r="P59" s="7"/>
      <c r="Q59" s="7"/>
      <c r="R59" s="13" t="str">
        <f t="shared" si="5"/>
        <v/>
      </c>
      <c r="S59" s="7"/>
      <c r="T59" s="7"/>
      <c r="U59" s="13" t="str">
        <f t="shared" si="6"/>
        <v/>
      </c>
      <c r="V59" s="60" t="str">
        <f t="shared" si="7"/>
        <v/>
      </c>
      <c r="W59" s="7"/>
      <c r="X59" s="7"/>
      <c r="Y59" s="60" t="str">
        <f t="shared" si="8"/>
        <v/>
      </c>
      <c r="Z59" s="7"/>
      <c r="AA59" s="7"/>
      <c r="AB59" s="7" t="str">
        <f t="shared" si="20"/>
        <v/>
      </c>
      <c r="AC59" s="7"/>
      <c r="AD59" s="60" t="str">
        <f t="shared" si="10"/>
        <v/>
      </c>
      <c r="AE59" s="7"/>
      <c r="AF59" s="7"/>
      <c r="AG59" s="60" t="str">
        <f t="shared" si="11"/>
        <v/>
      </c>
      <c r="AH59" s="7"/>
      <c r="AI59" s="7"/>
      <c r="AJ59" s="60" t="str">
        <f t="shared" si="12"/>
        <v/>
      </c>
      <c r="AK59" s="7"/>
      <c r="AL59" s="7"/>
      <c r="AM59" s="60" t="str">
        <f t="shared" si="13"/>
        <v/>
      </c>
      <c r="AN59" s="7"/>
      <c r="AO59" s="7"/>
      <c r="AP59" s="60" t="str">
        <f t="shared" si="14"/>
        <v/>
      </c>
      <c r="AQ59" s="7"/>
      <c r="AR59" s="7"/>
      <c r="AS59" s="60" t="str">
        <f t="shared" si="15"/>
        <v/>
      </c>
      <c r="AT59" s="61"/>
      <c r="AU59" s="14" t="str">
        <f>IF($A59="","",6+AT59+info!$P$3)</f>
        <v/>
      </c>
      <c r="AV59" s="15" t="str">
        <f t="shared" si="18"/>
        <v/>
      </c>
      <c r="AW59" s="16" t="str">
        <f t="shared" si="21"/>
        <v/>
      </c>
      <c r="AX59" s="17" t="str">
        <f t="shared" si="19"/>
        <v/>
      </c>
      <c r="AY59" s="59" t="str">
        <f t="shared" si="22"/>
        <v/>
      </c>
    </row>
  </sheetData>
  <mergeCells count="48">
    <mergeCell ref="C1:F1"/>
    <mergeCell ref="AD1:AF1"/>
    <mergeCell ref="AG1:AI1"/>
    <mergeCell ref="C2:F2"/>
    <mergeCell ref="AD2:AF2"/>
    <mergeCell ref="AG2:AI2"/>
    <mergeCell ref="A8:A9"/>
    <mergeCell ref="B8:B9"/>
    <mergeCell ref="C8:C9"/>
    <mergeCell ref="D8:D9"/>
    <mergeCell ref="F8:F9"/>
    <mergeCell ref="E8:E9"/>
    <mergeCell ref="AT7:AT9"/>
    <mergeCell ref="AX7:AX9"/>
    <mergeCell ref="AY7:AY9"/>
    <mergeCell ref="AU7:AU9"/>
    <mergeCell ref="AV7:AV9"/>
    <mergeCell ref="AW7:AW9"/>
    <mergeCell ref="AE8:AF8"/>
    <mergeCell ref="AH8:AI8"/>
    <mergeCell ref="AQ8:AR8"/>
    <mergeCell ref="AE7:AG7"/>
    <mergeCell ref="AH7:AJ7"/>
    <mergeCell ref="AK7:AM7"/>
    <mergeCell ref="AQ7:AS7"/>
    <mergeCell ref="G7:V7"/>
    <mergeCell ref="W7:Y7"/>
    <mergeCell ref="G8:I8"/>
    <mergeCell ref="J8:L8"/>
    <mergeCell ref="S8:U8"/>
    <mergeCell ref="M8:O8"/>
    <mergeCell ref="P8:R8"/>
    <mergeCell ref="Z7:AD7"/>
    <mergeCell ref="AN7:AP7"/>
    <mergeCell ref="AK8:AL8"/>
    <mergeCell ref="AN8:AO8"/>
    <mergeCell ref="C3:F3"/>
    <mergeCell ref="AG3:AI3"/>
    <mergeCell ref="C5:F5"/>
    <mergeCell ref="C6:F6"/>
    <mergeCell ref="C4:F4"/>
    <mergeCell ref="I4:AA5"/>
    <mergeCell ref="AD3:AF3"/>
    <mergeCell ref="AD4:AF4"/>
    <mergeCell ref="AD5:AF5"/>
    <mergeCell ref="AG4:AI4"/>
    <mergeCell ref="AG5:AI5"/>
    <mergeCell ref="W8:X8"/>
  </mergeCells>
  <conditionalFormatting sqref="H11:H59 W49:X59 S13:T59 P13:Q59 M13:N59 J13:K59 Z13:Z59 AQ11:AR59 AH11:AI59 AE11:AF59 AK11:AL59 AA21:AB21">
    <cfRule type="expression" dxfId="36" priority="478">
      <formula>AND(   $B11&lt;&gt; "",  H$18 &lt;&gt; "")</formula>
    </cfRule>
  </conditionalFormatting>
  <conditionalFormatting sqref="W11:W48">
    <cfRule type="expression" dxfId="35" priority="65">
      <formula>AND(   $B11&lt;&gt; "",  W$18 &lt;&gt; "")</formula>
    </cfRule>
  </conditionalFormatting>
  <conditionalFormatting sqref="X11:X48">
    <cfRule type="expression" dxfId="34" priority="63">
      <formula>AND(   $B11&lt;&gt; "",  X$18 &lt;&gt; "")</formula>
    </cfRule>
  </conditionalFormatting>
  <conditionalFormatting sqref="S11:T12 P11:Q12 M11:N12 J11:K12">
    <cfRule type="expression" dxfId="33" priority="17">
      <formula>AND(   $B11&lt;&gt; "",  J$18 &lt;&gt; "")</formula>
    </cfRule>
  </conditionalFormatting>
  <conditionalFormatting sqref="Z11:Z12">
    <cfRule type="expression" dxfId="32" priority="16">
      <formula>AND(   $B11&lt;&gt; "",  Z$18 &lt;&gt; "")</formula>
    </cfRule>
  </conditionalFormatting>
  <conditionalFormatting sqref="AA13:AC20 AA22:AC59 AC21">
    <cfRule type="expression" dxfId="31" priority="12">
      <formula>AND(   $B13&lt;&gt; "",  AA$18 &lt;&gt; "")</formula>
    </cfRule>
  </conditionalFormatting>
  <conditionalFormatting sqref="AA11:AC12">
    <cfRule type="expression" dxfId="30" priority="11">
      <formula>AND(   $B11&lt;&gt; "",  AA$18 &lt;&gt; "")</formula>
    </cfRule>
  </conditionalFormatting>
  <conditionalFormatting sqref="AN11:AO59">
    <cfRule type="expression" dxfId="29" priority="10">
      <formula>AND(   $B11&lt;&gt; "",  AN$18 &lt;&gt; "")</formula>
    </cfRule>
  </conditionalFormatting>
  <conditionalFormatting sqref="G11:G59">
    <cfRule type="expression" dxfId="28" priority="9">
      <formula>AND(   $B11&lt;&gt; "",  G$18 &lt;&gt; "")</formula>
    </cfRule>
  </conditionalFormatting>
  <conditionalFormatting sqref="H10 AQ10:AR10 AH10:AI10 AE10:AF10 AK10:AL10">
    <cfRule type="expression" dxfId="27" priority="8">
      <formula>AND(   $B10&lt;&gt; "",  H$18 &lt;&gt; "")</formula>
    </cfRule>
  </conditionalFormatting>
  <conditionalFormatting sqref="W10">
    <cfRule type="expression" dxfId="26" priority="7">
      <formula>AND(   $B10&lt;&gt; "",  W$18 &lt;&gt; "")</formula>
    </cfRule>
  </conditionalFormatting>
  <conditionalFormatting sqref="X10">
    <cfRule type="expression" dxfId="25" priority="6">
      <formula>AND(   $B10&lt;&gt; "",  X$18 &lt;&gt; "")</formula>
    </cfRule>
  </conditionalFormatting>
  <conditionalFormatting sqref="S10:T10 P10:Q10 M10:N10 J10:K10">
    <cfRule type="expression" dxfId="24" priority="5">
      <formula>AND(   $B10&lt;&gt; "",  J$18 &lt;&gt; "")</formula>
    </cfRule>
  </conditionalFormatting>
  <conditionalFormatting sqref="Z10">
    <cfRule type="expression" dxfId="23" priority="4">
      <formula>AND(   $B10&lt;&gt; "",  Z$18 &lt;&gt; "")</formula>
    </cfRule>
  </conditionalFormatting>
  <conditionalFormatting sqref="AA10:AC10">
    <cfRule type="expression" dxfId="22" priority="3">
      <formula>AND(   $B10&lt;&gt; "",  AA$18 &lt;&gt; "")</formula>
    </cfRule>
  </conditionalFormatting>
  <conditionalFormatting sqref="AN10:AO10">
    <cfRule type="expression" dxfId="21" priority="2">
      <formula>AND(   $B10&lt;&gt; "",  AN$18 &lt;&gt; "")</formula>
    </cfRule>
  </conditionalFormatting>
  <conditionalFormatting sqref="G10">
    <cfRule type="expression" dxfId="20" priority="1">
      <formula>AND(   $B10&lt;&gt; "",  G$18 &lt;&gt; "")</formula>
    </cfRule>
  </conditionalFormatting>
  <dataValidations count="2">
    <dataValidation type="decimal" operator="lessThanOrEqual" allowBlank="1" showInputMessage="1" showErrorMessage="1" errorTitle="gazellenet" error="note non valide" sqref="AQ10:AR59 J10:K59 M10:N59 P10:Q59 S10:T59 AC10:AC59 AN10:AO59 AE10:AF59 AH10:AI59 AK10:AL59 G10:H59 Z10:AA59 AB21">
      <formula1>10</formula1>
    </dataValidation>
    <dataValidation type="whole" allowBlank="1" showInputMessage="1" showErrorMessage="1" errorTitle="gazellenet" error="معامل غير صحيح" sqref="AT10:AT59">
      <formula1>0</formula1>
      <formula2>1</formula2>
    </dataValidation>
  </dataValidations>
  <pageMargins left="0.78740157499999996" right="0.78740157499999996" top="0.984251969" bottom="0.984251969" header="0.4921259845" footer="0.4921259845"/>
  <pageSetup paperSize="9" scale="69" orientation="landscape" horizontalDpi="4294967293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O45"/>
  <sheetViews>
    <sheetView showGridLines="0" rightToLeft="1" view="pageBreakPreview" zoomScaleNormal="100" zoomScaleSheetLayoutView="100" workbookViewId="0">
      <selection activeCell="R11" sqref="R11"/>
    </sheetView>
  </sheetViews>
  <sheetFormatPr baseColWidth="10" defaultColWidth="6.42578125" defaultRowHeight="18.75" x14ac:dyDescent="0.2"/>
  <cols>
    <col min="1" max="3" width="4.42578125" style="18" customWidth="1"/>
    <col min="4" max="6" width="6.42578125" style="18"/>
    <col min="7" max="10" width="5.140625" style="18" customWidth="1"/>
    <col min="11" max="11" width="3.7109375" style="18" customWidth="1"/>
    <col min="12" max="12" width="10.85546875" style="18" customWidth="1"/>
    <col min="13" max="14" width="11.5703125" style="18" customWidth="1"/>
    <col min="15" max="16384" width="6.42578125" style="18"/>
  </cols>
  <sheetData>
    <row r="1" spans="1:15" x14ac:dyDescent="0.2">
      <c r="A1" s="138" t="str">
        <f>info!$A$1</f>
        <v>المملكة المغربية</v>
      </c>
      <c r="B1" s="138"/>
      <c r="C1" s="138"/>
      <c r="D1" s="138"/>
      <c r="E1" s="138"/>
      <c r="F1" s="138"/>
      <c r="G1"/>
      <c r="H1"/>
      <c r="I1"/>
      <c r="K1" s="135" t="s">
        <v>40</v>
      </c>
      <c r="L1" s="135"/>
      <c r="M1" s="135"/>
      <c r="N1" s="135" t="str">
        <f>IF($N$7="","",info!$M$1)</f>
        <v>2018-2017</v>
      </c>
      <c r="O1" s="135"/>
    </row>
    <row r="2" spans="1:15" x14ac:dyDescent="0.2">
      <c r="A2" s="138" t="str">
        <f>info!$A$2</f>
        <v>وزارة التربية الوطنية و التكوين المهني</v>
      </c>
      <c r="B2" s="138"/>
      <c r="C2" s="138"/>
      <c r="D2" s="138"/>
      <c r="E2" s="138"/>
      <c r="F2" s="138"/>
      <c r="G2"/>
      <c r="H2"/>
      <c r="I2"/>
      <c r="K2" s="135" t="s">
        <v>22</v>
      </c>
      <c r="L2" s="135"/>
      <c r="M2" s="135"/>
      <c r="N2" s="135" t="str">
        <f>IF($N$7="","",VLOOKUP($N$5,base1,3,0))</f>
        <v>رضوان</v>
      </c>
      <c r="O2" s="135"/>
    </row>
    <row r="3" spans="1:15" x14ac:dyDescent="0.2">
      <c r="A3" s="138" t="str">
        <f>info!$A$3</f>
        <v>الأكاديمية الجهوية للتربية والتكوين</v>
      </c>
      <c r="B3" s="138"/>
      <c r="C3" s="138"/>
      <c r="D3" s="138"/>
      <c r="E3" s="138"/>
      <c r="F3" s="138"/>
      <c r="G3"/>
      <c r="H3"/>
      <c r="I3"/>
      <c r="K3" s="135" t="s">
        <v>56</v>
      </c>
      <c r="L3" s="135"/>
      <c r="M3" s="135"/>
      <c r="N3" s="135">
        <v>7</v>
      </c>
      <c r="O3" s="135"/>
    </row>
    <row r="4" spans="1:15" x14ac:dyDescent="0.2">
      <c r="A4" s="138" t="str">
        <f>info!$A$4</f>
        <v xml:space="preserve">جهة دكالة عبدة </v>
      </c>
      <c r="B4" s="138"/>
      <c r="C4" s="138"/>
      <c r="D4" s="138"/>
      <c r="E4" s="138"/>
      <c r="F4" s="138"/>
      <c r="G4"/>
      <c r="H4"/>
      <c r="I4"/>
      <c r="K4" s="135" t="s">
        <v>6</v>
      </c>
      <c r="L4" s="135"/>
      <c r="M4" s="135"/>
      <c r="N4" s="135">
        <f>IF($N$7="","",VLOOKUP($N$5,base1,6,0))</f>
        <v>0</v>
      </c>
      <c r="O4" s="135"/>
    </row>
    <row r="5" spans="1:15" x14ac:dyDescent="0.2">
      <c r="A5" s="138" t="str">
        <f>info!$A$5</f>
        <v>نيابة المديرية</v>
      </c>
      <c r="B5" s="138"/>
      <c r="C5" s="138"/>
      <c r="D5" s="138"/>
      <c r="E5" s="138"/>
      <c r="F5" s="138"/>
      <c r="G5"/>
      <c r="H5"/>
      <c r="I5"/>
      <c r="K5" s="171" t="s">
        <v>45</v>
      </c>
      <c r="L5" s="171"/>
      <c r="M5" s="171"/>
      <c r="N5" s="171">
        <v>1</v>
      </c>
      <c r="O5" s="171"/>
    </row>
    <row r="6" spans="1:15" x14ac:dyDescent="0.2">
      <c r="A6" s="138" t="str">
        <f>info!$A$6</f>
        <v>المدرسة</v>
      </c>
      <c r="B6" s="138"/>
      <c r="C6" s="138"/>
      <c r="D6" s="138"/>
      <c r="E6" s="138"/>
      <c r="F6" s="138"/>
      <c r="G6"/>
      <c r="H6"/>
      <c r="I6"/>
      <c r="K6" s="135" t="s">
        <v>41</v>
      </c>
      <c r="L6" s="135"/>
      <c r="M6" s="135"/>
      <c r="N6" s="135" t="str">
        <f>IF($N$7="","",info!$M$3)</f>
        <v>الأول</v>
      </c>
      <c r="O6" s="135"/>
    </row>
    <row r="7" spans="1:15" x14ac:dyDescent="0.3">
      <c r="D7" s="5"/>
      <c r="F7"/>
      <c r="G7"/>
      <c r="H7"/>
      <c r="I7"/>
      <c r="K7" s="135" t="s">
        <v>7</v>
      </c>
      <c r="L7" s="135"/>
      <c r="M7" s="135"/>
      <c r="N7" s="135">
        <f>IF(info!$O$12=0,"",info!$O$12)</f>
        <v>25</v>
      </c>
      <c r="O7" s="135"/>
    </row>
    <row r="8" spans="1:15" customFormat="1" ht="10.5" customHeight="1" x14ac:dyDescent="0.2"/>
    <row r="9" spans="1:15" ht="18.75" customHeight="1" x14ac:dyDescent="0.3">
      <c r="A9" s="6"/>
      <c r="B9" s="140" t="s">
        <v>19</v>
      </c>
      <c r="C9" s="140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</row>
    <row r="10" spans="1:15" ht="18.75" customHeight="1" x14ac:dyDescent="0.3">
      <c r="A10" s="6"/>
      <c r="B10" s="140"/>
      <c r="C10" s="140"/>
      <c r="D10" s="140"/>
      <c r="E10" s="140"/>
      <c r="F10" s="140"/>
      <c r="G10" s="140"/>
      <c r="H10" s="140"/>
      <c r="I10" s="140"/>
      <c r="J10" s="140"/>
      <c r="K10" s="140"/>
      <c r="L10" s="140"/>
      <c r="M10" s="140"/>
      <c r="N10" s="140"/>
    </row>
    <row r="11" spans="1:15" customFormat="1" ht="10.5" customHeight="1" x14ac:dyDescent="0.2"/>
    <row r="12" spans="1:15" x14ac:dyDescent="0.3">
      <c r="A12" s="6"/>
      <c r="C12" s="141" t="s">
        <v>55</v>
      </c>
      <c r="D12" s="142"/>
      <c r="E12" s="142"/>
      <c r="F12" s="142"/>
      <c r="G12" s="142"/>
      <c r="H12" s="143"/>
      <c r="I12" s="135" t="str">
        <f>IF($N$7="","",info!A6)</f>
        <v>المدرسة</v>
      </c>
      <c r="J12" s="135"/>
      <c r="K12" s="135"/>
      <c r="L12" s="135"/>
      <c r="M12" s="135"/>
    </row>
    <row r="13" spans="1:15" s="3" customFormat="1" x14ac:dyDescent="0.2">
      <c r="C13" s="141" t="s">
        <v>42</v>
      </c>
      <c r="D13" s="142"/>
      <c r="E13" s="142"/>
      <c r="F13" s="142"/>
      <c r="G13" s="142"/>
      <c r="H13" s="143"/>
      <c r="I13" s="135" t="str">
        <f>IF($N$7="","",VLOOKUP($N$5,base1,3,0))</f>
        <v>رضوان</v>
      </c>
      <c r="J13" s="135"/>
      <c r="K13" s="135"/>
      <c r="L13" s="135"/>
      <c r="M13" s="135"/>
    </row>
    <row r="14" spans="1:15" customFormat="1" ht="10.5" customHeight="1" x14ac:dyDescent="0.2"/>
    <row r="15" spans="1:15" s="3" customFormat="1" ht="29.25" customHeight="1" x14ac:dyDescent="0.2">
      <c r="A15" s="4"/>
      <c r="B15" s="144" t="s">
        <v>43</v>
      </c>
      <c r="C15" s="144"/>
      <c r="D15" s="144"/>
      <c r="E15" s="144"/>
      <c r="F15" s="144"/>
      <c r="G15" s="144"/>
      <c r="H15" s="144"/>
      <c r="I15" s="144"/>
      <c r="J15" s="144"/>
      <c r="K15" s="144"/>
      <c r="L15" s="144"/>
      <c r="M15" s="144"/>
      <c r="N15" s="144"/>
    </row>
    <row r="16" spans="1:15" s="3" customFormat="1" x14ac:dyDescent="0.2">
      <c r="A16" s="4"/>
      <c r="B16" s="2"/>
      <c r="C16" s="2"/>
      <c r="D16" s="2"/>
      <c r="E16" s="2"/>
      <c r="F16" s="1"/>
      <c r="G16" s="2"/>
      <c r="H16"/>
      <c r="I16"/>
    </row>
    <row r="17" spans="1:15" x14ac:dyDescent="0.2">
      <c r="A17" s="139" t="s">
        <v>13</v>
      </c>
      <c r="B17" s="139"/>
      <c r="C17" s="139"/>
      <c r="D17" s="139" t="s">
        <v>20</v>
      </c>
      <c r="E17" s="139"/>
      <c r="F17" s="139"/>
      <c r="G17" s="163" t="s">
        <v>70</v>
      </c>
      <c r="H17" s="164"/>
      <c r="I17" s="164"/>
      <c r="J17" s="164"/>
      <c r="K17" s="164"/>
      <c r="L17" s="165"/>
      <c r="M17" s="139" t="s">
        <v>50</v>
      </c>
      <c r="N17" s="139"/>
      <c r="O17" s="139"/>
    </row>
    <row r="18" spans="1:15" x14ac:dyDescent="0.2">
      <c r="A18" s="139"/>
      <c r="B18" s="139"/>
      <c r="C18" s="139"/>
      <c r="D18" s="139"/>
      <c r="E18" s="139"/>
      <c r="F18" s="139"/>
      <c r="G18" s="145" t="s">
        <v>8</v>
      </c>
      <c r="H18" s="145"/>
      <c r="I18" s="145" t="s">
        <v>9</v>
      </c>
      <c r="J18" s="145"/>
      <c r="K18" s="27"/>
      <c r="L18" s="34" t="s">
        <v>10</v>
      </c>
      <c r="M18" s="139"/>
      <c r="N18" s="139"/>
      <c r="O18" s="139"/>
    </row>
    <row r="19" spans="1:15" x14ac:dyDescent="0.2">
      <c r="A19" s="147" t="s">
        <v>14</v>
      </c>
      <c r="B19" s="147"/>
      <c r="C19" s="147"/>
      <c r="D19" s="146" t="s">
        <v>32</v>
      </c>
      <c r="E19" s="146"/>
      <c r="F19" s="146"/>
      <c r="G19" s="135">
        <f>IF($N$7="","",VLOOKUP($N$5,base1,7,0))</f>
        <v>4</v>
      </c>
      <c r="H19" s="135"/>
      <c r="I19" s="135">
        <f>IF($N$7="","",VLOOKUP($N$5,base1,8,0))</f>
        <v>3</v>
      </c>
      <c r="J19" s="135"/>
      <c r="K19" s="27"/>
      <c r="L19" s="33">
        <f>IF($N$7="","",AVERAGE(G19:J19))</f>
        <v>3.5</v>
      </c>
      <c r="M19" s="150" t="str">
        <f>IF($L$24="","",IF(L24&lt;2,"  ضعيف جدا",IF(L24&lt;4,"ضعيف",IF(L24&lt;5,"ناقص",IF(L24&lt;6,"متوسط",IF(L24&lt;7,"لابأس به",IF(L24&lt;8,"مستحسن",IF(L24&lt;9,"حسن","حسن جدا"))))))))</f>
        <v>ضعيف</v>
      </c>
      <c r="N19" s="150"/>
      <c r="O19" s="150"/>
    </row>
    <row r="20" spans="1:15" ht="18.75" customHeight="1" x14ac:dyDescent="0.2">
      <c r="A20" s="147"/>
      <c r="B20" s="147"/>
      <c r="C20" s="147"/>
      <c r="D20" s="146" t="s">
        <v>1</v>
      </c>
      <c r="E20" s="146"/>
      <c r="F20" s="146"/>
      <c r="G20" s="135">
        <f>IF($N$7="","",VLOOKUP($N$5,base1,10,0))</f>
        <v>4</v>
      </c>
      <c r="H20" s="135"/>
      <c r="I20" s="135">
        <f>IF($N$7="","",VLOOKUP($N$5,base1,11,0))</f>
        <v>3</v>
      </c>
      <c r="J20" s="135"/>
      <c r="K20" s="27"/>
      <c r="L20" s="33">
        <f>IF($N$7="","",AVERAGE(G20:J20))</f>
        <v>3.5</v>
      </c>
      <c r="M20" s="150"/>
      <c r="N20" s="150"/>
      <c r="O20" s="150"/>
    </row>
    <row r="21" spans="1:15" x14ac:dyDescent="0.2">
      <c r="A21" s="147"/>
      <c r="B21" s="147"/>
      <c r="C21" s="147"/>
      <c r="D21" s="146" t="s">
        <v>33</v>
      </c>
      <c r="E21" s="146"/>
      <c r="F21" s="146"/>
      <c r="G21" s="135">
        <f>IF($N$7="","",VLOOKUP($N$5,base1,13,0))</f>
        <v>4</v>
      </c>
      <c r="H21" s="135"/>
      <c r="I21" s="135">
        <f>IF($N$7="","",VLOOKUP($N$5,base1,14,0))</f>
        <v>4</v>
      </c>
      <c r="J21" s="135"/>
      <c r="K21" s="27"/>
      <c r="L21" s="33">
        <f>IF($N$7="","",AVERAGE(G21:J21))</f>
        <v>4</v>
      </c>
      <c r="M21" s="150"/>
      <c r="N21" s="150"/>
      <c r="O21" s="150"/>
    </row>
    <row r="22" spans="1:15" ht="18.75" customHeight="1" x14ac:dyDescent="0.2">
      <c r="A22" s="147"/>
      <c r="B22" s="147"/>
      <c r="C22" s="147"/>
      <c r="D22" s="146" t="s">
        <v>0</v>
      </c>
      <c r="E22" s="146"/>
      <c r="F22" s="146"/>
      <c r="G22" s="135">
        <f>IF($N$7="","",VLOOKUP($N$5,base1,16,0))</f>
        <v>4</v>
      </c>
      <c r="H22" s="135"/>
      <c r="I22" s="135">
        <f>IF($N$7="","",VLOOKUP($N$5,base1,17,0))</f>
        <v>3</v>
      </c>
      <c r="J22" s="135"/>
      <c r="K22" s="27"/>
      <c r="L22" s="33">
        <f>IF($N$7="","",AVERAGE(G22:J22))</f>
        <v>3.5</v>
      </c>
      <c r="M22" s="150"/>
      <c r="N22" s="150"/>
      <c r="O22" s="150"/>
    </row>
    <row r="23" spans="1:15" x14ac:dyDescent="0.2">
      <c r="A23" s="147"/>
      <c r="B23" s="147"/>
      <c r="C23" s="147"/>
      <c r="D23" s="146" t="s">
        <v>37</v>
      </c>
      <c r="E23" s="146"/>
      <c r="F23" s="146"/>
      <c r="G23" s="135">
        <f>IF($N$7="","",VLOOKUP($N$5,base1,19,0))</f>
        <v>4</v>
      </c>
      <c r="H23" s="135"/>
      <c r="I23" s="135">
        <f>IF($N$7="","",VLOOKUP($N$5,base1,20,0))</f>
        <v>4</v>
      </c>
      <c r="J23" s="135"/>
      <c r="K23" s="27"/>
      <c r="L23" s="33">
        <f>IF($N$7="","",AVERAGE(G23:J23))</f>
        <v>4</v>
      </c>
      <c r="M23" s="150"/>
      <c r="N23" s="150"/>
      <c r="O23" s="150"/>
    </row>
    <row r="24" spans="1:15" x14ac:dyDescent="0.2">
      <c r="A24" s="147"/>
      <c r="B24" s="147"/>
      <c r="C24" s="147"/>
      <c r="D24" s="151" t="s">
        <v>5</v>
      </c>
      <c r="E24" s="151"/>
      <c r="F24" s="151"/>
      <c r="G24" s="25"/>
      <c r="H24" s="26"/>
      <c r="I24" s="24"/>
      <c r="J24" s="26"/>
      <c r="K24" s="26"/>
      <c r="L24" s="84">
        <f>IF($N$7="","",AVERAGE(L19:L23))</f>
        <v>3.7</v>
      </c>
      <c r="M24" s="150"/>
      <c r="N24" s="150"/>
      <c r="O24" s="150"/>
    </row>
    <row r="25" spans="1:15" ht="18.75" customHeight="1" x14ac:dyDescent="0.2">
      <c r="A25" s="148" t="s">
        <v>54</v>
      </c>
      <c r="B25" s="148"/>
      <c r="C25" s="148"/>
      <c r="D25" s="146" t="s">
        <v>52</v>
      </c>
      <c r="E25" s="146"/>
      <c r="F25" s="146"/>
      <c r="G25" s="135" t="str">
        <f>IF($N$7="","",IF(VLOOKUP($N$5,base1,23,0)="","",VLOOKUP($N$5,base1,23,0)))</f>
        <v/>
      </c>
      <c r="H25" s="135"/>
      <c r="I25" s="135" t="str">
        <f>IF($N$7="","",IF(VLOOKUP($N$5,base1,24,0)="","",VLOOKUP($N$5,base1,24,0)))</f>
        <v/>
      </c>
      <c r="J25" s="135"/>
      <c r="K25" s="28"/>
      <c r="L25" s="33" t="str">
        <f>IF(OR($N$7="",G25="",I25=""),"",AVERAGE(D25:I25))</f>
        <v/>
      </c>
      <c r="M25" s="150" t="str">
        <f>IF($N$7="","",IF(L26="","الأمازيغية غير معممة",IF(L26&lt;2,"ضعيف",IF(AND(L26&gt;=2,L26&lt;=3),"دون المستوى",IF(AND(L26&gt;3,L26&lt;5),"متوسط",IF(AND(L26&gt;=5,L26&lt;7),"لابأس به",IF(AND(L26&gt;=7,L26&lt;8),"مستحسن",IF(AND(L26&gt;=8,L26&lt;=10),"ممتاز"))))))))</f>
        <v>الأمازيغية غير معممة</v>
      </c>
      <c r="N25" s="150"/>
      <c r="O25" s="150"/>
    </row>
    <row r="26" spans="1:15" x14ac:dyDescent="0.2">
      <c r="A26" s="149" t="s">
        <v>52</v>
      </c>
      <c r="B26" s="149"/>
      <c r="C26" s="149"/>
      <c r="D26" s="151" t="s">
        <v>5</v>
      </c>
      <c r="E26" s="151"/>
      <c r="F26" s="151"/>
      <c r="G26" s="25"/>
      <c r="H26" s="26"/>
      <c r="I26" s="24"/>
      <c r="J26" s="26"/>
      <c r="K26" s="26"/>
      <c r="L26" s="84" t="str">
        <f>IF($N$7="","",L25)</f>
        <v/>
      </c>
      <c r="M26" s="150"/>
      <c r="N26" s="150"/>
      <c r="O26" s="150"/>
    </row>
    <row r="27" spans="1:15" ht="18.75" customHeight="1" x14ac:dyDescent="0.2">
      <c r="A27" s="136" t="s">
        <v>48</v>
      </c>
      <c r="B27" s="136"/>
      <c r="C27" s="136"/>
      <c r="D27" s="146" t="s">
        <v>153</v>
      </c>
      <c r="E27" s="146"/>
      <c r="F27" s="146"/>
      <c r="G27" s="141">
        <f>IF($N$7="","",VLOOKUP($N$5,base1,26,0))</f>
        <v>4</v>
      </c>
      <c r="H27" s="142"/>
      <c r="I27" s="142">
        <f>VLOOKUP($N$5,base1,29,0)</f>
        <v>4</v>
      </c>
      <c r="J27" s="143"/>
      <c r="K27" s="29"/>
      <c r="L27" s="33">
        <f>IF($N$7="","",G27)</f>
        <v>4</v>
      </c>
      <c r="M27" s="150" t="str">
        <f>IF($L$31="","",IF(L31&lt;2,"  ضعيف جدا",IF(L31&lt;4,"ضعيف",IF(L31&lt;5,"ناقص",IF(L31&lt;6,"متوسط",IF(L31&lt;7,"لابأس به",IF(L31&lt;8,"مستحسن",IF(L31&lt;9,"حسن","حسن جدا"))))))))</f>
        <v>ضعيف</v>
      </c>
      <c r="N27" s="150"/>
      <c r="O27" s="150"/>
    </row>
    <row r="28" spans="1:15" ht="18.75" customHeight="1" x14ac:dyDescent="0.2">
      <c r="A28" s="137"/>
      <c r="B28" s="137"/>
      <c r="C28" s="137"/>
      <c r="D28" s="146" t="s">
        <v>154</v>
      </c>
      <c r="E28" s="146"/>
      <c r="F28" s="146"/>
      <c r="G28" s="141">
        <f>IF($N$7="","",VLOOKUP($N$5,base1,27,0))</f>
        <v>3</v>
      </c>
      <c r="H28" s="142"/>
      <c r="I28" s="142">
        <f>VLOOKUP($N$5,base1,29,0)</f>
        <v>4</v>
      </c>
      <c r="J28" s="143"/>
      <c r="K28" s="27"/>
      <c r="L28" s="33">
        <f>IF($N$7="","",G28)</f>
        <v>3</v>
      </c>
      <c r="M28" s="150"/>
      <c r="N28" s="150"/>
      <c r="O28" s="150"/>
    </row>
    <row r="29" spans="1:15" ht="18.75" customHeight="1" x14ac:dyDescent="0.2">
      <c r="A29" s="137" t="s">
        <v>49</v>
      </c>
      <c r="B29" s="137"/>
      <c r="C29" s="137"/>
      <c r="D29" s="146" t="s">
        <v>155</v>
      </c>
      <c r="E29" s="146"/>
      <c r="F29" s="146"/>
      <c r="G29" s="141">
        <f>IF($N$7="","",VLOOKUP($N$5,base1,28,0))</f>
        <v>3.5</v>
      </c>
      <c r="H29" s="142"/>
      <c r="I29" s="142">
        <f>VLOOKUP($N$5,base1,32,0)</f>
        <v>4</v>
      </c>
      <c r="J29" s="143"/>
      <c r="K29" s="30"/>
      <c r="L29" s="33">
        <f>IF($N$7="","",G29)</f>
        <v>3.5</v>
      </c>
      <c r="M29" s="150"/>
      <c r="N29" s="150"/>
      <c r="O29" s="150"/>
    </row>
    <row r="30" spans="1:15" ht="18.75" customHeight="1" x14ac:dyDescent="0.2">
      <c r="A30" s="137"/>
      <c r="B30" s="137"/>
      <c r="C30" s="137"/>
      <c r="D30" s="159" t="s">
        <v>149</v>
      </c>
      <c r="E30" s="160"/>
      <c r="F30" s="161"/>
      <c r="G30" s="141">
        <f>IF($N$7="","",VLOOKUP($N$5,base1,29,0))</f>
        <v>4</v>
      </c>
      <c r="H30" s="142"/>
      <c r="I30" s="142">
        <f>VLOOKUP($N$5,base1,32,0)</f>
        <v>4</v>
      </c>
      <c r="J30" s="143"/>
      <c r="K30" s="83"/>
      <c r="L30" s="33">
        <f>IF($N$7="","",G30)</f>
        <v>4</v>
      </c>
      <c r="M30" s="150"/>
      <c r="N30" s="150"/>
      <c r="O30" s="150"/>
    </row>
    <row r="31" spans="1:15" x14ac:dyDescent="0.2">
      <c r="A31" s="158"/>
      <c r="B31" s="158"/>
      <c r="C31" s="158"/>
      <c r="D31" s="151" t="s">
        <v>5</v>
      </c>
      <c r="E31" s="151"/>
      <c r="F31" s="151"/>
      <c r="G31" s="25"/>
      <c r="H31" s="26"/>
      <c r="I31" s="24"/>
      <c r="J31" s="26"/>
      <c r="K31" s="26"/>
      <c r="L31" s="84">
        <f>IF($N$7="","",AVERAGE(L27:L30))</f>
        <v>3.625</v>
      </c>
      <c r="M31" s="150"/>
      <c r="N31" s="150"/>
      <c r="O31" s="150"/>
    </row>
    <row r="32" spans="1:15" ht="18.75" customHeight="1" x14ac:dyDescent="0.2">
      <c r="A32" s="148" t="s">
        <v>15</v>
      </c>
      <c r="B32" s="148"/>
      <c r="C32" s="148"/>
      <c r="D32" s="146" t="s">
        <v>2</v>
      </c>
      <c r="E32" s="146"/>
      <c r="F32" s="146"/>
      <c r="G32" s="135">
        <f>IF($N$7="","",VLOOKUP($N$5,base1,31,0))</f>
        <v>4</v>
      </c>
      <c r="H32" s="135"/>
      <c r="I32" s="135">
        <f>IF($N$7="","",VLOOKUP($N$5,base1,32,0))</f>
        <v>4</v>
      </c>
      <c r="J32" s="135"/>
      <c r="K32" s="31"/>
      <c r="L32" s="33">
        <f>IF(OR($N$7="",G32="",I32=""),"",AVERAGE(D32:I32))</f>
        <v>4</v>
      </c>
      <c r="M32" s="150" t="str">
        <f>IF($L$33="","",IF(L33&lt;2,"  ضعيف جدا",IF(L33&lt;4,"ضعيف",IF(L33&lt;5,"ناقص",IF(L33&lt;6,"متوسط",IF(L33&lt;7,"لابأس به",IF(L33&lt;8,"مستحسن",IF(L33&lt;9,"حسن","حسن جدا"))))))))</f>
        <v>ناقص</v>
      </c>
      <c r="N32" s="150"/>
      <c r="O32" s="150"/>
    </row>
    <row r="33" spans="1:15" x14ac:dyDescent="0.2">
      <c r="A33" s="149" t="s">
        <v>16</v>
      </c>
      <c r="B33" s="149"/>
      <c r="C33" s="149"/>
      <c r="D33" s="151" t="s">
        <v>5</v>
      </c>
      <c r="E33" s="151"/>
      <c r="F33" s="151"/>
      <c r="G33" s="25"/>
      <c r="H33" s="26"/>
      <c r="I33" s="24"/>
      <c r="J33" s="26"/>
      <c r="K33" s="26"/>
      <c r="L33" s="84">
        <f>IF($N$7="","",L32)</f>
        <v>4</v>
      </c>
      <c r="M33" s="150"/>
      <c r="N33" s="150"/>
      <c r="O33" s="150"/>
    </row>
    <row r="34" spans="1:15" ht="18.75" customHeight="1" x14ac:dyDescent="0.2">
      <c r="A34" s="136" t="s">
        <v>17</v>
      </c>
      <c r="B34" s="136"/>
      <c r="C34" s="136"/>
      <c r="D34" s="146" t="s">
        <v>3</v>
      </c>
      <c r="E34" s="146"/>
      <c r="F34" s="146"/>
      <c r="G34" s="135">
        <f>IF($N$7="","",VLOOKUP($N$5,base1,34,0))</f>
        <v>4</v>
      </c>
      <c r="H34" s="135"/>
      <c r="I34" s="135">
        <f>IF($N$7="","",VLOOKUP($N$5,base1,35,0))</f>
        <v>6.5</v>
      </c>
      <c r="J34" s="135"/>
      <c r="K34" s="28"/>
      <c r="L34" s="33">
        <f>IF(OR($N$7="",G34="",I34=""),"",AVERAGE(D34:I34))</f>
        <v>5.25</v>
      </c>
      <c r="M34" s="150" t="str">
        <f>IF($L$35="","",IF(L35&lt;2,"  ضعيف جدا",IF(L35&lt;4,"ضعيف",IF(L35&lt;5,"ناقص",IF(L35&lt;6,"متوسط",IF(L35&lt;7,"لابأس به",IF(L35&lt;8,"مستحسن",IF(L35&lt;9,"حسن","حسن جدا"))))))))</f>
        <v>متوسط</v>
      </c>
      <c r="N34" s="150"/>
      <c r="O34" s="150"/>
    </row>
    <row r="35" spans="1:15" x14ac:dyDescent="0.2">
      <c r="A35" s="158" t="s">
        <v>18</v>
      </c>
      <c r="B35" s="158"/>
      <c r="C35" s="158"/>
      <c r="D35" s="151" t="s">
        <v>5</v>
      </c>
      <c r="E35" s="151"/>
      <c r="F35" s="151"/>
      <c r="G35" s="25"/>
      <c r="H35" s="26"/>
      <c r="I35" s="24"/>
      <c r="J35" s="26"/>
      <c r="K35" s="26"/>
      <c r="L35" s="84">
        <f>IF($N$7="","",L34)</f>
        <v>5.25</v>
      </c>
      <c r="M35" s="150"/>
      <c r="N35" s="150"/>
      <c r="O35" s="150"/>
    </row>
    <row r="36" spans="1:15" ht="18.75" customHeight="1" x14ac:dyDescent="0.2">
      <c r="A36" s="174" t="s">
        <v>4</v>
      </c>
      <c r="B36" s="175"/>
      <c r="C36" s="176"/>
      <c r="D36" s="146" t="s">
        <v>4</v>
      </c>
      <c r="E36" s="146"/>
      <c r="F36" s="146"/>
      <c r="G36" s="135">
        <f>IF($N$7="","",VLOOKUP($N$5,base1,37,0))</f>
        <v>3</v>
      </c>
      <c r="H36" s="135"/>
      <c r="I36" s="135">
        <f>IF($N$7="","",VLOOKUP($N$5,base1,38,0))</f>
        <v>3.5</v>
      </c>
      <c r="J36" s="135"/>
      <c r="K36" s="28"/>
      <c r="L36" s="33">
        <f>IF(OR($N$7="",G36="",I36=""),"",AVERAGE(D36:I36))</f>
        <v>3.25</v>
      </c>
      <c r="M36" s="150" t="str">
        <f>IF($N$7="","",IF(L37&lt;2,"ضعيف",IF(AND(L37&gt;=2,L37&lt;=3),"دون المستوى",IF(AND(L37&gt;3,L37&lt;5),"متوسط",IF(AND(L37&gt;=5,L37&lt;7),"لابأس به",IF(AND(L37&gt;=7,L37&lt;8),"مستحسن",IF(AND(L37&gt;=8,L37&lt;=10),"ممتاز")))))))</f>
        <v>متوسط</v>
      </c>
      <c r="N36" s="150"/>
      <c r="O36" s="150"/>
    </row>
    <row r="37" spans="1:15" x14ac:dyDescent="0.2">
      <c r="A37" s="177"/>
      <c r="B37" s="178"/>
      <c r="C37" s="179"/>
      <c r="D37" s="151" t="s">
        <v>5</v>
      </c>
      <c r="E37" s="151"/>
      <c r="F37" s="151"/>
      <c r="G37" s="25"/>
      <c r="H37" s="26"/>
      <c r="I37" s="24"/>
      <c r="J37" s="26"/>
      <c r="K37" s="26"/>
      <c r="L37" s="84">
        <f>IF($N$7="","",L36)</f>
        <v>3.25</v>
      </c>
      <c r="M37" s="150"/>
      <c r="N37" s="150"/>
      <c r="O37" s="150"/>
    </row>
    <row r="38" spans="1:15" ht="18.75" customHeight="1" x14ac:dyDescent="0.2">
      <c r="A38" s="152" t="s">
        <v>152</v>
      </c>
      <c r="B38" s="153"/>
      <c r="C38" s="154"/>
      <c r="D38" s="146" t="s">
        <v>152</v>
      </c>
      <c r="E38" s="146"/>
      <c r="F38" s="146"/>
      <c r="G38" s="135">
        <f>IF($N$7="","",IF(VLOOKUP($N$5,base1,40,0)="","",VLOOKUP($N$5,base1,40,0)))</f>
        <v>4</v>
      </c>
      <c r="H38" s="135"/>
      <c r="I38" s="135">
        <f>IF($N$7="","",IF(VLOOKUP($N$5,base1,41,0)="","",VLOOKUP($N$5,base1,41,0)))</f>
        <v>3.5</v>
      </c>
      <c r="J38" s="135"/>
      <c r="K38" s="32"/>
      <c r="L38" s="33">
        <f>IF(OR($N$7="",G38="",I38=""),"",AVERAGE(D38:I38))</f>
        <v>3.75</v>
      </c>
      <c r="M38" s="150" t="str">
        <f>IF($N$7="","",IF(L39&lt;2,"ضعيف",IF(AND(L39&gt;=2,L39&lt;=3),"دون المستوى",IF(AND(L39&gt;3,L39&lt;5),"متوسط",IF(AND(L39&gt;=5,L39&lt;7),"لابأس به",IF(AND(L39&gt;=7,L39&lt;8),"مستحسن",IF(AND(L39&gt;=8,L39&lt;=10),"ممتاز")))))))</f>
        <v>متوسط</v>
      </c>
      <c r="N38" s="150"/>
      <c r="O38" s="150"/>
    </row>
    <row r="39" spans="1:15" x14ac:dyDescent="0.2">
      <c r="A39" s="155"/>
      <c r="B39" s="156"/>
      <c r="C39" s="157"/>
      <c r="D39" s="151" t="s">
        <v>5</v>
      </c>
      <c r="E39" s="151"/>
      <c r="F39" s="151"/>
      <c r="G39" s="25"/>
      <c r="H39" s="26"/>
      <c r="I39" s="24"/>
      <c r="J39" s="26"/>
      <c r="K39" s="26"/>
      <c r="L39" s="84">
        <f>IF($N$7="","",L38)</f>
        <v>3.75</v>
      </c>
      <c r="M39" s="150"/>
      <c r="N39" s="150"/>
      <c r="O39" s="150"/>
    </row>
    <row r="40" spans="1:15" ht="18.75" customHeight="1" x14ac:dyDescent="0.2">
      <c r="A40" s="174" t="s">
        <v>17</v>
      </c>
      <c r="B40" s="175"/>
      <c r="C40" s="176"/>
      <c r="D40" s="146" t="s">
        <v>27</v>
      </c>
      <c r="E40" s="146"/>
      <c r="F40" s="146"/>
      <c r="G40" s="135">
        <f>IF($N$7="","",IF(VLOOKUP($N$5,base1,43,0)="","",VLOOKUP($N$5,base1,43,0)))</f>
        <v>5.5</v>
      </c>
      <c r="H40" s="135"/>
      <c r="I40" s="135">
        <f>IF($N$7="","",IF(VLOOKUP($N$5,base1,44,0)="","",VLOOKUP($N$5,base1,44,0)))</f>
        <v>6.5</v>
      </c>
      <c r="J40" s="135"/>
      <c r="K40" s="32"/>
      <c r="L40" s="33">
        <f>IF(OR($N$7="",G40="",I40=""),"",AVERAGE(D40:I40))</f>
        <v>6</v>
      </c>
      <c r="M40" s="150" t="str">
        <f>IF($N$7="","",IF(L41="","معفى من التربية البدنية",IF(L41&lt;2,"ضعيف",IF(AND(L41&gt;=2,L41&lt;=3),"دون المستوى",IF(AND(L41&gt;3,L41&lt;5),"متوسط",IF(AND(L41&gt;=5,L41&lt;7),"لابأس به",IF(AND(L41&gt;=7,L41&lt;8),"مستحسن",IF(AND(L41&gt;=8,L41&lt;=10),"ممتاز"))))))))</f>
        <v>لابأس به</v>
      </c>
      <c r="N40" s="150"/>
      <c r="O40" s="150"/>
    </row>
    <row r="41" spans="1:15" x14ac:dyDescent="0.2">
      <c r="A41" s="177" t="s">
        <v>28</v>
      </c>
      <c r="B41" s="178"/>
      <c r="C41" s="179"/>
      <c r="D41" s="151" t="s">
        <v>5</v>
      </c>
      <c r="E41" s="151"/>
      <c r="F41" s="151"/>
      <c r="G41" s="25"/>
      <c r="H41" s="26"/>
      <c r="I41" s="24"/>
      <c r="J41" s="26"/>
      <c r="K41" s="26"/>
      <c r="L41" s="84">
        <f>IF($N$7="","",L40)</f>
        <v>6</v>
      </c>
      <c r="M41" s="150"/>
      <c r="N41" s="150"/>
      <c r="O41" s="150"/>
    </row>
    <row r="42" spans="1:15" customFormat="1" ht="10.5" customHeight="1" x14ac:dyDescent="0.2"/>
    <row r="43" spans="1:15" x14ac:dyDescent="0.2">
      <c r="A43" s="172" t="s">
        <v>11</v>
      </c>
      <c r="B43" s="172"/>
      <c r="C43" s="172"/>
      <c r="D43" s="172"/>
      <c r="E43" s="167">
        <f>IF($N$7="","",VLOOKUP($N$5,base1,48,0))</f>
        <v>25.824999999999999</v>
      </c>
      <c r="F43" s="167"/>
      <c r="H43" s="166" t="s">
        <v>47</v>
      </c>
      <c r="I43" s="166"/>
      <c r="J43" s="166"/>
      <c r="L43" s="139" t="s">
        <v>51</v>
      </c>
      <c r="M43" s="139"/>
      <c r="N43" s="139"/>
      <c r="O43" s="139"/>
    </row>
    <row r="44" spans="1:15" x14ac:dyDescent="0.2">
      <c r="A44" s="173" t="s">
        <v>46</v>
      </c>
      <c r="B44" s="173"/>
      <c r="C44" s="173"/>
      <c r="D44" s="173"/>
      <c r="E44" s="168">
        <f>IF($N$7="","",VLOOKUP($N$5,base1,49,0))</f>
        <v>3.6892857142857141</v>
      </c>
      <c r="F44" s="169"/>
      <c r="H44" s="166" t="str">
        <f>IF($N$7="","",VLOOKUP($N$5,base1,51,0))</f>
        <v>ناقص</v>
      </c>
      <c r="I44" s="166"/>
      <c r="J44" s="166"/>
      <c r="L44" s="150"/>
      <c r="M44" s="150"/>
      <c r="N44" s="150"/>
      <c r="O44" s="150"/>
    </row>
    <row r="45" spans="1:15" x14ac:dyDescent="0.3">
      <c r="A45" s="162" t="s">
        <v>12</v>
      </c>
      <c r="B45" s="162"/>
      <c r="C45" s="162"/>
      <c r="D45" s="162"/>
      <c r="E45" s="170">
        <f>IF($N$7="","",VLOOKUP($N$5,base1,50,0))</f>
        <v>23</v>
      </c>
      <c r="F45" s="170"/>
      <c r="H45" s="166"/>
      <c r="I45" s="166"/>
      <c r="J45" s="166"/>
      <c r="L45" s="150"/>
      <c r="M45" s="150"/>
      <c r="N45" s="150"/>
      <c r="O45" s="150"/>
    </row>
  </sheetData>
  <mergeCells count="112">
    <mergeCell ref="A43:D43"/>
    <mergeCell ref="A44:D44"/>
    <mergeCell ref="I22:J22"/>
    <mergeCell ref="G23:H23"/>
    <mergeCell ref="I23:J23"/>
    <mergeCell ref="D40:F40"/>
    <mergeCell ref="D26:F26"/>
    <mergeCell ref="D31:F31"/>
    <mergeCell ref="D33:F33"/>
    <mergeCell ref="D35:F35"/>
    <mergeCell ref="D37:F37"/>
    <mergeCell ref="A36:C37"/>
    <mergeCell ref="A40:C40"/>
    <mergeCell ref="G32:H32"/>
    <mergeCell ref="I32:J32"/>
    <mergeCell ref="A41:C41"/>
    <mergeCell ref="D23:F23"/>
    <mergeCell ref="D24:F24"/>
    <mergeCell ref="D25:F25"/>
    <mergeCell ref="D27:F27"/>
    <mergeCell ref="D28:F28"/>
    <mergeCell ref="D29:F29"/>
    <mergeCell ref="I40:J40"/>
    <mergeCell ref="D41:F41"/>
    <mergeCell ref="K3:M3"/>
    <mergeCell ref="N3:O3"/>
    <mergeCell ref="K1:M1"/>
    <mergeCell ref="K4:M4"/>
    <mergeCell ref="G36:H36"/>
    <mergeCell ref="I36:J36"/>
    <mergeCell ref="I34:J34"/>
    <mergeCell ref="G25:H25"/>
    <mergeCell ref="I25:J25"/>
    <mergeCell ref="N1:O1"/>
    <mergeCell ref="G20:H20"/>
    <mergeCell ref="I20:J20"/>
    <mergeCell ref="G21:H21"/>
    <mergeCell ref="I18:J18"/>
    <mergeCell ref="N4:O4"/>
    <mergeCell ref="K5:M5"/>
    <mergeCell ref="N5:O5"/>
    <mergeCell ref="K6:M6"/>
    <mergeCell ref="G34:H34"/>
    <mergeCell ref="N6:O6"/>
    <mergeCell ref="I21:J21"/>
    <mergeCell ref="G22:H22"/>
    <mergeCell ref="G27:J27"/>
    <mergeCell ref="G29:J29"/>
    <mergeCell ref="G40:H40"/>
    <mergeCell ref="D17:F18"/>
    <mergeCell ref="D20:F20"/>
    <mergeCell ref="D21:F21"/>
    <mergeCell ref="D22:F22"/>
    <mergeCell ref="A45:D45"/>
    <mergeCell ref="M17:O18"/>
    <mergeCell ref="M19:O24"/>
    <mergeCell ref="M25:O26"/>
    <mergeCell ref="M27:O31"/>
    <mergeCell ref="M32:O33"/>
    <mergeCell ref="M34:O35"/>
    <mergeCell ref="M36:O37"/>
    <mergeCell ref="M40:O41"/>
    <mergeCell ref="L43:O43"/>
    <mergeCell ref="L44:O45"/>
    <mergeCell ref="G17:L17"/>
    <mergeCell ref="H43:J43"/>
    <mergeCell ref="H44:J45"/>
    <mergeCell ref="E43:F43"/>
    <mergeCell ref="E44:F44"/>
    <mergeCell ref="E45:F45"/>
    <mergeCell ref="G19:H19"/>
    <mergeCell ref="I19:J19"/>
    <mergeCell ref="G30:J30"/>
    <mergeCell ref="D38:F38"/>
    <mergeCell ref="G38:H38"/>
    <mergeCell ref="I38:J38"/>
    <mergeCell ref="M38:O39"/>
    <mergeCell ref="D39:F39"/>
    <mergeCell ref="A38:C39"/>
    <mergeCell ref="D36:F36"/>
    <mergeCell ref="A29:C31"/>
    <mergeCell ref="A32:C32"/>
    <mergeCell ref="A33:C33"/>
    <mergeCell ref="A34:C34"/>
    <mergeCell ref="A35:C35"/>
    <mergeCell ref="D30:F30"/>
    <mergeCell ref="D32:F32"/>
    <mergeCell ref="D34:F34"/>
    <mergeCell ref="K2:M2"/>
    <mergeCell ref="A27:C28"/>
    <mergeCell ref="A1:F1"/>
    <mergeCell ref="A2:F2"/>
    <mergeCell ref="A3:F3"/>
    <mergeCell ref="A4:F4"/>
    <mergeCell ref="A17:C18"/>
    <mergeCell ref="A5:F5"/>
    <mergeCell ref="A6:F6"/>
    <mergeCell ref="B9:N10"/>
    <mergeCell ref="I12:M12"/>
    <mergeCell ref="I13:M13"/>
    <mergeCell ref="C12:H12"/>
    <mergeCell ref="N7:O7"/>
    <mergeCell ref="C13:H13"/>
    <mergeCell ref="B15:N15"/>
    <mergeCell ref="K7:M7"/>
    <mergeCell ref="G18:H18"/>
    <mergeCell ref="G28:J28"/>
    <mergeCell ref="D19:F19"/>
    <mergeCell ref="A19:C24"/>
    <mergeCell ref="A25:C25"/>
    <mergeCell ref="A26:C26"/>
    <mergeCell ref="N2:O2"/>
  </mergeCells>
  <printOptions horizontalCentered="1" verticalCentered="1"/>
  <pageMargins left="0" right="0" top="0" bottom="0" header="0" footer="0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1:BG64"/>
  <sheetViews>
    <sheetView rightToLeft="1" zoomScale="90" zoomScaleNormal="90" workbookViewId="0">
      <selection activeCell="B10" sqref="B10"/>
    </sheetView>
  </sheetViews>
  <sheetFormatPr baseColWidth="10" defaultColWidth="9.140625" defaultRowHeight="15.75" x14ac:dyDescent="0.2"/>
  <cols>
    <col min="1" max="1" width="4.28515625" style="9" bestFit="1" customWidth="1"/>
    <col min="2" max="2" width="14.5703125" style="9" bestFit="1" customWidth="1"/>
    <col min="3" max="3" width="18.5703125" style="12" customWidth="1"/>
    <col min="4" max="4" width="14.28515625" style="72" customWidth="1"/>
    <col min="5" max="5" width="3.7109375" style="79" customWidth="1"/>
    <col min="6" max="6" width="8.7109375" style="12" bestFit="1" customWidth="1"/>
    <col min="7" max="45" width="6.7109375" style="9" customWidth="1"/>
    <col min="46" max="46" width="6" style="9" customWidth="1"/>
    <col min="47" max="47" width="7.5703125" style="9" bestFit="1" customWidth="1"/>
    <col min="48" max="50" width="9.140625" style="9"/>
    <col min="51" max="51" width="10.85546875" style="9" bestFit="1" customWidth="1"/>
    <col min="52" max="52" width="8.140625" style="9" bestFit="1" customWidth="1"/>
    <col min="53" max="53" width="8.140625" style="9" customWidth="1"/>
    <col min="54" max="54" width="6.7109375" style="9" customWidth="1"/>
    <col min="55" max="57" width="9.140625" style="9"/>
    <col min="58" max="58" width="11" style="9" customWidth="1"/>
    <col min="59" max="16384" width="9.140625" style="9"/>
  </cols>
  <sheetData>
    <row r="1" spans="1:59" x14ac:dyDescent="0.2">
      <c r="C1" s="112" t="str">
        <f>info!$A$1</f>
        <v>المملكة المغربية</v>
      </c>
      <c r="D1" s="112"/>
      <c r="E1" s="112"/>
      <c r="F1" s="112"/>
      <c r="AD1" s="116" t="s">
        <v>158</v>
      </c>
      <c r="AE1" s="116"/>
      <c r="AF1" s="116"/>
      <c r="AG1" s="113" t="str">
        <f>info!M1</f>
        <v>2018-2017</v>
      </c>
      <c r="AH1" s="113"/>
      <c r="AI1" s="113"/>
    </row>
    <row r="2" spans="1:59" x14ac:dyDescent="0.2">
      <c r="C2" s="112" t="str">
        <f>info!$A$2</f>
        <v>وزارة التربية الوطنية و التكوين المهني</v>
      </c>
      <c r="D2" s="112"/>
      <c r="E2" s="112"/>
      <c r="F2" s="112"/>
      <c r="AD2" s="116" t="s">
        <v>159</v>
      </c>
      <c r="AE2" s="116"/>
      <c r="AF2" s="116"/>
      <c r="AG2" s="113" t="str">
        <f>info!$M$2</f>
        <v xml:space="preserve">هشام </v>
      </c>
      <c r="AH2" s="113"/>
      <c r="AI2" s="113"/>
    </row>
    <row r="3" spans="1:59" x14ac:dyDescent="0.2">
      <c r="C3" s="112" t="str">
        <f>info!$A$3</f>
        <v>الأكاديمية الجهوية للتربية والتكوين</v>
      </c>
      <c r="D3" s="112"/>
      <c r="E3" s="112"/>
      <c r="F3" s="112"/>
      <c r="AD3" s="116" t="s">
        <v>64</v>
      </c>
      <c r="AE3" s="116"/>
      <c r="AF3" s="116"/>
      <c r="AG3" s="113" t="str">
        <f>info!$M$3</f>
        <v>الأول</v>
      </c>
      <c r="AH3" s="113"/>
      <c r="AI3" s="113"/>
    </row>
    <row r="4" spans="1:59" ht="15.75" customHeight="1" x14ac:dyDescent="0.2">
      <c r="C4" s="112" t="str">
        <f>info!$A$4</f>
        <v xml:space="preserve">جهة دكالة عبدة </v>
      </c>
      <c r="D4" s="112"/>
      <c r="E4" s="112"/>
      <c r="F4" s="112"/>
      <c r="I4" s="115" t="s">
        <v>98</v>
      </c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D4" s="116" t="s">
        <v>65</v>
      </c>
      <c r="AE4" s="116"/>
      <c r="AF4" s="116"/>
      <c r="AG4" s="113" t="str">
        <f>info!$M$4</f>
        <v>لايهم</v>
      </c>
      <c r="AH4" s="113"/>
      <c r="AI4" s="113"/>
    </row>
    <row r="5" spans="1:59" ht="15.75" customHeight="1" x14ac:dyDescent="0.2">
      <c r="C5" s="112" t="str">
        <f>info!$A$5</f>
        <v>نيابة المديرية</v>
      </c>
      <c r="D5" s="112"/>
      <c r="E5" s="112"/>
      <c r="F5" s="112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  <c r="Y5" s="115"/>
      <c r="Z5" s="115"/>
      <c r="AA5" s="115"/>
      <c r="AD5" s="116" t="s">
        <v>66</v>
      </c>
      <c r="AE5" s="116"/>
      <c r="AF5" s="116"/>
      <c r="AG5" s="113">
        <f>info!$M$5</f>
        <v>1</v>
      </c>
      <c r="AH5" s="113"/>
      <c r="AI5" s="113"/>
    </row>
    <row r="6" spans="1:59" x14ac:dyDescent="0.2">
      <c r="C6" s="114" t="str">
        <f>info!$A$6</f>
        <v>المدرسة</v>
      </c>
      <c r="D6" s="114"/>
      <c r="E6" s="114"/>
      <c r="F6" s="114"/>
    </row>
    <row r="7" spans="1:59" ht="21" customHeight="1" x14ac:dyDescent="0.2">
      <c r="A7" s="64"/>
      <c r="B7" s="64"/>
      <c r="C7" s="64"/>
      <c r="D7" s="70"/>
      <c r="E7" s="77"/>
      <c r="F7" s="65"/>
      <c r="G7" s="107" t="s">
        <v>14</v>
      </c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12" t="s">
        <v>52</v>
      </c>
      <c r="X7" s="113"/>
      <c r="Y7" s="113"/>
      <c r="Z7" s="104" t="s">
        <v>53</v>
      </c>
      <c r="AA7" s="105"/>
      <c r="AB7" s="105"/>
      <c r="AC7" s="105"/>
      <c r="AD7" s="106"/>
      <c r="AE7" s="112" t="s">
        <v>2</v>
      </c>
      <c r="AF7" s="113"/>
      <c r="AG7" s="113"/>
      <c r="AH7" s="107" t="s">
        <v>3</v>
      </c>
      <c r="AI7" s="108"/>
      <c r="AJ7" s="108"/>
      <c r="AK7" s="112" t="s">
        <v>4</v>
      </c>
      <c r="AL7" s="113"/>
      <c r="AM7" s="113"/>
      <c r="AN7" s="107" t="s">
        <v>152</v>
      </c>
      <c r="AO7" s="108"/>
      <c r="AP7" s="108"/>
      <c r="AQ7" s="112" t="s">
        <v>27</v>
      </c>
      <c r="AR7" s="113"/>
      <c r="AS7" s="113"/>
      <c r="AT7" s="118" t="s">
        <v>136</v>
      </c>
      <c r="AU7" s="122" t="s">
        <v>135</v>
      </c>
      <c r="AV7" s="125" t="s">
        <v>134</v>
      </c>
      <c r="AW7" s="128" t="s">
        <v>133</v>
      </c>
      <c r="AX7" s="205" t="s">
        <v>12</v>
      </c>
      <c r="AY7" s="186" t="s">
        <v>47</v>
      </c>
      <c r="AZ7" s="202" t="s">
        <v>132</v>
      </c>
      <c r="BA7" s="180" t="s">
        <v>94</v>
      </c>
      <c r="BB7" s="199" t="s">
        <v>85</v>
      </c>
      <c r="BC7" s="183" t="s">
        <v>86</v>
      </c>
      <c r="BD7" s="184"/>
      <c r="BE7" s="185"/>
      <c r="BF7" s="190" t="s">
        <v>87</v>
      </c>
      <c r="BG7" s="191"/>
    </row>
    <row r="8" spans="1:59" x14ac:dyDescent="0.2">
      <c r="A8" s="112" t="s">
        <v>21</v>
      </c>
      <c r="B8" s="112" t="s">
        <v>35</v>
      </c>
      <c r="C8" s="112" t="s">
        <v>22</v>
      </c>
      <c r="D8" s="131" t="s">
        <v>29</v>
      </c>
      <c r="E8" s="133" t="s">
        <v>129</v>
      </c>
      <c r="F8" s="132" t="s">
        <v>23</v>
      </c>
      <c r="G8" s="111" t="s">
        <v>32</v>
      </c>
      <c r="H8" s="111"/>
      <c r="I8" s="111"/>
      <c r="J8" s="117" t="s">
        <v>1</v>
      </c>
      <c r="K8" s="117"/>
      <c r="L8" s="117"/>
      <c r="M8" s="111" t="s">
        <v>33</v>
      </c>
      <c r="N8" s="111"/>
      <c r="O8" s="111"/>
      <c r="P8" s="117" t="s">
        <v>0</v>
      </c>
      <c r="Q8" s="117"/>
      <c r="R8" s="117"/>
      <c r="S8" s="111" t="s">
        <v>37</v>
      </c>
      <c r="T8" s="111"/>
      <c r="U8" s="111"/>
      <c r="V8" s="66" t="s">
        <v>24</v>
      </c>
      <c r="W8" s="117" t="s">
        <v>52</v>
      </c>
      <c r="X8" s="117"/>
      <c r="Y8" s="66" t="s">
        <v>24</v>
      </c>
      <c r="Z8" s="75" t="s">
        <v>146</v>
      </c>
      <c r="AA8" s="75" t="s">
        <v>147</v>
      </c>
      <c r="AB8" s="75" t="s">
        <v>148</v>
      </c>
      <c r="AC8" s="75" t="s">
        <v>149</v>
      </c>
      <c r="AD8" s="66" t="s">
        <v>24</v>
      </c>
      <c r="AE8" s="117" t="s">
        <v>2</v>
      </c>
      <c r="AF8" s="117"/>
      <c r="AG8" s="66" t="s">
        <v>24</v>
      </c>
      <c r="AH8" s="111" t="s">
        <v>3</v>
      </c>
      <c r="AI8" s="111"/>
      <c r="AJ8" s="66" t="s">
        <v>24</v>
      </c>
      <c r="AK8" s="109" t="s">
        <v>4</v>
      </c>
      <c r="AL8" s="110"/>
      <c r="AM8" s="66" t="s">
        <v>24</v>
      </c>
      <c r="AN8" s="111" t="s">
        <v>152</v>
      </c>
      <c r="AO8" s="111"/>
      <c r="AP8" s="66" t="s">
        <v>24</v>
      </c>
      <c r="AQ8" s="109" t="s">
        <v>27</v>
      </c>
      <c r="AR8" s="110"/>
      <c r="AS8" s="66" t="s">
        <v>24</v>
      </c>
      <c r="AT8" s="119"/>
      <c r="AU8" s="123"/>
      <c r="AV8" s="126"/>
      <c r="AW8" s="129"/>
      <c r="AX8" s="205"/>
      <c r="AY8" s="186"/>
      <c r="AZ8" s="203"/>
      <c r="BA8" s="181"/>
      <c r="BB8" s="200"/>
      <c r="BC8" s="196" t="s">
        <v>88</v>
      </c>
      <c r="BD8" s="197"/>
      <c r="BE8" s="198"/>
      <c r="BF8" s="192"/>
      <c r="BG8" s="193"/>
    </row>
    <row r="9" spans="1:59" s="12" customFormat="1" x14ac:dyDescent="0.2">
      <c r="A9" s="112"/>
      <c r="B9" s="112"/>
      <c r="C9" s="112"/>
      <c r="D9" s="131"/>
      <c r="E9" s="134"/>
      <c r="F9" s="132"/>
      <c r="G9" s="10" t="s">
        <v>30</v>
      </c>
      <c r="H9" s="10" t="s">
        <v>31</v>
      </c>
      <c r="I9" s="11" t="s">
        <v>24</v>
      </c>
      <c r="J9" s="10" t="s">
        <v>30</v>
      </c>
      <c r="K9" s="10" t="s">
        <v>31</v>
      </c>
      <c r="L9" s="11" t="s">
        <v>24</v>
      </c>
      <c r="M9" s="10" t="s">
        <v>30</v>
      </c>
      <c r="N9" s="10" t="s">
        <v>31</v>
      </c>
      <c r="O9" s="11" t="s">
        <v>24</v>
      </c>
      <c r="P9" s="10" t="s">
        <v>30</v>
      </c>
      <c r="Q9" s="10" t="s">
        <v>31</v>
      </c>
      <c r="R9" s="11" t="s">
        <v>24</v>
      </c>
      <c r="S9" s="10" t="s">
        <v>30</v>
      </c>
      <c r="T9" s="10" t="s">
        <v>31</v>
      </c>
      <c r="U9" s="11" t="s">
        <v>24</v>
      </c>
      <c r="V9" s="67" t="s">
        <v>34</v>
      </c>
      <c r="W9" s="10" t="s">
        <v>30</v>
      </c>
      <c r="X9" s="10" t="s">
        <v>31</v>
      </c>
      <c r="Y9" s="67" t="s">
        <v>34</v>
      </c>
      <c r="Z9" s="10" t="s">
        <v>30</v>
      </c>
      <c r="AA9" s="10" t="s">
        <v>31</v>
      </c>
      <c r="AB9" s="10" t="s">
        <v>150</v>
      </c>
      <c r="AC9" s="10" t="s">
        <v>151</v>
      </c>
      <c r="AD9" s="67" t="s">
        <v>34</v>
      </c>
      <c r="AE9" s="10" t="s">
        <v>30</v>
      </c>
      <c r="AF9" s="10" t="s">
        <v>31</v>
      </c>
      <c r="AG9" s="67" t="s">
        <v>34</v>
      </c>
      <c r="AH9" s="10" t="s">
        <v>30</v>
      </c>
      <c r="AI9" s="10" t="s">
        <v>31</v>
      </c>
      <c r="AJ9" s="67" t="s">
        <v>34</v>
      </c>
      <c r="AK9" s="10" t="s">
        <v>30</v>
      </c>
      <c r="AL9" s="10" t="s">
        <v>31</v>
      </c>
      <c r="AM9" s="67" t="s">
        <v>34</v>
      </c>
      <c r="AN9" s="10" t="s">
        <v>30</v>
      </c>
      <c r="AO9" s="10" t="s">
        <v>31</v>
      </c>
      <c r="AP9" s="67" t="s">
        <v>34</v>
      </c>
      <c r="AQ9" s="10" t="s">
        <v>30</v>
      </c>
      <c r="AR9" s="10" t="s">
        <v>31</v>
      </c>
      <c r="AS9" s="67" t="s">
        <v>34</v>
      </c>
      <c r="AT9" s="120"/>
      <c r="AU9" s="124"/>
      <c r="AV9" s="127"/>
      <c r="AW9" s="130"/>
      <c r="AX9" s="205"/>
      <c r="AY9" s="186"/>
      <c r="AZ9" s="204"/>
      <c r="BA9" s="182"/>
      <c r="BB9" s="201"/>
      <c r="BC9" s="36" t="s">
        <v>68</v>
      </c>
      <c r="BD9" s="37" t="s">
        <v>25</v>
      </c>
      <c r="BE9" s="38" t="s">
        <v>89</v>
      </c>
      <c r="BF9" s="194"/>
      <c r="BG9" s="195"/>
    </row>
    <row r="10" spans="1:59" x14ac:dyDescent="0.25">
      <c r="A10" s="80">
        <f>IF(info!A16="","",info!A16)</f>
        <v>1</v>
      </c>
      <c r="B10" s="80">
        <f>IF($A10="","",info!B16)</f>
        <v>1</v>
      </c>
      <c r="C10" s="73" t="str">
        <f>IF($A10="","",info!C16)</f>
        <v>رضوان</v>
      </c>
      <c r="D10" s="82">
        <f>IF($A10="","",info!G16)</f>
        <v>38526</v>
      </c>
      <c r="E10" s="78" t="str">
        <f>IF($A10="","",info!D16)</f>
        <v>ذ</v>
      </c>
      <c r="F10" s="35">
        <f>IF($A10="","",info!F16)</f>
        <v>0</v>
      </c>
      <c r="G10" s="7">
        <v>4</v>
      </c>
      <c r="H10" s="7">
        <v>4.5</v>
      </c>
      <c r="I10" s="13">
        <f>IF(OR(G10="",H10=""),"",AVERAGE(G10:H10))</f>
        <v>4.25</v>
      </c>
      <c r="J10" s="7">
        <v>5</v>
      </c>
      <c r="K10" s="7">
        <v>4.5</v>
      </c>
      <c r="L10" s="13">
        <f>IF(OR(J10="",K10=""),"",AVERAGE(J10:K10))</f>
        <v>4.75</v>
      </c>
      <c r="M10" s="7">
        <v>5</v>
      </c>
      <c r="N10" s="7">
        <v>4.5</v>
      </c>
      <c r="O10" s="13">
        <f>IF(OR(M10="",N10=""),"",AVERAGE(M10:N10))</f>
        <v>4.75</v>
      </c>
      <c r="P10" s="7">
        <v>3</v>
      </c>
      <c r="Q10" s="7">
        <v>4.5</v>
      </c>
      <c r="R10" s="13">
        <f>IF(OR(P10="",Q10=""),"",AVERAGE(P10:Q10))</f>
        <v>3.75</v>
      </c>
      <c r="S10" s="7">
        <v>5</v>
      </c>
      <c r="T10" s="7">
        <v>4.5</v>
      </c>
      <c r="U10" s="13">
        <f>IF(OR(S10="",T10=""),"",AVERAGE(S10:T10))</f>
        <v>4.75</v>
      </c>
      <c r="V10" s="60">
        <f>IF(OR(U10="",R10="",O10="",L10="",I10=""),"",AVERAGE(U10,R10,O10,L10,I10))</f>
        <v>4.45</v>
      </c>
      <c r="W10" s="7"/>
      <c r="X10" s="7"/>
      <c r="Y10" s="60" t="str">
        <f>IF(OR(W10="",X10=""),"",AVERAGE(W10:X10))</f>
        <v/>
      </c>
      <c r="Z10" s="7">
        <v>4</v>
      </c>
      <c r="AA10" s="7">
        <v>5</v>
      </c>
      <c r="AB10" s="7">
        <f>IF(Z10="","",IF(AA10="","",AVERAGE(Z10:AA10)))</f>
        <v>4.5</v>
      </c>
      <c r="AC10" s="7">
        <v>5.5</v>
      </c>
      <c r="AD10" s="60">
        <f>IF(OR(Z10="",AA10="",AB10="",AC10=""),"",AVERAGE(Z10:AC10))</f>
        <v>4.75</v>
      </c>
      <c r="AE10" s="7">
        <v>3</v>
      </c>
      <c r="AF10" s="7">
        <v>5.5</v>
      </c>
      <c r="AG10" s="60">
        <f>IF(OR(AE10="",AF10=""),"",AVERAGE(AE10:AF10))</f>
        <v>4.25</v>
      </c>
      <c r="AH10" s="7">
        <v>4.5</v>
      </c>
      <c r="AI10" s="7">
        <v>6.5</v>
      </c>
      <c r="AJ10" s="60">
        <f>IF(OR(AH10="",AI10=""),"",AVERAGE(AH10:AI10))</f>
        <v>5.5</v>
      </c>
      <c r="AK10" s="7">
        <v>5.5</v>
      </c>
      <c r="AL10" s="7">
        <v>6.5</v>
      </c>
      <c r="AM10" s="60">
        <f>IF(OR(AK10="",AL10=""),"",AVERAGE(AK10:AL10))</f>
        <v>6</v>
      </c>
      <c r="AN10" s="7">
        <v>3</v>
      </c>
      <c r="AO10" s="7">
        <v>5.5</v>
      </c>
      <c r="AP10" s="60">
        <f>IF(OR(AN10="",AO10=""),"",AVERAGE(AN10:AO10))</f>
        <v>4.25</v>
      </c>
      <c r="AQ10" s="7">
        <v>6</v>
      </c>
      <c r="AR10" s="7">
        <v>8</v>
      </c>
      <c r="AS10" s="60">
        <f>IF(OR(AQ10="",AR10=""),"",AVERAGE(AQ10:AR10))</f>
        <v>7</v>
      </c>
      <c r="AT10" s="61">
        <v>1</v>
      </c>
      <c r="AU10" s="14">
        <f>IF($A10="","",6+AT10+info!$P$3)</f>
        <v>7</v>
      </c>
      <c r="AV10" s="15">
        <f t="shared" ref="AV10:AV41" si="0">IF($A10="","",SUM(V10,AD10,AG10,AJ10,AM10,AS10,Y10))</f>
        <v>31.95</v>
      </c>
      <c r="AW10" s="16">
        <f>IF($A10="","",AV10/AU10)</f>
        <v>4.5642857142857141</v>
      </c>
      <c r="AX10" s="17">
        <f t="shared" ref="AX10:AX41" si="1">IF($A10="","",RANK(AW10,$AW$10:$AW$59))</f>
        <v>14</v>
      </c>
      <c r="AY10" s="81" t="str">
        <f>IF($A10="","",IF(AW10&gt;=8," تنويه ",IF(AW10&gt;=7,"تشجيع ",IF(AW10&gt;=6,"لوحة الشرف",IF(AW10&gt;=5,"متوسط",IF(AW10&gt;=4,"دون المتوسط",IF(AW10&gt;=3,"ناقص",IF(AW10&gt;=2,"تنبيه",IF(AW10&gt;=1,"إنذار","توبيخ")))))))))</f>
        <v>دون المتوسط</v>
      </c>
      <c r="AZ10" s="62">
        <f>IF($A10="","",'sem1'!AW10)</f>
        <v>3.6892857142857141</v>
      </c>
      <c r="BA10" s="63">
        <f>IF($A10="","",AVERAGE(AZ10,AW10))</f>
        <v>4.1267857142857141</v>
      </c>
      <c r="BB10" s="9">
        <v>5</v>
      </c>
      <c r="BC10" s="187">
        <f>SUMPRODUCT(($BA$10:$BA$509&gt;=$BB$10)*($E$10:$E$509="أ"))</f>
        <v>1</v>
      </c>
      <c r="BD10" s="187">
        <f>SUMPRODUCT(($BA$10:$BA$509&gt;=$BB$10)*($E$10:$E$509="ذ"))</f>
        <v>8</v>
      </c>
      <c r="BE10" s="187">
        <f>SUM(BC10+BD10)</f>
        <v>9</v>
      </c>
      <c r="BF10" s="74" t="s">
        <v>137</v>
      </c>
      <c r="BG10" s="41">
        <f>SUMPRODUCT(($BA$10:$BA$509&gt;=0)*($BA$10:$BA$509&lt;3)*($BA$10:$BA$509&lt;&gt;""))</f>
        <v>2</v>
      </c>
    </row>
    <row r="11" spans="1:59" x14ac:dyDescent="0.25">
      <c r="A11" s="58">
        <f>IF(info!A17="","",info!A17)</f>
        <v>2</v>
      </c>
      <c r="B11" s="58">
        <f>IF($A11="","",info!B17)</f>
        <v>2</v>
      </c>
      <c r="C11" s="73" t="str">
        <f>IF($A11="","",info!C17)</f>
        <v>محمد</v>
      </c>
      <c r="D11" s="71">
        <f>IF($A11="","",info!G17)</f>
        <v>39521</v>
      </c>
      <c r="E11" s="78" t="str">
        <f>IF($A11="","",info!D17)</f>
        <v>ذ</v>
      </c>
      <c r="F11" s="35">
        <f>IF($A11="","",info!F17)</f>
        <v>0</v>
      </c>
      <c r="G11" s="7">
        <v>5</v>
      </c>
      <c r="H11" s="7">
        <v>5.5</v>
      </c>
      <c r="I11" s="13">
        <f t="shared" ref="I11:I59" si="2">IF(OR(G11="",H11=""),"",AVERAGE(G11:H11))</f>
        <v>5.25</v>
      </c>
      <c r="J11" s="7">
        <v>6</v>
      </c>
      <c r="K11" s="7">
        <v>6.5</v>
      </c>
      <c r="L11" s="13">
        <f t="shared" ref="L11:L59" si="3">IF(OR(J11="",K11=""),"",AVERAGE(J11:K11))</f>
        <v>6.25</v>
      </c>
      <c r="M11" s="7">
        <v>5</v>
      </c>
      <c r="N11" s="7">
        <v>6</v>
      </c>
      <c r="O11" s="13">
        <f t="shared" ref="O11:O59" si="4">IF(OR(M11="",N11=""),"",AVERAGE(M11:N11))</f>
        <v>5.5</v>
      </c>
      <c r="P11" s="7">
        <v>5.5</v>
      </c>
      <c r="Q11" s="7">
        <v>6.5</v>
      </c>
      <c r="R11" s="13">
        <f t="shared" ref="R11:R59" si="5">IF(OR(P11="",Q11=""),"",AVERAGE(P11:Q11))</f>
        <v>6</v>
      </c>
      <c r="S11" s="7">
        <v>6</v>
      </c>
      <c r="T11" s="7">
        <v>6.75</v>
      </c>
      <c r="U11" s="13">
        <f t="shared" ref="U11:U59" si="6">IF(OR(S11="",T11=""),"",AVERAGE(S11:T11))</f>
        <v>6.375</v>
      </c>
      <c r="V11" s="60">
        <f t="shared" ref="V11:V59" si="7">IF(OR(U11="",R11="",O11="",L11="",I11=""),"",AVERAGE(U11,R11,O11,L11,I11))</f>
        <v>5.875</v>
      </c>
      <c r="W11" s="7"/>
      <c r="X11" s="7"/>
      <c r="Y11" s="60" t="str">
        <f t="shared" ref="Y11:Y59" si="8">IF(OR(W11="",X11=""),"",AVERAGE(W11:X11))</f>
        <v/>
      </c>
      <c r="Z11" s="7">
        <v>5</v>
      </c>
      <c r="AA11" s="7">
        <v>6</v>
      </c>
      <c r="AB11" s="7">
        <f t="shared" ref="AB11:AB49" si="9">IF(Z11="","",IF(AA11="","",AVERAGE(Z11:AA11)))</f>
        <v>5.5</v>
      </c>
      <c r="AC11" s="7">
        <v>6.5</v>
      </c>
      <c r="AD11" s="60">
        <f t="shared" ref="AD11:AD59" si="10">IF(OR(Z11="",AA11="",AB11="",AC11=""),"",AVERAGE(Z11:AC11))</f>
        <v>5.75</v>
      </c>
      <c r="AE11" s="7">
        <v>3</v>
      </c>
      <c r="AF11" s="7">
        <v>4.75</v>
      </c>
      <c r="AG11" s="60">
        <f t="shared" ref="AG11:AG59" si="11">IF(OR(AE11="",AF11=""),"",AVERAGE(AE11:AF11))</f>
        <v>3.875</v>
      </c>
      <c r="AH11" s="7">
        <v>5.75</v>
      </c>
      <c r="AI11" s="7">
        <v>3</v>
      </c>
      <c r="AJ11" s="60">
        <f t="shared" ref="AJ11:AJ59" si="12">IF(OR(AH11="",AI11=""),"",AVERAGE(AH11:AI11))</f>
        <v>4.375</v>
      </c>
      <c r="AK11" s="7">
        <v>5.5</v>
      </c>
      <c r="AL11" s="7">
        <v>5</v>
      </c>
      <c r="AM11" s="60">
        <f t="shared" ref="AM11:AM59" si="13">IF(OR(AK11="",AL11=""),"",AVERAGE(AK11:AL11))</f>
        <v>5.25</v>
      </c>
      <c r="AN11" s="7">
        <v>5.5</v>
      </c>
      <c r="AO11" s="7">
        <v>4.75</v>
      </c>
      <c r="AP11" s="60">
        <f t="shared" ref="AP11:AP59" si="14">IF(OR(AN11="",AO11=""),"",AVERAGE(AN11:AO11))</f>
        <v>5.125</v>
      </c>
      <c r="AQ11" s="7">
        <v>6</v>
      </c>
      <c r="AR11" s="7">
        <v>6.5</v>
      </c>
      <c r="AS11" s="60">
        <f t="shared" ref="AS11:AS59" si="15">IF(OR(AQ11="",AR11=""),"",AVERAGE(AQ11:AR11))</f>
        <v>6.25</v>
      </c>
      <c r="AT11" s="61">
        <v>1</v>
      </c>
      <c r="AU11" s="14">
        <f>IF($A11="","",6+AT11+info!$P$3)</f>
        <v>7</v>
      </c>
      <c r="AV11" s="15">
        <f t="shared" si="0"/>
        <v>31.375</v>
      </c>
      <c r="AW11" s="16">
        <f t="shared" ref="AW11:AW49" si="16">IF($A11="","",AV11/AU11)</f>
        <v>4.4821428571428568</v>
      </c>
      <c r="AX11" s="17">
        <f t="shared" si="1"/>
        <v>16</v>
      </c>
      <c r="AY11" s="59" t="str">
        <f t="shared" ref="AY11:AY49" si="17">IF($A11="","",IF(AW11&gt;=8," تنويه ",IF(AW11&gt;=7,"تشجيع ",IF(AW11&gt;=6,"لوحة الشرف",IF(AW11&gt;=5,"متوسط",IF(AW11&gt;=4,"دون المتوسط",IF(AW11&gt;=3,"ناقص",IF(AW11&gt;=2,"تنبيه",IF(AW11&gt;=1,"إنذار","توبيخ")))))))))</f>
        <v>دون المتوسط</v>
      </c>
      <c r="AZ11" s="62">
        <f>IF($A11="","",'sem1'!AW11)</f>
        <v>5.6860714285714291</v>
      </c>
      <c r="BA11" s="63">
        <f t="shared" ref="BA11:BA49" si="18">IF($A11="","",AVERAGE(AZ11,AW11))</f>
        <v>5.0841071428571425</v>
      </c>
      <c r="BC11" s="187" t="s">
        <v>90</v>
      </c>
      <c r="BD11" s="187"/>
      <c r="BE11" s="187"/>
      <c r="BF11" s="74" t="s">
        <v>138</v>
      </c>
      <c r="BG11" s="41">
        <f>SUMPRODUCT(($BA$10:$BA$509&gt;=3)*($BA$10:$BA$509&lt;4))</f>
        <v>5</v>
      </c>
    </row>
    <row r="12" spans="1:59" x14ac:dyDescent="0.25">
      <c r="A12" s="58">
        <f>IF(info!A18="","",info!A18)</f>
        <v>3</v>
      </c>
      <c r="B12" s="58">
        <f>IF($A12="","",info!B18)</f>
        <v>3</v>
      </c>
      <c r="C12" s="73" t="str">
        <f>IF($A12="","",info!C18)</f>
        <v>سلمى</v>
      </c>
      <c r="D12" s="71">
        <f>IF($A12="","",info!G18)</f>
        <v>39362</v>
      </c>
      <c r="E12" s="78" t="str">
        <f>IF($A12="","",info!D18)</f>
        <v>أ</v>
      </c>
      <c r="F12" s="35">
        <f>IF($A12="","",info!F18)</f>
        <v>0</v>
      </c>
      <c r="G12" s="7">
        <v>4</v>
      </c>
      <c r="H12" s="7">
        <v>4.5</v>
      </c>
      <c r="I12" s="13">
        <f t="shared" si="2"/>
        <v>4.25</v>
      </c>
      <c r="J12" s="7">
        <v>6</v>
      </c>
      <c r="K12" s="7">
        <v>4</v>
      </c>
      <c r="L12" s="13">
        <f t="shared" si="3"/>
        <v>5</v>
      </c>
      <c r="M12" s="7">
        <v>5.5</v>
      </c>
      <c r="N12" s="7">
        <v>4</v>
      </c>
      <c r="O12" s="13">
        <f t="shared" si="4"/>
        <v>4.75</v>
      </c>
      <c r="P12" s="7">
        <v>4</v>
      </c>
      <c r="Q12" s="7">
        <v>4</v>
      </c>
      <c r="R12" s="13">
        <f t="shared" si="5"/>
        <v>4</v>
      </c>
      <c r="S12" s="7">
        <v>6</v>
      </c>
      <c r="T12" s="7">
        <v>4</v>
      </c>
      <c r="U12" s="13">
        <f t="shared" si="6"/>
        <v>5</v>
      </c>
      <c r="V12" s="60">
        <f t="shared" si="7"/>
        <v>4.5999999999999996</v>
      </c>
      <c r="W12" s="7"/>
      <c r="X12" s="7"/>
      <c r="Y12" s="60" t="str">
        <f t="shared" si="8"/>
        <v/>
      </c>
      <c r="Z12" s="7">
        <v>5</v>
      </c>
      <c r="AA12" s="7">
        <v>5.5</v>
      </c>
      <c r="AB12" s="7">
        <f t="shared" si="9"/>
        <v>5.25</v>
      </c>
      <c r="AC12" s="7">
        <v>5.75</v>
      </c>
      <c r="AD12" s="60">
        <f t="shared" si="10"/>
        <v>5.375</v>
      </c>
      <c r="AE12" s="7">
        <v>3</v>
      </c>
      <c r="AF12" s="7">
        <v>5.75</v>
      </c>
      <c r="AG12" s="60">
        <f t="shared" si="11"/>
        <v>4.375</v>
      </c>
      <c r="AH12" s="7">
        <v>5.75</v>
      </c>
      <c r="AI12" s="7">
        <v>3.5</v>
      </c>
      <c r="AJ12" s="60">
        <f t="shared" si="12"/>
        <v>4.625</v>
      </c>
      <c r="AK12" s="7">
        <v>3</v>
      </c>
      <c r="AL12" s="7">
        <v>6.5</v>
      </c>
      <c r="AM12" s="60">
        <f t="shared" si="13"/>
        <v>4.75</v>
      </c>
      <c r="AN12" s="7">
        <v>4</v>
      </c>
      <c r="AO12" s="7">
        <v>5.75</v>
      </c>
      <c r="AP12" s="60">
        <f t="shared" si="14"/>
        <v>4.875</v>
      </c>
      <c r="AQ12" s="7">
        <v>6</v>
      </c>
      <c r="AR12" s="7">
        <v>6.5</v>
      </c>
      <c r="AS12" s="60">
        <f t="shared" si="15"/>
        <v>6.25</v>
      </c>
      <c r="AT12" s="61">
        <v>1</v>
      </c>
      <c r="AU12" s="14">
        <f>IF($A12="","",6+AT12+info!$P$3)</f>
        <v>7</v>
      </c>
      <c r="AV12" s="15">
        <f t="shared" si="0"/>
        <v>29.975000000000001</v>
      </c>
      <c r="AW12" s="16">
        <f t="shared" si="16"/>
        <v>4.2821428571428575</v>
      </c>
      <c r="AX12" s="17">
        <f t="shared" si="1"/>
        <v>17</v>
      </c>
      <c r="AY12" s="59" t="str">
        <f t="shared" si="17"/>
        <v>دون المتوسط</v>
      </c>
      <c r="AZ12" s="62">
        <f>IF($A12="","",'sem1'!AW12)</f>
        <v>4.8328571428571427</v>
      </c>
      <c r="BA12" s="63">
        <f t="shared" si="18"/>
        <v>4.5575000000000001</v>
      </c>
      <c r="BC12" s="188">
        <f>BE10*100/BE19</f>
        <v>36</v>
      </c>
      <c r="BD12" s="188"/>
      <c r="BE12" s="188"/>
      <c r="BF12" s="74" t="s">
        <v>139</v>
      </c>
      <c r="BG12" s="41">
        <f>SUMPRODUCT(($BA$10:$BA$509&gt;=4)*($BA$10:$BA$509&lt;5))</f>
        <v>9</v>
      </c>
    </row>
    <row r="13" spans="1:59" ht="15" customHeight="1" x14ac:dyDescent="0.25">
      <c r="A13" s="58">
        <f>IF(info!A19="","",info!A19)</f>
        <v>4</v>
      </c>
      <c r="B13" s="58">
        <f>IF($A13="","",info!B19)</f>
        <v>4</v>
      </c>
      <c r="C13" s="73" t="str">
        <f>IF($A13="","",info!C19)</f>
        <v>شعيب</v>
      </c>
      <c r="D13" s="71">
        <f>IF($A13="","",info!G19)</f>
        <v>39788</v>
      </c>
      <c r="E13" s="78" t="str">
        <f>IF($A13="","",info!D19)</f>
        <v>ذ</v>
      </c>
      <c r="F13" s="35">
        <f>IF($A13="","",info!F19)</f>
        <v>0</v>
      </c>
      <c r="G13" s="7">
        <v>6</v>
      </c>
      <c r="H13" s="7">
        <v>6.5</v>
      </c>
      <c r="I13" s="13">
        <f t="shared" si="2"/>
        <v>6.25</v>
      </c>
      <c r="J13" s="7">
        <v>7.5</v>
      </c>
      <c r="K13" s="7">
        <v>7</v>
      </c>
      <c r="L13" s="13">
        <f t="shared" si="3"/>
        <v>7.25</v>
      </c>
      <c r="M13" s="7">
        <v>6</v>
      </c>
      <c r="N13" s="7">
        <v>6</v>
      </c>
      <c r="O13" s="13">
        <f t="shared" si="4"/>
        <v>6</v>
      </c>
      <c r="P13" s="7">
        <v>7</v>
      </c>
      <c r="Q13" s="7">
        <v>6.75</v>
      </c>
      <c r="R13" s="13">
        <f t="shared" si="5"/>
        <v>6.875</v>
      </c>
      <c r="S13" s="7">
        <v>6</v>
      </c>
      <c r="T13" s="7">
        <v>6.75</v>
      </c>
      <c r="U13" s="13">
        <f t="shared" si="6"/>
        <v>6.375</v>
      </c>
      <c r="V13" s="60">
        <f t="shared" si="7"/>
        <v>6.55</v>
      </c>
      <c r="W13" s="7"/>
      <c r="X13" s="7"/>
      <c r="Y13" s="60" t="str">
        <f t="shared" si="8"/>
        <v/>
      </c>
      <c r="Z13" s="7">
        <v>6.5</v>
      </c>
      <c r="AA13" s="7">
        <v>6</v>
      </c>
      <c r="AB13" s="7">
        <f t="shared" si="9"/>
        <v>6.25</v>
      </c>
      <c r="AC13" s="7">
        <v>7.5</v>
      </c>
      <c r="AD13" s="60">
        <f t="shared" si="10"/>
        <v>6.5625</v>
      </c>
      <c r="AE13" s="7">
        <v>8</v>
      </c>
      <c r="AF13" s="7">
        <v>9</v>
      </c>
      <c r="AG13" s="60">
        <f t="shared" si="11"/>
        <v>8.5</v>
      </c>
      <c r="AH13" s="7">
        <v>7</v>
      </c>
      <c r="AI13" s="7">
        <v>8</v>
      </c>
      <c r="AJ13" s="60">
        <f t="shared" si="12"/>
        <v>7.5</v>
      </c>
      <c r="AK13" s="7">
        <v>9</v>
      </c>
      <c r="AL13" s="7">
        <v>9.25</v>
      </c>
      <c r="AM13" s="60">
        <f t="shared" si="13"/>
        <v>9.125</v>
      </c>
      <c r="AN13" s="7">
        <v>7</v>
      </c>
      <c r="AO13" s="7">
        <v>9</v>
      </c>
      <c r="AP13" s="60">
        <f t="shared" si="14"/>
        <v>8</v>
      </c>
      <c r="AQ13" s="7">
        <v>6.5</v>
      </c>
      <c r="AR13" s="7">
        <v>6.75</v>
      </c>
      <c r="AS13" s="60">
        <f t="shared" si="15"/>
        <v>6.625</v>
      </c>
      <c r="AT13" s="61">
        <v>1</v>
      </c>
      <c r="AU13" s="14">
        <f>IF($A13="","",6+AT13+info!$P$3)</f>
        <v>7</v>
      </c>
      <c r="AV13" s="15">
        <f t="shared" si="0"/>
        <v>44.862499999999997</v>
      </c>
      <c r="AW13" s="16">
        <f t="shared" si="16"/>
        <v>6.4089285714285706</v>
      </c>
      <c r="AX13" s="17">
        <f t="shared" si="1"/>
        <v>4</v>
      </c>
      <c r="AY13" s="59" t="str">
        <f t="shared" si="17"/>
        <v>لوحة الشرف</v>
      </c>
      <c r="AZ13" s="62">
        <f>IF($A13="","",'sem1'!AW13)</f>
        <v>6.4941071428571417</v>
      </c>
      <c r="BA13" s="63">
        <f t="shared" si="18"/>
        <v>6.4515178571428562</v>
      </c>
      <c r="BC13" s="183" t="s">
        <v>91</v>
      </c>
      <c r="BD13" s="184"/>
      <c r="BE13" s="185"/>
      <c r="BF13" s="74" t="s">
        <v>95</v>
      </c>
      <c r="BG13" s="41">
        <f>SUMPRODUCT(($BA$10:$BA$509=5))</f>
        <v>0</v>
      </c>
    </row>
    <row r="14" spans="1:59" ht="17.25" customHeight="1" x14ac:dyDescent="0.25">
      <c r="A14" s="58">
        <f>IF(info!A20="","",info!A20)</f>
        <v>5</v>
      </c>
      <c r="B14" s="58">
        <f>IF($A14="","",info!B20)</f>
        <v>5</v>
      </c>
      <c r="C14" s="73" t="str">
        <f>IF($A14="","",info!C20)</f>
        <v>ميلود</v>
      </c>
      <c r="D14" s="71">
        <f>IF($A14="","",info!G20)</f>
        <v>39639</v>
      </c>
      <c r="E14" s="78" t="str">
        <f>IF($A14="","",info!D20)</f>
        <v>ذ</v>
      </c>
      <c r="F14" s="35">
        <f>IF($A14="","",info!F20)</f>
        <v>0</v>
      </c>
      <c r="G14" s="7">
        <v>6</v>
      </c>
      <c r="H14" s="7">
        <v>4.5</v>
      </c>
      <c r="I14" s="13">
        <f t="shared" si="2"/>
        <v>5.25</v>
      </c>
      <c r="J14" s="7">
        <v>7</v>
      </c>
      <c r="K14" s="7">
        <v>4</v>
      </c>
      <c r="L14" s="13">
        <f t="shared" si="3"/>
        <v>5.5</v>
      </c>
      <c r="M14" s="7">
        <v>6</v>
      </c>
      <c r="N14" s="7">
        <v>4</v>
      </c>
      <c r="O14" s="13">
        <f t="shared" si="4"/>
        <v>5</v>
      </c>
      <c r="P14" s="7">
        <v>5.75</v>
      </c>
      <c r="Q14" s="7">
        <v>6</v>
      </c>
      <c r="R14" s="13">
        <f t="shared" si="5"/>
        <v>5.875</v>
      </c>
      <c r="S14" s="7">
        <v>6</v>
      </c>
      <c r="T14" s="7">
        <v>4</v>
      </c>
      <c r="U14" s="13">
        <f t="shared" si="6"/>
        <v>5</v>
      </c>
      <c r="V14" s="60">
        <f t="shared" si="7"/>
        <v>5.3250000000000002</v>
      </c>
      <c r="W14" s="7"/>
      <c r="X14" s="7"/>
      <c r="Y14" s="60" t="str">
        <f t="shared" si="8"/>
        <v/>
      </c>
      <c r="Z14" s="7">
        <v>4.5</v>
      </c>
      <c r="AA14" s="7">
        <v>4.5</v>
      </c>
      <c r="AB14" s="7">
        <f t="shared" si="9"/>
        <v>4.5</v>
      </c>
      <c r="AC14" s="7">
        <v>5</v>
      </c>
      <c r="AD14" s="60">
        <f t="shared" si="10"/>
        <v>4.625</v>
      </c>
      <c r="AE14" s="7">
        <v>3</v>
      </c>
      <c r="AF14" s="7">
        <v>3.5</v>
      </c>
      <c r="AG14" s="60">
        <f t="shared" si="11"/>
        <v>3.25</v>
      </c>
      <c r="AH14" s="7">
        <v>5</v>
      </c>
      <c r="AI14" s="7">
        <v>4</v>
      </c>
      <c r="AJ14" s="60">
        <f t="shared" si="12"/>
        <v>4.5</v>
      </c>
      <c r="AK14" s="7">
        <v>6.25</v>
      </c>
      <c r="AL14" s="7">
        <v>2.75</v>
      </c>
      <c r="AM14" s="60">
        <f t="shared" si="13"/>
        <v>4.5</v>
      </c>
      <c r="AN14" s="7">
        <v>5.75</v>
      </c>
      <c r="AO14" s="7">
        <v>3.5</v>
      </c>
      <c r="AP14" s="60">
        <f t="shared" si="14"/>
        <v>4.625</v>
      </c>
      <c r="AQ14" s="7">
        <v>6.5</v>
      </c>
      <c r="AR14" s="7">
        <v>7</v>
      </c>
      <c r="AS14" s="60">
        <f t="shared" si="15"/>
        <v>6.75</v>
      </c>
      <c r="AT14" s="61">
        <v>1</v>
      </c>
      <c r="AU14" s="14">
        <f>IF($A14="","",6+AT14+info!$P$3)</f>
        <v>7</v>
      </c>
      <c r="AV14" s="15">
        <f t="shared" si="0"/>
        <v>28.95</v>
      </c>
      <c r="AW14" s="16">
        <f t="shared" si="16"/>
        <v>4.1357142857142852</v>
      </c>
      <c r="AX14" s="17">
        <f t="shared" si="1"/>
        <v>18</v>
      </c>
      <c r="AY14" s="59" t="str">
        <f t="shared" si="17"/>
        <v>دون المتوسط</v>
      </c>
      <c r="AZ14" s="62">
        <f>IF($A14="","",'sem1'!AW14)</f>
        <v>5.1837500000000007</v>
      </c>
      <c r="BA14" s="63">
        <f t="shared" si="18"/>
        <v>4.659732142857143</v>
      </c>
      <c r="BC14" s="189" t="s">
        <v>88</v>
      </c>
      <c r="BD14" s="189"/>
      <c r="BE14" s="189"/>
      <c r="BF14" s="74" t="s">
        <v>140</v>
      </c>
      <c r="BG14" s="41">
        <f>SUMPRODUCT(($BA$10:$BA$509&gt;=5)*($BA$10:$BA$509&lt;6))</f>
        <v>3</v>
      </c>
    </row>
    <row r="15" spans="1:59" x14ac:dyDescent="0.25">
      <c r="A15" s="58">
        <f>IF(info!A21="","",info!A21)</f>
        <v>6</v>
      </c>
      <c r="B15" s="58">
        <f>IF($A15="","",info!B21)</f>
        <v>6</v>
      </c>
      <c r="C15" s="73" t="str">
        <f>IF($A15="","",info!C21)</f>
        <v>فاطمة</v>
      </c>
      <c r="D15" s="71">
        <f>IF($A15="","",info!G21)</f>
        <v>39455</v>
      </c>
      <c r="E15" s="78" t="str">
        <f>IF($A15="","",info!D21)</f>
        <v>أ</v>
      </c>
      <c r="F15" s="35">
        <f>IF($A15="","",info!F21)</f>
        <v>0</v>
      </c>
      <c r="G15" s="7">
        <v>3.5</v>
      </c>
      <c r="H15" s="7">
        <v>2</v>
      </c>
      <c r="I15" s="13">
        <f t="shared" si="2"/>
        <v>2.75</v>
      </c>
      <c r="J15" s="7">
        <v>2</v>
      </c>
      <c r="K15" s="7">
        <v>3</v>
      </c>
      <c r="L15" s="13">
        <f t="shared" si="3"/>
        <v>2.5</v>
      </c>
      <c r="M15" s="7">
        <v>2</v>
      </c>
      <c r="N15" s="7">
        <v>3</v>
      </c>
      <c r="O15" s="13">
        <f t="shared" si="4"/>
        <v>2.5</v>
      </c>
      <c r="P15" s="7">
        <v>3</v>
      </c>
      <c r="Q15" s="7">
        <v>2</v>
      </c>
      <c r="R15" s="13">
        <f t="shared" si="5"/>
        <v>2.5</v>
      </c>
      <c r="S15" s="7">
        <v>2</v>
      </c>
      <c r="T15" s="7">
        <v>3</v>
      </c>
      <c r="U15" s="13">
        <f t="shared" si="6"/>
        <v>2.5</v>
      </c>
      <c r="V15" s="60">
        <f t="shared" si="7"/>
        <v>2.5499999999999998</v>
      </c>
      <c r="W15" s="7"/>
      <c r="X15" s="7"/>
      <c r="Y15" s="60" t="str">
        <f t="shared" si="8"/>
        <v/>
      </c>
      <c r="Z15" s="7">
        <v>2</v>
      </c>
      <c r="AA15" s="7">
        <v>2</v>
      </c>
      <c r="AB15" s="7">
        <f t="shared" si="9"/>
        <v>2</v>
      </c>
      <c r="AC15" s="7">
        <v>4</v>
      </c>
      <c r="AD15" s="60">
        <f t="shared" si="10"/>
        <v>2.5</v>
      </c>
      <c r="AE15" s="7">
        <v>2</v>
      </c>
      <c r="AF15" s="7">
        <v>1</v>
      </c>
      <c r="AG15" s="60">
        <f t="shared" si="11"/>
        <v>1.5</v>
      </c>
      <c r="AH15" s="7">
        <v>3</v>
      </c>
      <c r="AI15" s="7">
        <v>1</v>
      </c>
      <c r="AJ15" s="60">
        <f t="shared" si="12"/>
        <v>2</v>
      </c>
      <c r="AK15" s="7">
        <v>0.25</v>
      </c>
      <c r="AL15" s="7">
        <v>1.75</v>
      </c>
      <c r="AM15" s="60">
        <f t="shared" si="13"/>
        <v>1</v>
      </c>
      <c r="AN15" s="7">
        <v>3</v>
      </c>
      <c r="AO15" s="7">
        <v>1</v>
      </c>
      <c r="AP15" s="60">
        <f t="shared" si="14"/>
        <v>2</v>
      </c>
      <c r="AQ15" s="7">
        <v>5.5</v>
      </c>
      <c r="AR15" s="7">
        <v>4.5</v>
      </c>
      <c r="AS15" s="60">
        <f t="shared" si="15"/>
        <v>5</v>
      </c>
      <c r="AT15" s="61">
        <v>1</v>
      </c>
      <c r="AU15" s="14">
        <f>IF($A15="","",6+AT15+info!$P$3)</f>
        <v>7</v>
      </c>
      <c r="AV15" s="15">
        <f t="shared" si="0"/>
        <v>14.55</v>
      </c>
      <c r="AW15" s="16">
        <f t="shared" si="16"/>
        <v>2.0785714285714287</v>
      </c>
      <c r="AX15" s="17">
        <f t="shared" si="1"/>
        <v>24</v>
      </c>
      <c r="AY15" s="59" t="str">
        <f t="shared" si="17"/>
        <v>تنبيه</v>
      </c>
      <c r="AZ15" s="62">
        <f>IF($A15="","",'sem1'!AW15)</f>
        <v>3.6378571428571429</v>
      </c>
      <c r="BA15" s="63">
        <f t="shared" si="18"/>
        <v>2.8582142857142858</v>
      </c>
      <c r="BC15" s="36" t="s">
        <v>68</v>
      </c>
      <c r="BD15" s="37" t="s">
        <v>25</v>
      </c>
      <c r="BE15" s="38" t="s">
        <v>89</v>
      </c>
      <c r="BF15" s="74" t="s">
        <v>141</v>
      </c>
      <c r="BG15" s="41">
        <f>SUMPRODUCT(($BA$10:$BA$509&gt;=6)*($BA$10:$BA$509&lt;7))</f>
        <v>6</v>
      </c>
    </row>
    <row r="16" spans="1:59" x14ac:dyDescent="0.25">
      <c r="A16" s="58">
        <f>IF(info!A22="","",info!A22)</f>
        <v>7</v>
      </c>
      <c r="B16" s="58">
        <f>IF($A16="","",info!B22)</f>
        <v>7</v>
      </c>
      <c r="C16" s="73" t="str">
        <f>IF($A16="","",info!C22)</f>
        <v>مصطفى</v>
      </c>
      <c r="D16" s="71">
        <f>IF($A16="","",info!G22)</f>
        <v>39815</v>
      </c>
      <c r="E16" s="78" t="str">
        <f>IF($A16="","",info!D22)</f>
        <v>ذ</v>
      </c>
      <c r="F16" s="35">
        <f>IF($A16="","",info!F22)</f>
        <v>0</v>
      </c>
      <c r="G16" s="7">
        <v>4</v>
      </c>
      <c r="H16" s="7">
        <v>4.5</v>
      </c>
      <c r="I16" s="13">
        <f t="shared" si="2"/>
        <v>4.25</v>
      </c>
      <c r="J16" s="7">
        <v>5</v>
      </c>
      <c r="K16" s="7">
        <v>5</v>
      </c>
      <c r="L16" s="13">
        <f t="shared" si="3"/>
        <v>5</v>
      </c>
      <c r="M16" s="7">
        <v>4</v>
      </c>
      <c r="N16" s="7">
        <v>4</v>
      </c>
      <c r="O16" s="13">
        <f t="shared" si="4"/>
        <v>4</v>
      </c>
      <c r="P16" s="7">
        <v>3</v>
      </c>
      <c r="Q16" s="7">
        <v>5.5</v>
      </c>
      <c r="R16" s="13">
        <f t="shared" si="5"/>
        <v>4.25</v>
      </c>
      <c r="S16" s="7">
        <v>4</v>
      </c>
      <c r="T16" s="7">
        <v>5</v>
      </c>
      <c r="U16" s="13">
        <f t="shared" si="6"/>
        <v>4.5</v>
      </c>
      <c r="V16" s="60">
        <f t="shared" si="7"/>
        <v>4.4000000000000004</v>
      </c>
      <c r="W16" s="7"/>
      <c r="X16" s="7"/>
      <c r="Y16" s="60" t="str">
        <f t="shared" si="8"/>
        <v/>
      </c>
      <c r="Z16" s="7">
        <v>4</v>
      </c>
      <c r="AA16" s="7">
        <v>4</v>
      </c>
      <c r="AB16" s="7">
        <f t="shared" si="9"/>
        <v>4</v>
      </c>
      <c r="AC16" s="7">
        <v>4.5</v>
      </c>
      <c r="AD16" s="60">
        <f t="shared" si="10"/>
        <v>4.125</v>
      </c>
      <c r="AE16" s="7">
        <v>6</v>
      </c>
      <c r="AF16" s="7">
        <v>8</v>
      </c>
      <c r="AG16" s="60">
        <f t="shared" si="11"/>
        <v>7</v>
      </c>
      <c r="AH16" s="7">
        <v>5.5</v>
      </c>
      <c r="AI16" s="7">
        <v>6.5</v>
      </c>
      <c r="AJ16" s="60">
        <f t="shared" si="12"/>
        <v>6</v>
      </c>
      <c r="AK16" s="7">
        <v>5.25</v>
      </c>
      <c r="AL16" s="7">
        <v>6.5</v>
      </c>
      <c r="AM16" s="60">
        <f t="shared" si="13"/>
        <v>5.875</v>
      </c>
      <c r="AN16" s="7">
        <v>3</v>
      </c>
      <c r="AO16" s="7">
        <v>8</v>
      </c>
      <c r="AP16" s="60">
        <f t="shared" si="14"/>
        <v>5.5</v>
      </c>
      <c r="AQ16" s="7">
        <v>6</v>
      </c>
      <c r="AR16" s="7">
        <v>7</v>
      </c>
      <c r="AS16" s="60">
        <f t="shared" si="15"/>
        <v>6.5</v>
      </c>
      <c r="AT16" s="61">
        <v>1</v>
      </c>
      <c r="AU16" s="14">
        <f>IF($A16="","",6+AT16+info!$P$3)</f>
        <v>7</v>
      </c>
      <c r="AV16" s="15">
        <f t="shared" si="0"/>
        <v>33.9</v>
      </c>
      <c r="AW16" s="16">
        <f t="shared" si="16"/>
        <v>4.8428571428571425</v>
      </c>
      <c r="AX16" s="17">
        <f t="shared" si="1"/>
        <v>10</v>
      </c>
      <c r="AY16" s="59" t="str">
        <f t="shared" si="17"/>
        <v>دون المتوسط</v>
      </c>
      <c r="AZ16" s="62">
        <f>IF($A16="","",'sem1'!AW16)</f>
        <v>4.3328571428571427</v>
      </c>
      <c r="BA16" s="63">
        <f t="shared" si="18"/>
        <v>4.5878571428571426</v>
      </c>
      <c r="BC16" s="43">
        <f>SUMPRODUCT(($BA$10:$BA$509&lt;$BB$10)*($E$10:$E$509="أ"))</f>
        <v>10</v>
      </c>
      <c r="BD16" s="44">
        <f>SUMPRODUCT(($BA$10:$BA$509&lt;$BB$10)*($E$10:$E$509="ذ"))</f>
        <v>6</v>
      </c>
      <c r="BE16" s="39">
        <f>SUM(BC16+BD16)</f>
        <v>16</v>
      </c>
      <c r="BF16" s="74" t="s">
        <v>142</v>
      </c>
      <c r="BG16" s="41">
        <f>SUMPRODUCT(($BA$10:$BA$509&gt;=7)*($BA$10:$BA$509&lt;8))</f>
        <v>0</v>
      </c>
    </row>
    <row r="17" spans="1:59" x14ac:dyDescent="0.25">
      <c r="A17" s="58">
        <f>IF(info!A23="","",info!A23)</f>
        <v>8</v>
      </c>
      <c r="B17" s="58">
        <f>IF($A17="","",info!B23)</f>
        <v>8</v>
      </c>
      <c r="C17" s="73" t="str">
        <f>IF($A17="","",info!C23)</f>
        <v>فريد</v>
      </c>
      <c r="D17" s="71">
        <f>IF($A17="","",info!G23)</f>
        <v>39656</v>
      </c>
      <c r="E17" s="78" t="str">
        <f>IF($A17="","",info!D23)</f>
        <v>ذ</v>
      </c>
      <c r="F17" s="35">
        <f>IF($A17="","",info!F23)</f>
        <v>0</v>
      </c>
      <c r="G17" s="7">
        <v>6.75</v>
      </c>
      <c r="H17" s="7">
        <v>6.5</v>
      </c>
      <c r="I17" s="13">
        <f t="shared" si="2"/>
        <v>6.625</v>
      </c>
      <c r="J17" s="7">
        <v>7</v>
      </c>
      <c r="K17" s="7">
        <v>8</v>
      </c>
      <c r="L17" s="13">
        <f t="shared" si="3"/>
        <v>7.5</v>
      </c>
      <c r="M17" s="7">
        <v>6</v>
      </c>
      <c r="N17" s="7">
        <v>7</v>
      </c>
      <c r="O17" s="13">
        <f t="shared" si="4"/>
        <v>6.5</v>
      </c>
      <c r="P17" s="7">
        <v>7.5</v>
      </c>
      <c r="Q17" s="7">
        <v>7</v>
      </c>
      <c r="R17" s="13">
        <f t="shared" si="5"/>
        <v>7.25</v>
      </c>
      <c r="S17" s="7">
        <v>7</v>
      </c>
      <c r="T17" s="7">
        <v>7</v>
      </c>
      <c r="U17" s="13">
        <f t="shared" si="6"/>
        <v>7</v>
      </c>
      <c r="V17" s="60">
        <f t="shared" si="7"/>
        <v>6.9749999999999996</v>
      </c>
      <c r="W17" s="7"/>
      <c r="X17" s="7"/>
      <c r="Y17" s="60" t="str">
        <f t="shared" si="8"/>
        <v/>
      </c>
      <c r="Z17" s="7">
        <v>6.5</v>
      </c>
      <c r="AA17" s="7">
        <v>6.75</v>
      </c>
      <c r="AB17" s="7">
        <f t="shared" si="9"/>
        <v>6.625</v>
      </c>
      <c r="AC17" s="7">
        <v>7</v>
      </c>
      <c r="AD17" s="60">
        <f t="shared" si="10"/>
        <v>6.71875</v>
      </c>
      <c r="AE17" s="7">
        <v>8</v>
      </c>
      <c r="AF17" s="7">
        <v>8.75</v>
      </c>
      <c r="AG17" s="60">
        <f t="shared" si="11"/>
        <v>8.375</v>
      </c>
      <c r="AH17" s="7">
        <v>8</v>
      </c>
      <c r="AI17" s="7">
        <v>7.5</v>
      </c>
      <c r="AJ17" s="60">
        <f t="shared" si="12"/>
        <v>7.75</v>
      </c>
      <c r="AK17" s="7">
        <v>10</v>
      </c>
      <c r="AL17" s="7">
        <v>9.3800000000000008</v>
      </c>
      <c r="AM17" s="60">
        <f t="shared" si="13"/>
        <v>9.6900000000000013</v>
      </c>
      <c r="AN17" s="7">
        <v>7.5</v>
      </c>
      <c r="AO17" s="7">
        <v>8.75</v>
      </c>
      <c r="AP17" s="60">
        <f t="shared" si="14"/>
        <v>8.125</v>
      </c>
      <c r="AQ17" s="7">
        <v>6.5</v>
      </c>
      <c r="AR17" s="7">
        <v>7.5</v>
      </c>
      <c r="AS17" s="60">
        <f t="shared" si="15"/>
        <v>7</v>
      </c>
      <c r="AT17" s="61">
        <v>1</v>
      </c>
      <c r="AU17" s="14">
        <f>IF($A17="","",6+AT17+info!$P$3)</f>
        <v>7</v>
      </c>
      <c r="AV17" s="15">
        <f t="shared" si="0"/>
        <v>46.508750000000006</v>
      </c>
      <c r="AW17" s="16">
        <f t="shared" si="16"/>
        <v>6.6441071428571439</v>
      </c>
      <c r="AX17" s="17">
        <f t="shared" si="1"/>
        <v>2</v>
      </c>
      <c r="AY17" s="59" t="str">
        <f t="shared" si="17"/>
        <v>لوحة الشرف</v>
      </c>
      <c r="AZ17" s="62">
        <f>IF($A17="","",'sem1'!AW17)</f>
        <v>6.2010714285714288</v>
      </c>
      <c r="BA17" s="63">
        <f t="shared" si="18"/>
        <v>6.4225892857142863</v>
      </c>
      <c r="BC17" s="187" t="s">
        <v>92</v>
      </c>
      <c r="BD17" s="187"/>
      <c r="BE17" s="187"/>
      <c r="BF17" s="74" t="s">
        <v>143</v>
      </c>
      <c r="BG17" s="41">
        <f>SUMPRODUCT(($BA$10:$BA$509&gt;=8)*($BA$10:$BA$509&lt;9))</f>
        <v>0</v>
      </c>
    </row>
    <row r="18" spans="1:59" x14ac:dyDescent="0.25">
      <c r="A18" s="58">
        <f>IF(info!A24="","",info!A24)</f>
        <v>9</v>
      </c>
      <c r="B18" s="58">
        <f>IF($A18="","",info!B24)</f>
        <v>9</v>
      </c>
      <c r="C18" s="73" t="str">
        <f>IF($A18="","",info!C24)</f>
        <v>كمال</v>
      </c>
      <c r="D18" s="71">
        <f>IF($A18="","",info!G24)</f>
        <v>39645</v>
      </c>
      <c r="E18" s="78" t="str">
        <f>IF($A18="","",info!D24)</f>
        <v>ذ</v>
      </c>
      <c r="F18" s="35">
        <f>IF($A18="","",info!F24)</f>
        <v>0</v>
      </c>
      <c r="G18" s="7">
        <v>6.5</v>
      </c>
      <c r="H18" s="7">
        <v>7.5</v>
      </c>
      <c r="I18" s="13">
        <f t="shared" si="2"/>
        <v>7</v>
      </c>
      <c r="J18" s="7">
        <v>7</v>
      </c>
      <c r="K18" s="7">
        <v>7.5</v>
      </c>
      <c r="L18" s="13">
        <f t="shared" si="3"/>
        <v>7.25</v>
      </c>
      <c r="M18" s="7">
        <v>6</v>
      </c>
      <c r="N18" s="7">
        <v>8.5</v>
      </c>
      <c r="O18" s="13">
        <f t="shared" si="4"/>
        <v>7.25</v>
      </c>
      <c r="P18" s="7">
        <v>6.75</v>
      </c>
      <c r="Q18" s="7">
        <v>8</v>
      </c>
      <c r="R18" s="13">
        <f t="shared" si="5"/>
        <v>7.375</v>
      </c>
      <c r="S18" s="7">
        <v>6</v>
      </c>
      <c r="T18" s="7">
        <v>7</v>
      </c>
      <c r="U18" s="13">
        <f t="shared" si="6"/>
        <v>6.5</v>
      </c>
      <c r="V18" s="60">
        <f t="shared" si="7"/>
        <v>7.0750000000000002</v>
      </c>
      <c r="W18" s="7"/>
      <c r="X18" s="7"/>
      <c r="Y18" s="60" t="str">
        <f t="shared" si="8"/>
        <v/>
      </c>
      <c r="Z18" s="7">
        <v>6.5</v>
      </c>
      <c r="AA18" s="7">
        <v>7.5</v>
      </c>
      <c r="AB18" s="7">
        <f t="shared" si="9"/>
        <v>7</v>
      </c>
      <c r="AC18" s="7">
        <v>8</v>
      </c>
      <c r="AD18" s="60">
        <f t="shared" si="10"/>
        <v>7.25</v>
      </c>
      <c r="AE18" s="7">
        <v>9.75</v>
      </c>
      <c r="AF18" s="7">
        <v>7.5</v>
      </c>
      <c r="AG18" s="60">
        <f t="shared" si="11"/>
        <v>8.625</v>
      </c>
      <c r="AH18" s="7">
        <v>6.75</v>
      </c>
      <c r="AI18" s="7">
        <v>7.5</v>
      </c>
      <c r="AJ18" s="60">
        <f t="shared" si="12"/>
        <v>7.125</v>
      </c>
      <c r="AK18" s="7">
        <v>9</v>
      </c>
      <c r="AL18" s="7">
        <v>9.25</v>
      </c>
      <c r="AM18" s="60">
        <f t="shared" si="13"/>
        <v>9.125</v>
      </c>
      <c r="AN18" s="7">
        <v>6.75</v>
      </c>
      <c r="AO18" s="7">
        <v>7.5</v>
      </c>
      <c r="AP18" s="60">
        <f t="shared" si="14"/>
        <v>7.125</v>
      </c>
      <c r="AQ18" s="7">
        <v>6</v>
      </c>
      <c r="AR18" s="7">
        <v>8</v>
      </c>
      <c r="AS18" s="60">
        <f t="shared" si="15"/>
        <v>7</v>
      </c>
      <c r="AT18" s="61">
        <v>1</v>
      </c>
      <c r="AU18" s="14">
        <f>IF($A18="","",6+AT18+info!$P$3)</f>
        <v>7</v>
      </c>
      <c r="AV18" s="15">
        <f t="shared" si="0"/>
        <v>46.2</v>
      </c>
      <c r="AW18" s="16">
        <f t="shared" si="16"/>
        <v>6.6000000000000005</v>
      </c>
      <c r="AX18" s="17">
        <f t="shared" si="1"/>
        <v>3</v>
      </c>
      <c r="AY18" s="59" t="str">
        <f t="shared" si="17"/>
        <v>لوحة الشرف</v>
      </c>
      <c r="AZ18" s="62">
        <f>IF($A18="","",'sem1'!AW18)</f>
        <v>6.6400000000000006</v>
      </c>
      <c r="BA18" s="63">
        <f t="shared" si="18"/>
        <v>6.620000000000001</v>
      </c>
      <c r="BC18" s="188">
        <f>BE16*100/BE19</f>
        <v>64</v>
      </c>
      <c r="BD18" s="188"/>
      <c r="BE18" s="188"/>
      <c r="BF18" s="74" t="s">
        <v>144</v>
      </c>
      <c r="BG18" s="41">
        <f>SUMPRODUCT(($BA$10:$BA$509&gt;=9)*($BA$10:$BA$509&lt;10))</f>
        <v>0</v>
      </c>
    </row>
    <row r="19" spans="1:59" x14ac:dyDescent="0.25">
      <c r="A19" s="58">
        <f>IF(info!A25="","",info!A25)</f>
        <v>10</v>
      </c>
      <c r="B19" s="58">
        <f>IF($A19="","",info!B25)</f>
        <v>10</v>
      </c>
      <c r="C19" s="73" t="str">
        <f>IF($A19="","",info!C25)</f>
        <v>لبنى</v>
      </c>
      <c r="D19" s="71">
        <f>IF($A19="","",info!G25)</f>
        <v>39887</v>
      </c>
      <c r="E19" s="78" t="str">
        <f>IF($A19="","",info!D25)</f>
        <v>أ</v>
      </c>
      <c r="F19" s="35">
        <f>IF($A19="","",info!F25)</f>
        <v>0</v>
      </c>
      <c r="G19" s="7">
        <v>3.5</v>
      </c>
      <c r="H19" s="7">
        <v>3</v>
      </c>
      <c r="I19" s="13">
        <f t="shared" si="2"/>
        <v>3.25</v>
      </c>
      <c r="J19" s="7">
        <v>4</v>
      </c>
      <c r="K19" s="7">
        <v>4</v>
      </c>
      <c r="L19" s="13">
        <f t="shared" si="3"/>
        <v>4</v>
      </c>
      <c r="M19" s="7">
        <v>5</v>
      </c>
      <c r="N19" s="7">
        <v>4</v>
      </c>
      <c r="O19" s="13">
        <f t="shared" si="4"/>
        <v>4.5</v>
      </c>
      <c r="P19" s="7">
        <v>3</v>
      </c>
      <c r="Q19" s="7">
        <v>2</v>
      </c>
      <c r="R19" s="13">
        <f t="shared" si="5"/>
        <v>2.5</v>
      </c>
      <c r="S19" s="7">
        <v>5</v>
      </c>
      <c r="T19" s="7">
        <v>4</v>
      </c>
      <c r="U19" s="13">
        <f t="shared" si="6"/>
        <v>4.5</v>
      </c>
      <c r="V19" s="60">
        <f t="shared" si="7"/>
        <v>3.75</v>
      </c>
      <c r="W19" s="7"/>
      <c r="X19" s="7"/>
      <c r="Y19" s="60" t="str">
        <f t="shared" si="8"/>
        <v/>
      </c>
      <c r="Z19" s="7">
        <v>4</v>
      </c>
      <c r="AA19" s="7">
        <v>1</v>
      </c>
      <c r="AB19" s="7">
        <f t="shared" si="9"/>
        <v>2.5</v>
      </c>
      <c r="AC19" s="7">
        <v>6.25</v>
      </c>
      <c r="AD19" s="60">
        <f t="shared" si="10"/>
        <v>3.4375</v>
      </c>
      <c r="AE19" s="7">
        <v>4.75</v>
      </c>
      <c r="AF19" s="7">
        <v>2</v>
      </c>
      <c r="AG19" s="60">
        <f t="shared" si="11"/>
        <v>3.375</v>
      </c>
      <c r="AH19" s="7">
        <v>4</v>
      </c>
      <c r="AI19" s="7">
        <v>1</v>
      </c>
      <c r="AJ19" s="60">
        <f t="shared" si="12"/>
        <v>2.5</v>
      </c>
      <c r="AK19" s="7">
        <v>4.5</v>
      </c>
      <c r="AL19" s="7">
        <v>2</v>
      </c>
      <c r="AM19" s="60">
        <f t="shared" si="13"/>
        <v>3.25</v>
      </c>
      <c r="AN19" s="7">
        <v>3</v>
      </c>
      <c r="AO19" s="7">
        <v>2</v>
      </c>
      <c r="AP19" s="60">
        <f t="shared" si="14"/>
        <v>2.5</v>
      </c>
      <c r="AQ19" s="7">
        <v>6</v>
      </c>
      <c r="AR19" s="7">
        <v>4</v>
      </c>
      <c r="AS19" s="60">
        <f t="shared" si="15"/>
        <v>5</v>
      </c>
      <c r="AT19" s="61">
        <v>1</v>
      </c>
      <c r="AU19" s="14">
        <f>IF($A19="","",6+AT19+info!$P$3)</f>
        <v>7</v>
      </c>
      <c r="AV19" s="15">
        <f t="shared" si="0"/>
        <v>21.3125</v>
      </c>
      <c r="AW19" s="16">
        <f t="shared" si="16"/>
        <v>3.0446428571428572</v>
      </c>
      <c r="AX19" s="17">
        <f t="shared" si="1"/>
        <v>20</v>
      </c>
      <c r="AY19" s="59" t="str">
        <f t="shared" si="17"/>
        <v>ناقص</v>
      </c>
      <c r="AZ19" s="62">
        <f>IF($A19="","",'sem1'!AW19)</f>
        <v>4.0285714285714285</v>
      </c>
      <c r="BA19" s="63">
        <f t="shared" si="18"/>
        <v>3.5366071428571431</v>
      </c>
      <c r="BC19" s="206" t="s">
        <v>89</v>
      </c>
      <c r="BD19" s="207"/>
      <c r="BE19" s="42">
        <f>SUM(BE10,BE16)</f>
        <v>25</v>
      </c>
      <c r="BF19" s="74" t="s">
        <v>96</v>
      </c>
      <c r="BG19" s="41">
        <f>SUMPRODUCT(($BA$10:$BA$509=10))</f>
        <v>0</v>
      </c>
    </row>
    <row r="20" spans="1:59" x14ac:dyDescent="0.25">
      <c r="A20" s="58">
        <f>IF(info!A26="","",info!A26)</f>
        <v>11</v>
      </c>
      <c r="B20" s="58">
        <f>IF($A20="","",info!B26)</f>
        <v>11</v>
      </c>
      <c r="C20" s="73" t="str">
        <f>IF($A20="","",info!C26)</f>
        <v>أحمد</v>
      </c>
      <c r="D20" s="71">
        <f>IF($A20="","",info!G26)</f>
        <v>39642</v>
      </c>
      <c r="E20" s="78" t="str">
        <f>IF($A20="","",info!D26)</f>
        <v>ذ</v>
      </c>
      <c r="F20" s="35">
        <f>IF($A20="","",info!F26)</f>
        <v>0</v>
      </c>
      <c r="G20" s="7">
        <v>6.5</v>
      </c>
      <c r="H20" s="7">
        <v>7</v>
      </c>
      <c r="I20" s="13">
        <f t="shared" si="2"/>
        <v>6.75</v>
      </c>
      <c r="J20" s="7">
        <v>8</v>
      </c>
      <c r="K20" s="7">
        <v>8.5</v>
      </c>
      <c r="L20" s="13">
        <f t="shared" si="3"/>
        <v>8.25</v>
      </c>
      <c r="M20" s="7">
        <v>7</v>
      </c>
      <c r="N20" s="7">
        <v>9</v>
      </c>
      <c r="O20" s="13">
        <f t="shared" si="4"/>
        <v>8</v>
      </c>
      <c r="P20" s="7">
        <v>6.75</v>
      </c>
      <c r="Q20" s="7">
        <v>7.5</v>
      </c>
      <c r="R20" s="13">
        <f t="shared" si="5"/>
        <v>7.125</v>
      </c>
      <c r="S20" s="7">
        <v>8</v>
      </c>
      <c r="T20" s="7">
        <v>8.5</v>
      </c>
      <c r="U20" s="13">
        <f t="shared" si="6"/>
        <v>8.25</v>
      </c>
      <c r="V20" s="60">
        <f t="shared" si="7"/>
        <v>7.6749999999999998</v>
      </c>
      <c r="W20" s="7"/>
      <c r="X20" s="7"/>
      <c r="Y20" s="60" t="str">
        <f t="shared" si="8"/>
        <v/>
      </c>
      <c r="Z20" s="7">
        <v>6.5</v>
      </c>
      <c r="AA20" s="7">
        <v>7</v>
      </c>
      <c r="AB20" s="7">
        <f t="shared" si="9"/>
        <v>6.75</v>
      </c>
      <c r="AC20" s="7">
        <v>7.25</v>
      </c>
      <c r="AD20" s="60">
        <f t="shared" si="10"/>
        <v>6.875</v>
      </c>
      <c r="AE20" s="7">
        <v>6</v>
      </c>
      <c r="AF20" s="7">
        <v>6.5</v>
      </c>
      <c r="AG20" s="60">
        <f t="shared" si="11"/>
        <v>6.25</v>
      </c>
      <c r="AH20" s="7">
        <v>7.25</v>
      </c>
      <c r="AI20" s="7">
        <v>5</v>
      </c>
      <c r="AJ20" s="60">
        <f t="shared" si="12"/>
        <v>6.125</v>
      </c>
      <c r="AK20" s="7">
        <v>7.75</v>
      </c>
      <c r="AL20" s="7">
        <v>9.25</v>
      </c>
      <c r="AM20" s="60">
        <f t="shared" si="13"/>
        <v>8.5</v>
      </c>
      <c r="AN20" s="7">
        <v>6.75</v>
      </c>
      <c r="AO20" s="7">
        <v>6.5</v>
      </c>
      <c r="AP20" s="60">
        <f t="shared" si="14"/>
        <v>6.625</v>
      </c>
      <c r="AQ20" s="7">
        <v>7</v>
      </c>
      <c r="AR20" s="7">
        <v>7.5</v>
      </c>
      <c r="AS20" s="60">
        <f t="shared" si="15"/>
        <v>7.25</v>
      </c>
      <c r="AT20" s="61">
        <v>1</v>
      </c>
      <c r="AU20" s="14">
        <f>IF($A20="","",6+AT20+info!$P$3)</f>
        <v>7</v>
      </c>
      <c r="AV20" s="15">
        <f t="shared" si="0"/>
        <v>42.674999999999997</v>
      </c>
      <c r="AW20" s="16">
        <f t="shared" si="16"/>
        <v>6.0964285714285706</v>
      </c>
      <c r="AX20" s="17">
        <f t="shared" si="1"/>
        <v>6</v>
      </c>
      <c r="AY20" s="59" t="str">
        <f t="shared" si="17"/>
        <v>لوحة الشرف</v>
      </c>
      <c r="AZ20" s="62">
        <f>IF($A20="","",'sem1'!AW20)</f>
        <v>5.99</v>
      </c>
      <c r="BA20" s="63">
        <f t="shared" si="18"/>
        <v>6.043214285714285</v>
      </c>
    </row>
    <row r="21" spans="1:59" x14ac:dyDescent="0.25">
      <c r="A21" s="58">
        <f>IF(info!A27="","",info!A27)</f>
        <v>12</v>
      </c>
      <c r="B21" s="58">
        <f>IF($A21="","",info!B27)</f>
        <v>12</v>
      </c>
      <c r="C21" s="73" t="str">
        <f>IF($A21="","",info!C27)</f>
        <v>سلمان</v>
      </c>
      <c r="D21" s="71">
        <f>IF($A21="","",info!G27)</f>
        <v>39447</v>
      </c>
      <c r="E21" s="78" t="str">
        <f>IF($A21="","",info!D27)</f>
        <v>ذ</v>
      </c>
      <c r="F21" s="35">
        <f>IF($A21="","",info!F27)</f>
        <v>0</v>
      </c>
      <c r="G21" s="7">
        <v>7.25</v>
      </c>
      <c r="H21" s="7">
        <v>8.5</v>
      </c>
      <c r="I21" s="13">
        <f t="shared" si="2"/>
        <v>7.875</v>
      </c>
      <c r="J21" s="7">
        <v>8</v>
      </c>
      <c r="K21" s="7">
        <v>8.5</v>
      </c>
      <c r="L21" s="13">
        <f t="shared" si="3"/>
        <v>8.25</v>
      </c>
      <c r="M21" s="7">
        <v>7</v>
      </c>
      <c r="N21" s="7">
        <v>9.5</v>
      </c>
      <c r="O21" s="13">
        <f t="shared" si="4"/>
        <v>8.25</v>
      </c>
      <c r="P21" s="7">
        <v>8.5</v>
      </c>
      <c r="Q21" s="7">
        <v>8.5</v>
      </c>
      <c r="R21" s="13">
        <f t="shared" si="5"/>
        <v>8.5</v>
      </c>
      <c r="S21" s="7">
        <v>8</v>
      </c>
      <c r="T21" s="7">
        <v>9</v>
      </c>
      <c r="U21" s="13">
        <f t="shared" si="6"/>
        <v>8.5</v>
      </c>
      <c r="V21" s="60">
        <f t="shared" si="7"/>
        <v>8.2750000000000004</v>
      </c>
      <c r="W21" s="7"/>
      <c r="X21" s="7"/>
      <c r="Y21" s="60" t="str">
        <f t="shared" si="8"/>
        <v/>
      </c>
      <c r="Z21" s="7">
        <v>7</v>
      </c>
      <c r="AA21" s="7">
        <v>8</v>
      </c>
      <c r="AB21" s="7">
        <f t="shared" si="9"/>
        <v>7.5</v>
      </c>
      <c r="AC21" s="7">
        <v>8.5</v>
      </c>
      <c r="AD21" s="60">
        <f t="shared" si="10"/>
        <v>7.75</v>
      </c>
      <c r="AE21" s="7">
        <v>8</v>
      </c>
      <c r="AF21" s="7">
        <v>10</v>
      </c>
      <c r="AG21" s="60">
        <f t="shared" si="11"/>
        <v>9</v>
      </c>
      <c r="AH21" s="7">
        <v>8.5</v>
      </c>
      <c r="AI21" s="7">
        <v>8.5</v>
      </c>
      <c r="AJ21" s="60">
        <f t="shared" si="12"/>
        <v>8.5</v>
      </c>
      <c r="AK21" s="7">
        <v>9.25</v>
      </c>
      <c r="AL21" s="7">
        <v>9.3800000000000008</v>
      </c>
      <c r="AM21" s="60">
        <f t="shared" si="13"/>
        <v>9.3150000000000013</v>
      </c>
      <c r="AN21" s="7">
        <v>8.5</v>
      </c>
      <c r="AO21" s="7">
        <v>10</v>
      </c>
      <c r="AP21" s="60">
        <f t="shared" si="14"/>
        <v>9.25</v>
      </c>
      <c r="AQ21" s="7">
        <v>7</v>
      </c>
      <c r="AR21" s="7">
        <v>8</v>
      </c>
      <c r="AS21" s="60">
        <f t="shared" si="15"/>
        <v>7.5</v>
      </c>
      <c r="AT21" s="61">
        <v>1</v>
      </c>
      <c r="AU21" s="14">
        <f>IF($A21="","",6+AT21+info!$P$3)</f>
        <v>7</v>
      </c>
      <c r="AV21" s="15">
        <f t="shared" si="0"/>
        <v>50.34</v>
      </c>
      <c r="AW21" s="16">
        <f t="shared" si="16"/>
        <v>7.1914285714285722</v>
      </c>
      <c r="AX21" s="17">
        <f t="shared" si="1"/>
        <v>1</v>
      </c>
      <c r="AY21" s="59" t="str">
        <f t="shared" si="17"/>
        <v xml:space="preserve">تشجيع </v>
      </c>
      <c r="AZ21" s="62">
        <f>IF($A21="","",'sem1'!AW21)</f>
        <v>6.609285714285714</v>
      </c>
      <c r="BA21" s="63">
        <f t="shared" si="18"/>
        <v>6.9003571428571426</v>
      </c>
      <c r="BF21" s="40" t="s">
        <v>89</v>
      </c>
      <c r="BG21" s="41">
        <f>SUM(BG10:BG19)</f>
        <v>25</v>
      </c>
    </row>
    <row r="22" spans="1:59" x14ac:dyDescent="0.25">
      <c r="A22" s="58">
        <f>IF(info!A28="","",info!A28)</f>
        <v>13</v>
      </c>
      <c r="B22" s="58">
        <f>IF($A22="","",info!B28)</f>
        <v>13</v>
      </c>
      <c r="C22" s="73" t="str">
        <f>IF($A22="","",info!C28)</f>
        <v>مروة</v>
      </c>
      <c r="D22" s="71">
        <f>IF($A22="","",info!G28)</f>
        <v>39545</v>
      </c>
      <c r="E22" s="78" t="str">
        <f>IF($A22="","",info!D28)</f>
        <v>أ</v>
      </c>
      <c r="F22" s="35">
        <f>IF($A22="","",info!F28)</f>
        <v>0</v>
      </c>
      <c r="G22" s="7">
        <v>3</v>
      </c>
      <c r="H22" s="7">
        <v>4</v>
      </c>
      <c r="I22" s="13">
        <f t="shared" si="2"/>
        <v>3.5</v>
      </c>
      <c r="J22" s="7">
        <v>6</v>
      </c>
      <c r="K22" s="7">
        <v>4.5</v>
      </c>
      <c r="L22" s="13">
        <f t="shared" si="3"/>
        <v>5.25</v>
      </c>
      <c r="M22" s="7">
        <v>4</v>
      </c>
      <c r="N22" s="7">
        <v>5</v>
      </c>
      <c r="O22" s="13">
        <f t="shared" si="4"/>
        <v>4.5</v>
      </c>
      <c r="P22" s="7">
        <v>4</v>
      </c>
      <c r="Q22" s="7">
        <v>4</v>
      </c>
      <c r="R22" s="13">
        <f t="shared" si="5"/>
        <v>4</v>
      </c>
      <c r="S22" s="7">
        <v>5</v>
      </c>
      <c r="T22" s="7">
        <v>5.5</v>
      </c>
      <c r="U22" s="13">
        <f t="shared" si="6"/>
        <v>5.25</v>
      </c>
      <c r="V22" s="60">
        <f t="shared" si="7"/>
        <v>4.5</v>
      </c>
      <c r="W22" s="7"/>
      <c r="X22" s="7"/>
      <c r="Y22" s="60" t="str">
        <f t="shared" si="8"/>
        <v/>
      </c>
      <c r="Z22" s="7">
        <v>4</v>
      </c>
      <c r="AA22" s="7">
        <v>4</v>
      </c>
      <c r="AB22" s="7">
        <f t="shared" si="9"/>
        <v>4</v>
      </c>
      <c r="AC22" s="7">
        <v>5.5</v>
      </c>
      <c r="AD22" s="60">
        <f t="shared" si="10"/>
        <v>4.375</v>
      </c>
      <c r="AE22" s="7">
        <v>3</v>
      </c>
      <c r="AF22" s="7">
        <v>8.5</v>
      </c>
      <c r="AG22" s="60">
        <f t="shared" si="11"/>
        <v>5.75</v>
      </c>
      <c r="AH22" s="7">
        <v>6.5</v>
      </c>
      <c r="AI22" s="7">
        <v>6.5</v>
      </c>
      <c r="AJ22" s="60">
        <f t="shared" si="12"/>
        <v>6.5</v>
      </c>
      <c r="AK22" s="7">
        <v>5.25</v>
      </c>
      <c r="AL22" s="7">
        <v>4.13</v>
      </c>
      <c r="AM22" s="60">
        <f t="shared" si="13"/>
        <v>4.6899999999999995</v>
      </c>
      <c r="AN22" s="7">
        <v>4</v>
      </c>
      <c r="AO22" s="7">
        <v>8.5</v>
      </c>
      <c r="AP22" s="60">
        <f t="shared" si="14"/>
        <v>6.25</v>
      </c>
      <c r="AQ22" s="7">
        <v>6.5</v>
      </c>
      <c r="AR22" s="7">
        <v>7</v>
      </c>
      <c r="AS22" s="60">
        <f t="shared" si="15"/>
        <v>6.75</v>
      </c>
      <c r="AT22" s="61">
        <v>1</v>
      </c>
      <c r="AU22" s="14">
        <f>IF($A22="","",6+AT22+info!$P$3)</f>
        <v>7</v>
      </c>
      <c r="AV22" s="15">
        <f t="shared" si="0"/>
        <v>32.564999999999998</v>
      </c>
      <c r="AW22" s="16">
        <f t="shared" si="16"/>
        <v>4.6521428571428567</v>
      </c>
      <c r="AX22" s="17">
        <f t="shared" si="1"/>
        <v>13</v>
      </c>
      <c r="AY22" s="59" t="str">
        <f t="shared" si="17"/>
        <v>دون المتوسط</v>
      </c>
      <c r="AZ22" s="62">
        <f>IF($A22="","",'sem1'!AW22)</f>
        <v>4.2364285714285712</v>
      </c>
      <c r="BA22" s="63">
        <f t="shared" si="18"/>
        <v>4.444285714285714</v>
      </c>
    </row>
    <row r="23" spans="1:59" x14ac:dyDescent="0.25">
      <c r="A23" s="58">
        <f>IF(info!A29="","",info!A29)</f>
        <v>14</v>
      </c>
      <c r="B23" s="58">
        <f>IF($A23="","",info!B29)</f>
        <v>14</v>
      </c>
      <c r="C23" s="73" t="str">
        <f>IF($A23="","",info!C29)</f>
        <v>خالد</v>
      </c>
      <c r="D23" s="71">
        <f>IF($A23="","",info!G29)</f>
        <v>39552</v>
      </c>
      <c r="E23" s="78" t="str">
        <f>IF($A23="","",info!D29)</f>
        <v>ذ</v>
      </c>
      <c r="F23" s="35">
        <f>IF($A23="","",info!F29)</f>
        <v>0</v>
      </c>
      <c r="G23" s="7">
        <v>7</v>
      </c>
      <c r="H23" s="7">
        <v>7</v>
      </c>
      <c r="I23" s="13">
        <f t="shared" si="2"/>
        <v>7</v>
      </c>
      <c r="J23" s="7">
        <v>6.5</v>
      </c>
      <c r="K23" s="7">
        <v>7</v>
      </c>
      <c r="L23" s="13">
        <f t="shared" si="3"/>
        <v>6.75</v>
      </c>
      <c r="M23" s="7">
        <v>6</v>
      </c>
      <c r="N23" s="7">
        <v>7.5</v>
      </c>
      <c r="O23" s="13">
        <f t="shared" si="4"/>
        <v>6.75</v>
      </c>
      <c r="P23" s="7">
        <v>7.5</v>
      </c>
      <c r="Q23" s="7">
        <v>7.25</v>
      </c>
      <c r="R23" s="13">
        <f t="shared" si="5"/>
        <v>7.375</v>
      </c>
      <c r="S23" s="7">
        <v>6</v>
      </c>
      <c r="T23" s="7">
        <v>7.5</v>
      </c>
      <c r="U23" s="13">
        <f t="shared" si="6"/>
        <v>6.75</v>
      </c>
      <c r="V23" s="60">
        <f t="shared" si="7"/>
        <v>6.9249999999999998</v>
      </c>
      <c r="W23" s="7"/>
      <c r="X23" s="7"/>
      <c r="Y23" s="60" t="str">
        <f t="shared" si="8"/>
        <v/>
      </c>
      <c r="Z23" s="7">
        <v>6.5</v>
      </c>
      <c r="AA23" s="7">
        <v>7</v>
      </c>
      <c r="AB23" s="7">
        <f t="shared" si="9"/>
        <v>6.75</v>
      </c>
      <c r="AC23" s="7">
        <v>7</v>
      </c>
      <c r="AD23" s="60">
        <f t="shared" si="10"/>
        <v>6.8125</v>
      </c>
      <c r="AE23" s="7">
        <v>5</v>
      </c>
      <c r="AF23" s="7">
        <v>5.5</v>
      </c>
      <c r="AG23" s="60">
        <f t="shared" si="11"/>
        <v>5.25</v>
      </c>
      <c r="AH23" s="7">
        <v>8</v>
      </c>
      <c r="AI23" s="7">
        <v>7.5</v>
      </c>
      <c r="AJ23" s="60">
        <f t="shared" si="12"/>
        <v>7.75</v>
      </c>
      <c r="AK23" s="7">
        <v>9</v>
      </c>
      <c r="AL23" s="7">
        <v>8.5</v>
      </c>
      <c r="AM23" s="60">
        <f t="shared" si="13"/>
        <v>8.75</v>
      </c>
      <c r="AN23" s="7">
        <v>7.5</v>
      </c>
      <c r="AO23" s="7">
        <v>5.5</v>
      </c>
      <c r="AP23" s="60">
        <f t="shared" si="14"/>
        <v>6.5</v>
      </c>
      <c r="AQ23" s="7">
        <v>6.75</v>
      </c>
      <c r="AR23" s="7">
        <v>8</v>
      </c>
      <c r="AS23" s="60">
        <f t="shared" si="15"/>
        <v>7.375</v>
      </c>
      <c r="AT23" s="61">
        <v>1</v>
      </c>
      <c r="AU23" s="14">
        <f>IF($A23="","",6+AT23+info!$P$3)</f>
        <v>7</v>
      </c>
      <c r="AV23" s="15">
        <f t="shared" si="0"/>
        <v>42.862499999999997</v>
      </c>
      <c r="AW23" s="16">
        <f t="shared" si="16"/>
        <v>6.1232142857142851</v>
      </c>
      <c r="AX23" s="17">
        <f t="shared" si="1"/>
        <v>5</v>
      </c>
      <c r="AY23" s="59" t="str">
        <f t="shared" si="17"/>
        <v>لوحة الشرف</v>
      </c>
      <c r="AZ23" s="62">
        <f>IF($A23="","",'sem1'!AW23)</f>
        <v>5.6164285714285711</v>
      </c>
      <c r="BA23" s="63">
        <f t="shared" si="18"/>
        <v>5.8698214285714281</v>
      </c>
    </row>
    <row r="24" spans="1:59" x14ac:dyDescent="0.25">
      <c r="A24" s="58">
        <f>IF(info!A30="","",info!A30)</f>
        <v>15</v>
      </c>
      <c r="B24" s="58">
        <f>IF($A24="","",info!B30)</f>
        <v>15</v>
      </c>
      <c r="C24" s="73" t="str">
        <f>IF($A24="","",info!C30)</f>
        <v>سفيان</v>
      </c>
      <c r="D24" s="71">
        <f>IF($A24="","",info!G30)</f>
        <v>39673</v>
      </c>
      <c r="E24" s="78" t="str">
        <f>IF($A24="","",info!D30)</f>
        <v>ذ</v>
      </c>
      <c r="F24" s="35">
        <f>IF($A24="","",info!F30)</f>
        <v>0</v>
      </c>
      <c r="G24" s="7">
        <v>4</v>
      </c>
      <c r="H24" s="7">
        <v>4.5</v>
      </c>
      <c r="I24" s="13">
        <f t="shared" si="2"/>
        <v>4.25</v>
      </c>
      <c r="J24" s="7">
        <v>6.5</v>
      </c>
      <c r="K24" s="7">
        <v>3.5</v>
      </c>
      <c r="L24" s="13">
        <f t="shared" si="3"/>
        <v>5</v>
      </c>
      <c r="M24" s="7">
        <v>6</v>
      </c>
      <c r="N24" s="7">
        <v>6</v>
      </c>
      <c r="O24" s="13">
        <f t="shared" si="4"/>
        <v>6</v>
      </c>
      <c r="P24" s="7">
        <v>4</v>
      </c>
      <c r="Q24" s="7">
        <v>4</v>
      </c>
      <c r="R24" s="13">
        <f t="shared" si="5"/>
        <v>4</v>
      </c>
      <c r="S24" s="7">
        <v>6.5</v>
      </c>
      <c r="T24" s="7">
        <v>6</v>
      </c>
      <c r="U24" s="13">
        <f t="shared" si="6"/>
        <v>6.25</v>
      </c>
      <c r="V24" s="60">
        <f t="shared" si="7"/>
        <v>5.0999999999999996</v>
      </c>
      <c r="W24" s="7"/>
      <c r="X24" s="7"/>
      <c r="Y24" s="60" t="str">
        <f t="shared" si="8"/>
        <v/>
      </c>
      <c r="Z24" s="7">
        <v>5</v>
      </c>
      <c r="AA24" s="7">
        <v>4</v>
      </c>
      <c r="AB24" s="7">
        <f t="shared" si="9"/>
        <v>4.5</v>
      </c>
      <c r="AC24" s="7">
        <v>6.75</v>
      </c>
      <c r="AD24" s="60">
        <f t="shared" si="10"/>
        <v>5.0625</v>
      </c>
      <c r="AE24" s="7">
        <v>5</v>
      </c>
      <c r="AF24" s="7">
        <v>6.75</v>
      </c>
      <c r="AG24" s="60">
        <f t="shared" si="11"/>
        <v>5.875</v>
      </c>
      <c r="AH24" s="7">
        <v>6</v>
      </c>
      <c r="AI24" s="7">
        <v>6</v>
      </c>
      <c r="AJ24" s="60">
        <f t="shared" si="12"/>
        <v>6</v>
      </c>
      <c r="AK24" s="7">
        <v>3.75</v>
      </c>
      <c r="AL24" s="7">
        <v>5.13</v>
      </c>
      <c r="AM24" s="60">
        <f t="shared" si="13"/>
        <v>4.4399999999999995</v>
      </c>
      <c r="AN24" s="7">
        <v>4</v>
      </c>
      <c r="AO24" s="7">
        <v>6.75</v>
      </c>
      <c r="AP24" s="60">
        <f t="shared" si="14"/>
        <v>5.375</v>
      </c>
      <c r="AQ24" s="7">
        <v>6.5</v>
      </c>
      <c r="AR24" s="7">
        <v>6</v>
      </c>
      <c r="AS24" s="60">
        <f t="shared" si="15"/>
        <v>6.25</v>
      </c>
      <c r="AT24" s="61">
        <v>1</v>
      </c>
      <c r="AU24" s="14">
        <f>IF($A24="","",6+AT24+info!$P$3)</f>
        <v>7</v>
      </c>
      <c r="AV24" s="15">
        <f t="shared" si="0"/>
        <v>32.727499999999999</v>
      </c>
      <c r="AW24" s="16">
        <f t="shared" si="16"/>
        <v>4.675357142857143</v>
      </c>
      <c r="AX24" s="17">
        <f t="shared" si="1"/>
        <v>11</v>
      </c>
      <c r="AY24" s="59" t="str">
        <f t="shared" si="17"/>
        <v>دون المتوسط</v>
      </c>
      <c r="AZ24" s="62">
        <f>IF($A24="","",'sem1'!AW24)</f>
        <v>4.4221428571428572</v>
      </c>
      <c r="BA24" s="63">
        <f t="shared" si="18"/>
        <v>4.5487500000000001</v>
      </c>
    </row>
    <row r="25" spans="1:59" x14ac:dyDescent="0.25">
      <c r="A25" s="58">
        <f>IF(info!A31="","",info!A31)</f>
        <v>16</v>
      </c>
      <c r="B25" s="58">
        <f>IF($A25="","",info!B31)</f>
        <v>16</v>
      </c>
      <c r="C25" s="73" t="str">
        <f>IF($A25="","",info!C31)</f>
        <v>لمياء</v>
      </c>
      <c r="D25" s="71">
        <f>IF($A25="","",info!G31)</f>
        <v>39837</v>
      </c>
      <c r="E25" s="78" t="str">
        <f>IF($A25="","",info!D31)</f>
        <v>أ</v>
      </c>
      <c r="F25" s="35">
        <f>IF($A25="","",info!F31)</f>
        <v>0</v>
      </c>
      <c r="G25" s="7">
        <v>4.5</v>
      </c>
      <c r="H25" s="7">
        <v>6</v>
      </c>
      <c r="I25" s="13">
        <f t="shared" si="2"/>
        <v>5.25</v>
      </c>
      <c r="J25" s="7">
        <v>6</v>
      </c>
      <c r="K25" s="7">
        <v>7</v>
      </c>
      <c r="L25" s="13">
        <f t="shared" si="3"/>
        <v>6.5</v>
      </c>
      <c r="M25" s="7">
        <v>6.5</v>
      </c>
      <c r="N25" s="7">
        <v>6.5</v>
      </c>
      <c r="O25" s="13">
        <f t="shared" si="4"/>
        <v>6.5</v>
      </c>
      <c r="P25" s="7">
        <v>4</v>
      </c>
      <c r="Q25" s="7">
        <v>6</v>
      </c>
      <c r="R25" s="13">
        <f t="shared" si="5"/>
        <v>5</v>
      </c>
      <c r="S25" s="7">
        <v>6</v>
      </c>
      <c r="T25" s="7">
        <v>6.5</v>
      </c>
      <c r="U25" s="13">
        <f t="shared" si="6"/>
        <v>6.25</v>
      </c>
      <c r="V25" s="60">
        <f t="shared" si="7"/>
        <v>5.9</v>
      </c>
      <c r="W25" s="7"/>
      <c r="X25" s="7"/>
      <c r="Y25" s="60" t="str">
        <f t="shared" si="8"/>
        <v/>
      </c>
      <c r="Z25" s="7">
        <v>4</v>
      </c>
      <c r="AA25" s="7">
        <v>6.5</v>
      </c>
      <c r="AB25" s="7">
        <f t="shared" si="9"/>
        <v>5.25</v>
      </c>
      <c r="AC25" s="7">
        <v>6.5</v>
      </c>
      <c r="AD25" s="60">
        <f t="shared" si="10"/>
        <v>5.5625</v>
      </c>
      <c r="AE25" s="7">
        <v>8.5</v>
      </c>
      <c r="AF25" s="7">
        <v>7.5</v>
      </c>
      <c r="AG25" s="60">
        <f t="shared" si="11"/>
        <v>8</v>
      </c>
      <c r="AH25" s="7">
        <v>5.5</v>
      </c>
      <c r="AI25" s="7">
        <v>4</v>
      </c>
      <c r="AJ25" s="60">
        <f t="shared" si="12"/>
        <v>4.75</v>
      </c>
      <c r="AK25" s="7">
        <v>4.5</v>
      </c>
      <c r="AL25" s="7">
        <v>5.38</v>
      </c>
      <c r="AM25" s="60">
        <f t="shared" si="13"/>
        <v>4.9399999999999995</v>
      </c>
      <c r="AN25" s="7">
        <v>4</v>
      </c>
      <c r="AO25" s="7">
        <v>7.5</v>
      </c>
      <c r="AP25" s="60">
        <f t="shared" si="14"/>
        <v>5.75</v>
      </c>
      <c r="AQ25" s="7">
        <v>6</v>
      </c>
      <c r="AR25" s="7">
        <v>6.5</v>
      </c>
      <c r="AS25" s="60">
        <f t="shared" si="15"/>
        <v>6.25</v>
      </c>
      <c r="AT25" s="61">
        <v>1</v>
      </c>
      <c r="AU25" s="14">
        <f>IF($A25="","",6+AT25+info!$P$3)</f>
        <v>7</v>
      </c>
      <c r="AV25" s="15">
        <f t="shared" si="0"/>
        <v>35.402499999999996</v>
      </c>
      <c r="AW25" s="16">
        <f t="shared" si="16"/>
        <v>5.0574999999999992</v>
      </c>
      <c r="AX25" s="17">
        <f t="shared" si="1"/>
        <v>9</v>
      </c>
      <c r="AY25" s="59" t="str">
        <f t="shared" si="17"/>
        <v>متوسط</v>
      </c>
      <c r="AZ25" s="62">
        <f>IF($A25="","",'sem1'!AW25)</f>
        <v>4.9278571428571425</v>
      </c>
      <c r="BA25" s="63">
        <f t="shared" si="18"/>
        <v>4.9926785714285709</v>
      </c>
    </row>
    <row r="26" spans="1:59" x14ac:dyDescent="0.25">
      <c r="A26" s="58">
        <f>IF(info!A32="","",info!A32)</f>
        <v>17</v>
      </c>
      <c r="B26" s="58">
        <f>IF($A26="","",info!B32)</f>
        <v>17</v>
      </c>
      <c r="C26" s="73" t="str">
        <f>IF($A26="","",info!C32)</f>
        <v>مريم</v>
      </c>
      <c r="D26" s="71">
        <f>IF($A26="","",info!G32)</f>
        <v>39813</v>
      </c>
      <c r="E26" s="78" t="str">
        <f>IF($A26="","",info!D32)</f>
        <v>أ</v>
      </c>
      <c r="F26" s="35">
        <f>IF($A26="","",info!F32)</f>
        <v>0</v>
      </c>
      <c r="G26" s="7">
        <v>6.5</v>
      </c>
      <c r="H26" s="7">
        <v>6.25</v>
      </c>
      <c r="I26" s="13">
        <f t="shared" si="2"/>
        <v>6.375</v>
      </c>
      <c r="J26" s="7">
        <v>8.5</v>
      </c>
      <c r="K26" s="7">
        <v>8</v>
      </c>
      <c r="L26" s="13">
        <f t="shared" si="3"/>
        <v>8.25</v>
      </c>
      <c r="M26" s="7">
        <v>6</v>
      </c>
      <c r="N26" s="7">
        <v>8</v>
      </c>
      <c r="O26" s="13">
        <f t="shared" si="4"/>
        <v>7</v>
      </c>
      <c r="P26" s="7">
        <v>6.75</v>
      </c>
      <c r="Q26" s="7">
        <v>6.5</v>
      </c>
      <c r="R26" s="13">
        <f t="shared" si="5"/>
        <v>6.625</v>
      </c>
      <c r="S26" s="7">
        <v>6</v>
      </c>
      <c r="T26" s="7">
        <v>8</v>
      </c>
      <c r="U26" s="13">
        <f t="shared" si="6"/>
        <v>7</v>
      </c>
      <c r="V26" s="60">
        <f t="shared" si="7"/>
        <v>7.05</v>
      </c>
      <c r="W26" s="7"/>
      <c r="X26" s="7"/>
      <c r="Y26" s="60" t="str">
        <f t="shared" si="8"/>
        <v/>
      </c>
      <c r="Z26" s="7">
        <v>6</v>
      </c>
      <c r="AA26" s="7">
        <v>6</v>
      </c>
      <c r="AB26" s="7">
        <f t="shared" si="9"/>
        <v>6</v>
      </c>
      <c r="AC26" s="7">
        <v>7.5</v>
      </c>
      <c r="AD26" s="60">
        <f t="shared" si="10"/>
        <v>6.375</v>
      </c>
      <c r="AE26" s="7">
        <v>5</v>
      </c>
      <c r="AF26" s="7">
        <v>9</v>
      </c>
      <c r="AG26" s="60">
        <f t="shared" si="11"/>
        <v>7</v>
      </c>
      <c r="AH26" s="7">
        <v>6.5</v>
      </c>
      <c r="AI26" s="7">
        <v>6.5</v>
      </c>
      <c r="AJ26" s="60">
        <f t="shared" si="12"/>
        <v>6.5</v>
      </c>
      <c r="AK26" s="7">
        <v>8.25</v>
      </c>
      <c r="AL26" s="7">
        <v>8.1300000000000008</v>
      </c>
      <c r="AM26" s="60">
        <f t="shared" si="13"/>
        <v>8.1900000000000013</v>
      </c>
      <c r="AN26" s="7">
        <v>6.75</v>
      </c>
      <c r="AO26" s="7">
        <v>9</v>
      </c>
      <c r="AP26" s="60">
        <f t="shared" si="14"/>
        <v>7.875</v>
      </c>
      <c r="AQ26" s="7">
        <v>6.5</v>
      </c>
      <c r="AR26" s="7">
        <v>7</v>
      </c>
      <c r="AS26" s="60">
        <f t="shared" si="15"/>
        <v>6.75</v>
      </c>
      <c r="AT26" s="61">
        <v>1</v>
      </c>
      <c r="AU26" s="14">
        <f>IF($A26="","",6+AT26+info!$P$3)</f>
        <v>7</v>
      </c>
      <c r="AV26" s="15">
        <f t="shared" si="0"/>
        <v>41.865000000000002</v>
      </c>
      <c r="AW26" s="16">
        <f t="shared" si="16"/>
        <v>5.9807142857142859</v>
      </c>
      <c r="AX26" s="17">
        <f t="shared" si="1"/>
        <v>7</v>
      </c>
      <c r="AY26" s="59" t="str">
        <f t="shared" si="17"/>
        <v>متوسط</v>
      </c>
      <c r="AZ26" s="62">
        <f>IF($A26="","",'sem1'!AW26)</f>
        <v>6.4596428571428577</v>
      </c>
      <c r="BA26" s="63">
        <f t="shared" si="18"/>
        <v>6.2201785714285718</v>
      </c>
    </row>
    <row r="27" spans="1:59" x14ac:dyDescent="0.25">
      <c r="A27" s="58">
        <f>IF(info!A33="","",info!A33)</f>
        <v>18</v>
      </c>
      <c r="B27" s="58">
        <f>IF($A27="","",info!B33)</f>
        <v>18</v>
      </c>
      <c r="C27" s="73" t="str">
        <f>IF($A27="","",info!C33)</f>
        <v>لقمان</v>
      </c>
      <c r="D27" s="71">
        <f>IF($A27="","",info!G33)</f>
        <v>39864</v>
      </c>
      <c r="E27" s="78" t="str">
        <f>IF($A27="","",info!D33)</f>
        <v>ذ</v>
      </c>
      <c r="F27" s="35">
        <f>IF($A27="","",info!F33)</f>
        <v>0</v>
      </c>
      <c r="G27" s="7">
        <v>3.5</v>
      </c>
      <c r="H27" s="7">
        <v>3</v>
      </c>
      <c r="I27" s="13">
        <f t="shared" si="2"/>
        <v>3.25</v>
      </c>
      <c r="J27" s="7">
        <v>4</v>
      </c>
      <c r="K27" s="7">
        <v>3</v>
      </c>
      <c r="L27" s="13">
        <f t="shared" si="3"/>
        <v>3.5</v>
      </c>
      <c r="M27" s="7">
        <v>4</v>
      </c>
      <c r="N27" s="7">
        <v>3</v>
      </c>
      <c r="O27" s="13">
        <f t="shared" si="4"/>
        <v>3.5</v>
      </c>
      <c r="P27" s="7">
        <v>3</v>
      </c>
      <c r="Q27" s="7">
        <v>3</v>
      </c>
      <c r="R27" s="13">
        <f t="shared" si="5"/>
        <v>3</v>
      </c>
      <c r="S27" s="7">
        <v>4</v>
      </c>
      <c r="T27" s="7">
        <v>3</v>
      </c>
      <c r="U27" s="13">
        <f t="shared" si="6"/>
        <v>3.5</v>
      </c>
      <c r="V27" s="60">
        <f t="shared" si="7"/>
        <v>3.35</v>
      </c>
      <c r="W27" s="7"/>
      <c r="X27" s="7"/>
      <c r="Y27" s="60" t="str">
        <f t="shared" si="8"/>
        <v/>
      </c>
      <c r="Z27" s="7">
        <v>4</v>
      </c>
      <c r="AA27" s="7">
        <v>3</v>
      </c>
      <c r="AB27" s="7">
        <f t="shared" si="9"/>
        <v>3.5</v>
      </c>
      <c r="AC27" s="7">
        <v>4</v>
      </c>
      <c r="AD27" s="60">
        <f t="shared" si="10"/>
        <v>3.625</v>
      </c>
      <c r="AE27" s="7">
        <v>2</v>
      </c>
      <c r="AF27" s="7">
        <v>2.5</v>
      </c>
      <c r="AG27" s="60">
        <f t="shared" si="11"/>
        <v>2.25</v>
      </c>
      <c r="AH27" s="7">
        <v>5</v>
      </c>
      <c r="AI27" s="7">
        <v>1</v>
      </c>
      <c r="AJ27" s="60">
        <f t="shared" si="12"/>
        <v>3</v>
      </c>
      <c r="AK27" s="7">
        <v>2</v>
      </c>
      <c r="AL27" s="7">
        <v>1.75</v>
      </c>
      <c r="AM27" s="60">
        <f t="shared" si="13"/>
        <v>1.875</v>
      </c>
      <c r="AN27" s="7">
        <v>3</v>
      </c>
      <c r="AO27" s="7">
        <v>2.5</v>
      </c>
      <c r="AP27" s="60">
        <f t="shared" si="14"/>
        <v>2.75</v>
      </c>
      <c r="AQ27" s="7">
        <v>6</v>
      </c>
      <c r="AR27" s="7">
        <v>5</v>
      </c>
      <c r="AS27" s="60">
        <f t="shared" si="15"/>
        <v>5.5</v>
      </c>
      <c r="AT27" s="61">
        <v>1</v>
      </c>
      <c r="AU27" s="14">
        <f>IF($A27="","",6+AT27+info!$P$3)</f>
        <v>7</v>
      </c>
      <c r="AV27" s="15">
        <f t="shared" si="0"/>
        <v>19.600000000000001</v>
      </c>
      <c r="AW27" s="16">
        <f t="shared" si="16"/>
        <v>2.8000000000000003</v>
      </c>
      <c r="AX27" s="17">
        <f t="shared" si="1"/>
        <v>23</v>
      </c>
      <c r="AY27" s="59" t="str">
        <f t="shared" si="17"/>
        <v>تنبيه</v>
      </c>
      <c r="AZ27" s="62">
        <f>IF($A27="","",'sem1'!AW27)</f>
        <v>3.9007142857142858</v>
      </c>
      <c r="BA27" s="63">
        <f t="shared" si="18"/>
        <v>3.3503571428571428</v>
      </c>
    </row>
    <row r="28" spans="1:59" x14ac:dyDescent="0.25">
      <c r="A28" s="58">
        <f>IF(info!A34="","",info!A34)</f>
        <v>19</v>
      </c>
      <c r="B28" s="58">
        <f>IF($A28="","",info!B34)</f>
        <v>19</v>
      </c>
      <c r="C28" s="73" t="str">
        <f>IF($A28="","",info!C34)</f>
        <v>محمد</v>
      </c>
      <c r="D28" s="71">
        <f>IF($A28="","",info!G34)</f>
        <v>39815</v>
      </c>
      <c r="E28" s="78" t="str">
        <f>IF($A28="","",info!D34)</f>
        <v>ذ</v>
      </c>
      <c r="F28" s="35">
        <f>IF($A28="","",info!F34)</f>
        <v>0</v>
      </c>
      <c r="G28" s="7">
        <v>2</v>
      </c>
      <c r="H28" s="7">
        <v>1</v>
      </c>
      <c r="I28" s="13">
        <f t="shared" si="2"/>
        <v>1.5</v>
      </c>
      <c r="J28" s="7">
        <v>1</v>
      </c>
      <c r="K28" s="7">
        <v>2</v>
      </c>
      <c r="L28" s="13">
        <f t="shared" si="3"/>
        <v>1.5</v>
      </c>
      <c r="M28" s="7">
        <v>1</v>
      </c>
      <c r="N28" s="7">
        <v>2</v>
      </c>
      <c r="O28" s="13">
        <f t="shared" si="4"/>
        <v>1.5</v>
      </c>
      <c r="P28" s="7">
        <v>2</v>
      </c>
      <c r="Q28" s="7">
        <v>1</v>
      </c>
      <c r="R28" s="13">
        <f t="shared" si="5"/>
        <v>1.5</v>
      </c>
      <c r="S28" s="7">
        <v>1</v>
      </c>
      <c r="T28" s="7">
        <v>2</v>
      </c>
      <c r="U28" s="13">
        <f t="shared" si="6"/>
        <v>1.5</v>
      </c>
      <c r="V28" s="60">
        <f t="shared" si="7"/>
        <v>1.5</v>
      </c>
      <c r="W28" s="7"/>
      <c r="X28" s="7"/>
      <c r="Y28" s="60" t="str">
        <f t="shared" si="8"/>
        <v/>
      </c>
      <c r="Z28" s="7">
        <v>3</v>
      </c>
      <c r="AA28" s="7">
        <v>1</v>
      </c>
      <c r="AB28" s="7">
        <f t="shared" si="9"/>
        <v>2</v>
      </c>
      <c r="AC28" s="7">
        <v>3</v>
      </c>
      <c r="AD28" s="60">
        <f t="shared" si="10"/>
        <v>2.25</v>
      </c>
      <c r="AE28" s="7">
        <v>2</v>
      </c>
      <c r="AF28" s="7">
        <v>1.5</v>
      </c>
      <c r="AG28" s="60">
        <f t="shared" si="11"/>
        <v>1.75</v>
      </c>
      <c r="AH28" s="7">
        <v>2</v>
      </c>
      <c r="AI28" s="7">
        <v>1</v>
      </c>
      <c r="AJ28" s="60">
        <f t="shared" si="12"/>
        <v>1.5</v>
      </c>
      <c r="AK28" s="7">
        <v>1</v>
      </c>
      <c r="AL28" s="7">
        <v>1</v>
      </c>
      <c r="AM28" s="60">
        <f t="shared" si="13"/>
        <v>1</v>
      </c>
      <c r="AN28" s="7">
        <v>2</v>
      </c>
      <c r="AO28" s="7">
        <v>1.5</v>
      </c>
      <c r="AP28" s="60">
        <f t="shared" si="14"/>
        <v>1.75</v>
      </c>
      <c r="AQ28" s="7">
        <v>5</v>
      </c>
      <c r="AR28" s="7">
        <v>4</v>
      </c>
      <c r="AS28" s="60">
        <f t="shared" si="15"/>
        <v>4.5</v>
      </c>
      <c r="AT28" s="61">
        <v>1</v>
      </c>
      <c r="AU28" s="14">
        <f>IF($A28="","",6+AT28+info!$P$3)</f>
        <v>7</v>
      </c>
      <c r="AV28" s="15">
        <f t="shared" si="0"/>
        <v>12.5</v>
      </c>
      <c r="AW28" s="16">
        <f t="shared" si="16"/>
        <v>1.7857142857142858</v>
      </c>
      <c r="AX28" s="17">
        <f t="shared" si="1"/>
        <v>25</v>
      </c>
      <c r="AY28" s="59" t="str">
        <f t="shared" si="17"/>
        <v>إنذار</v>
      </c>
      <c r="AZ28" s="62">
        <f>IF($A28="","",'sem1'!AW28)</f>
        <v>3.1857142857142859</v>
      </c>
      <c r="BA28" s="63">
        <f t="shared" si="18"/>
        <v>2.4857142857142858</v>
      </c>
    </row>
    <row r="29" spans="1:59" x14ac:dyDescent="0.25">
      <c r="A29" s="58">
        <f>IF(info!A35="","",info!A35)</f>
        <v>20</v>
      </c>
      <c r="B29" s="58">
        <f>IF($A29="","",info!B35)</f>
        <v>20</v>
      </c>
      <c r="C29" s="73" t="str">
        <f>IF($A29="","",info!C35)</f>
        <v>سليم</v>
      </c>
      <c r="D29" s="71">
        <f>IF($A29="","",info!G35)</f>
        <v>39713</v>
      </c>
      <c r="E29" s="78" t="str">
        <f>IF($A29="","",info!D35)</f>
        <v>ذ</v>
      </c>
      <c r="F29" s="35">
        <f>IF($A29="","",info!F35)</f>
        <v>0</v>
      </c>
      <c r="G29" s="7">
        <v>5</v>
      </c>
      <c r="H29" s="7">
        <v>6</v>
      </c>
      <c r="I29" s="13">
        <f t="shared" si="2"/>
        <v>5.5</v>
      </c>
      <c r="J29" s="7">
        <v>8</v>
      </c>
      <c r="K29" s="7">
        <v>8</v>
      </c>
      <c r="L29" s="13">
        <f t="shared" si="3"/>
        <v>8</v>
      </c>
      <c r="M29" s="7">
        <v>7</v>
      </c>
      <c r="N29" s="7">
        <v>8</v>
      </c>
      <c r="O29" s="13">
        <f t="shared" si="4"/>
        <v>7.5</v>
      </c>
      <c r="P29" s="7">
        <v>5.5</v>
      </c>
      <c r="Q29" s="7">
        <v>6.25</v>
      </c>
      <c r="R29" s="13">
        <f t="shared" si="5"/>
        <v>5.875</v>
      </c>
      <c r="S29" s="7">
        <v>7</v>
      </c>
      <c r="T29" s="7">
        <v>7.5</v>
      </c>
      <c r="U29" s="13">
        <f t="shared" si="6"/>
        <v>7.25</v>
      </c>
      <c r="V29" s="60">
        <f t="shared" si="7"/>
        <v>6.8250000000000002</v>
      </c>
      <c r="W29" s="7"/>
      <c r="X29" s="7"/>
      <c r="Y29" s="60" t="str">
        <f t="shared" si="8"/>
        <v/>
      </c>
      <c r="Z29" s="7">
        <v>4</v>
      </c>
      <c r="AA29" s="7">
        <v>6</v>
      </c>
      <c r="AB29" s="7">
        <f t="shared" si="9"/>
        <v>5</v>
      </c>
      <c r="AC29" s="7">
        <v>5.5</v>
      </c>
      <c r="AD29" s="60">
        <f t="shared" si="10"/>
        <v>5.125</v>
      </c>
      <c r="AE29" s="7">
        <v>10</v>
      </c>
      <c r="AF29" s="7">
        <v>8.5</v>
      </c>
      <c r="AG29" s="60">
        <f t="shared" si="11"/>
        <v>9.25</v>
      </c>
      <c r="AH29" s="7">
        <v>7</v>
      </c>
      <c r="AI29" s="7">
        <v>7.25</v>
      </c>
      <c r="AJ29" s="60">
        <f t="shared" si="12"/>
        <v>7.125</v>
      </c>
      <c r="AK29" s="7">
        <v>4.75</v>
      </c>
      <c r="AL29" s="7">
        <v>8.1300000000000008</v>
      </c>
      <c r="AM29" s="60">
        <f t="shared" si="13"/>
        <v>6.44</v>
      </c>
      <c r="AN29" s="7">
        <v>5.5</v>
      </c>
      <c r="AO29" s="7">
        <v>8.5</v>
      </c>
      <c r="AP29" s="60">
        <f t="shared" si="14"/>
        <v>7</v>
      </c>
      <c r="AQ29" s="7">
        <v>6.75</v>
      </c>
      <c r="AR29" s="7">
        <v>7</v>
      </c>
      <c r="AS29" s="60">
        <f t="shared" si="15"/>
        <v>6.875</v>
      </c>
      <c r="AT29" s="61">
        <v>1</v>
      </c>
      <c r="AU29" s="14">
        <f>IF($A29="","",6+AT29+info!$P$3)</f>
        <v>7</v>
      </c>
      <c r="AV29" s="15">
        <f t="shared" si="0"/>
        <v>41.64</v>
      </c>
      <c r="AW29" s="16">
        <f t="shared" si="16"/>
        <v>5.9485714285714284</v>
      </c>
      <c r="AX29" s="17">
        <f t="shared" si="1"/>
        <v>8</v>
      </c>
      <c r="AY29" s="59" t="str">
        <f t="shared" si="17"/>
        <v>متوسط</v>
      </c>
      <c r="AZ29" s="62">
        <f>IF($A29="","",'sem1'!AW29)</f>
        <v>5.8360714285714286</v>
      </c>
      <c r="BA29" s="63">
        <f t="shared" si="18"/>
        <v>5.892321428571428</v>
      </c>
    </row>
    <row r="30" spans="1:59" x14ac:dyDescent="0.25">
      <c r="A30" s="58">
        <f>IF(info!A36="","",info!A36)</f>
        <v>21</v>
      </c>
      <c r="B30" s="58">
        <f>IF($A30="","",info!B36)</f>
        <v>21</v>
      </c>
      <c r="C30" s="73" t="str">
        <f>IF($A30="","",info!C36)</f>
        <v>فتيحة</v>
      </c>
      <c r="D30" s="71">
        <f>IF($A30="","",info!G36)</f>
        <v>39550</v>
      </c>
      <c r="E30" s="78" t="str">
        <f>IF($A30="","",info!D36)</f>
        <v>أ</v>
      </c>
      <c r="F30" s="35">
        <f>IF($A30="","",info!F36)</f>
        <v>0</v>
      </c>
      <c r="G30" s="7">
        <v>3.5</v>
      </c>
      <c r="H30" s="7">
        <v>4.5</v>
      </c>
      <c r="I30" s="13">
        <f t="shared" si="2"/>
        <v>4</v>
      </c>
      <c r="J30" s="7">
        <v>6</v>
      </c>
      <c r="K30" s="7">
        <v>4.5</v>
      </c>
      <c r="L30" s="13">
        <f t="shared" si="3"/>
        <v>5.25</v>
      </c>
      <c r="M30" s="7">
        <v>6</v>
      </c>
      <c r="N30" s="7">
        <v>6</v>
      </c>
      <c r="O30" s="13">
        <f t="shared" si="4"/>
        <v>6</v>
      </c>
      <c r="P30" s="7">
        <v>4</v>
      </c>
      <c r="Q30" s="7">
        <v>4.5</v>
      </c>
      <c r="R30" s="13">
        <f t="shared" si="5"/>
        <v>4.25</v>
      </c>
      <c r="S30" s="7">
        <v>5</v>
      </c>
      <c r="T30" s="7">
        <v>6</v>
      </c>
      <c r="U30" s="13">
        <f t="shared" si="6"/>
        <v>5.5</v>
      </c>
      <c r="V30" s="60">
        <f t="shared" si="7"/>
        <v>5</v>
      </c>
      <c r="W30" s="7"/>
      <c r="X30" s="7"/>
      <c r="Y30" s="60" t="str">
        <f t="shared" si="8"/>
        <v/>
      </c>
      <c r="Z30" s="7">
        <v>4.5</v>
      </c>
      <c r="AA30" s="7">
        <v>4</v>
      </c>
      <c r="AB30" s="7">
        <f t="shared" si="9"/>
        <v>4.25</v>
      </c>
      <c r="AC30" s="7">
        <v>6</v>
      </c>
      <c r="AD30" s="60">
        <f t="shared" si="10"/>
        <v>4.6875</v>
      </c>
      <c r="AE30" s="7">
        <v>5</v>
      </c>
      <c r="AF30" s="7">
        <v>5.75</v>
      </c>
      <c r="AG30" s="60">
        <f t="shared" si="11"/>
        <v>5.375</v>
      </c>
      <c r="AH30" s="7">
        <v>4</v>
      </c>
      <c r="AI30" s="7">
        <v>6</v>
      </c>
      <c r="AJ30" s="60">
        <f t="shared" si="12"/>
        <v>5</v>
      </c>
      <c r="AK30" s="7">
        <v>5.75</v>
      </c>
      <c r="AL30" s="7">
        <v>6.63</v>
      </c>
      <c r="AM30" s="60">
        <f t="shared" si="13"/>
        <v>6.1899999999999995</v>
      </c>
      <c r="AN30" s="7">
        <v>4</v>
      </c>
      <c r="AO30" s="7">
        <v>5.75</v>
      </c>
      <c r="AP30" s="60">
        <f t="shared" si="14"/>
        <v>4.875</v>
      </c>
      <c r="AQ30" s="7">
        <v>6</v>
      </c>
      <c r="AR30" s="7">
        <v>6.75</v>
      </c>
      <c r="AS30" s="60">
        <f t="shared" si="15"/>
        <v>6.375</v>
      </c>
      <c r="AT30" s="61">
        <v>1</v>
      </c>
      <c r="AU30" s="14">
        <f>IF($A30="","",6+AT30+info!$P$3)</f>
        <v>7</v>
      </c>
      <c r="AV30" s="15">
        <f t="shared" si="0"/>
        <v>32.627499999999998</v>
      </c>
      <c r="AW30" s="16">
        <f t="shared" si="16"/>
        <v>4.6610714285714279</v>
      </c>
      <c r="AX30" s="17">
        <f t="shared" si="1"/>
        <v>12</v>
      </c>
      <c r="AY30" s="59" t="str">
        <f t="shared" si="17"/>
        <v>دون المتوسط</v>
      </c>
      <c r="AZ30" s="62">
        <f>IF($A30="","",'sem1'!AW30)</f>
        <v>4.6421428571428569</v>
      </c>
      <c r="BA30" s="63">
        <f t="shared" si="18"/>
        <v>4.6516071428571424</v>
      </c>
    </row>
    <row r="31" spans="1:59" x14ac:dyDescent="0.25">
      <c r="A31" s="58">
        <f>IF(info!A37="","",info!A37)</f>
        <v>22</v>
      </c>
      <c r="B31" s="58">
        <f>IF($A31="","",info!B37)</f>
        <v>22</v>
      </c>
      <c r="C31" s="73" t="str">
        <f>IF($A31="","",info!C37)</f>
        <v>رقية</v>
      </c>
      <c r="D31" s="71">
        <f>IF($A31="","",info!G37)</f>
        <v>39804</v>
      </c>
      <c r="E31" s="78" t="str">
        <f>IF($A31="","",info!D37)</f>
        <v>أ</v>
      </c>
      <c r="F31" s="35">
        <f>IF($A31="","",info!F37)</f>
        <v>0</v>
      </c>
      <c r="G31" s="7">
        <v>3.5</v>
      </c>
      <c r="H31" s="7">
        <v>3</v>
      </c>
      <c r="I31" s="13">
        <f t="shared" si="2"/>
        <v>3.25</v>
      </c>
      <c r="J31" s="7">
        <v>4</v>
      </c>
      <c r="K31" s="7">
        <v>3</v>
      </c>
      <c r="L31" s="13">
        <f t="shared" si="3"/>
        <v>3.5</v>
      </c>
      <c r="M31" s="7">
        <v>4</v>
      </c>
      <c r="N31" s="7">
        <v>3</v>
      </c>
      <c r="O31" s="13">
        <f t="shared" si="4"/>
        <v>3.5</v>
      </c>
      <c r="P31" s="7">
        <v>3.5</v>
      </c>
      <c r="Q31" s="7">
        <v>3.5</v>
      </c>
      <c r="R31" s="13">
        <f t="shared" si="5"/>
        <v>3.5</v>
      </c>
      <c r="S31" s="7">
        <v>4</v>
      </c>
      <c r="T31" s="7">
        <v>3</v>
      </c>
      <c r="U31" s="13">
        <f t="shared" si="6"/>
        <v>3.5</v>
      </c>
      <c r="V31" s="60">
        <f t="shared" si="7"/>
        <v>3.45</v>
      </c>
      <c r="W31" s="7"/>
      <c r="X31" s="7"/>
      <c r="Y31" s="60" t="str">
        <f t="shared" si="8"/>
        <v/>
      </c>
      <c r="Z31" s="7">
        <v>4</v>
      </c>
      <c r="AA31" s="7">
        <v>3</v>
      </c>
      <c r="AB31" s="7">
        <f t="shared" si="9"/>
        <v>3.5</v>
      </c>
      <c r="AC31" s="7">
        <v>4</v>
      </c>
      <c r="AD31" s="60">
        <f t="shared" si="10"/>
        <v>3.625</v>
      </c>
      <c r="AE31" s="7">
        <v>2</v>
      </c>
      <c r="AF31" s="7">
        <v>4.5</v>
      </c>
      <c r="AG31" s="60">
        <f t="shared" si="11"/>
        <v>3.25</v>
      </c>
      <c r="AH31" s="7">
        <v>5</v>
      </c>
      <c r="AI31" s="7">
        <v>1</v>
      </c>
      <c r="AJ31" s="60">
        <f t="shared" si="12"/>
        <v>3</v>
      </c>
      <c r="AK31" s="7">
        <v>0.5</v>
      </c>
      <c r="AL31" s="7">
        <v>3.25</v>
      </c>
      <c r="AM31" s="60">
        <f t="shared" si="13"/>
        <v>1.875</v>
      </c>
      <c r="AN31" s="7">
        <v>3.5</v>
      </c>
      <c r="AO31" s="7">
        <v>4.5</v>
      </c>
      <c r="AP31" s="60">
        <f t="shared" si="14"/>
        <v>4</v>
      </c>
      <c r="AQ31" s="7">
        <v>5.5</v>
      </c>
      <c r="AR31" s="7">
        <v>4</v>
      </c>
      <c r="AS31" s="60">
        <f t="shared" si="15"/>
        <v>4.75</v>
      </c>
      <c r="AT31" s="61">
        <v>1</v>
      </c>
      <c r="AU31" s="14">
        <f>IF($A31="","",6+AT31+info!$P$3)</f>
        <v>7</v>
      </c>
      <c r="AV31" s="15">
        <f t="shared" si="0"/>
        <v>19.95</v>
      </c>
      <c r="AW31" s="16">
        <f t="shared" si="16"/>
        <v>2.85</v>
      </c>
      <c r="AX31" s="17">
        <f t="shared" si="1"/>
        <v>22</v>
      </c>
      <c r="AY31" s="59" t="str">
        <f t="shared" si="17"/>
        <v>تنبيه</v>
      </c>
      <c r="AZ31" s="62">
        <f>IF($A31="","",'sem1'!AW31)</f>
        <v>3.8446428571428575</v>
      </c>
      <c r="BA31" s="63">
        <f t="shared" si="18"/>
        <v>3.347321428571429</v>
      </c>
    </row>
    <row r="32" spans="1:59" x14ac:dyDescent="0.25">
      <c r="A32" s="58">
        <f>IF(info!A38="","",info!A38)</f>
        <v>23</v>
      </c>
      <c r="B32" s="58">
        <f>IF($A32="","",info!B38)</f>
        <v>23</v>
      </c>
      <c r="C32" s="73" t="str">
        <f>IF($A32="","",info!C38)</f>
        <v>جميلة</v>
      </c>
      <c r="D32" s="71">
        <f>IF($A32="","",info!G38)</f>
        <v>39781</v>
      </c>
      <c r="E32" s="78" t="str">
        <f>IF($A32="","",info!D38)</f>
        <v>أ</v>
      </c>
      <c r="F32" s="35">
        <f>IF($A32="","",info!F38)</f>
        <v>0</v>
      </c>
      <c r="G32" s="7">
        <v>3</v>
      </c>
      <c r="H32" s="7">
        <v>2</v>
      </c>
      <c r="I32" s="13">
        <f t="shared" si="2"/>
        <v>2.5</v>
      </c>
      <c r="J32" s="7">
        <v>4</v>
      </c>
      <c r="K32" s="7">
        <v>2</v>
      </c>
      <c r="L32" s="13">
        <f t="shared" si="3"/>
        <v>3</v>
      </c>
      <c r="M32" s="7">
        <v>4</v>
      </c>
      <c r="N32" s="7">
        <v>2</v>
      </c>
      <c r="O32" s="13">
        <f t="shared" si="4"/>
        <v>3</v>
      </c>
      <c r="P32" s="7">
        <v>3</v>
      </c>
      <c r="Q32" s="7">
        <v>2</v>
      </c>
      <c r="R32" s="13">
        <f t="shared" si="5"/>
        <v>2.5</v>
      </c>
      <c r="S32" s="7">
        <v>4</v>
      </c>
      <c r="T32" s="7">
        <v>2</v>
      </c>
      <c r="U32" s="13">
        <f t="shared" si="6"/>
        <v>3</v>
      </c>
      <c r="V32" s="60">
        <f t="shared" si="7"/>
        <v>2.8</v>
      </c>
      <c r="W32" s="7"/>
      <c r="X32" s="7"/>
      <c r="Y32" s="60" t="str">
        <f t="shared" si="8"/>
        <v/>
      </c>
      <c r="Z32" s="7">
        <v>4</v>
      </c>
      <c r="AA32" s="7">
        <v>2</v>
      </c>
      <c r="AB32" s="7">
        <f t="shared" si="9"/>
        <v>3</v>
      </c>
      <c r="AC32" s="7">
        <v>4</v>
      </c>
      <c r="AD32" s="60">
        <f t="shared" si="10"/>
        <v>3.25</v>
      </c>
      <c r="AE32" s="7">
        <v>3</v>
      </c>
      <c r="AF32" s="7">
        <v>2.5</v>
      </c>
      <c r="AG32" s="60">
        <f t="shared" si="11"/>
        <v>2.75</v>
      </c>
      <c r="AH32" s="7">
        <v>5</v>
      </c>
      <c r="AI32" s="7">
        <v>4</v>
      </c>
      <c r="AJ32" s="60">
        <f t="shared" si="12"/>
        <v>4.5</v>
      </c>
      <c r="AK32" s="7">
        <v>1.5</v>
      </c>
      <c r="AL32" s="7">
        <v>3.25</v>
      </c>
      <c r="AM32" s="60">
        <f t="shared" si="13"/>
        <v>2.375</v>
      </c>
      <c r="AN32" s="7">
        <v>3</v>
      </c>
      <c r="AO32" s="7">
        <v>2.5</v>
      </c>
      <c r="AP32" s="60">
        <f t="shared" si="14"/>
        <v>2.75</v>
      </c>
      <c r="AQ32" s="7">
        <v>5.5</v>
      </c>
      <c r="AR32" s="7">
        <v>5</v>
      </c>
      <c r="AS32" s="60">
        <f t="shared" si="15"/>
        <v>5.25</v>
      </c>
      <c r="AT32" s="61">
        <v>1</v>
      </c>
      <c r="AU32" s="14">
        <f>IF($A32="","",6+AT32+info!$P$3)</f>
        <v>7</v>
      </c>
      <c r="AV32" s="15">
        <f t="shared" si="0"/>
        <v>20.925000000000001</v>
      </c>
      <c r="AW32" s="16">
        <f t="shared" si="16"/>
        <v>2.9892857142857143</v>
      </c>
      <c r="AX32" s="17">
        <f t="shared" si="1"/>
        <v>21</v>
      </c>
      <c r="AY32" s="59" t="str">
        <f t="shared" si="17"/>
        <v>تنبيه</v>
      </c>
      <c r="AZ32" s="62">
        <f>IF($A32="","",'sem1'!AW32)</f>
        <v>4.0401785714285712</v>
      </c>
      <c r="BA32" s="63">
        <f t="shared" si="18"/>
        <v>3.5147321428571425</v>
      </c>
    </row>
    <row r="33" spans="1:53" x14ac:dyDescent="0.25">
      <c r="A33" s="58">
        <f>IF(info!A39="","",info!A39)</f>
        <v>24</v>
      </c>
      <c r="B33" s="58">
        <f>IF($A33="","",info!B39)</f>
        <v>24</v>
      </c>
      <c r="C33" s="73" t="str">
        <f>IF($A33="","",info!C39)</f>
        <v>نادية</v>
      </c>
      <c r="D33" s="71">
        <f>IF($A33="","",info!G39)</f>
        <v>39623</v>
      </c>
      <c r="E33" s="78" t="str">
        <f>IF($A33="","",info!D39)</f>
        <v>أ</v>
      </c>
      <c r="F33" s="35">
        <f>IF($A33="","",info!F39)</f>
        <v>0</v>
      </c>
      <c r="G33" s="7">
        <v>3.5</v>
      </c>
      <c r="H33" s="7">
        <v>3</v>
      </c>
      <c r="I33" s="13">
        <f t="shared" si="2"/>
        <v>3.25</v>
      </c>
      <c r="J33" s="7">
        <v>6</v>
      </c>
      <c r="K33" s="7">
        <v>3</v>
      </c>
      <c r="L33" s="13">
        <f t="shared" si="3"/>
        <v>4.5</v>
      </c>
      <c r="M33" s="7">
        <v>6</v>
      </c>
      <c r="N33" s="7">
        <v>3</v>
      </c>
      <c r="O33" s="13">
        <f t="shared" si="4"/>
        <v>4.5</v>
      </c>
      <c r="P33" s="7">
        <v>3</v>
      </c>
      <c r="Q33" s="7">
        <v>3</v>
      </c>
      <c r="R33" s="13">
        <f t="shared" si="5"/>
        <v>3</v>
      </c>
      <c r="S33" s="7">
        <v>5</v>
      </c>
      <c r="T33" s="7">
        <v>3</v>
      </c>
      <c r="U33" s="13">
        <f t="shared" si="6"/>
        <v>4</v>
      </c>
      <c r="V33" s="60">
        <f t="shared" si="7"/>
        <v>3.85</v>
      </c>
      <c r="W33" s="7"/>
      <c r="X33" s="7"/>
      <c r="Y33" s="60" t="str">
        <f t="shared" si="8"/>
        <v/>
      </c>
      <c r="Z33" s="7">
        <v>4</v>
      </c>
      <c r="AA33" s="7">
        <v>3</v>
      </c>
      <c r="AB33" s="7">
        <f t="shared" si="9"/>
        <v>3.5</v>
      </c>
      <c r="AC33" s="7">
        <v>5</v>
      </c>
      <c r="AD33" s="60">
        <f t="shared" si="10"/>
        <v>3.875</v>
      </c>
      <c r="AE33" s="7">
        <v>3</v>
      </c>
      <c r="AF33" s="7">
        <v>3</v>
      </c>
      <c r="AG33" s="60">
        <f t="shared" si="11"/>
        <v>3</v>
      </c>
      <c r="AH33" s="7">
        <v>4</v>
      </c>
      <c r="AI33" s="7">
        <v>2</v>
      </c>
      <c r="AJ33" s="60">
        <f t="shared" si="12"/>
        <v>3</v>
      </c>
      <c r="AK33" s="7">
        <v>2.75</v>
      </c>
      <c r="AL33" s="7">
        <v>3.88</v>
      </c>
      <c r="AM33" s="60">
        <f t="shared" si="13"/>
        <v>3.3149999999999999</v>
      </c>
      <c r="AN33" s="7">
        <v>3</v>
      </c>
      <c r="AO33" s="7">
        <v>3</v>
      </c>
      <c r="AP33" s="60">
        <f t="shared" si="14"/>
        <v>3</v>
      </c>
      <c r="AQ33" s="7">
        <v>6</v>
      </c>
      <c r="AR33" s="7">
        <v>4</v>
      </c>
      <c r="AS33" s="60">
        <f t="shared" si="15"/>
        <v>5</v>
      </c>
      <c r="AT33" s="61">
        <v>1</v>
      </c>
      <c r="AU33" s="14">
        <f>IF($A33="","",6+AT33+info!$P$3)</f>
        <v>7</v>
      </c>
      <c r="AV33" s="15">
        <f t="shared" si="0"/>
        <v>22.04</v>
      </c>
      <c r="AW33" s="16">
        <f t="shared" si="16"/>
        <v>3.1485714285714286</v>
      </c>
      <c r="AX33" s="17">
        <f t="shared" si="1"/>
        <v>19</v>
      </c>
      <c r="AY33" s="59" t="str">
        <f t="shared" si="17"/>
        <v>ناقص</v>
      </c>
      <c r="AZ33" s="62">
        <f>IF($A33="","",'sem1'!AW33)</f>
        <v>4.4428571428571431</v>
      </c>
      <c r="BA33" s="63">
        <f t="shared" si="18"/>
        <v>3.7957142857142858</v>
      </c>
    </row>
    <row r="34" spans="1:53" x14ac:dyDescent="0.25">
      <c r="A34" s="58">
        <f>IF(info!A40="","",info!A40)</f>
        <v>25</v>
      </c>
      <c r="B34" s="58">
        <f>IF($A34="","",info!B40)</f>
        <v>25</v>
      </c>
      <c r="C34" s="73" t="str">
        <f>IF($A34="","",info!C40)</f>
        <v>سكينة</v>
      </c>
      <c r="D34" s="71">
        <f>IF($A34="","",info!G40)</f>
        <v>39606</v>
      </c>
      <c r="E34" s="78" t="str">
        <f>IF($A34="","",info!D40)</f>
        <v>أ</v>
      </c>
      <c r="F34" s="35">
        <f>IF($A34="","",info!F40)</f>
        <v>0</v>
      </c>
      <c r="G34" s="7">
        <v>4</v>
      </c>
      <c r="H34" s="7">
        <v>6.5</v>
      </c>
      <c r="I34" s="13">
        <f t="shared" si="2"/>
        <v>5.25</v>
      </c>
      <c r="J34" s="7">
        <v>6.5</v>
      </c>
      <c r="K34" s="7">
        <v>6</v>
      </c>
      <c r="L34" s="13">
        <f t="shared" si="3"/>
        <v>6.25</v>
      </c>
      <c r="M34" s="7">
        <v>5.5</v>
      </c>
      <c r="N34" s="7">
        <v>7</v>
      </c>
      <c r="O34" s="13">
        <f t="shared" si="4"/>
        <v>6.25</v>
      </c>
      <c r="P34" s="7">
        <v>4.5</v>
      </c>
      <c r="Q34" s="7">
        <v>6</v>
      </c>
      <c r="R34" s="13">
        <f t="shared" si="5"/>
        <v>5.25</v>
      </c>
      <c r="S34" s="7">
        <v>6</v>
      </c>
      <c r="T34" s="7">
        <v>7</v>
      </c>
      <c r="U34" s="13">
        <f t="shared" si="6"/>
        <v>6.5</v>
      </c>
      <c r="V34" s="60">
        <f t="shared" si="7"/>
        <v>5.9</v>
      </c>
      <c r="W34" s="7"/>
      <c r="X34" s="7"/>
      <c r="Y34" s="60" t="str">
        <f t="shared" si="8"/>
        <v/>
      </c>
      <c r="Z34" s="7">
        <v>5</v>
      </c>
      <c r="AA34" s="7">
        <v>6</v>
      </c>
      <c r="AB34" s="7">
        <f t="shared" si="9"/>
        <v>5.5</v>
      </c>
      <c r="AC34" s="7">
        <v>4</v>
      </c>
      <c r="AD34" s="60">
        <f t="shared" si="10"/>
        <v>5.125</v>
      </c>
      <c r="AE34" s="7">
        <v>3</v>
      </c>
      <c r="AF34" s="7">
        <v>4.5</v>
      </c>
      <c r="AG34" s="60">
        <f t="shared" si="11"/>
        <v>3.75</v>
      </c>
      <c r="AH34" s="7">
        <v>6</v>
      </c>
      <c r="AI34" s="7">
        <v>5</v>
      </c>
      <c r="AJ34" s="60">
        <f t="shared" si="12"/>
        <v>5.5</v>
      </c>
      <c r="AK34" s="7">
        <v>3.75</v>
      </c>
      <c r="AL34" s="7">
        <v>6.13</v>
      </c>
      <c r="AM34" s="60">
        <f t="shared" si="13"/>
        <v>4.9399999999999995</v>
      </c>
      <c r="AN34" s="7">
        <v>4.5</v>
      </c>
      <c r="AO34" s="7">
        <v>4.5</v>
      </c>
      <c r="AP34" s="60">
        <f t="shared" si="14"/>
        <v>4.5</v>
      </c>
      <c r="AQ34" s="7">
        <v>6</v>
      </c>
      <c r="AR34" s="7">
        <v>6.5</v>
      </c>
      <c r="AS34" s="60">
        <f t="shared" si="15"/>
        <v>6.25</v>
      </c>
      <c r="AT34" s="61">
        <v>1</v>
      </c>
      <c r="AU34" s="14">
        <f>IF($A34="","",6+AT34+info!$P$3)</f>
        <v>7</v>
      </c>
      <c r="AV34" s="15">
        <f t="shared" si="0"/>
        <v>31.464999999999996</v>
      </c>
      <c r="AW34" s="16">
        <f t="shared" si="16"/>
        <v>4.4949999999999992</v>
      </c>
      <c r="AX34" s="17">
        <f t="shared" si="1"/>
        <v>15</v>
      </c>
      <c r="AY34" s="59" t="str">
        <f t="shared" si="17"/>
        <v>دون المتوسط</v>
      </c>
      <c r="AZ34" s="62">
        <f>IF($A34="","",'sem1'!AW34)</f>
        <v>4.6712500000000006</v>
      </c>
      <c r="BA34" s="63">
        <f t="shared" si="18"/>
        <v>4.5831249999999999</v>
      </c>
    </row>
    <row r="35" spans="1:53" x14ac:dyDescent="0.25">
      <c r="A35" s="58" t="str">
        <f>IF(info!A41="","",info!A41)</f>
        <v/>
      </c>
      <c r="B35" s="58" t="str">
        <f>IF($A35="","",info!B41)</f>
        <v/>
      </c>
      <c r="C35" s="73" t="str">
        <f>IF($A35="","",info!C41)</f>
        <v/>
      </c>
      <c r="D35" s="71" t="str">
        <f>IF($A35="","",info!G41)</f>
        <v/>
      </c>
      <c r="E35" s="78" t="str">
        <f>IF($A35="","",info!D41)</f>
        <v/>
      </c>
      <c r="F35" s="35" t="str">
        <f>IF($A35="","",info!F41)</f>
        <v/>
      </c>
      <c r="G35" s="7"/>
      <c r="H35" s="7"/>
      <c r="I35" s="13" t="str">
        <f t="shared" si="2"/>
        <v/>
      </c>
      <c r="J35" s="7"/>
      <c r="K35" s="7"/>
      <c r="L35" s="13" t="str">
        <f t="shared" si="3"/>
        <v/>
      </c>
      <c r="M35" s="7"/>
      <c r="N35" s="7"/>
      <c r="O35" s="13" t="str">
        <f t="shared" si="4"/>
        <v/>
      </c>
      <c r="P35" s="7"/>
      <c r="Q35" s="7"/>
      <c r="R35" s="13" t="str">
        <f t="shared" si="5"/>
        <v/>
      </c>
      <c r="S35" s="7"/>
      <c r="T35" s="7"/>
      <c r="U35" s="13" t="str">
        <f t="shared" si="6"/>
        <v/>
      </c>
      <c r="V35" s="60" t="str">
        <f t="shared" si="7"/>
        <v/>
      </c>
      <c r="W35" s="7"/>
      <c r="X35" s="7"/>
      <c r="Y35" s="60" t="str">
        <f t="shared" si="8"/>
        <v/>
      </c>
      <c r="Z35" s="7"/>
      <c r="AA35" s="7"/>
      <c r="AB35" s="7" t="str">
        <f t="shared" si="9"/>
        <v/>
      </c>
      <c r="AC35" s="7"/>
      <c r="AD35" s="60" t="str">
        <f t="shared" si="10"/>
        <v/>
      </c>
      <c r="AE35" s="7"/>
      <c r="AF35" s="7"/>
      <c r="AG35" s="60" t="str">
        <f t="shared" si="11"/>
        <v/>
      </c>
      <c r="AH35" s="7"/>
      <c r="AI35" s="7"/>
      <c r="AJ35" s="60" t="str">
        <f t="shared" si="12"/>
        <v/>
      </c>
      <c r="AK35" s="7"/>
      <c r="AL35" s="7"/>
      <c r="AM35" s="60" t="str">
        <f t="shared" si="13"/>
        <v/>
      </c>
      <c r="AN35" s="7"/>
      <c r="AO35" s="7"/>
      <c r="AP35" s="60" t="str">
        <f t="shared" si="14"/>
        <v/>
      </c>
      <c r="AQ35" s="7"/>
      <c r="AR35" s="7"/>
      <c r="AS35" s="60" t="str">
        <f t="shared" si="15"/>
        <v/>
      </c>
      <c r="AT35" s="61"/>
      <c r="AU35" s="14" t="str">
        <f>IF($A35="","",6+AT35+info!$P$3)</f>
        <v/>
      </c>
      <c r="AV35" s="15" t="str">
        <f t="shared" si="0"/>
        <v/>
      </c>
      <c r="AW35" s="16" t="str">
        <f t="shared" si="16"/>
        <v/>
      </c>
      <c r="AX35" s="17" t="str">
        <f t="shared" si="1"/>
        <v/>
      </c>
      <c r="AY35" s="59" t="str">
        <f t="shared" si="17"/>
        <v/>
      </c>
      <c r="AZ35" s="62" t="str">
        <f>IF($A35="","",'sem1'!AW35)</f>
        <v/>
      </c>
      <c r="BA35" s="63" t="str">
        <f t="shared" si="18"/>
        <v/>
      </c>
    </row>
    <row r="36" spans="1:53" x14ac:dyDescent="0.25">
      <c r="A36" s="58" t="str">
        <f>IF(info!A42="","",info!A42)</f>
        <v/>
      </c>
      <c r="B36" s="58" t="str">
        <f>IF($A36="","",info!B42)</f>
        <v/>
      </c>
      <c r="C36" s="73" t="str">
        <f>IF($A36="","",info!C42)</f>
        <v/>
      </c>
      <c r="D36" s="71" t="str">
        <f>IF($A36="","",info!G42)</f>
        <v/>
      </c>
      <c r="E36" s="78" t="str">
        <f>IF($A36="","",info!D42)</f>
        <v/>
      </c>
      <c r="F36" s="35" t="str">
        <f>IF($A36="","",info!F42)</f>
        <v/>
      </c>
      <c r="G36" s="7"/>
      <c r="H36" s="7"/>
      <c r="I36" s="13" t="str">
        <f t="shared" si="2"/>
        <v/>
      </c>
      <c r="J36" s="7"/>
      <c r="K36" s="7"/>
      <c r="L36" s="13" t="str">
        <f t="shared" si="3"/>
        <v/>
      </c>
      <c r="M36" s="7"/>
      <c r="N36" s="7"/>
      <c r="O36" s="13" t="str">
        <f t="shared" si="4"/>
        <v/>
      </c>
      <c r="P36" s="7"/>
      <c r="Q36" s="7"/>
      <c r="R36" s="13" t="str">
        <f t="shared" si="5"/>
        <v/>
      </c>
      <c r="S36" s="7"/>
      <c r="T36" s="7"/>
      <c r="U36" s="13" t="str">
        <f t="shared" si="6"/>
        <v/>
      </c>
      <c r="V36" s="60" t="str">
        <f t="shared" si="7"/>
        <v/>
      </c>
      <c r="W36" s="7"/>
      <c r="X36" s="7"/>
      <c r="Y36" s="60" t="str">
        <f t="shared" si="8"/>
        <v/>
      </c>
      <c r="Z36" s="7"/>
      <c r="AA36" s="7"/>
      <c r="AB36" s="7" t="str">
        <f t="shared" si="9"/>
        <v/>
      </c>
      <c r="AC36" s="7"/>
      <c r="AD36" s="60" t="str">
        <f t="shared" si="10"/>
        <v/>
      </c>
      <c r="AE36" s="7"/>
      <c r="AF36" s="7"/>
      <c r="AG36" s="60" t="str">
        <f t="shared" si="11"/>
        <v/>
      </c>
      <c r="AH36" s="7"/>
      <c r="AI36" s="7"/>
      <c r="AJ36" s="60" t="str">
        <f t="shared" si="12"/>
        <v/>
      </c>
      <c r="AK36" s="7"/>
      <c r="AL36" s="7"/>
      <c r="AM36" s="60" t="str">
        <f t="shared" si="13"/>
        <v/>
      </c>
      <c r="AN36" s="7"/>
      <c r="AO36" s="7"/>
      <c r="AP36" s="60" t="str">
        <f t="shared" si="14"/>
        <v/>
      </c>
      <c r="AQ36" s="7"/>
      <c r="AR36" s="7"/>
      <c r="AS36" s="60" t="str">
        <f t="shared" si="15"/>
        <v/>
      </c>
      <c r="AT36" s="61"/>
      <c r="AU36" s="14" t="str">
        <f>IF($A36="","",6+AT36+info!$P$3)</f>
        <v/>
      </c>
      <c r="AV36" s="15" t="str">
        <f t="shared" si="0"/>
        <v/>
      </c>
      <c r="AW36" s="16" t="str">
        <f t="shared" si="16"/>
        <v/>
      </c>
      <c r="AX36" s="17" t="str">
        <f t="shared" si="1"/>
        <v/>
      </c>
      <c r="AY36" s="59" t="str">
        <f t="shared" si="17"/>
        <v/>
      </c>
      <c r="AZ36" s="62" t="str">
        <f>IF($A36="","",'sem1'!AW36)</f>
        <v/>
      </c>
      <c r="BA36" s="63" t="str">
        <f t="shared" si="18"/>
        <v/>
      </c>
    </row>
    <row r="37" spans="1:53" x14ac:dyDescent="0.25">
      <c r="A37" s="58" t="str">
        <f>IF(info!A43="","",info!A43)</f>
        <v/>
      </c>
      <c r="B37" s="58" t="str">
        <f>IF($A37="","",info!B43)</f>
        <v/>
      </c>
      <c r="C37" s="73" t="str">
        <f>IF($A37="","",info!C43)</f>
        <v/>
      </c>
      <c r="D37" s="71" t="str">
        <f>IF($A37="","",info!G43)</f>
        <v/>
      </c>
      <c r="E37" s="78" t="str">
        <f>IF($A37="","",info!D43)</f>
        <v/>
      </c>
      <c r="F37" s="35" t="str">
        <f>IF($A37="","",info!F43)</f>
        <v/>
      </c>
      <c r="G37" s="7"/>
      <c r="H37" s="7"/>
      <c r="I37" s="13" t="str">
        <f t="shared" si="2"/>
        <v/>
      </c>
      <c r="J37" s="7"/>
      <c r="K37" s="7"/>
      <c r="L37" s="13" t="str">
        <f t="shared" si="3"/>
        <v/>
      </c>
      <c r="M37" s="7"/>
      <c r="N37" s="7"/>
      <c r="O37" s="13" t="str">
        <f t="shared" si="4"/>
        <v/>
      </c>
      <c r="P37" s="7"/>
      <c r="Q37" s="7"/>
      <c r="R37" s="13" t="str">
        <f t="shared" si="5"/>
        <v/>
      </c>
      <c r="S37" s="7"/>
      <c r="T37" s="7"/>
      <c r="U37" s="13" t="str">
        <f t="shared" si="6"/>
        <v/>
      </c>
      <c r="V37" s="60" t="str">
        <f t="shared" si="7"/>
        <v/>
      </c>
      <c r="W37" s="7"/>
      <c r="X37" s="7"/>
      <c r="Y37" s="60" t="str">
        <f t="shared" si="8"/>
        <v/>
      </c>
      <c r="Z37" s="7"/>
      <c r="AA37" s="7"/>
      <c r="AB37" s="7" t="str">
        <f t="shared" si="9"/>
        <v/>
      </c>
      <c r="AC37" s="7"/>
      <c r="AD37" s="60" t="str">
        <f t="shared" si="10"/>
        <v/>
      </c>
      <c r="AE37" s="7"/>
      <c r="AF37" s="7"/>
      <c r="AG37" s="60" t="str">
        <f t="shared" si="11"/>
        <v/>
      </c>
      <c r="AH37" s="7"/>
      <c r="AI37" s="7"/>
      <c r="AJ37" s="60" t="str">
        <f t="shared" si="12"/>
        <v/>
      </c>
      <c r="AK37" s="7"/>
      <c r="AL37" s="7"/>
      <c r="AM37" s="60" t="str">
        <f t="shared" si="13"/>
        <v/>
      </c>
      <c r="AN37" s="7"/>
      <c r="AO37" s="7"/>
      <c r="AP37" s="60" t="str">
        <f t="shared" si="14"/>
        <v/>
      </c>
      <c r="AQ37" s="7"/>
      <c r="AR37" s="7"/>
      <c r="AS37" s="60" t="str">
        <f t="shared" si="15"/>
        <v/>
      </c>
      <c r="AT37" s="61"/>
      <c r="AU37" s="14" t="str">
        <f>IF($A37="","",6+AT37+info!$P$3)</f>
        <v/>
      </c>
      <c r="AV37" s="15" t="str">
        <f t="shared" si="0"/>
        <v/>
      </c>
      <c r="AW37" s="16" t="str">
        <f t="shared" si="16"/>
        <v/>
      </c>
      <c r="AX37" s="17" t="str">
        <f t="shared" si="1"/>
        <v/>
      </c>
      <c r="AY37" s="59" t="str">
        <f t="shared" si="17"/>
        <v/>
      </c>
      <c r="AZ37" s="62" t="str">
        <f>IF($A37="","",'sem1'!AW37)</f>
        <v/>
      </c>
      <c r="BA37" s="63" t="str">
        <f t="shared" si="18"/>
        <v/>
      </c>
    </row>
    <row r="38" spans="1:53" x14ac:dyDescent="0.25">
      <c r="A38" s="58" t="str">
        <f>IF(info!A44="","",info!A44)</f>
        <v/>
      </c>
      <c r="B38" s="58" t="str">
        <f>IF($A38="","",info!B44)</f>
        <v/>
      </c>
      <c r="C38" s="73" t="str">
        <f>IF($A38="","",info!C44)</f>
        <v/>
      </c>
      <c r="D38" s="71" t="str">
        <f>IF($A38="","",info!G44)</f>
        <v/>
      </c>
      <c r="E38" s="78" t="str">
        <f>IF($A38="","",info!D44)</f>
        <v/>
      </c>
      <c r="F38" s="35" t="str">
        <f>IF($A38="","",info!F44)</f>
        <v/>
      </c>
      <c r="G38" s="7"/>
      <c r="H38" s="7"/>
      <c r="I38" s="13" t="str">
        <f t="shared" si="2"/>
        <v/>
      </c>
      <c r="J38" s="7"/>
      <c r="K38" s="7"/>
      <c r="L38" s="13" t="str">
        <f t="shared" si="3"/>
        <v/>
      </c>
      <c r="M38" s="7"/>
      <c r="N38" s="7"/>
      <c r="O38" s="13" t="str">
        <f t="shared" si="4"/>
        <v/>
      </c>
      <c r="P38" s="7"/>
      <c r="Q38" s="7"/>
      <c r="R38" s="13" t="str">
        <f t="shared" si="5"/>
        <v/>
      </c>
      <c r="S38" s="7"/>
      <c r="T38" s="7"/>
      <c r="U38" s="13" t="str">
        <f t="shared" si="6"/>
        <v/>
      </c>
      <c r="V38" s="60" t="str">
        <f t="shared" si="7"/>
        <v/>
      </c>
      <c r="W38" s="7"/>
      <c r="X38" s="7"/>
      <c r="Y38" s="60" t="str">
        <f t="shared" si="8"/>
        <v/>
      </c>
      <c r="Z38" s="7"/>
      <c r="AA38" s="7"/>
      <c r="AB38" s="7" t="str">
        <f t="shared" si="9"/>
        <v/>
      </c>
      <c r="AC38" s="7"/>
      <c r="AD38" s="60" t="str">
        <f t="shared" si="10"/>
        <v/>
      </c>
      <c r="AE38" s="7"/>
      <c r="AF38" s="7"/>
      <c r="AG38" s="60" t="str">
        <f t="shared" si="11"/>
        <v/>
      </c>
      <c r="AH38" s="7"/>
      <c r="AI38" s="7"/>
      <c r="AJ38" s="60" t="str">
        <f t="shared" si="12"/>
        <v/>
      </c>
      <c r="AK38" s="7"/>
      <c r="AL38" s="7"/>
      <c r="AM38" s="60" t="str">
        <f t="shared" si="13"/>
        <v/>
      </c>
      <c r="AN38" s="7"/>
      <c r="AO38" s="7"/>
      <c r="AP38" s="60" t="str">
        <f t="shared" si="14"/>
        <v/>
      </c>
      <c r="AQ38" s="7"/>
      <c r="AR38" s="7"/>
      <c r="AS38" s="60" t="str">
        <f t="shared" si="15"/>
        <v/>
      </c>
      <c r="AT38" s="61"/>
      <c r="AU38" s="14" t="str">
        <f>IF($A38="","",6+AT38+info!$P$3)</f>
        <v/>
      </c>
      <c r="AV38" s="15" t="str">
        <f t="shared" si="0"/>
        <v/>
      </c>
      <c r="AW38" s="16" t="str">
        <f t="shared" si="16"/>
        <v/>
      </c>
      <c r="AX38" s="17" t="str">
        <f t="shared" si="1"/>
        <v/>
      </c>
      <c r="AY38" s="59" t="str">
        <f t="shared" si="17"/>
        <v/>
      </c>
      <c r="AZ38" s="62" t="str">
        <f>IF($A38="","",'sem1'!AW38)</f>
        <v/>
      </c>
      <c r="BA38" s="63" t="str">
        <f t="shared" si="18"/>
        <v/>
      </c>
    </row>
    <row r="39" spans="1:53" x14ac:dyDescent="0.25">
      <c r="A39" s="58" t="str">
        <f>IF(info!A45="","",info!A45)</f>
        <v/>
      </c>
      <c r="B39" s="58" t="str">
        <f>IF($A39="","",info!B45)</f>
        <v/>
      </c>
      <c r="C39" s="73" t="str">
        <f>IF($A39="","",info!C45)</f>
        <v/>
      </c>
      <c r="D39" s="71" t="str">
        <f>IF($A39="","",info!G45)</f>
        <v/>
      </c>
      <c r="E39" s="78" t="str">
        <f>IF($A39="","",info!D45)</f>
        <v/>
      </c>
      <c r="F39" s="35" t="str">
        <f>IF($A39="","",info!F45)</f>
        <v/>
      </c>
      <c r="G39" s="7"/>
      <c r="H39" s="7"/>
      <c r="I39" s="13" t="str">
        <f t="shared" si="2"/>
        <v/>
      </c>
      <c r="J39" s="7"/>
      <c r="K39" s="7"/>
      <c r="L39" s="13" t="str">
        <f t="shared" si="3"/>
        <v/>
      </c>
      <c r="M39" s="7"/>
      <c r="N39" s="7"/>
      <c r="O39" s="13" t="str">
        <f t="shared" si="4"/>
        <v/>
      </c>
      <c r="P39" s="7"/>
      <c r="Q39" s="7"/>
      <c r="R39" s="13" t="str">
        <f t="shared" si="5"/>
        <v/>
      </c>
      <c r="S39" s="7"/>
      <c r="T39" s="7"/>
      <c r="U39" s="13" t="str">
        <f t="shared" si="6"/>
        <v/>
      </c>
      <c r="V39" s="60" t="str">
        <f t="shared" si="7"/>
        <v/>
      </c>
      <c r="W39" s="7"/>
      <c r="X39" s="7"/>
      <c r="Y39" s="60" t="str">
        <f t="shared" si="8"/>
        <v/>
      </c>
      <c r="Z39" s="7"/>
      <c r="AA39" s="7"/>
      <c r="AB39" s="7" t="str">
        <f t="shared" si="9"/>
        <v/>
      </c>
      <c r="AC39" s="7"/>
      <c r="AD39" s="60" t="str">
        <f t="shared" si="10"/>
        <v/>
      </c>
      <c r="AE39" s="7"/>
      <c r="AF39" s="7"/>
      <c r="AG39" s="60" t="str">
        <f t="shared" si="11"/>
        <v/>
      </c>
      <c r="AH39" s="7"/>
      <c r="AI39" s="7"/>
      <c r="AJ39" s="60" t="str">
        <f t="shared" si="12"/>
        <v/>
      </c>
      <c r="AK39" s="7"/>
      <c r="AL39" s="7"/>
      <c r="AM39" s="60" t="str">
        <f t="shared" si="13"/>
        <v/>
      </c>
      <c r="AN39" s="7"/>
      <c r="AO39" s="7"/>
      <c r="AP39" s="60" t="str">
        <f t="shared" si="14"/>
        <v/>
      </c>
      <c r="AQ39" s="7"/>
      <c r="AR39" s="7"/>
      <c r="AS39" s="60" t="str">
        <f t="shared" si="15"/>
        <v/>
      </c>
      <c r="AT39" s="61"/>
      <c r="AU39" s="14" t="str">
        <f>IF($A39="","",6+AT39+info!$P$3)</f>
        <v/>
      </c>
      <c r="AV39" s="15" t="str">
        <f t="shared" si="0"/>
        <v/>
      </c>
      <c r="AW39" s="16" t="str">
        <f t="shared" si="16"/>
        <v/>
      </c>
      <c r="AX39" s="17" t="str">
        <f t="shared" si="1"/>
        <v/>
      </c>
      <c r="AY39" s="59" t="str">
        <f t="shared" si="17"/>
        <v/>
      </c>
      <c r="AZ39" s="62" t="str">
        <f>IF($A39="","",'sem1'!AW39)</f>
        <v/>
      </c>
      <c r="BA39" s="63" t="str">
        <f t="shared" si="18"/>
        <v/>
      </c>
    </row>
    <row r="40" spans="1:53" x14ac:dyDescent="0.25">
      <c r="A40" s="58" t="str">
        <f>IF(info!A46="","",info!A46)</f>
        <v/>
      </c>
      <c r="B40" s="58" t="str">
        <f>IF($A40="","",info!B46)</f>
        <v/>
      </c>
      <c r="C40" s="73" t="str">
        <f>IF($A40="","",info!C46)</f>
        <v/>
      </c>
      <c r="D40" s="71" t="str">
        <f>IF($A40="","",info!G46)</f>
        <v/>
      </c>
      <c r="E40" s="78" t="str">
        <f>IF($A40="","",info!D46)</f>
        <v/>
      </c>
      <c r="F40" s="35" t="str">
        <f>IF($A40="","",info!F46)</f>
        <v/>
      </c>
      <c r="G40" s="7"/>
      <c r="H40" s="7"/>
      <c r="I40" s="13" t="str">
        <f t="shared" si="2"/>
        <v/>
      </c>
      <c r="J40" s="7"/>
      <c r="K40" s="7"/>
      <c r="L40" s="13" t="str">
        <f t="shared" si="3"/>
        <v/>
      </c>
      <c r="M40" s="7"/>
      <c r="N40" s="7"/>
      <c r="O40" s="13" t="str">
        <f t="shared" si="4"/>
        <v/>
      </c>
      <c r="P40" s="7"/>
      <c r="Q40" s="7"/>
      <c r="R40" s="13" t="str">
        <f t="shared" si="5"/>
        <v/>
      </c>
      <c r="S40" s="7"/>
      <c r="T40" s="7"/>
      <c r="U40" s="13" t="str">
        <f t="shared" si="6"/>
        <v/>
      </c>
      <c r="V40" s="60" t="str">
        <f t="shared" si="7"/>
        <v/>
      </c>
      <c r="W40" s="7"/>
      <c r="X40" s="7"/>
      <c r="Y40" s="60" t="str">
        <f t="shared" si="8"/>
        <v/>
      </c>
      <c r="Z40" s="7"/>
      <c r="AA40" s="7"/>
      <c r="AB40" s="7" t="str">
        <f t="shared" si="9"/>
        <v/>
      </c>
      <c r="AC40" s="7"/>
      <c r="AD40" s="60" t="str">
        <f t="shared" si="10"/>
        <v/>
      </c>
      <c r="AE40" s="7"/>
      <c r="AF40" s="7"/>
      <c r="AG40" s="60" t="str">
        <f t="shared" si="11"/>
        <v/>
      </c>
      <c r="AH40" s="7"/>
      <c r="AI40" s="7"/>
      <c r="AJ40" s="60" t="str">
        <f t="shared" si="12"/>
        <v/>
      </c>
      <c r="AK40" s="7"/>
      <c r="AL40" s="7"/>
      <c r="AM40" s="60" t="str">
        <f t="shared" si="13"/>
        <v/>
      </c>
      <c r="AN40" s="7"/>
      <c r="AO40" s="7"/>
      <c r="AP40" s="60" t="str">
        <f t="shared" si="14"/>
        <v/>
      </c>
      <c r="AQ40" s="7"/>
      <c r="AR40" s="7"/>
      <c r="AS40" s="60" t="str">
        <f t="shared" si="15"/>
        <v/>
      </c>
      <c r="AT40" s="61"/>
      <c r="AU40" s="14" t="str">
        <f>IF($A40="","",6+AT40+info!$P$3)</f>
        <v/>
      </c>
      <c r="AV40" s="15" t="str">
        <f t="shared" si="0"/>
        <v/>
      </c>
      <c r="AW40" s="16" t="str">
        <f t="shared" si="16"/>
        <v/>
      </c>
      <c r="AX40" s="17" t="str">
        <f t="shared" si="1"/>
        <v/>
      </c>
      <c r="AY40" s="59" t="str">
        <f t="shared" si="17"/>
        <v/>
      </c>
      <c r="AZ40" s="62" t="str">
        <f>IF($A40="","",'sem1'!AW40)</f>
        <v/>
      </c>
      <c r="BA40" s="63" t="str">
        <f t="shared" si="18"/>
        <v/>
      </c>
    </row>
    <row r="41" spans="1:53" x14ac:dyDescent="0.25">
      <c r="A41" s="58" t="str">
        <f>IF(info!A47="","",info!A47)</f>
        <v/>
      </c>
      <c r="B41" s="58" t="str">
        <f>IF($A41="","",info!B47)</f>
        <v/>
      </c>
      <c r="C41" s="73" t="str">
        <f>IF($A41="","",info!C47)</f>
        <v/>
      </c>
      <c r="D41" s="71" t="str">
        <f>IF($A41="","",info!G47)</f>
        <v/>
      </c>
      <c r="E41" s="78" t="str">
        <f>IF($A41="","",info!D47)</f>
        <v/>
      </c>
      <c r="F41" s="35" t="str">
        <f>IF($A41="","",info!F47)</f>
        <v/>
      </c>
      <c r="G41" s="7"/>
      <c r="H41" s="7"/>
      <c r="I41" s="13" t="str">
        <f t="shared" si="2"/>
        <v/>
      </c>
      <c r="J41" s="7"/>
      <c r="K41" s="7"/>
      <c r="L41" s="13" t="str">
        <f t="shared" si="3"/>
        <v/>
      </c>
      <c r="M41" s="7"/>
      <c r="N41" s="7"/>
      <c r="O41" s="13" t="str">
        <f t="shared" si="4"/>
        <v/>
      </c>
      <c r="P41" s="7"/>
      <c r="Q41" s="7"/>
      <c r="R41" s="13" t="str">
        <f t="shared" si="5"/>
        <v/>
      </c>
      <c r="S41" s="7"/>
      <c r="T41" s="7"/>
      <c r="U41" s="13" t="str">
        <f t="shared" si="6"/>
        <v/>
      </c>
      <c r="V41" s="60" t="str">
        <f t="shared" si="7"/>
        <v/>
      </c>
      <c r="W41" s="7"/>
      <c r="X41" s="7"/>
      <c r="Y41" s="60" t="str">
        <f t="shared" si="8"/>
        <v/>
      </c>
      <c r="Z41" s="7"/>
      <c r="AA41" s="7"/>
      <c r="AB41" s="7" t="str">
        <f t="shared" si="9"/>
        <v/>
      </c>
      <c r="AC41" s="7"/>
      <c r="AD41" s="60" t="str">
        <f t="shared" si="10"/>
        <v/>
      </c>
      <c r="AE41" s="7"/>
      <c r="AF41" s="7"/>
      <c r="AG41" s="60" t="str">
        <f t="shared" si="11"/>
        <v/>
      </c>
      <c r="AH41" s="7"/>
      <c r="AI41" s="7"/>
      <c r="AJ41" s="60" t="str">
        <f t="shared" si="12"/>
        <v/>
      </c>
      <c r="AK41" s="7"/>
      <c r="AL41" s="7"/>
      <c r="AM41" s="60" t="str">
        <f t="shared" si="13"/>
        <v/>
      </c>
      <c r="AN41" s="7"/>
      <c r="AO41" s="7"/>
      <c r="AP41" s="60" t="str">
        <f t="shared" si="14"/>
        <v/>
      </c>
      <c r="AQ41" s="7"/>
      <c r="AR41" s="7"/>
      <c r="AS41" s="60" t="str">
        <f t="shared" si="15"/>
        <v/>
      </c>
      <c r="AT41" s="61"/>
      <c r="AU41" s="14" t="str">
        <f>IF($A41="","",6+AT41+info!$P$3)</f>
        <v/>
      </c>
      <c r="AV41" s="15" t="str">
        <f t="shared" si="0"/>
        <v/>
      </c>
      <c r="AW41" s="16" t="str">
        <f t="shared" si="16"/>
        <v/>
      </c>
      <c r="AX41" s="17" t="str">
        <f t="shared" si="1"/>
        <v/>
      </c>
      <c r="AY41" s="59" t="str">
        <f t="shared" si="17"/>
        <v/>
      </c>
      <c r="AZ41" s="62" t="str">
        <f>IF($A41="","",'sem1'!AW41)</f>
        <v/>
      </c>
      <c r="BA41" s="63" t="str">
        <f t="shared" si="18"/>
        <v/>
      </c>
    </row>
    <row r="42" spans="1:53" x14ac:dyDescent="0.25">
      <c r="A42" s="58" t="str">
        <f>IF(info!A48="","",info!A48)</f>
        <v/>
      </c>
      <c r="B42" s="58" t="str">
        <f>IF($A42="","",info!B48)</f>
        <v/>
      </c>
      <c r="C42" s="73" t="str">
        <f>IF($A42="","",info!C48)</f>
        <v/>
      </c>
      <c r="D42" s="71" t="str">
        <f>IF($A42="","",info!G48)</f>
        <v/>
      </c>
      <c r="E42" s="78" t="str">
        <f>IF($A42="","",info!D48)</f>
        <v/>
      </c>
      <c r="F42" s="35" t="str">
        <f>IF($A42="","",info!F48)</f>
        <v/>
      </c>
      <c r="G42" s="7"/>
      <c r="H42" s="7"/>
      <c r="I42" s="13" t="str">
        <f t="shared" si="2"/>
        <v/>
      </c>
      <c r="J42" s="7"/>
      <c r="K42" s="7"/>
      <c r="L42" s="13" t="str">
        <f t="shared" si="3"/>
        <v/>
      </c>
      <c r="M42" s="7"/>
      <c r="N42" s="7"/>
      <c r="O42" s="13" t="str">
        <f t="shared" si="4"/>
        <v/>
      </c>
      <c r="P42" s="7"/>
      <c r="Q42" s="7"/>
      <c r="R42" s="13" t="str">
        <f t="shared" si="5"/>
        <v/>
      </c>
      <c r="S42" s="7"/>
      <c r="T42" s="7"/>
      <c r="U42" s="13" t="str">
        <f t="shared" si="6"/>
        <v/>
      </c>
      <c r="V42" s="60" t="str">
        <f t="shared" si="7"/>
        <v/>
      </c>
      <c r="W42" s="7"/>
      <c r="X42" s="7"/>
      <c r="Y42" s="60" t="str">
        <f t="shared" si="8"/>
        <v/>
      </c>
      <c r="Z42" s="7"/>
      <c r="AA42" s="7"/>
      <c r="AB42" s="7" t="str">
        <f t="shared" si="9"/>
        <v/>
      </c>
      <c r="AC42" s="7"/>
      <c r="AD42" s="60" t="str">
        <f t="shared" si="10"/>
        <v/>
      </c>
      <c r="AE42" s="7"/>
      <c r="AF42" s="7"/>
      <c r="AG42" s="60" t="str">
        <f t="shared" si="11"/>
        <v/>
      </c>
      <c r="AH42" s="7"/>
      <c r="AI42" s="7"/>
      <c r="AJ42" s="60" t="str">
        <f t="shared" si="12"/>
        <v/>
      </c>
      <c r="AK42" s="7"/>
      <c r="AL42" s="7"/>
      <c r="AM42" s="60" t="str">
        <f t="shared" si="13"/>
        <v/>
      </c>
      <c r="AN42" s="7"/>
      <c r="AO42" s="7"/>
      <c r="AP42" s="60" t="str">
        <f t="shared" si="14"/>
        <v/>
      </c>
      <c r="AQ42" s="7"/>
      <c r="AR42" s="7"/>
      <c r="AS42" s="60" t="str">
        <f t="shared" si="15"/>
        <v/>
      </c>
      <c r="AT42" s="61"/>
      <c r="AU42" s="14" t="str">
        <f>IF($A42="","",6+AT42+info!$P$3)</f>
        <v/>
      </c>
      <c r="AV42" s="15" t="str">
        <f t="shared" ref="AV42:AV59" si="19">IF($A42="","",SUM(V42,AD42,AG42,AJ42,AM42,AS42,Y42))</f>
        <v/>
      </c>
      <c r="AW42" s="16" t="str">
        <f t="shared" si="16"/>
        <v/>
      </c>
      <c r="AX42" s="17" t="str">
        <f t="shared" ref="AX42:AX59" si="20">IF($A42="","",RANK(AW42,$AW$10:$AW$59))</f>
        <v/>
      </c>
      <c r="AY42" s="59" t="str">
        <f t="shared" si="17"/>
        <v/>
      </c>
      <c r="AZ42" s="62" t="str">
        <f>IF($A42="","",'sem1'!AW42)</f>
        <v/>
      </c>
      <c r="BA42" s="63" t="str">
        <f t="shared" si="18"/>
        <v/>
      </c>
    </row>
    <row r="43" spans="1:53" x14ac:dyDescent="0.25">
      <c r="A43" s="58" t="str">
        <f>IF(info!A49="","",info!A49)</f>
        <v/>
      </c>
      <c r="B43" s="58" t="str">
        <f>IF($A43="","",info!B49)</f>
        <v/>
      </c>
      <c r="C43" s="73" t="str">
        <f>IF($A43="","",info!C49)</f>
        <v/>
      </c>
      <c r="D43" s="71" t="str">
        <f>IF($A43="","",info!G49)</f>
        <v/>
      </c>
      <c r="E43" s="78" t="str">
        <f>IF($A43="","",info!D49)</f>
        <v/>
      </c>
      <c r="F43" s="35" t="str">
        <f>IF($A43="","",info!F49)</f>
        <v/>
      </c>
      <c r="G43" s="7"/>
      <c r="H43" s="7"/>
      <c r="I43" s="13" t="str">
        <f t="shared" si="2"/>
        <v/>
      </c>
      <c r="J43" s="7"/>
      <c r="K43" s="7"/>
      <c r="L43" s="13" t="str">
        <f t="shared" si="3"/>
        <v/>
      </c>
      <c r="M43" s="7"/>
      <c r="N43" s="7"/>
      <c r="O43" s="13" t="str">
        <f t="shared" si="4"/>
        <v/>
      </c>
      <c r="P43" s="7"/>
      <c r="Q43" s="7"/>
      <c r="R43" s="13" t="str">
        <f t="shared" si="5"/>
        <v/>
      </c>
      <c r="S43" s="7"/>
      <c r="T43" s="7"/>
      <c r="U43" s="13" t="str">
        <f t="shared" si="6"/>
        <v/>
      </c>
      <c r="V43" s="60" t="str">
        <f t="shared" si="7"/>
        <v/>
      </c>
      <c r="W43" s="7"/>
      <c r="X43" s="7"/>
      <c r="Y43" s="60" t="str">
        <f t="shared" si="8"/>
        <v/>
      </c>
      <c r="Z43" s="7"/>
      <c r="AA43" s="7"/>
      <c r="AB43" s="7" t="str">
        <f t="shared" si="9"/>
        <v/>
      </c>
      <c r="AC43" s="7"/>
      <c r="AD43" s="60" t="str">
        <f t="shared" si="10"/>
        <v/>
      </c>
      <c r="AE43" s="7"/>
      <c r="AF43" s="7"/>
      <c r="AG43" s="60" t="str">
        <f t="shared" si="11"/>
        <v/>
      </c>
      <c r="AH43" s="7"/>
      <c r="AI43" s="7"/>
      <c r="AJ43" s="60" t="str">
        <f t="shared" si="12"/>
        <v/>
      </c>
      <c r="AK43" s="7"/>
      <c r="AL43" s="7"/>
      <c r="AM43" s="60" t="str">
        <f t="shared" si="13"/>
        <v/>
      </c>
      <c r="AN43" s="7"/>
      <c r="AO43" s="7"/>
      <c r="AP43" s="60" t="str">
        <f t="shared" si="14"/>
        <v/>
      </c>
      <c r="AQ43" s="7"/>
      <c r="AR43" s="7"/>
      <c r="AS43" s="60" t="str">
        <f t="shared" si="15"/>
        <v/>
      </c>
      <c r="AT43" s="61"/>
      <c r="AU43" s="14" t="str">
        <f>IF($A43="","",6+AT43+info!$P$3)</f>
        <v/>
      </c>
      <c r="AV43" s="15" t="str">
        <f t="shared" si="19"/>
        <v/>
      </c>
      <c r="AW43" s="16" t="str">
        <f t="shared" si="16"/>
        <v/>
      </c>
      <c r="AX43" s="17" t="str">
        <f t="shared" si="20"/>
        <v/>
      </c>
      <c r="AY43" s="59" t="str">
        <f t="shared" si="17"/>
        <v/>
      </c>
      <c r="AZ43" s="62" t="str">
        <f>IF($A43="","",'sem1'!AW43)</f>
        <v/>
      </c>
      <c r="BA43" s="63" t="str">
        <f t="shared" si="18"/>
        <v/>
      </c>
    </row>
    <row r="44" spans="1:53" x14ac:dyDescent="0.25">
      <c r="A44" s="58" t="str">
        <f>IF(info!A50="","",info!A50)</f>
        <v/>
      </c>
      <c r="B44" s="58" t="str">
        <f>IF($A44="","",info!B50)</f>
        <v/>
      </c>
      <c r="C44" s="73" t="str">
        <f>IF($A44="","",info!C50)</f>
        <v/>
      </c>
      <c r="D44" s="71" t="str">
        <f>IF($A44="","",info!G50)</f>
        <v/>
      </c>
      <c r="E44" s="78" t="str">
        <f>IF($A44="","",info!D50)</f>
        <v/>
      </c>
      <c r="F44" s="35" t="str">
        <f>IF($A44="","",info!F50)</f>
        <v/>
      </c>
      <c r="G44" s="7"/>
      <c r="H44" s="7"/>
      <c r="I44" s="13" t="str">
        <f t="shared" si="2"/>
        <v/>
      </c>
      <c r="J44" s="7"/>
      <c r="K44" s="7"/>
      <c r="L44" s="13" t="str">
        <f t="shared" si="3"/>
        <v/>
      </c>
      <c r="M44" s="7"/>
      <c r="N44" s="7"/>
      <c r="O44" s="13" t="str">
        <f t="shared" si="4"/>
        <v/>
      </c>
      <c r="P44" s="7"/>
      <c r="Q44" s="7"/>
      <c r="R44" s="13" t="str">
        <f t="shared" si="5"/>
        <v/>
      </c>
      <c r="S44" s="7"/>
      <c r="T44" s="7"/>
      <c r="U44" s="13" t="str">
        <f t="shared" si="6"/>
        <v/>
      </c>
      <c r="V44" s="60" t="str">
        <f t="shared" si="7"/>
        <v/>
      </c>
      <c r="W44" s="7"/>
      <c r="X44" s="7"/>
      <c r="Y44" s="60" t="str">
        <f t="shared" si="8"/>
        <v/>
      </c>
      <c r="Z44" s="7"/>
      <c r="AA44" s="7"/>
      <c r="AB44" s="7" t="str">
        <f t="shared" si="9"/>
        <v/>
      </c>
      <c r="AC44" s="7"/>
      <c r="AD44" s="60" t="str">
        <f t="shared" si="10"/>
        <v/>
      </c>
      <c r="AE44" s="7"/>
      <c r="AF44" s="7"/>
      <c r="AG44" s="60" t="str">
        <f t="shared" si="11"/>
        <v/>
      </c>
      <c r="AH44" s="7"/>
      <c r="AI44" s="7"/>
      <c r="AJ44" s="60" t="str">
        <f t="shared" si="12"/>
        <v/>
      </c>
      <c r="AK44" s="7"/>
      <c r="AL44" s="7"/>
      <c r="AM44" s="60" t="str">
        <f t="shared" si="13"/>
        <v/>
      </c>
      <c r="AN44" s="7"/>
      <c r="AO44" s="7"/>
      <c r="AP44" s="60" t="str">
        <f t="shared" si="14"/>
        <v/>
      </c>
      <c r="AQ44" s="7"/>
      <c r="AR44" s="7"/>
      <c r="AS44" s="60" t="str">
        <f t="shared" si="15"/>
        <v/>
      </c>
      <c r="AT44" s="61"/>
      <c r="AU44" s="14" t="str">
        <f>IF($A44="","",6+AT44+info!$P$3)</f>
        <v/>
      </c>
      <c r="AV44" s="15" t="str">
        <f t="shared" si="19"/>
        <v/>
      </c>
      <c r="AW44" s="16" t="str">
        <f t="shared" si="16"/>
        <v/>
      </c>
      <c r="AX44" s="17" t="str">
        <f t="shared" si="20"/>
        <v/>
      </c>
      <c r="AY44" s="59" t="str">
        <f t="shared" si="17"/>
        <v/>
      </c>
      <c r="AZ44" s="62" t="str">
        <f>IF($A44="","",'sem1'!AW44)</f>
        <v/>
      </c>
      <c r="BA44" s="63" t="str">
        <f t="shared" si="18"/>
        <v/>
      </c>
    </row>
    <row r="45" spans="1:53" x14ac:dyDescent="0.25">
      <c r="A45" s="58" t="str">
        <f>IF(info!A51="","",info!A51)</f>
        <v/>
      </c>
      <c r="B45" s="58" t="str">
        <f>IF($A45="","",info!B51)</f>
        <v/>
      </c>
      <c r="C45" s="73" t="str">
        <f>IF($A45="","",info!C51)</f>
        <v/>
      </c>
      <c r="D45" s="71" t="str">
        <f>IF($A45="","",info!G51)</f>
        <v/>
      </c>
      <c r="E45" s="78" t="str">
        <f>IF($A45="","",info!D51)</f>
        <v/>
      </c>
      <c r="F45" s="35" t="str">
        <f>IF($A45="","",info!F51)</f>
        <v/>
      </c>
      <c r="G45" s="7"/>
      <c r="H45" s="7"/>
      <c r="I45" s="13" t="str">
        <f t="shared" si="2"/>
        <v/>
      </c>
      <c r="J45" s="7"/>
      <c r="K45" s="7"/>
      <c r="L45" s="13" t="str">
        <f t="shared" si="3"/>
        <v/>
      </c>
      <c r="M45" s="7"/>
      <c r="N45" s="7"/>
      <c r="O45" s="13" t="str">
        <f t="shared" si="4"/>
        <v/>
      </c>
      <c r="P45" s="7"/>
      <c r="Q45" s="7"/>
      <c r="R45" s="13" t="str">
        <f t="shared" si="5"/>
        <v/>
      </c>
      <c r="S45" s="7"/>
      <c r="T45" s="7"/>
      <c r="U45" s="13" t="str">
        <f t="shared" si="6"/>
        <v/>
      </c>
      <c r="V45" s="60" t="str">
        <f t="shared" si="7"/>
        <v/>
      </c>
      <c r="W45" s="7"/>
      <c r="X45" s="7"/>
      <c r="Y45" s="60" t="str">
        <f t="shared" si="8"/>
        <v/>
      </c>
      <c r="Z45" s="7"/>
      <c r="AA45" s="7"/>
      <c r="AB45" s="7" t="str">
        <f t="shared" si="9"/>
        <v/>
      </c>
      <c r="AC45" s="7"/>
      <c r="AD45" s="60" t="str">
        <f t="shared" si="10"/>
        <v/>
      </c>
      <c r="AE45" s="7"/>
      <c r="AF45" s="7"/>
      <c r="AG45" s="60" t="str">
        <f t="shared" si="11"/>
        <v/>
      </c>
      <c r="AH45" s="7"/>
      <c r="AI45" s="7"/>
      <c r="AJ45" s="60" t="str">
        <f t="shared" si="12"/>
        <v/>
      </c>
      <c r="AK45" s="7"/>
      <c r="AL45" s="7"/>
      <c r="AM45" s="60" t="str">
        <f t="shared" si="13"/>
        <v/>
      </c>
      <c r="AN45" s="7"/>
      <c r="AO45" s="7"/>
      <c r="AP45" s="60" t="str">
        <f t="shared" si="14"/>
        <v/>
      </c>
      <c r="AQ45" s="7"/>
      <c r="AR45" s="7"/>
      <c r="AS45" s="60" t="str">
        <f t="shared" si="15"/>
        <v/>
      </c>
      <c r="AT45" s="61"/>
      <c r="AU45" s="14" t="str">
        <f>IF($A45="","",6+AT45+info!$P$3)</f>
        <v/>
      </c>
      <c r="AV45" s="15" t="str">
        <f t="shared" si="19"/>
        <v/>
      </c>
      <c r="AW45" s="16" t="str">
        <f t="shared" si="16"/>
        <v/>
      </c>
      <c r="AX45" s="17" t="str">
        <f t="shared" si="20"/>
        <v/>
      </c>
      <c r="AY45" s="59" t="str">
        <f t="shared" si="17"/>
        <v/>
      </c>
      <c r="AZ45" s="62" t="str">
        <f>IF($A45="","",'sem1'!AW45)</f>
        <v/>
      </c>
      <c r="BA45" s="63" t="str">
        <f t="shared" si="18"/>
        <v/>
      </c>
    </row>
    <row r="46" spans="1:53" x14ac:dyDescent="0.25">
      <c r="A46" s="58" t="str">
        <f>IF(info!A52="","",info!A52)</f>
        <v/>
      </c>
      <c r="B46" s="58" t="str">
        <f>IF($A46="","",info!B52)</f>
        <v/>
      </c>
      <c r="C46" s="73" t="str">
        <f>IF($A46="","",info!C52)</f>
        <v/>
      </c>
      <c r="D46" s="71" t="str">
        <f>IF($A46="","",info!G52)</f>
        <v/>
      </c>
      <c r="E46" s="78" t="str">
        <f>IF($A46="","",info!D52)</f>
        <v/>
      </c>
      <c r="F46" s="35" t="str">
        <f>IF($A46="","",info!F52)</f>
        <v/>
      </c>
      <c r="G46" s="7"/>
      <c r="H46" s="7"/>
      <c r="I46" s="13" t="str">
        <f t="shared" si="2"/>
        <v/>
      </c>
      <c r="J46" s="7"/>
      <c r="K46" s="7"/>
      <c r="L46" s="13" t="str">
        <f t="shared" si="3"/>
        <v/>
      </c>
      <c r="M46" s="7"/>
      <c r="N46" s="7"/>
      <c r="O46" s="13" t="str">
        <f t="shared" si="4"/>
        <v/>
      </c>
      <c r="P46" s="7"/>
      <c r="Q46" s="7"/>
      <c r="R46" s="13" t="str">
        <f t="shared" si="5"/>
        <v/>
      </c>
      <c r="S46" s="7"/>
      <c r="T46" s="7"/>
      <c r="U46" s="13" t="str">
        <f t="shared" si="6"/>
        <v/>
      </c>
      <c r="V46" s="60" t="str">
        <f t="shared" si="7"/>
        <v/>
      </c>
      <c r="W46" s="7"/>
      <c r="X46" s="7"/>
      <c r="Y46" s="60" t="str">
        <f t="shared" si="8"/>
        <v/>
      </c>
      <c r="Z46" s="7"/>
      <c r="AA46" s="7"/>
      <c r="AB46" s="7" t="str">
        <f t="shared" si="9"/>
        <v/>
      </c>
      <c r="AC46" s="7"/>
      <c r="AD46" s="60" t="str">
        <f t="shared" si="10"/>
        <v/>
      </c>
      <c r="AE46" s="7"/>
      <c r="AF46" s="7"/>
      <c r="AG46" s="60" t="str">
        <f t="shared" si="11"/>
        <v/>
      </c>
      <c r="AH46" s="7"/>
      <c r="AI46" s="7"/>
      <c r="AJ46" s="60" t="str">
        <f t="shared" si="12"/>
        <v/>
      </c>
      <c r="AK46" s="7"/>
      <c r="AL46" s="7"/>
      <c r="AM46" s="60" t="str">
        <f t="shared" si="13"/>
        <v/>
      </c>
      <c r="AN46" s="7"/>
      <c r="AO46" s="7"/>
      <c r="AP46" s="60" t="str">
        <f t="shared" si="14"/>
        <v/>
      </c>
      <c r="AQ46" s="7"/>
      <c r="AR46" s="7"/>
      <c r="AS46" s="60" t="str">
        <f t="shared" si="15"/>
        <v/>
      </c>
      <c r="AT46" s="61"/>
      <c r="AU46" s="14" t="str">
        <f>IF($A46="","",6+AT46+info!$P$3)</f>
        <v/>
      </c>
      <c r="AV46" s="15" t="str">
        <f t="shared" si="19"/>
        <v/>
      </c>
      <c r="AW46" s="16" t="str">
        <f t="shared" si="16"/>
        <v/>
      </c>
      <c r="AX46" s="17" t="str">
        <f t="shared" si="20"/>
        <v/>
      </c>
      <c r="AY46" s="59" t="str">
        <f t="shared" si="17"/>
        <v/>
      </c>
      <c r="AZ46" s="62" t="str">
        <f>IF($A46="","",'sem1'!AW46)</f>
        <v/>
      </c>
      <c r="BA46" s="63" t="str">
        <f t="shared" si="18"/>
        <v/>
      </c>
    </row>
    <row r="47" spans="1:53" x14ac:dyDescent="0.25">
      <c r="A47" s="58" t="str">
        <f>IF(info!A53="","",info!A53)</f>
        <v/>
      </c>
      <c r="B47" s="58" t="str">
        <f>IF($A47="","",info!B53)</f>
        <v/>
      </c>
      <c r="C47" s="73" t="str">
        <f>IF($A47="","",info!C53)</f>
        <v/>
      </c>
      <c r="D47" s="71" t="str">
        <f>IF($A47="","",info!G53)</f>
        <v/>
      </c>
      <c r="E47" s="78" t="str">
        <f>IF($A47="","",info!D53)</f>
        <v/>
      </c>
      <c r="F47" s="35" t="str">
        <f>IF($A47="","",info!F53)</f>
        <v/>
      </c>
      <c r="G47" s="7"/>
      <c r="H47" s="7"/>
      <c r="I47" s="13" t="str">
        <f t="shared" si="2"/>
        <v/>
      </c>
      <c r="J47" s="7"/>
      <c r="K47" s="7"/>
      <c r="L47" s="13" t="str">
        <f t="shared" si="3"/>
        <v/>
      </c>
      <c r="M47" s="7"/>
      <c r="N47" s="7"/>
      <c r="O47" s="13" t="str">
        <f t="shared" si="4"/>
        <v/>
      </c>
      <c r="P47" s="7"/>
      <c r="Q47" s="7"/>
      <c r="R47" s="13" t="str">
        <f t="shared" si="5"/>
        <v/>
      </c>
      <c r="S47" s="7"/>
      <c r="T47" s="7"/>
      <c r="U47" s="13" t="str">
        <f t="shared" si="6"/>
        <v/>
      </c>
      <c r="V47" s="60" t="str">
        <f t="shared" si="7"/>
        <v/>
      </c>
      <c r="W47" s="7"/>
      <c r="X47" s="7"/>
      <c r="Y47" s="60" t="str">
        <f t="shared" si="8"/>
        <v/>
      </c>
      <c r="Z47" s="7"/>
      <c r="AA47" s="7"/>
      <c r="AB47" s="7" t="str">
        <f t="shared" si="9"/>
        <v/>
      </c>
      <c r="AC47" s="7"/>
      <c r="AD47" s="60" t="str">
        <f t="shared" si="10"/>
        <v/>
      </c>
      <c r="AE47" s="7"/>
      <c r="AF47" s="7"/>
      <c r="AG47" s="60" t="str">
        <f t="shared" si="11"/>
        <v/>
      </c>
      <c r="AH47" s="7"/>
      <c r="AI47" s="7"/>
      <c r="AJ47" s="60" t="str">
        <f t="shared" si="12"/>
        <v/>
      </c>
      <c r="AK47" s="7"/>
      <c r="AL47" s="7"/>
      <c r="AM47" s="60" t="str">
        <f t="shared" si="13"/>
        <v/>
      </c>
      <c r="AN47" s="7"/>
      <c r="AO47" s="7"/>
      <c r="AP47" s="60" t="str">
        <f t="shared" si="14"/>
        <v/>
      </c>
      <c r="AQ47" s="7"/>
      <c r="AR47" s="7"/>
      <c r="AS47" s="60" t="str">
        <f t="shared" si="15"/>
        <v/>
      </c>
      <c r="AT47" s="61"/>
      <c r="AU47" s="14" t="str">
        <f>IF($A47="","",6+AT47+info!$P$3)</f>
        <v/>
      </c>
      <c r="AV47" s="15" t="str">
        <f t="shared" si="19"/>
        <v/>
      </c>
      <c r="AW47" s="16" t="str">
        <f t="shared" si="16"/>
        <v/>
      </c>
      <c r="AX47" s="17" t="str">
        <f t="shared" si="20"/>
        <v/>
      </c>
      <c r="AY47" s="59" t="str">
        <f t="shared" si="17"/>
        <v/>
      </c>
      <c r="AZ47" s="62" t="str">
        <f>IF($A47="","",'sem1'!AW47)</f>
        <v/>
      </c>
      <c r="BA47" s="63" t="str">
        <f t="shared" si="18"/>
        <v/>
      </c>
    </row>
    <row r="48" spans="1:53" x14ac:dyDescent="0.25">
      <c r="A48" s="58" t="str">
        <f>IF(info!A54="","",info!A54)</f>
        <v/>
      </c>
      <c r="B48" s="58" t="str">
        <f>IF($A48="","",info!B54)</f>
        <v/>
      </c>
      <c r="C48" s="73" t="str">
        <f>IF($A48="","",info!C54)</f>
        <v/>
      </c>
      <c r="D48" s="71" t="str">
        <f>IF($A48="","",info!G54)</f>
        <v/>
      </c>
      <c r="E48" s="78" t="str">
        <f>IF($A48="","",info!D54)</f>
        <v/>
      </c>
      <c r="F48" s="35" t="str">
        <f>IF($A48="","",info!F54)</f>
        <v/>
      </c>
      <c r="G48" s="7"/>
      <c r="H48" s="7"/>
      <c r="I48" s="13" t="str">
        <f t="shared" si="2"/>
        <v/>
      </c>
      <c r="J48" s="7"/>
      <c r="K48" s="7"/>
      <c r="L48" s="13" t="str">
        <f t="shared" si="3"/>
        <v/>
      </c>
      <c r="M48" s="7"/>
      <c r="N48" s="7"/>
      <c r="O48" s="13" t="str">
        <f t="shared" si="4"/>
        <v/>
      </c>
      <c r="P48" s="7"/>
      <c r="Q48" s="7"/>
      <c r="R48" s="13" t="str">
        <f t="shared" si="5"/>
        <v/>
      </c>
      <c r="S48" s="7"/>
      <c r="T48" s="7"/>
      <c r="U48" s="13" t="str">
        <f t="shared" si="6"/>
        <v/>
      </c>
      <c r="V48" s="60" t="str">
        <f t="shared" si="7"/>
        <v/>
      </c>
      <c r="W48" s="7"/>
      <c r="X48" s="7"/>
      <c r="Y48" s="60" t="str">
        <f t="shared" si="8"/>
        <v/>
      </c>
      <c r="Z48" s="7"/>
      <c r="AA48" s="7"/>
      <c r="AB48" s="7" t="str">
        <f t="shared" si="9"/>
        <v/>
      </c>
      <c r="AC48" s="7"/>
      <c r="AD48" s="60" t="str">
        <f t="shared" si="10"/>
        <v/>
      </c>
      <c r="AE48" s="7"/>
      <c r="AF48" s="7"/>
      <c r="AG48" s="60" t="str">
        <f t="shared" si="11"/>
        <v/>
      </c>
      <c r="AH48" s="7"/>
      <c r="AI48" s="7"/>
      <c r="AJ48" s="60" t="str">
        <f t="shared" si="12"/>
        <v/>
      </c>
      <c r="AK48" s="7"/>
      <c r="AL48" s="7"/>
      <c r="AM48" s="60" t="str">
        <f t="shared" si="13"/>
        <v/>
      </c>
      <c r="AN48" s="7"/>
      <c r="AO48" s="7"/>
      <c r="AP48" s="60" t="str">
        <f t="shared" si="14"/>
        <v/>
      </c>
      <c r="AQ48" s="7"/>
      <c r="AR48" s="7"/>
      <c r="AS48" s="60" t="str">
        <f t="shared" si="15"/>
        <v/>
      </c>
      <c r="AT48" s="61"/>
      <c r="AU48" s="14" t="str">
        <f>IF($A48="","",6+AT48+info!$P$3)</f>
        <v/>
      </c>
      <c r="AV48" s="15" t="str">
        <f t="shared" si="19"/>
        <v/>
      </c>
      <c r="AW48" s="16" t="str">
        <f t="shared" si="16"/>
        <v/>
      </c>
      <c r="AX48" s="17" t="str">
        <f t="shared" si="20"/>
        <v/>
      </c>
      <c r="AY48" s="59" t="str">
        <f t="shared" si="17"/>
        <v/>
      </c>
      <c r="AZ48" s="62" t="str">
        <f>IF($A48="","",'sem1'!AW48)</f>
        <v/>
      </c>
      <c r="BA48" s="63" t="str">
        <f t="shared" si="18"/>
        <v/>
      </c>
    </row>
    <row r="49" spans="1:53" x14ac:dyDescent="0.25">
      <c r="A49" s="58" t="str">
        <f>IF(info!A55="","",info!A55)</f>
        <v/>
      </c>
      <c r="B49" s="58" t="str">
        <f>IF($A49="","",info!B55)</f>
        <v/>
      </c>
      <c r="C49" s="73" t="str">
        <f>IF($A49="","",info!C55)</f>
        <v/>
      </c>
      <c r="D49" s="71" t="str">
        <f>IF($A49="","",info!G55)</f>
        <v/>
      </c>
      <c r="E49" s="78" t="str">
        <f>IF($A49="","",info!D55)</f>
        <v/>
      </c>
      <c r="F49" s="35" t="str">
        <f>IF($A49="","",info!F55)</f>
        <v/>
      </c>
      <c r="G49" s="7"/>
      <c r="H49" s="7"/>
      <c r="I49" s="13" t="str">
        <f t="shared" si="2"/>
        <v/>
      </c>
      <c r="J49" s="7"/>
      <c r="K49" s="7"/>
      <c r="L49" s="13" t="str">
        <f t="shared" si="3"/>
        <v/>
      </c>
      <c r="M49" s="7"/>
      <c r="N49" s="7"/>
      <c r="O49" s="13" t="str">
        <f t="shared" si="4"/>
        <v/>
      </c>
      <c r="P49" s="7"/>
      <c r="Q49" s="7"/>
      <c r="R49" s="13" t="str">
        <f t="shared" si="5"/>
        <v/>
      </c>
      <c r="S49" s="7"/>
      <c r="T49" s="7"/>
      <c r="U49" s="13" t="str">
        <f t="shared" si="6"/>
        <v/>
      </c>
      <c r="V49" s="60" t="str">
        <f t="shared" si="7"/>
        <v/>
      </c>
      <c r="W49" s="7"/>
      <c r="X49" s="7"/>
      <c r="Y49" s="60" t="str">
        <f t="shared" si="8"/>
        <v/>
      </c>
      <c r="Z49" s="7"/>
      <c r="AA49" s="7"/>
      <c r="AB49" s="7" t="str">
        <f t="shared" si="9"/>
        <v/>
      </c>
      <c r="AC49" s="7"/>
      <c r="AD49" s="60" t="str">
        <f t="shared" si="10"/>
        <v/>
      </c>
      <c r="AE49" s="7"/>
      <c r="AF49" s="7"/>
      <c r="AG49" s="60" t="str">
        <f t="shared" si="11"/>
        <v/>
      </c>
      <c r="AH49" s="7"/>
      <c r="AI49" s="7"/>
      <c r="AJ49" s="60" t="str">
        <f t="shared" si="12"/>
        <v/>
      </c>
      <c r="AK49" s="7"/>
      <c r="AL49" s="7"/>
      <c r="AM49" s="60" t="str">
        <f t="shared" si="13"/>
        <v/>
      </c>
      <c r="AN49" s="7"/>
      <c r="AO49" s="7"/>
      <c r="AP49" s="60" t="str">
        <f t="shared" si="14"/>
        <v/>
      </c>
      <c r="AQ49" s="7"/>
      <c r="AR49" s="7"/>
      <c r="AS49" s="60" t="str">
        <f t="shared" si="15"/>
        <v/>
      </c>
      <c r="AT49" s="61"/>
      <c r="AU49" s="14" t="str">
        <f>IF($A49="","",6+AT49+info!$P$3)</f>
        <v/>
      </c>
      <c r="AV49" s="15" t="str">
        <f t="shared" si="19"/>
        <v/>
      </c>
      <c r="AW49" s="16" t="str">
        <f t="shared" si="16"/>
        <v/>
      </c>
      <c r="AX49" s="17" t="str">
        <f t="shared" si="20"/>
        <v/>
      </c>
      <c r="AY49" s="59" t="str">
        <f t="shared" si="17"/>
        <v/>
      </c>
      <c r="AZ49" s="62" t="str">
        <f>IF($A49="","",'sem1'!AW49)</f>
        <v/>
      </c>
      <c r="BA49" s="63" t="str">
        <f t="shared" si="18"/>
        <v/>
      </c>
    </row>
    <row r="50" spans="1:53" x14ac:dyDescent="0.25">
      <c r="A50" s="58" t="str">
        <f>IF(info!A56="","",info!A56)</f>
        <v/>
      </c>
      <c r="B50" s="58" t="str">
        <f>IF($A50="","",info!B56)</f>
        <v/>
      </c>
      <c r="C50" s="73" t="str">
        <f>IF($A50="","",info!C56)</f>
        <v/>
      </c>
      <c r="D50" s="71" t="str">
        <f>IF($A50="","",info!G56)</f>
        <v/>
      </c>
      <c r="E50" s="78" t="str">
        <f>IF($A50="","",info!D56)</f>
        <v/>
      </c>
      <c r="F50" s="35" t="str">
        <f>IF($A50="","",info!F56)</f>
        <v/>
      </c>
      <c r="G50" s="7"/>
      <c r="H50" s="7"/>
      <c r="I50" s="13" t="str">
        <f t="shared" si="2"/>
        <v/>
      </c>
      <c r="J50" s="7"/>
      <c r="K50" s="7"/>
      <c r="L50" s="13" t="str">
        <f t="shared" si="3"/>
        <v/>
      </c>
      <c r="M50" s="7"/>
      <c r="N50" s="7"/>
      <c r="O50" s="13" t="str">
        <f t="shared" si="4"/>
        <v/>
      </c>
      <c r="P50" s="7"/>
      <c r="Q50" s="7"/>
      <c r="R50" s="13" t="str">
        <f t="shared" si="5"/>
        <v/>
      </c>
      <c r="S50" s="7"/>
      <c r="T50" s="7"/>
      <c r="U50" s="13" t="str">
        <f t="shared" si="6"/>
        <v/>
      </c>
      <c r="V50" s="60" t="str">
        <f t="shared" si="7"/>
        <v/>
      </c>
      <c r="W50" s="7"/>
      <c r="X50" s="7"/>
      <c r="Y50" s="60" t="str">
        <f t="shared" si="8"/>
        <v/>
      </c>
      <c r="Z50" s="7"/>
      <c r="AA50" s="7"/>
      <c r="AB50" s="7" t="str">
        <f t="shared" ref="AB50:AB59" si="21">IF(Z50="","",IF(AA50="","",AVERAGE(Z50:AA50)))</f>
        <v/>
      </c>
      <c r="AC50" s="7"/>
      <c r="AD50" s="60" t="str">
        <f t="shared" si="10"/>
        <v/>
      </c>
      <c r="AE50" s="7"/>
      <c r="AF50" s="7"/>
      <c r="AG50" s="60" t="str">
        <f t="shared" si="11"/>
        <v/>
      </c>
      <c r="AH50" s="7"/>
      <c r="AI50" s="7"/>
      <c r="AJ50" s="60" t="str">
        <f t="shared" si="12"/>
        <v/>
      </c>
      <c r="AK50" s="7"/>
      <c r="AL50" s="7"/>
      <c r="AM50" s="60" t="str">
        <f t="shared" si="13"/>
        <v/>
      </c>
      <c r="AN50" s="7"/>
      <c r="AO50" s="7"/>
      <c r="AP50" s="60" t="str">
        <f t="shared" si="14"/>
        <v/>
      </c>
      <c r="AQ50" s="7"/>
      <c r="AR50" s="7"/>
      <c r="AS50" s="60" t="str">
        <f t="shared" si="15"/>
        <v/>
      </c>
      <c r="AT50" s="61"/>
      <c r="AU50" s="14" t="str">
        <f>IF($A50="","",6+AT50+info!$P$3)</f>
        <v/>
      </c>
      <c r="AV50" s="15" t="str">
        <f t="shared" si="19"/>
        <v/>
      </c>
      <c r="AW50" s="16" t="str">
        <f t="shared" ref="AW50:AW59" si="22">IF($A50="","",AV50/AU50)</f>
        <v/>
      </c>
      <c r="AX50" s="17" t="str">
        <f t="shared" si="20"/>
        <v/>
      </c>
      <c r="AY50" s="59" t="str">
        <f t="shared" ref="AY50:AY59" si="23">IF($A50="","",IF(AW50&gt;=8," تنويه ",IF(AW50&gt;=7,"تشجيع ",IF(AW50&gt;=6,"لوحة الشرف",IF(AW50&gt;=5,"متوسط",IF(AW50&gt;=4,"دون المتوسط",IF(AW50&gt;=3,"ناقص",IF(AW50&gt;=2,"تنبيه",IF(AW50&gt;=1,"إنذار","توبيخ")))))))))</f>
        <v/>
      </c>
      <c r="AZ50" s="62" t="str">
        <f>IF($A50="","",'sem1'!AW50)</f>
        <v/>
      </c>
      <c r="BA50" s="63" t="str">
        <f t="shared" ref="BA50:BA59" si="24">IF($A50="","",AVERAGE(AZ50,AW50))</f>
        <v/>
      </c>
    </row>
    <row r="51" spans="1:53" x14ac:dyDescent="0.25">
      <c r="A51" s="58" t="str">
        <f>IF(info!A57="","",info!A57)</f>
        <v/>
      </c>
      <c r="B51" s="58" t="str">
        <f>IF($A51="","",info!B57)</f>
        <v/>
      </c>
      <c r="C51" s="73" t="str">
        <f>IF($A51="","",info!C57)</f>
        <v/>
      </c>
      <c r="D51" s="71" t="str">
        <f>IF($A51="","",info!G57)</f>
        <v/>
      </c>
      <c r="E51" s="78" t="str">
        <f>IF($A51="","",info!D57)</f>
        <v/>
      </c>
      <c r="F51" s="35" t="str">
        <f>IF($A51="","",info!F57)</f>
        <v/>
      </c>
      <c r="G51" s="7"/>
      <c r="H51" s="7"/>
      <c r="I51" s="13" t="str">
        <f t="shared" si="2"/>
        <v/>
      </c>
      <c r="J51" s="7"/>
      <c r="K51" s="7"/>
      <c r="L51" s="13" t="str">
        <f t="shared" si="3"/>
        <v/>
      </c>
      <c r="M51" s="7"/>
      <c r="N51" s="7"/>
      <c r="O51" s="13" t="str">
        <f t="shared" si="4"/>
        <v/>
      </c>
      <c r="P51" s="7"/>
      <c r="Q51" s="7"/>
      <c r="R51" s="13" t="str">
        <f t="shared" si="5"/>
        <v/>
      </c>
      <c r="S51" s="7"/>
      <c r="T51" s="7"/>
      <c r="U51" s="13" t="str">
        <f t="shared" si="6"/>
        <v/>
      </c>
      <c r="V51" s="60" t="str">
        <f t="shared" si="7"/>
        <v/>
      </c>
      <c r="W51" s="7"/>
      <c r="X51" s="7"/>
      <c r="Y51" s="60" t="str">
        <f t="shared" si="8"/>
        <v/>
      </c>
      <c r="Z51" s="7"/>
      <c r="AA51" s="7"/>
      <c r="AB51" s="7" t="str">
        <f t="shared" si="21"/>
        <v/>
      </c>
      <c r="AC51" s="7"/>
      <c r="AD51" s="60" t="str">
        <f t="shared" si="10"/>
        <v/>
      </c>
      <c r="AE51" s="7"/>
      <c r="AF51" s="7"/>
      <c r="AG51" s="60" t="str">
        <f t="shared" si="11"/>
        <v/>
      </c>
      <c r="AH51" s="7"/>
      <c r="AI51" s="7"/>
      <c r="AJ51" s="60" t="str">
        <f t="shared" si="12"/>
        <v/>
      </c>
      <c r="AK51" s="7"/>
      <c r="AL51" s="7"/>
      <c r="AM51" s="60" t="str">
        <f t="shared" si="13"/>
        <v/>
      </c>
      <c r="AN51" s="7"/>
      <c r="AO51" s="7"/>
      <c r="AP51" s="60" t="str">
        <f t="shared" si="14"/>
        <v/>
      </c>
      <c r="AQ51" s="7"/>
      <c r="AR51" s="7"/>
      <c r="AS51" s="60" t="str">
        <f t="shared" si="15"/>
        <v/>
      </c>
      <c r="AT51" s="61"/>
      <c r="AU51" s="14" t="str">
        <f>IF($A51="","",6+AT51+info!$P$3)</f>
        <v/>
      </c>
      <c r="AV51" s="15" t="str">
        <f t="shared" si="19"/>
        <v/>
      </c>
      <c r="AW51" s="16" t="str">
        <f t="shared" si="22"/>
        <v/>
      </c>
      <c r="AX51" s="17" t="str">
        <f t="shared" si="20"/>
        <v/>
      </c>
      <c r="AY51" s="59" t="str">
        <f t="shared" si="23"/>
        <v/>
      </c>
      <c r="AZ51" s="62" t="str">
        <f>IF($A51="","",'sem1'!AW51)</f>
        <v/>
      </c>
      <c r="BA51" s="63" t="str">
        <f t="shared" si="24"/>
        <v/>
      </c>
    </row>
    <row r="52" spans="1:53" x14ac:dyDescent="0.25">
      <c r="A52" s="58" t="str">
        <f>IF(info!A58="","",info!A58)</f>
        <v/>
      </c>
      <c r="B52" s="58" t="str">
        <f>IF($A52="","",info!B58)</f>
        <v/>
      </c>
      <c r="C52" s="73" t="str">
        <f>IF($A52="","",info!C58)</f>
        <v/>
      </c>
      <c r="D52" s="71" t="str">
        <f>IF($A52="","",info!G58)</f>
        <v/>
      </c>
      <c r="E52" s="78" t="str">
        <f>IF($A52="","",info!D58)</f>
        <v/>
      </c>
      <c r="F52" s="35" t="str">
        <f>IF($A52="","",info!F58)</f>
        <v/>
      </c>
      <c r="G52" s="7"/>
      <c r="H52" s="7"/>
      <c r="I52" s="13" t="str">
        <f t="shared" si="2"/>
        <v/>
      </c>
      <c r="J52" s="7"/>
      <c r="K52" s="7"/>
      <c r="L52" s="13" t="str">
        <f t="shared" si="3"/>
        <v/>
      </c>
      <c r="M52" s="7"/>
      <c r="N52" s="7"/>
      <c r="O52" s="13" t="str">
        <f t="shared" si="4"/>
        <v/>
      </c>
      <c r="P52" s="7"/>
      <c r="Q52" s="7"/>
      <c r="R52" s="13" t="str">
        <f t="shared" si="5"/>
        <v/>
      </c>
      <c r="S52" s="7"/>
      <c r="T52" s="7"/>
      <c r="U52" s="13" t="str">
        <f t="shared" si="6"/>
        <v/>
      </c>
      <c r="V52" s="60" t="str">
        <f t="shared" si="7"/>
        <v/>
      </c>
      <c r="W52" s="7"/>
      <c r="X52" s="7"/>
      <c r="Y52" s="60" t="str">
        <f t="shared" si="8"/>
        <v/>
      </c>
      <c r="Z52" s="7"/>
      <c r="AA52" s="7"/>
      <c r="AB52" s="7" t="str">
        <f t="shared" si="21"/>
        <v/>
      </c>
      <c r="AC52" s="7"/>
      <c r="AD52" s="60" t="str">
        <f t="shared" si="10"/>
        <v/>
      </c>
      <c r="AE52" s="7"/>
      <c r="AF52" s="7"/>
      <c r="AG52" s="60" t="str">
        <f t="shared" si="11"/>
        <v/>
      </c>
      <c r="AH52" s="7"/>
      <c r="AI52" s="7"/>
      <c r="AJ52" s="60" t="str">
        <f t="shared" si="12"/>
        <v/>
      </c>
      <c r="AK52" s="7"/>
      <c r="AL52" s="7"/>
      <c r="AM52" s="60" t="str">
        <f t="shared" si="13"/>
        <v/>
      </c>
      <c r="AN52" s="7"/>
      <c r="AO52" s="7"/>
      <c r="AP52" s="60" t="str">
        <f t="shared" si="14"/>
        <v/>
      </c>
      <c r="AQ52" s="7"/>
      <c r="AR52" s="7"/>
      <c r="AS52" s="60" t="str">
        <f t="shared" si="15"/>
        <v/>
      </c>
      <c r="AT52" s="61"/>
      <c r="AU52" s="14" t="str">
        <f>IF($A52="","",6+AT52+info!$P$3)</f>
        <v/>
      </c>
      <c r="AV52" s="15" t="str">
        <f t="shared" si="19"/>
        <v/>
      </c>
      <c r="AW52" s="16" t="str">
        <f t="shared" si="22"/>
        <v/>
      </c>
      <c r="AX52" s="17" t="str">
        <f t="shared" si="20"/>
        <v/>
      </c>
      <c r="AY52" s="59" t="str">
        <f t="shared" si="23"/>
        <v/>
      </c>
      <c r="AZ52" s="62" t="str">
        <f>IF($A52="","",'sem1'!AW52)</f>
        <v/>
      </c>
      <c r="BA52" s="63" t="str">
        <f t="shared" si="24"/>
        <v/>
      </c>
    </row>
    <row r="53" spans="1:53" x14ac:dyDescent="0.25">
      <c r="A53" s="58" t="str">
        <f>IF(info!A59="","",info!A59)</f>
        <v/>
      </c>
      <c r="B53" s="58" t="str">
        <f>IF($A53="","",info!B59)</f>
        <v/>
      </c>
      <c r="C53" s="73" t="str">
        <f>IF($A53="","",info!C59)</f>
        <v/>
      </c>
      <c r="D53" s="71" t="str">
        <f>IF($A53="","",info!G59)</f>
        <v/>
      </c>
      <c r="E53" s="78" t="str">
        <f>IF($A53="","",info!D59)</f>
        <v/>
      </c>
      <c r="F53" s="35" t="str">
        <f>IF($A53="","",info!F59)</f>
        <v/>
      </c>
      <c r="G53" s="7"/>
      <c r="H53" s="7"/>
      <c r="I53" s="13" t="str">
        <f t="shared" si="2"/>
        <v/>
      </c>
      <c r="J53" s="7"/>
      <c r="K53" s="7"/>
      <c r="L53" s="13" t="str">
        <f t="shared" si="3"/>
        <v/>
      </c>
      <c r="M53" s="7"/>
      <c r="N53" s="7"/>
      <c r="O53" s="13" t="str">
        <f t="shared" si="4"/>
        <v/>
      </c>
      <c r="P53" s="7"/>
      <c r="Q53" s="7"/>
      <c r="R53" s="13" t="str">
        <f t="shared" si="5"/>
        <v/>
      </c>
      <c r="S53" s="7"/>
      <c r="T53" s="7"/>
      <c r="U53" s="13" t="str">
        <f t="shared" si="6"/>
        <v/>
      </c>
      <c r="V53" s="60" t="str">
        <f t="shared" si="7"/>
        <v/>
      </c>
      <c r="W53" s="7"/>
      <c r="X53" s="7"/>
      <c r="Y53" s="60" t="str">
        <f t="shared" si="8"/>
        <v/>
      </c>
      <c r="Z53" s="7"/>
      <c r="AA53" s="7"/>
      <c r="AB53" s="7" t="str">
        <f t="shared" si="21"/>
        <v/>
      </c>
      <c r="AC53" s="7"/>
      <c r="AD53" s="60" t="str">
        <f t="shared" si="10"/>
        <v/>
      </c>
      <c r="AE53" s="7"/>
      <c r="AF53" s="7"/>
      <c r="AG53" s="60" t="str">
        <f t="shared" si="11"/>
        <v/>
      </c>
      <c r="AH53" s="7"/>
      <c r="AI53" s="7"/>
      <c r="AJ53" s="60" t="str">
        <f t="shared" si="12"/>
        <v/>
      </c>
      <c r="AK53" s="7"/>
      <c r="AL53" s="7"/>
      <c r="AM53" s="60" t="str">
        <f t="shared" si="13"/>
        <v/>
      </c>
      <c r="AN53" s="7"/>
      <c r="AO53" s="7"/>
      <c r="AP53" s="60" t="str">
        <f t="shared" si="14"/>
        <v/>
      </c>
      <c r="AQ53" s="7"/>
      <c r="AR53" s="7"/>
      <c r="AS53" s="60" t="str">
        <f t="shared" si="15"/>
        <v/>
      </c>
      <c r="AT53" s="61"/>
      <c r="AU53" s="14" t="str">
        <f>IF($A53="","",6+AT53+info!$P$3)</f>
        <v/>
      </c>
      <c r="AV53" s="15" t="str">
        <f t="shared" si="19"/>
        <v/>
      </c>
      <c r="AW53" s="16" t="str">
        <f t="shared" si="22"/>
        <v/>
      </c>
      <c r="AX53" s="17" t="str">
        <f t="shared" si="20"/>
        <v/>
      </c>
      <c r="AY53" s="59" t="str">
        <f t="shared" si="23"/>
        <v/>
      </c>
      <c r="AZ53" s="62" t="str">
        <f>IF($A53="","",'sem1'!AW53)</f>
        <v/>
      </c>
      <c r="BA53" s="63" t="str">
        <f t="shared" si="24"/>
        <v/>
      </c>
    </row>
    <row r="54" spans="1:53" x14ac:dyDescent="0.25">
      <c r="A54" s="58" t="str">
        <f>IF(info!A60="","",info!A60)</f>
        <v/>
      </c>
      <c r="B54" s="58" t="str">
        <f>IF($A54="","",info!B60)</f>
        <v/>
      </c>
      <c r="C54" s="73" t="str">
        <f>IF($A54="","",info!C60)</f>
        <v/>
      </c>
      <c r="D54" s="71" t="str">
        <f>IF($A54="","",info!G60)</f>
        <v/>
      </c>
      <c r="E54" s="78" t="str">
        <f>IF($A54="","",info!D60)</f>
        <v/>
      </c>
      <c r="F54" s="35" t="str">
        <f>IF($A54="","",info!F60)</f>
        <v/>
      </c>
      <c r="G54" s="7"/>
      <c r="H54" s="7"/>
      <c r="I54" s="13" t="str">
        <f t="shared" si="2"/>
        <v/>
      </c>
      <c r="J54" s="7"/>
      <c r="K54" s="7"/>
      <c r="L54" s="13" t="str">
        <f t="shared" si="3"/>
        <v/>
      </c>
      <c r="M54" s="7"/>
      <c r="N54" s="7"/>
      <c r="O54" s="13" t="str">
        <f t="shared" si="4"/>
        <v/>
      </c>
      <c r="P54" s="7"/>
      <c r="Q54" s="7"/>
      <c r="R54" s="13" t="str">
        <f t="shared" si="5"/>
        <v/>
      </c>
      <c r="S54" s="7"/>
      <c r="T54" s="7"/>
      <c r="U54" s="13" t="str">
        <f t="shared" si="6"/>
        <v/>
      </c>
      <c r="V54" s="60" t="str">
        <f t="shared" si="7"/>
        <v/>
      </c>
      <c r="W54" s="7"/>
      <c r="X54" s="7"/>
      <c r="Y54" s="60" t="str">
        <f t="shared" si="8"/>
        <v/>
      </c>
      <c r="Z54" s="7"/>
      <c r="AA54" s="7"/>
      <c r="AB54" s="7" t="str">
        <f t="shared" si="21"/>
        <v/>
      </c>
      <c r="AC54" s="7"/>
      <c r="AD54" s="60" t="str">
        <f t="shared" si="10"/>
        <v/>
      </c>
      <c r="AE54" s="7"/>
      <c r="AF54" s="7"/>
      <c r="AG54" s="60" t="str">
        <f t="shared" si="11"/>
        <v/>
      </c>
      <c r="AH54" s="7"/>
      <c r="AI54" s="7"/>
      <c r="AJ54" s="60" t="str">
        <f t="shared" si="12"/>
        <v/>
      </c>
      <c r="AK54" s="7"/>
      <c r="AL54" s="7"/>
      <c r="AM54" s="60" t="str">
        <f t="shared" si="13"/>
        <v/>
      </c>
      <c r="AN54" s="7"/>
      <c r="AO54" s="7"/>
      <c r="AP54" s="60" t="str">
        <f t="shared" si="14"/>
        <v/>
      </c>
      <c r="AQ54" s="7"/>
      <c r="AR54" s="7"/>
      <c r="AS54" s="60" t="str">
        <f t="shared" si="15"/>
        <v/>
      </c>
      <c r="AT54" s="61"/>
      <c r="AU54" s="14" t="str">
        <f>IF($A54="","",6+AT54+info!$P$3)</f>
        <v/>
      </c>
      <c r="AV54" s="15" t="str">
        <f t="shared" si="19"/>
        <v/>
      </c>
      <c r="AW54" s="16" t="str">
        <f t="shared" si="22"/>
        <v/>
      </c>
      <c r="AX54" s="17" t="str">
        <f t="shared" si="20"/>
        <v/>
      </c>
      <c r="AY54" s="59" t="str">
        <f t="shared" si="23"/>
        <v/>
      </c>
      <c r="AZ54" s="62" t="str">
        <f>IF($A54="","",'sem1'!AW54)</f>
        <v/>
      </c>
      <c r="BA54" s="63" t="str">
        <f t="shared" si="24"/>
        <v/>
      </c>
    </row>
    <row r="55" spans="1:53" x14ac:dyDescent="0.25">
      <c r="A55" s="58" t="str">
        <f>IF(info!A61="","",info!A61)</f>
        <v/>
      </c>
      <c r="B55" s="58" t="str">
        <f>IF($A55="","",info!B61)</f>
        <v/>
      </c>
      <c r="C55" s="73" t="str">
        <f>IF($A55="","",info!C61)</f>
        <v/>
      </c>
      <c r="D55" s="71" t="str">
        <f>IF($A55="","",info!G61)</f>
        <v/>
      </c>
      <c r="E55" s="78" t="str">
        <f>IF($A55="","",info!D61)</f>
        <v/>
      </c>
      <c r="F55" s="35" t="str">
        <f>IF($A55="","",info!F61)</f>
        <v/>
      </c>
      <c r="G55" s="7"/>
      <c r="H55" s="7"/>
      <c r="I55" s="13" t="str">
        <f t="shared" si="2"/>
        <v/>
      </c>
      <c r="J55" s="7"/>
      <c r="K55" s="7"/>
      <c r="L55" s="13" t="str">
        <f t="shared" si="3"/>
        <v/>
      </c>
      <c r="M55" s="7"/>
      <c r="N55" s="7"/>
      <c r="O55" s="13" t="str">
        <f t="shared" si="4"/>
        <v/>
      </c>
      <c r="P55" s="7"/>
      <c r="Q55" s="7"/>
      <c r="R55" s="13" t="str">
        <f t="shared" si="5"/>
        <v/>
      </c>
      <c r="S55" s="7"/>
      <c r="T55" s="7"/>
      <c r="U55" s="13" t="str">
        <f t="shared" si="6"/>
        <v/>
      </c>
      <c r="V55" s="60" t="str">
        <f t="shared" si="7"/>
        <v/>
      </c>
      <c r="W55" s="7"/>
      <c r="X55" s="7"/>
      <c r="Y55" s="60" t="str">
        <f t="shared" si="8"/>
        <v/>
      </c>
      <c r="Z55" s="7"/>
      <c r="AA55" s="7"/>
      <c r="AB55" s="7" t="str">
        <f t="shared" si="21"/>
        <v/>
      </c>
      <c r="AC55" s="7"/>
      <c r="AD55" s="60" t="str">
        <f t="shared" si="10"/>
        <v/>
      </c>
      <c r="AE55" s="7"/>
      <c r="AF55" s="7"/>
      <c r="AG55" s="60" t="str">
        <f t="shared" si="11"/>
        <v/>
      </c>
      <c r="AH55" s="7"/>
      <c r="AI55" s="7"/>
      <c r="AJ55" s="60" t="str">
        <f t="shared" si="12"/>
        <v/>
      </c>
      <c r="AK55" s="7"/>
      <c r="AL55" s="7"/>
      <c r="AM55" s="60" t="str">
        <f t="shared" si="13"/>
        <v/>
      </c>
      <c r="AN55" s="7"/>
      <c r="AO55" s="7"/>
      <c r="AP55" s="60" t="str">
        <f t="shared" si="14"/>
        <v/>
      </c>
      <c r="AQ55" s="7"/>
      <c r="AR55" s="7"/>
      <c r="AS55" s="60" t="str">
        <f t="shared" si="15"/>
        <v/>
      </c>
      <c r="AT55" s="61"/>
      <c r="AU55" s="14" t="str">
        <f>IF($A55="","",6+AT55+info!$P$3)</f>
        <v/>
      </c>
      <c r="AV55" s="15" t="str">
        <f t="shared" si="19"/>
        <v/>
      </c>
      <c r="AW55" s="16" t="str">
        <f t="shared" si="22"/>
        <v/>
      </c>
      <c r="AX55" s="17" t="str">
        <f t="shared" si="20"/>
        <v/>
      </c>
      <c r="AY55" s="59" t="str">
        <f t="shared" si="23"/>
        <v/>
      </c>
      <c r="AZ55" s="62" t="str">
        <f>IF($A55="","",'sem1'!AW55)</f>
        <v/>
      </c>
      <c r="BA55" s="63" t="str">
        <f t="shared" si="24"/>
        <v/>
      </c>
    </row>
    <row r="56" spans="1:53" x14ac:dyDescent="0.25">
      <c r="A56" s="58" t="str">
        <f>IF(info!A62="","",info!A62)</f>
        <v/>
      </c>
      <c r="B56" s="58" t="str">
        <f>IF($A56="","",info!B62)</f>
        <v/>
      </c>
      <c r="C56" s="73" t="str">
        <f>IF($A56="","",info!C62)</f>
        <v/>
      </c>
      <c r="D56" s="71" t="str">
        <f>IF($A56="","",info!G62)</f>
        <v/>
      </c>
      <c r="E56" s="78" t="str">
        <f>IF($A56="","",info!D62)</f>
        <v/>
      </c>
      <c r="F56" s="35" t="str">
        <f>IF($A56="","",info!F62)</f>
        <v/>
      </c>
      <c r="G56" s="7"/>
      <c r="H56" s="7"/>
      <c r="I56" s="13" t="str">
        <f t="shared" si="2"/>
        <v/>
      </c>
      <c r="J56" s="7"/>
      <c r="K56" s="7"/>
      <c r="L56" s="13" t="str">
        <f t="shared" si="3"/>
        <v/>
      </c>
      <c r="M56" s="7"/>
      <c r="N56" s="7"/>
      <c r="O56" s="13" t="str">
        <f t="shared" si="4"/>
        <v/>
      </c>
      <c r="P56" s="7"/>
      <c r="Q56" s="7"/>
      <c r="R56" s="13" t="str">
        <f t="shared" si="5"/>
        <v/>
      </c>
      <c r="S56" s="7"/>
      <c r="T56" s="7"/>
      <c r="U56" s="13" t="str">
        <f t="shared" si="6"/>
        <v/>
      </c>
      <c r="V56" s="60" t="str">
        <f t="shared" si="7"/>
        <v/>
      </c>
      <c r="W56" s="7"/>
      <c r="X56" s="7"/>
      <c r="Y56" s="60" t="str">
        <f t="shared" si="8"/>
        <v/>
      </c>
      <c r="Z56" s="7"/>
      <c r="AA56" s="7"/>
      <c r="AB56" s="7" t="str">
        <f t="shared" si="21"/>
        <v/>
      </c>
      <c r="AC56" s="7"/>
      <c r="AD56" s="60" t="str">
        <f t="shared" si="10"/>
        <v/>
      </c>
      <c r="AE56" s="7"/>
      <c r="AF56" s="7"/>
      <c r="AG56" s="60" t="str">
        <f t="shared" si="11"/>
        <v/>
      </c>
      <c r="AH56" s="7"/>
      <c r="AI56" s="7"/>
      <c r="AJ56" s="60" t="str">
        <f t="shared" si="12"/>
        <v/>
      </c>
      <c r="AK56" s="7"/>
      <c r="AL56" s="7"/>
      <c r="AM56" s="60" t="str">
        <f t="shared" si="13"/>
        <v/>
      </c>
      <c r="AN56" s="7"/>
      <c r="AO56" s="7"/>
      <c r="AP56" s="60" t="str">
        <f t="shared" si="14"/>
        <v/>
      </c>
      <c r="AQ56" s="7"/>
      <c r="AR56" s="7"/>
      <c r="AS56" s="60" t="str">
        <f t="shared" si="15"/>
        <v/>
      </c>
      <c r="AT56" s="61"/>
      <c r="AU56" s="14" t="str">
        <f>IF($A56="","",6+AT56+info!$P$3)</f>
        <v/>
      </c>
      <c r="AV56" s="15" t="str">
        <f t="shared" si="19"/>
        <v/>
      </c>
      <c r="AW56" s="16" t="str">
        <f t="shared" si="22"/>
        <v/>
      </c>
      <c r="AX56" s="17" t="str">
        <f t="shared" si="20"/>
        <v/>
      </c>
      <c r="AY56" s="59" t="str">
        <f t="shared" si="23"/>
        <v/>
      </c>
      <c r="AZ56" s="62" t="str">
        <f>IF($A56="","",'sem1'!AW56)</f>
        <v/>
      </c>
      <c r="BA56" s="63" t="str">
        <f t="shared" si="24"/>
        <v/>
      </c>
    </row>
    <row r="57" spans="1:53" x14ac:dyDescent="0.25">
      <c r="A57" s="58" t="str">
        <f>IF(info!A63="","",info!A63)</f>
        <v/>
      </c>
      <c r="B57" s="58" t="str">
        <f>IF($A57="","",info!B63)</f>
        <v/>
      </c>
      <c r="C57" s="73" t="str">
        <f>IF($A57="","",info!C63)</f>
        <v/>
      </c>
      <c r="D57" s="71" t="str">
        <f>IF($A57="","",info!G63)</f>
        <v/>
      </c>
      <c r="E57" s="78" t="str">
        <f>IF($A57="","",info!D63)</f>
        <v/>
      </c>
      <c r="F57" s="35" t="str">
        <f>IF($A57="","",info!F63)</f>
        <v/>
      </c>
      <c r="G57" s="7"/>
      <c r="H57" s="7"/>
      <c r="I57" s="13" t="str">
        <f t="shared" si="2"/>
        <v/>
      </c>
      <c r="J57" s="7"/>
      <c r="K57" s="7"/>
      <c r="L57" s="13" t="str">
        <f t="shared" si="3"/>
        <v/>
      </c>
      <c r="M57" s="7"/>
      <c r="N57" s="7"/>
      <c r="O57" s="13" t="str">
        <f t="shared" si="4"/>
        <v/>
      </c>
      <c r="P57" s="7"/>
      <c r="Q57" s="7"/>
      <c r="R57" s="13" t="str">
        <f t="shared" si="5"/>
        <v/>
      </c>
      <c r="S57" s="7"/>
      <c r="T57" s="7"/>
      <c r="U57" s="13" t="str">
        <f t="shared" si="6"/>
        <v/>
      </c>
      <c r="V57" s="60" t="str">
        <f t="shared" si="7"/>
        <v/>
      </c>
      <c r="W57" s="7"/>
      <c r="X57" s="7"/>
      <c r="Y57" s="60" t="str">
        <f t="shared" si="8"/>
        <v/>
      </c>
      <c r="Z57" s="7"/>
      <c r="AA57" s="7"/>
      <c r="AB57" s="7" t="str">
        <f t="shared" si="21"/>
        <v/>
      </c>
      <c r="AC57" s="7"/>
      <c r="AD57" s="60" t="str">
        <f t="shared" si="10"/>
        <v/>
      </c>
      <c r="AE57" s="7"/>
      <c r="AF57" s="7"/>
      <c r="AG57" s="60" t="str">
        <f t="shared" si="11"/>
        <v/>
      </c>
      <c r="AH57" s="7"/>
      <c r="AI57" s="7"/>
      <c r="AJ57" s="60" t="str">
        <f t="shared" si="12"/>
        <v/>
      </c>
      <c r="AK57" s="7"/>
      <c r="AL57" s="7"/>
      <c r="AM57" s="60" t="str">
        <f t="shared" si="13"/>
        <v/>
      </c>
      <c r="AN57" s="7"/>
      <c r="AO57" s="7"/>
      <c r="AP57" s="60" t="str">
        <f t="shared" si="14"/>
        <v/>
      </c>
      <c r="AQ57" s="7"/>
      <c r="AR57" s="7"/>
      <c r="AS57" s="60" t="str">
        <f t="shared" si="15"/>
        <v/>
      </c>
      <c r="AT57" s="61"/>
      <c r="AU57" s="14" t="str">
        <f>IF($A57="","",6+AT57+info!$P$3)</f>
        <v/>
      </c>
      <c r="AV57" s="15" t="str">
        <f t="shared" si="19"/>
        <v/>
      </c>
      <c r="AW57" s="16" t="str">
        <f t="shared" si="22"/>
        <v/>
      </c>
      <c r="AX57" s="17" t="str">
        <f t="shared" si="20"/>
        <v/>
      </c>
      <c r="AY57" s="59" t="str">
        <f t="shared" si="23"/>
        <v/>
      </c>
      <c r="AZ57" s="62" t="str">
        <f>IF($A57="","",'sem1'!AW57)</f>
        <v/>
      </c>
      <c r="BA57" s="63" t="str">
        <f t="shared" si="24"/>
        <v/>
      </c>
    </row>
    <row r="58" spans="1:53" x14ac:dyDescent="0.25">
      <c r="A58" s="58" t="str">
        <f>IF(info!A64="","",info!A64)</f>
        <v/>
      </c>
      <c r="B58" s="58" t="str">
        <f>IF($A58="","",info!B64)</f>
        <v/>
      </c>
      <c r="C58" s="73" t="str">
        <f>IF($A58="","",info!C64)</f>
        <v/>
      </c>
      <c r="D58" s="71" t="str">
        <f>IF($A58="","",info!G64)</f>
        <v/>
      </c>
      <c r="E58" s="78" t="str">
        <f>IF($A58="","",info!D64)</f>
        <v/>
      </c>
      <c r="F58" s="35" t="str">
        <f>IF($A58="","",info!F64)</f>
        <v/>
      </c>
      <c r="G58" s="7"/>
      <c r="H58" s="7"/>
      <c r="I58" s="13" t="str">
        <f t="shared" si="2"/>
        <v/>
      </c>
      <c r="J58" s="7"/>
      <c r="K58" s="7"/>
      <c r="L58" s="13" t="str">
        <f t="shared" si="3"/>
        <v/>
      </c>
      <c r="M58" s="7"/>
      <c r="N58" s="7"/>
      <c r="O58" s="13" t="str">
        <f t="shared" si="4"/>
        <v/>
      </c>
      <c r="P58" s="7"/>
      <c r="Q58" s="7"/>
      <c r="R58" s="13" t="str">
        <f t="shared" si="5"/>
        <v/>
      </c>
      <c r="S58" s="7"/>
      <c r="T58" s="7"/>
      <c r="U58" s="13" t="str">
        <f t="shared" si="6"/>
        <v/>
      </c>
      <c r="V58" s="60" t="str">
        <f t="shared" si="7"/>
        <v/>
      </c>
      <c r="W58" s="7"/>
      <c r="X58" s="7"/>
      <c r="Y58" s="60" t="str">
        <f t="shared" si="8"/>
        <v/>
      </c>
      <c r="Z58" s="7"/>
      <c r="AA58" s="7"/>
      <c r="AB58" s="7" t="str">
        <f t="shared" si="21"/>
        <v/>
      </c>
      <c r="AC58" s="7"/>
      <c r="AD58" s="60" t="str">
        <f t="shared" si="10"/>
        <v/>
      </c>
      <c r="AE58" s="7"/>
      <c r="AF58" s="7"/>
      <c r="AG58" s="60" t="str">
        <f t="shared" si="11"/>
        <v/>
      </c>
      <c r="AH58" s="7"/>
      <c r="AI58" s="7"/>
      <c r="AJ58" s="60" t="str">
        <f t="shared" si="12"/>
        <v/>
      </c>
      <c r="AK58" s="7"/>
      <c r="AL58" s="7"/>
      <c r="AM58" s="60" t="str">
        <f t="shared" si="13"/>
        <v/>
      </c>
      <c r="AN58" s="7"/>
      <c r="AO58" s="7"/>
      <c r="AP58" s="60" t="str">
        <f t="shared" si="14"/>
        <v/>
      </c>
      <c r="AQ58" s="7"/>
      <c r="AR58" s="7"/>
      <c r="AS58" s="60" t="str">
        <f t="shared" si="15"/>
        <v/>
      </c>
      <c r="AT58" s="61"/>
      <c r="AU58" s="14" t="str">
        <f>IF($A58="","",6+AT58+info!$P$3)</f>
        <v/>
      </c>
      <c r="AV58" s="15" t="str">
        <f t="shared" si="19"/>
        <v/>
      </c>
      <c r="AW58" s="16" t="str">
        <f t="shared" si="22"/>
        <v/>
      </c>
      <c r="AX58" s="17" t="str">
        <f t="shared" si="20"/>
        <v/>
      </c>
      <c r="AY58" s="59" t="str">
        <f t="shared" si="23"/>
        <v/>
      </c>
      <c r="AZ58" s="62" t="str">
        <f>IF($A58="","",'sem1'!AW58)</f>
        <v/>
      </c>
      <c r="BA58" s="63" t="str">
        <f t="shared" si="24"/>
        <v/>
      </c>
    </row>
    <row r="59" spans="1:53" x14ac:dyDescent="0.25">
      <c r="A59" s="58" t="str">
        <f>IF(info!A65="","",info!A65)</f>
        <v/>
      </c>
      <c r="B59" s="58" t="str">
        <f>IF($A59="","",info!B65)</f>
        <v/>
      </c>
      <c r="C59" s="73" t="str">
        <f>IF($A59="","",info!C65)</f>
        <v/>
      </c>
      <c r="D59" s="71" t="str">
        <f>IF($A59="","",info!G65)</f>
        <v/>
      </c>
      <c r="E59" s="78" t="str">
        <f>IF($A59="","",info!D65)</f>
        <v/>
      </c>
      <c r="F59" s="35" t="str">
        <f>IF($A59="","",info!F65)</f>
        <v/>
      </c>
      <c r="G59" s="7"/>
      <c r="H59" s="7"/>
      <c r="I59" s="13" t="str">
        <f t="shared" si="2"/>
        <v/>
      </c>
      <c r="J59" s="7"/>
      <c r="K59" s="7"/>
      <c r="L59" s="13" t="str">
        <f t="shared" si="3"/>
        <v/>
      </c>
      <c r="M59" s="7"/>
      <c r="N59" s="7"/>
      <c r="O59" s="13" t="str">
        <f t="shared" si="4"/>
        <v/>
      </c>
      <c r="P59" s="7"/>
      <c r="Q59" s="7"/>
      <c r="R59" s="13" t="str">
        <f t="shared" si="5"/>
        <v/>
      </c>
      <c r="S59" s="7"/>
      <c r="T59" s="7"/>
      <c r="U59" s="13" t="str">
        <f t="shared" si="6"/>
        <v/>
      </c>
      <c r="V59" s="60" t="str">
        <f t="shared" si="7"/>
        <v/>
      </c>
      <c r="W59" s="7"/>
      <c r="X59" s="7"/>
      <c r="Y59" s="60" t="str">
        <f t="shared" si="8"/>
        <v/>
      </c>
      <c r="Z59" s="7"/>
      <c r="AA59" s="7"/>
      <c r="AB59" s="7" t="str">
        <f t="shared" si="21"/>
        <v/>
      </c>
      <c r="AC59" s="7"/>
      <c r="AD59" s="60" t="str">
        <f t="shared" si="10"/>
        <v/>
      </c>
      <c r="AE59" s="7"/>
      <c r="AF59" s="7"/>
      <c r="AG59" s="60" t="str">
        <f t="shared" si="11"/>
        <v/>
      </c>
      <c r="AH59" s="7"/>
      <c r="AI59" s="7"/>
      <c r="AJ59" s="60" t="str">
        <f t="shared" si="12"/>
        <v/>
      </c>
      <c r="AK59" s="7"/>
      <c r="AL59" s="7"/>
      <c r="AM59" s="60" t="str">
        <f t="shared" si="13"/>
        <v/>
      </c>
      <c r="AN59" s="7"/>
      <c r="AO59" s="7"/>
      <c r="AP59" s="60" t="str">
        <f t="shared" si="14"/>
        <v/>
      </c>
      <c r="AQ59" s="7"/>
      <c r="AR59" s="7"/>
      <c r="AS59" s="60" t="str">
        <f t="shared" si="15"/>
        <v/>
      </c>
      <c r="AT59" s="61"/>
      <c r="AU59" s="14" t="str">
        <f>IF($A59="","",6+AT59+info!$P$3)</f>
        <v/>
      </c>
      <c r="AV59" s="15" t="str">
        <f t="shared" si="19"/>
        <v/>
      </c>
      <c r="AW59" s="16" t="str">
        <f t="shared" si="22"/>
        <v/>
      </c>
      <c r="AX59" s="17" t="str">
        <f t="shared" si="20"/>
        <v/>
      </c>
      <c r="AY59" s="59" t="str">
        <f t="shared" si="23"/>
        <v/>
      </c>
      <c r="AZ59" s="62" t="str">
        <f>IF($A59="","",'sem1'!AW59)</f>
        <v/>
      </c>
      <c r="BA59" s="63" t="str">
        <f t="shared" si="24"/>
        <v/>
      </c>
    </row>
    <row r="60" spans="1:53" x14ac:dyDescent="0.2"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</row>
    <row r="61" spans="1:53" x14ac:dyDescent="0.2"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</row>
    <row r="62" spans="1:53" x14ac:dyDescent="0.2"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</row>
    <row r="63" spans="1:53" x14ac:dyDescent="0.2"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</row>
    <row r="64" spans="1:53" x14ac:dyDescent="0.2"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</row>
  </sheetData>
  <mergeCells count="62">
    <mergeCell ref="BC19:BD19"/>
    <mergeCell ref="E8:E9"/>
    <mergeCell ref="C1:F1"/>
    <mergeCell ref="AD1:AF1"/>
    <mergeCell ref="AG1:AI1"/>
    <mergeCell ref="C2:F2"/>
    <mergeCell ref="AD2:AF2"/>
    <mergeCell ref="AG2:AI2"/>
    <mergeCell ref="C3:F3"/>
    <mergeCell ref="AD3:AF3"/>
    <mergeCell ref="AG3:AI3"/>
    <mergeCell ref="C4:F4"/>
    <mergeCell ref="I4:AA5"/>
    <mergeCell ref="AD4:AF4"/>
    <mergeCell ref="AG4:AI4"/>
    <mergeCell ref="C5:F5"/>
    <mergeCell ref="AD5:AF5"/>
    <mergeCell ref="AG5:AI5"/>
    <mergeCell ref="C6:F6"/>
    <mergeCell ref="G7:V7"/>
    <mergeCell ref="W7:Y7"/>
    <mergeCell ref="Z7:AD7"/>
    <mergeCell ref="G8:I8"/>
    <mergeCell ref="J8:L8"/>
    <mergeCell ref="M8:O8"/>
    <mergeCell ref="AK7:AM7"/>
    <mergeCell ref="AQ7:AS7"/>
    <mergeCell ref="P8:R8"/>
    <mergeCell ref="S8:U8"/>
    <mergeCell ref="W8:X8"/>
    <mergeCell ref="AK8:AL8"/>
    <mergeCell ref="AN8:AO8"/>
    <mergeCell ref="A8:A9"/>
    <mergeCell ref="B8:B9"/>
    <mergeCell ref="C8:C9"/>
    <mergeCell ref="D8:D9"/>
    <mergeCell ref="F8:F9"/>
    <mergeCell ref="BF7:BG9"/>
    <mergeCell ref="BC7:BE7"/>
    <mergeCell ref="BC8:BE8"/>
    <mergeCell ref="AE8:AF8"/>
    <mergeCell ref="AH8:AI8"/>
    <mergeCell ref="AQ8:AR8"/>
    <mergeCell ref="AH7:AJ7"/>
    <mergeCell ref="BB7:BB9"/>
    <mergeCell ref="AT7:AT9"/>
    <mergeCell ref="AU7:AU9"/>
    <mergeCell ref="AV7:AV9"/>
    <mergeCell ref="AW7:AW9"/>
    <mergeCell ref="AZ7:AZ9"/>
    <mergeCell ref="AE7:AG7"/>
    <mergeCell ref="AX7:AX9"/>
    <mergeCell ref="AN7:AP7"/>
    <mergeCell ref="BA7:BA9"/>
    <mergeCell ref="BC13:BE13"/>
    <mergeCell ref="AY7:AY9"/>
    <mergeCell ref="BC10:BE10"/>
    <mergeCell ref="BC18:BE18"/>
    <mergeCell ref="BC17:BE17"/>
    <mergeCell ref="BC11:BE11"/>
    <mergeCell ref="BC12:BE12"/>
    <mergeCell ref="BC14:BE14"/>
  </mergeCells>
  <conditionalFormatting sqref="H11:H13 J11:K13 M11:N13 P11:Q13 W14:X59 Z11:Z59 AK11:AL59 AH11:AI59 AE11:AF59 AQ11:AR59">
    <cfRule type="expression" dxfId="19" priority="37">
      <formula>AND(   $B11&lt;&gt; "",  H$18 &lt;&gt; "")</formula>
    </cfRule>
  </conditionalFormatting>
  <conditionalFormatting sqref="W11:W12">
    <cfRule type="expression" dxfId="18" priority="35">
      <formula>AND(   $B11&lt;&gt; "",  W$18 &lt;&gt; "")</formula>
    </cfRule>
  </conditionalFormatting>
  <conditionalFormatting sqref="X11:X12">
    <cfRule type="expression" dxfId="17" priority="33">
      <formula>AND(   $B11&lt;&gt; "",  X$18 &lt;&gt; "")</formula>
    </cfRule>
  </conditionalFormatting>
  <conditionalFormatting sqref="S11:T12">
    <cfRule type="expression" dxfId="16" priority="32">
      <formula>AND(   $B11&lt;&gt; "",  S$18 &lt;&gt; "")</formula>
    </cfRule>
  </conditionalFormatting>
  <conditionalFormatting sqref="X13">
    <cfRule type="expression" dxfId="15" priority="28">
      <formula>AND(   $B13&lt;&gt; "",  X$18 &lt;&gt; "")</formula>
    </cfRule>
  </conditionalFormatting>
  <conditionalFormatting sqref="W13">
    <cfRule type="expression" dxfId="14" priority="29">
      <formula>AND(   $B13&lt;&gt; "",  W$18 &lt;&gt; "")</formula>
    </cfRule>
  </conditionalFormatting>
  <conditionalFormatting sqref="S13">
    <cfRule type="expression" dxfId="13" priority="27">
      <formula>AND(   $B13&lt;&gt; "",  S$18 &lt;&gt; "")</formula>
    </cfRule>
  </conditionalFormatting>
  <conditionalFormatting sqref="T13">
    <cfRule type="expression" dxfId="12" priority="14">
      <formula>AND(   $B13&lt;&gt; "",  T$18 &lt;&gt; "")</formula>
    </cfRule>
  </conditionalFormatting>
  <conditionalFormatting sqref="S14:T59 P14:Q59 M14:N59 H14:H59 J14:K59">
    <cfRule type="expression" dxfId="11" priority="13">
      <formula>AND(   $B14&lt;&gt; "",  H$18 &lt;&gt; "")</formula>
    </cfRule>
  </conditionalFormatting>
  <conditionalFormatting sqref="AA11:AC59">
    <cfRule type="expression" dxfId="10" priority="11">
      <formula>AND(   $B11&lt;&gt; "",  AA$18 &lt;&gt; "")</formula>
    </cfRule>
  </conditionalFormatting>
  <conditionalFormatting sqref="AN11:AO59">
    <cfRule type="expression" dxfId="9" priority="10">
      <formula>AND(   $B11&lt;&gt; "",  AN$18 &lt;&gt; "")</formula>
    </cfRule>
  </conditionalFormatting>
  <conditionalFormatting sqref="G11:G13">
    <cfRule type="expression" dxfId="8" priority="9">
      <formula>AND(   $B11&lt;&gt; "",  G$18 &lt;&gt; "")</formula>
    </cfRule>
  </conditionalFormatting>
  <conditionalFormatting sqref="G14:G59">
    <cfRule type="expression" dxfId="7" priority="8">
      <formula>AND(   $B14&lt;&gt; "",  G$18 &lt;&gt; "")</formula>
    </cfRule>
  </conditionalFormatting>
  <conditionalFormatting sqref="H10 J10:K10 M10:N10 P10:Q10 Z10 AK10:AL10 AH10:AI10 AE10:AF10 AQ10:AR10">
    <cfRule type="expression" dxfId="6" priority="7">
      <formula>AND(   $B10&lt;&gt; "",  H$18 &lt;&gt; "")</formula>
    </cfRule>
  </conditionalFormatting>
  <conditionalFormatting sqref="W10">
    <cfRule type="expression" dxfId="5" priority="6">
      <formula>AND(   $B10&lt;&gt; "",  W$18 &lt;&gt; "")</formula>
    </cfRule>
  </conditionalFormatting>
  <conditionalFormatting sqref="X10">
    <cfRule type="expression" dxfId="4" priority="5">
      <formula>AND(   $B10&lt;&gt; "",  X$18 &lt;&gt; "")</formula>
    </cfRule>
  </conditionalFormatting>
  <conditionalFormatting sqref="S10:T10">
    <cfRule type="expression" dxfId="3" priority="4">
      <formula>AND(   $B10&lt;&gt; "",  S$18 &lt;&gt; "")</formula>
    </cfRule>
  </conditionalFormatting>
  <conditionalFormatting sqref="AA10:AC10">
    <cfRule type="expression" dxfId="2" priority="3">
      <formula>AND(   $B10&lt;&gt; "",  AA$18 &lt;&gt; "")</formula>
    </cfRule>
  </conditionalFormatting>
  <conditionalFormatting sqref="AN10:AO10">
    <cfRule type="expression" dxfId="1" priority="2">
      <formula>AND(   $B10&lt;&gt; "",  AN$18 &lt;&gt; "")</formula>
    </cfRule>
  </conditionalFormatting>
  <conditionalFormatting sqref="G10">
    <cfRule type="expression" dxfId="0" priority="1">
      <formula>AND(   $B10&lt;&gt; "",  G$18 &lt;&gt; "")</formula>
    </cfRule>
  </conditionalFormatting>
  <dataValidations count="2">
    <dataValidation type="whole" allowBlank="1" showInputMessage="1" showErrorMessage="1" errorTitle="gazellenet" error="معامل غير صحيح" sqref="AT10:AT59">
      <formula1>0</formula1>
      <formula2>1</formula2>
    </dataValidation>
    <dataValidation type="decimal" operator="lessThanOrEqual" allowBlank="1" showInputMessage="1" showErrorMessage="1" errorTitle="gazellenet" error="note non valide" sqref="AQ10:AR59 S10:S59 M10:M59 AC10:AC59 Z10:AA59 AE10:AF59 AH10:AI59 Q10:Q59 K10:K59 G10:G59 T10:T63 H10:H63 P10:P63 N10:N63 J10:J63 AK10:AL59 AN10:AO59">
      <formula1>10</formula1>
    </dataValidation>
  </dataValidations>
  <pageMargins left="0.78740157499999996" right="0.78740157499999996" top="0.984251969" bottom="0.984251969" header="0.4921259845" footer="0.4921259845"/>
  <pageSetup paperSize="9" scale="69" orientation="landscape" horizontalDpi="4294967293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O47"/>
  <sheetViews>
    <sheetView showGridLines="0" rightToLeft="1" tabSelected="1" view="pageBreakPreview" zoomScale="90" zoomScaleNormal="100" zoomScaleSheetLayoutView="90" workbookViewId="0">
      <selection activeCell="S16" sqref="S16"/>
    </sheetView>
  </sheetViews>
  <sheetFormatPr baseColWidth="10" defaultColWidth="6.42578125" defaultRowHeight="18.75" x14ac:dyDescent="0.2"/>
  <cols>
    <col min="1" max="3" width="4.42578125" style="18" customWidth="1"/>
    <col min="4" max="6" width="6.42578125" style="18"/>
    <col min="7" max="10" width="5.140625" style="18" customWidth="1"/>
    <col min="11" max="11" width="3.7109375" style="18" customWidth="1"/>
    <col min="12" max="12" width="10.85546875" style="18" customWidth="1"/>
    <col min="13" max="14" width="11.5703125" style="18" customWidth="1"/>
    <col min="15" max="16384" width="6.42578125" style="18"/>
  </cols>
  <sheetData>
    <row r="1" spans="1:15" x14ac:dyDescent="0.2">
      <c r="A1" s="138" t="str">
        <f>info!$A$1</f>
        <v>المملكة المغربية</v>
      </c>
      <c r="B1" s="138"/>
      <c r="C1" s="138"/>
      <c r="D1" s="138"/>
      <c r="E1" s="138"/>
      <c r="F1" s="138"/>
      <c r="G1"/>
      <c r="H1"/>
      <c r="I1"/>
      <c r="K1" s="135" t="s">
        <v>40</v>
      </c>
      <c r="L1" s="135"/>
      <c r="M1" s="135"/>
      <c r="N1" s="135" t="str">
        <f>IF($N$7="","",info!$M$1)</f>
        <v>2018-2017</v>
      </c>
      <c r="O1" s="135"/>
    </row>
    <row r="2" spans="1:15" x14ac:dyDescent="0.2">
      <c r="A2" s="138" t="str">
        <f>info!$A$2</f>
        <v>وزارة التربية الوطنية و التكوين المهني</v>
      </c>
      <c r="B2" s="138"/>
      <c r="C2" s="138"/>
      <c r="D2" s="138"/>
      <c r="E2" s="138"/>
      <c r="F2" s="138"/>
      <c r="G2"/>
      <c r="H2"/>
      <c r="I2"/>
      <c r="K2" s="135" t="s">
        <v>22</v>
      </c>
      <c r="L2" s="135"/>
      <c r="M2" s="135"/>
      <c r="N2" s="135" t="str">
        <f>IF($N$7="","",VLOOKUP($N$5,base1,3,0))</f>
        <v>رضوان</v>
      </c>
      <c r="O2" s="135"/>
    </row>
    <row r="3" spans="1:15" x14ac:dyDescent="0.2">
      <c r="A3" s="138" t="str">
        <f>info!$A$3</f>
        <v>الأكاديمية الجهوية للتربية والتكوين</v>
      </c>
      <c r="B3" s="138"/>
      <c r="C3" s="138"/>
      <c r="D3" s="138"/>
      <c r="E3" s="138"/>
      <c r="F3" s="138"/>
      <c r="G3"/>
      <c r="H3"/>
      <c r="I3"/>
      <c r="K3" s="135" t="s">
        <v>56</v>
      </c>
      <c r="L3" s="135"/>
      <c r="M3" s="135"/>
      <c r="N3" s="135">
        <f>IF($N$7="","",VLOOKUP($N$5,base1,2,0))</f>
        <v>1</v>
      </c>
      <c r="O3" s="135"/>
    </row>
    <row r="4" spans="1:15" x14ac:dyDescent="0.2">
      <c r="A4" s="138" t="str">
        <f>info!$A$4</f>
        <v xml:space="preserve">جهة دكالة عبدة </v>
      </c>
      <c r="B4" s="138"/>
      <c r="C4" s="138"/>
      <c r="D4" s="138"/>
      <c r="E4" s="138"/>
      <c r="F4" s="138"/>
      <c r="G4"/>
      <c r="H4"/>
      <c r="I4"/>
      <c r="K4" s="135" t="s">
        <v>6</v>
      </c>
      <c r="L4" s="135"/>
      <c r="M4" s="135"/>
      <c r="N4" s="135">
        <f>IF($N$7="","",VLOOKUP($N$5,base1,6,0))</f>
        <v>0</v>
      </c>
      <c r="O4" s="135"/>
    </row>
    <row r="5" spans="1:15" x14ac:dyDescent="0.2">
      <c r="A5" s="138" t="str">
        <f>info!$A$5</f>
        <v>نيابة المديرية</v>
      </c>
      <c r="B5" s="138"/>
      <c r="C5" s="138"/>
      <c r="D5" s="138"/>
      <c r="E5" s="138"/>
      <c r="F5" s="138"/>
      <c r="G5"/>
      <c r="H5"/>
      <c r="I5"/>
      <c r="K5" s="171" t="s">
        <v>45</v>
      </c>
      <c r="L5" s="171"/>
      <c r="M5" s="171"/>
      <c r="N5" s="171">
        <v>1</v>
      </c>
      <c r="O5" s="171"/>
    </row>
    <row r="6" spans="1:15" x14ac:dyDescent="0.2">
      <c r="A6" s="138" t="str">
        <f>info!$A$6</f>
        <v>المدرسة</v>
      </c>
      <c r="B6" s="138"/>
      <c r="C6" s="138"/>
      <c r="D6" s="138"/>
      <c r="E6" s="138"/>
      <c r="F6" s="138"/>
      <c r="G6"/>
      <c r="H6"/>
      <c r="I6"/>
      <c r="K6" s="135" t="s">
        <v>41</v>
      </c>
      <c r="L6" s="135"/>
      <c r="M6" s="135"/>
      <c r="N6" s="135" t="str">
        <f>IF($N$7="","",info!$M$3)</f>
        <v>الأول</v>
      </c>
      <c r="O6" s="135"/>
    </row>
    <row r="7" spans="1:15" x14ac:dyDescent="0.3">
      <c r="D7" s="5"/>
      <c r="F7"/>
      <c r="G7"/>
      <c r="H7"/>
      <c r="I7"/>
      <c r="K7" s="135" t="s">
        <v>7</v>
      </c>
      <c r="L7" s="135"/>
      <c r="M7" s="135"/>
      <c r="N7" s="135">
        <f>IF(info!$O$12=0,"",info!$O$12)</f>
        <v>25</v>
      </c>
      <c r="O7" s="135"/>
    </row>
    <row r="8" spans="1:15" customFormat="1" ht="10.5" customHeight="1" x14ac:dyDescent="0.2"/>
    <row r="9" spans="1:15" ht="18.75" customHeight="1" x14ac:dyDescent="0.3">
      <c r="A9" s="6"/>
      <c r="B9" s="140" t="s">
        <v>19</v>
      </c>
      <c r="C9" s="140"/>
      <c r="D9" s="140"/>
      <c r="E9" s="140"/>
      <c r="F9" s="140"/>
      <c r="G9" s="140"/>
      <c r="H9" s="140"/>
      <c r="I9" s="140"/>
      <c r="J9" s="140"/>
      <c r="K9" s="140"/>
      <c r="L9" s="140"/>
      <c r="M9" s="140"/>
      <c r="N9" s="140"/>
    </row>
    <row r="10" spans="1:15" ht="18.75" customHeight="1" x14ac:dyDescent="0.3">
      <c r="A10" s="6"/>
      <c r="B10" s="140"/>
      <c r="C10" s="140"/>
      <c r="D10" s="140"/>
      <c r="E10" s="140"/>
      <c r="F10" s="140"/>
      <c r="G10" s="140"/>
      <c r="H10" s="140"/>
      <c r="I10" s="140"/>
      <c r="J10" s="140"/>
      <c r="K10" s="140"/>
      <c r="L10" s="140"/>
      <c r="M10" s="140"/>
      <c r="N10" s="140"/>
    </row>
    <row r="11" spans="1:15" customFormat="1" ht="10.5" customHeight="1" x14ac:dyDescent="0.2"/>
    <row r="12" spans="1:15" x14ac:dyDescent="0.3">
      <c r="A12" s="6"/>
      <c r="C12" s="141" t="s">
        <v>55</v>
      </c>
      <c r="D12" s="142"/>
      <c r="E12" s="142"/>
      <c r="F12" s="142"/>
      <c r="G12" s="142"/>
      <c r="H12" s="143"/>
      <c r="I12" s="135" t="str">
        <f>IF($N$7="","",info!A6)</f>
        <v>المدرسة</v>
      </c>
      <c r="J12" s="135"/>
      <c r="K12" s="135"/>
      <c r="L12" s="135"/>
      <c r="M12" s="135"/>
    </row>
    <row r="13" spans="1:15" s="3" customFormat="1" x14ac:dyDescent="0.2">
      <c r="C13" s="141" t="s">
        <v>42</v>
      </c>
      <c r="D13" s="142"/>
      <c r="E13" s="142"/>
      <c r="F13" s="142"/>
      <c r="G13" s="142"/>
      <c r="H13" s="143"/>
      <c r="I13" s="135" t="str">
        <f>IF($N$7="","",VLOOKUP($N$5,base1,3,0))</f>
        <v>رضوان</v>
      </c>
      <c r="J13" s="135"/>
      <c r="K13" s="135"/>
      <c r="L13" s="135"/>
      <c r="M13" s="135"/>
    </row>
    <row r="14" spans="1:15" customFormat="1" ht="10.5" customHeight="1" x14ac:dyDescent="0.2"/>
    <row r="15" spans="1:15" s="3" customFormat="1" ht="29.25" customHeight="1" x14ac:dyDescent="0.2">
      <c r="A15" s="4"/>
      <c r="B15" s="144" t="s">
        <v>99</v>
      </c>
      <c r="C15" s="144"/>
      <c r="D15" s="144"/>
      <c r="E15" s="144"/>
      <c r="F15" s="144"/>
      <c r="G15" s="144"/>
      <c r="H15" s="144"/>
      <c r="I15" s="144"/>
      <c r="J15" s="144"/>
      <c r="K15" s="144"/>
      <c r="L15" s="144"/>
      <c r="M15" s="144"/>
      <c r="N15" s="144"/>
    </row>
    <row r="16" spans="1:15" s="3" customFormat="1" x14ac:dyDescent="0.2">
      <c r="A16" s="4"/>
      <c r="B16" s="2"/>
      <c r="C16" s="2"/>
      <c r="D16" s="2"/>
      <c r="E16" s="2"/>
      <c r="F16" s="1"/>
      <c r="G16" s="2"/>
      <c r="H16"/>
      <c r="I16"/>
    </row>
    <row r="17" spans="1:15" x14ac:dyDescent="0.2">
      <c r="A17" s="229" t="s">
        <v>13</v>
      </c>
      <c r="B17" s="230"/>
      <c r="C17" s="231"/>
      <c r="D17" s="229" t="s">
        <v>20</v>
      </c>
      <c r="E17" s="230"/>
      <c r="F17" s="231"/>
      <c r="G17" s="163" t="s">
        <v>70</v>
      </c>
      <c r="H17" s="164"/>
      <c r="I17" s="164"/>
      <c r="J17" s="164"/>
      <c r="K17" s="164"/>
      <c r="L17" s="165"/>
      <c r="M17" s="229" t="s">
        <v>50</v>
      </c>
      <c r="N17" s="230"/>
      <c r="O17" s="231"/>
    </row>
    <row r="18" spans="1:15" x14ac:dyDescent="0.2">
      <c r="A18" s="232"/>
      <c r="B18" s="233"/>
      <c r="C18" s="234"/>
      <c r="D18" s="232"/>
      <c r="E18" s="233"/>
      <c r="F18" s="234"/>
      <c r="G18" s="163" t="s">
        <v>8</v>
      </c>
      <c r="H18" s="165"/>
      <c r="I18" s="163" t="s">
        <v>9</v>
      </c>
      <c r="J18" s="165"/>
      <c r="K18" s="27"/>
      <c r="L18" s="76" t="s">
        <v>10</v>
      </c>
      <c r="M18" s="232"/>
      <c r="N18" s="233"/>
      <c r="O18" s="234"/>
    </row>
    <row r="19" spans="1:15" ht="18.75" customHeight="1" x14ac:dyDescent="0.2">
      <c r="A19" s="152" t="s">
        <v>14</v>
      </c>
      <c r="B19" s="153"/>
      <c r="C19" s="154"/>
      <c r="D19" s="159" t="s">
        <v>32</v>
      </c>
      <c r="E19" s="160"/>
      <c r="F19" s="161"/>
      <c r="G19" s="135">
        <f>IF($N$7="","",VLOOKUP($N$5,base3,7,0))</f>
        <v>4</v>
      </c>
      <c r="H19" s="135"/>
      <c r="I19" s="135">
        <f>IF($N$7="","",VLOOKUP($N$5,base3,8,0))</f>
        <v>4.5</v>
      </c>
      <c r="J19" s="135"/>
      <c r="K19" s="27"/>
      <c r="L19" s="33">
        <f>IF($N$7="","",AVERAGE(G19:J19))</f>
        <v>4.25</v>
      </c>
      <c r="M19" s="150" t="str">
        <f>IF($N$7="","",IF(L24&lt;2,"ضعيف",IF(AND(L24&gt;=2,L24&lt;=3),"دون المستوى",IF(AND(L24&gt;3,L24&lt;5),"متوسط",IF(AND(L24&gt;=5,L24&lt;7),"لابأس به",IF(AND(L24&gt;=7,L24&lt;8),"مستحسن",IF(AND(L24&gt;=8,L24&lt;=10),"ممتاز")))))))</f>
        <v>متوسط</v>
      </c>
      <c r="N19" s="150"/>
      <c r="O19" s="150"/>
    </row>
    <row r="20" spans="1:15" ht="18.75" customHeight="1" x14ac:dyDescent="0.2">
      <c r="A20" s="226"/>
      <c r="B20" s="227"/>
      <c r="C20" s="228"/>
      <c r="D20" s="159" t="s">
        <v>1</v>
      </c>
      <c r="E20" s="160"/>
      <c r="F20" s="161"/>
      <c r="G20" s="135">
        <f>IF($N$7="","",VLOOKUP($N$5,base3,10,0))</f>
        <v>5</v>
      </c>
      <c r="H20" s="135"/>
      <c r="I20" s="135">
        <f>IF($N$7="","",VLOOKUP($N$5,base3,11,0))</f>
        <v>4.5</v>
      </c>
      <c r="J20" s="135"/>
      <c r="K20" s="27"/>
      <c r="L20" s="33">
        <f>IF($N$7="","",AVERAGE(G20:J20))</f>
        <v>4.75</v>
      </c>
      <c r="M20" s="150"/>
      <c r="N20" s="150"/>
      <c r="O20" s="150"/>
    </row>
    <row r="21" spans="1:15" x14ac:dyDescent="0.2">
      <c r="A21" s="226"/>
      <c r="B21" s="227"/>
      <c r="C21" s="228"/>
      <c r="D21" s="159" t="s">
        <v>33</v>
      </c>
      <c r="E21" s="160"/>
      <c r="F21" s="161"/>
      <c r="G21" s="135">
        <f>IF($N$7="","",VLOOKUP($N$5,base3,13,0))</f>
        <v>5</v>
      </c>
      <c r="H21" s="135"/>
      <c r="I21" s="135">
        <f>IF($N$7="","",VLOOKUP($N$5,base3,14,0))</f>
        <v>4.5</v>
      </c>
      <c r="J21" s="135"/>
      <c r="K21" s="27"/>
      <c r="L21" s="33">
        <f>IF($N$7="","",AVERAGE(G21:J21))</f>
        <v>4.75</v>
      </c>
      <c r="M21" s="150"/>
      <c r="N21" s="150"/>
      <c r="O21" s="150"/>
    </row>
    <row r="22" spans="1:15" ht="18.75" customHeight="1" x14ac:dyDescent="0.2">
      <c r="A22" s="226"/>
      <c r="B22" s="227"/>
      <c r="C22" s="228"/>
      <c r="D22" s="159" t="s">
        <v>0</v>
      </c>
      <c r="E22" s="160"/>
      <c r="F22" s="161"/>
      <c r="G22" s="135">
        <f>IF($N$7="","",VLOOKUP($N$5,base3,16,0))</f>
        <v>3</v>
      </c>
      <c r="H22" s="135"/>
      <c r="I22" s="135">
        <f>IF($N$7="","",VLOOKUP($N$5,base3,17,0))</f>
        <v>4.5</v>
      </c>
      <c r="J22" s="135"/>
      <c r="K22" s="27"/>
      <c r="L22" s="33">
        <f>IF($N$7="","",AVERAGE(G22:J22))</f>
        <v>3.75</v>
      </c>
      <c r="M22" s="150"/>
      <c r="N22" s="150"/>
      <c r="O22" s="150"/>
    </row>
    <row r="23" spans="1:15" x14ac:dyDescent="0.2">
      <c r="A23" s="226"/>
      <c r="B23" s="227"/>
      <c r="C23" s="228"/>
      <c r="D23" s="159" t="s">
        <v>37</v>
      </c>
      <c r="E23" s="160"/>
      <c r="F23" s="161"/>
      <c r="G23" s="135">
        <f>IF($N$7="","",VLOOKUP($N$5,base3,19,0))</f>
        <v>5</v>
      </c>
      <c r="H23" s="135"/>
      <c r="I23" s="135">
        <f>IF($N$7="","",VLOOKUP($N$5,base3,20,0))</f>
        <v>4.5</v>
      </c>
      <c r="J23" s="135"/>
      <c r="K23" s="27"/>
      <c r="L23" s="33">
        <f>IF($N$7="","",AVERAGE(G23:J23))</f>
        <v>4.75</v>
      </c>
      <c r="M23" s="150"/>
      <c r="N23" s="150"/>
      <c r="O23" s="150"/>
    </row>
    <row r="24" spans="1:15" ht="18.75" customHeight="1" x14ac:dyDescent="0.2">
      <c r="A24" s="155"/>
      <c r="B24" s="156"/>
      <c r="C24" s="157"/>
      <c r="D24" s="208" t="s">
        <v>5</v>
      </c>
      <c r="E24" s="209"/>
      <c r="F24" s="210"/>
      <c r="G24" s="25"/>
      <c r="H24" s="26"/>
      <c r="I24" s="24"/>
      <c r="J24" s="26"/>
      <c r="K24" s="26"/>
      <c r="L24" s="84">
        <f>IF($N$7="","",AVERAGE(L19:L23))</f>
        <v>4.45</v>
      </c>
      <c r="M24" s="150"/>
      <c r="N24" s="150"/>
      <c r="O24" s="150"/>
    </row>
    <row r="25" spans="1:15" ht="18.75" customHeight="1" x14ac:dyDescent="0.2">
      <c r="A25" s="174" t="s">
        <v>54</v>
      </c>
      <c r="B25" s="175"/>
      <c r="C25" s="176"/>
      <c r="D25" s="159" t="s">
        <v>52</v>
      </c>
      <c r="E25" s="160"/>
      <c r="F25" s="161"/>
      <c r="G25" s="135" t="str">
        <f>IF($N$7="","",IF(VLOOKUP($N$5,base3,23,0)="","",VLOOKUP($N$5,base3,23,0)))</f>
        <v/>
      </c>
      <c r="H25" s="135"/>
      <c r="I25" s="135" t="str">
        <f>IF($N$7="","",IF(VLOOKUP($N$5,base3,24,0)="","",VLOOKUP($N$5,base3,24,0)))</f>
        <v/>
      </c>
      <c r="J25" s="135"/>
      <c r="K25" s="28"/>
      <c r="L25" s="33" t="str">
        <f>IF(OR($N$7="",G25="",I25=""),"",AVERAGE(D25:I25))</f>
        <v/>
      </c>
      <c r="M25" s="150" t="str">
        <f>IF($N$7="","",IF(L26="","الأمازيغية غير معممة",IF(L26&lt;2,"ضعيف",IF(AND(L26&gt;=2,L26&lt;=3),"دون المستوى",IF(AND(L26&gt;3,L26&lt;5),"متوسط",IF(AND(L26&gt;=5,L26&lt;7),"لابأس به",IF(AND(L26&gt;=7,L26&lt;8),"مستحسن",IF(AND(L26&gt;=8,L26&lt;=10),"ممتاز"))))))))</f>
        <v>الأمازيغية غير معممة</v>
      </c>
      <c r="N25" s="150"/>
      <c r="O25" s="150"/>
    </row>
    <row r="26" spans="1:15" ht="18.75" customHeight="1" x14ac:dyDescent="0.2">
      <c r="A26" s="177" t="s">
        <v>52</v>
      </c>
      <c r="B26" s="178"/>
      <c r="C26" s="179"/>
      <c r="D26" s="208" t="s">
        <v>5</v>
      </c>
      <c r="E26" s="209"/>
      <c r="F26" s="210"/>
      <c r="G26" s="25"/>
      <c r="H26" s="26"/>
      <c r="I26" s="24"/>
      <c r="J26" s="26"/>
      <c r="K26" s="26"/>
      <c r="L26" s="84" t="str">
        <f>IF($N$7="","",L25)</f>
        <v/>
      </c>
      <c r="M26" s="150"/>
      <c r="N26" s="150"/>
      <c r="O26" s="150"/>
    </row>
    <row r="27" spans="1:15" ht="18.75" customHeight="1" x14ac:dyDescent="0.2">
      <c r="A27" s="152" t="s">
        <v>48</v>
      </c>
      <c r="B27" s="153"/>
      <c r="C27" s="154"/>
      <c r="D27" s="159" t="s">
        <v>153</v>
      </c>
      <c r="E27" s="160"/>
      <c r="F27" s="161"/>
      <c r="G27" s="141">
        <f>IF($N$7="","",VLOOKUP($N$5,base3,26,0))</f>
        <v>4</v>
      </c>
      <c r="H27" s="142"/>
      <c r="I27" s="142">
        <f>VLOOKUP($N$5,base1,29,0)</f>
        <v>4</v>
      </c>
      <c r="J27" s="143"/>
      <c r="K27" s="29"/>
      <c r="L27" s="33">
        <f>IF($N$7="","",G27)</f>
        <v>4</v>
      </c>
      <c r="M27" s="150" t="str">
        <f>IF($N$7="","",IF(L31&lt;2,"ضعيف",IF(AND(L31&gt;=2,L31&lt;=3),"دون المستوى",IF(AND(L31&gt;3,L31&lt;5),"متوسط",IF(AND(L31&gt;=5,L31&lt;7),"لابأس به",IF(AND(L31&gt;=7,L31&lt;8),"مستحسن",IF(AND(L31&gt;=8,L31&lt;=10),"ممتاز")))))))</f>
        <v>متوسط</v>
      </c>
      <c r="N27" s="150"/>
      <c r="O27" s="150"/>
    </row>
    <row r="28" spans="1:15" ht="18.75" customHeight="1" x14ac:dyDescent="0.2">
      <c r="A28" s="226"/>
      <c r="B28" s="227"/>
      <c r="C28" s="228"/>
      <c r="D28" s="159" t="s">
        <v>154</v>
      </c>
      <c r="E28" s="160"/>
      <c r="F28" s="161"/>
      <c r="G28" s="141">
        <f>IF($N$7="","",VLOOKUP($N$5,base3,27,0))</f>
        <v>5</v>
      </c>
      <c r="H28" s="142"/>
      <c r="I28" s="142">
        <f>VLOOKUP($N$5,base1,29,0)</f>
        <v>4</v>
      </c>
      <c r="J28" s="143"/>
      <c r="K28" s="27"/>
      <c r="L28" s="33">
        <f>IF($N$7="","",G28)</f>
        <v>5</v>
      </c>
      <c r="M28" s="150"/>
      <c r="N28" s="150"/>
      <c r="O28" s="150"/>
    </row>
    <row r="29" spans="1:15" ht="18.75" customHeight="1" x14ac:dyDescent="0.2">
      <c r="A29" s="226" t="s">
        <v>49</v>
      </c>
      <c r="B29" s="227"/>
      <c r="C29" s="228"/>
      <c r="D29" s="159" t="s">
        <v>155</v>
      </c>
      <c r="E29" s="160"/>
      <c r="F29" s="161"/>
      <c r="G29" s="141">
        <f>IF($N$7="","",VLOOKUP($N$5,base3,28,0))</f>
        <v>4.5</v>
      </c>
      <c r="H29" s="142"/>
      <c r="I29" s="142">
        <f>VLOOKUP($N$5,base1,32,0)</f>
        <v>4</v>
      </c>
      <c r="J29" s="143"/>
      <c r="K29" s="30"/>
      <c r="L29" s="33">
        <f>IF($N$7="","",G29)</f>
        <v>4.5</v>
      </c>
      <c r="M29" s="150"/>
      <c r="N29" s="150"/>
      <c r="O29" s="150"/>
    </row>
    <row r="30" spans="1:15" ht="18.75" customHeight="1" x14ac:dyDescent="0.2">
      <c r="A30" s="226"/>
      <c r="B30" s="227"/>
      <c r="C30" s="228"/>
      <c r="D30" s="159" t="s">
        <v>149</v>
      </c>
      <c r="E30" s="160"/>
      <c r="F30" s="161"/>
      <c r="G30" s="141">
        <f>IF($N$7="","",VLOOKUP($N$5,base3,29,0))</f>
        <v>5.5</v>
      </c>
      <c r="H30" s="142"/>
      <c r="I30" s="142">
        <f>VLOOKUP($N$5,base1,32,0)</f>
        <v>4</v>
      </c>
      <c r="J30" s="143"/>
      <c r="K30" s="83"/>
      <c r="L30" s="33">
        <f>IF($N$7="","",G30)</f>
        <v>5.5</v>
      </c>
      <c r="M30" s="150"/>
      <c r="N30" s="150"/>
      <c r="O30" s="150"/>
    </row>
    <row r="31" spans="1:15" ht="18.75" customHeight="1" x14ac:dyDescent="0.2">
      <c r="A31" s="155"/>
      <c r="B31" s="156"/>
      <c r="C31" s="157"/>
      <c r="D31" s="208" t="s">
        <v>5</v>
      </c>
      <c r="E31" s="209"/>
      <c r="F31" s="210"/>
      <c r="G31" s="25"/>
      <c r="H31" s="26"/>
      <c r="I31" s="24"/>
      <c r="J31" s="26"/>
      <c r="K31" s="26"/>
      <c r="L31" s="84">
        <f>IF($N$7="","",AVERAGE(L27:L30))</f>
        <v>4.75</v>
      </c>
      <c r="M31" s="150"/>
      <c r="N31" s="150"/>
      <c r="O31" s="150"/>
    </row>
    <row r="32" spans="1:15" ht="18.75" customHeight="1" x14ac:dyDescent="0.2">
      <c r="A32" s="174" t="s">
        <v>15</v>
      </c>
      <c r="B32" s="175"/>
      <c r="C32" s="176"/>
      <c r="D32" s="159" t="s">
        <v>2</v>
      </c>
      <c r="E32" s="160"/>
      <c r="F32" s="161"/>
      <c r="G32" s="135">
        <f>IF($N$7="","",VLOOKUP($N$5,base3,31,0))</f>
        <v>3</v>
      </c>
      <c r="H32" s="135"/>
      <c r="I32" s="135">
        <f>IF($N$7="","",VLOOKUP($N$5,base3,32,0))</f>
        <v>5.5</v>
      </c>
      <c r="J32" s="135"/>
      <c r="K32" s="31"/>
      <c r="L32" s="33">
        <f>IF(OR($N$7="",G32="",I32=""),"",AVERAGE(D32:I32))</f>
        <v>4.25</v>
      </c>
      <c r="M32" s="150" t="str">
        <f>IF($N$7="","",IF(L33&lt;2,"ضعيف",IF(AND(L33&gt;=2,L33&lt;=3),"دون المستوى",IF(AND(L33&gt;3,L33&lt;5),"متوسط",IF(AND(L33&gt;=5,L33&lt;7),"لابأس به",IF(AND(L33&gt;=7,L33&lt;8),"مستحسن",IF(AND(L33&gt;=8,L33&lt;=10),"ممتاز")))))))</f>
        <v>متوسط</v>
      </c>
      <c r="N32" s="150"/>
      <c r="O32" s="150"/>
    </row>
    <row r="33" spans="1:15" ht="18.75" customHeight="1" x14ac:dyDescent="0.2">
      <c r="A33" s="177" t="s">
        <v>16</v>
      </c>
      <c r="B33" s="178"/>
      <c r="C33" s="179"/>
      <c r="D33" s="208" t="s">
        <v>5</v>
      </c>
      <c r="E33" s="209"/>
      <c r="F33" s="210"/>
      <c r="G33" s="25"/>
      <c r="H33" s="26"/>
      <c r="I33" s="24"/>
      <c r="J33" s="26"/>
      <c r="K33" s="26"/>
      <c r="L33" s="84">
        <f>IF($N$7="","",L32)</f>
        <v>4.25</v>
      </c>
      <c r="M33" s="150"/>
      <c r="N33" s="150"/>
      <c r="O33" s="150"/>
    </row>
    <row r="34" spans="1:15" ht="18.75" customHeight="1" x14ac:dyDescent="0.2">
      <c r="A34" s="152" t="s">
        <v>17</v>
      </c>
      <c r="B34" s="153"/>
      <c r="C34" s="154"/>
      <c r="D34" s="159" t="s">
        <v>3</v>
      </c>
      <c r="E34" s="160"/>
      <c r="F34" s="161"/>
      <c r="G34" s="135">
        <f>IF($N$7="","",VLOOKUP($N$5,base3,34,0))</f>
        <v>4.5</v>
      </c>
      <c r="H34" s="135"/>
      <c r="I34" s="135">
        <f>IF($N$7="","",VLOOKUP($N$5,base3,35,0))</f>
        <v>6.5</v>
      </c>
      <c r="J34" s="135"/>
      <c r="K34" s="28"/>
      <c r="L34" s="33">
        <f>IF(OR($N$7="",G34="",I34=""),"",AVERAGE(D34:I34))</f>
        <v>5.5</v>
      </c>
      <c r="M34" s="150" t="str">
        <f>IF($N$7="","",IF(L35&lt;2,"ضعيف",IF(AND(L35&gt;=2,L35&lt;=3),"دون المستوى",IF(AND(L35&gt;3,L35&lt;5),"متوسط",IF(AND(L35&gt;=5,L35&lt;7),"لابأس به",IF(AND(L35&gt;=7,L35&lt;8),"مستحسن",IF(AND(L35&gt;=8,L35&lt;=10),"ممتاز")))))))</f>
        <v>لابأس به</v>
      </c>
      <c r="N34" s="150"/>
      <c r="O34" s="150"/>
    </row>
    <row r="35" spans="1:15" ht="18.75" customHeight="1" x14ac:dyDescent="0.2">
      <c r="A35" s="155" t="s">
        <v>18</v>
      </c>
      <c r="B35" s="156"/>
      <c r="C35" s="157"/>
      <c r="D35" s="208" t="s">
        <v>5</v>
      </c>
      <c r="E35" s="209"/>
      <c r="F35" s="210"/>
      <c r="G35" s="25"/>
      <c r="H35" s="26"/>
      <c r="I35" s="24"/>
      <c r="J35" s="26"/>
      <c r="K35" s="26"/>
      <c r="L35" s="84">
        <f>IF($N$7="","",L34)</f>
        <v>5.5</v>
      </c>
      <c r="M35" s="150"/>
      <c r="N35" s="150"/>
      <c r="O35" s="150"/>
    </row>
    <row r="36" spans="1:15" ht="18.75" customHeight="1" x14ac:dyDescent="0.2">
      <c r="A36" s="174" t="s">
        <v>4</v>
      </c>
      <c r="B36" s="175"/>
      <c r="C36" s="176"/>
      <c r="D36" s="159" t="s">
        <v>4</v>
      </c>
      <c r="E36" s="160"/>
      <c r="F36" s="161"/>
      <c r="G36" s="135">
        <f>IF($N$7="","",VLOOKUP($N$5,base3,37,0))</f>
        <v>5.5</v>
      </c>
      <c r="H36" s="135"/>
      <c r="I36" s="135">
        <f>IF($N$7="","",VLOOKUP($N$5,base3,38,0))</f>
        <v>6.5</v>
      </c>
      <c r="J36" s="135"/>
      <c r="K36" s="28"/>
      <c r="L36" s="33">
        <f>IF(OR($N$7="",G36="",I36=""),"",AVERAGE(D36:I36))</f>
        <v>6</v>
      </c>
      <c r="M36" s="150" t="str">
        <f>IF($N$7="","",IF(L37&lt;2,"ضعيف",IF(AND(L37&gt;=2,L37&lt;=3),"دون المستوى",IF(AND(L37&gt;3,L37&lt;5),"متوسط",IF(AND(L37&gt;=5,L37&lt;7),"لابأس به",IF(AND(L37&gt;=7,L37&lt;8),"مستحسن",IF(AND(L37&gt;=8,L37&lt;=10),"ممتاز")))))))</f>
        <v>لابأس به</v>
      </c>
      <c r="N36" s="150"/>
      <c r="O36" s="150"/>
    </row>
    <row r="37" spans="1:15" ht="18.75" customHeight="1" x14ac:dyDescent="0.2">
      <c r="A37" s="177"/>
      <c r="B37" s="178"/>
      <c r="C37" s="179"/>
      <c r="D37" s="208" t="s">
        <v>5</v>
      </c>
      <c r="E37" s="209"/>
      <c r="F37" s="210"/>
      <c r="G37" s="25"/>
      <c r="H37" s="26"/>
      <c r="I37" s="24"/>
      <c r="J37" s="26"/>
      <c r="K37" s="26"/>
      <c r="L37" s="84">
        <f>IF($N$7="","",L36)</f>
        <v>6</v>
      </c>
      <c r="M37" s="150"/>
      <c r="N37" s="150"/>
      <c r="O37" s="150"/>
    </row>
    <row r="38" spans="1:15" ht="18.75" customHeight="1" x14ac:dyDescent="0.2">
      <c r="A38" s="152" t="s">
        <v>152</v>
      </c>
      <c r="B38" s="153"/>
      <c r="C38" s="154"/>
      <c r="D38" s="159" t="s">
        <v>152</v>
      </c>
      <c r="E38" s="160"/>
      <c r="F38" s="161"/>
      <c r="G38" s="135">
        <f>IF($N$7="","",IF(VLOOKUP($N$5,base3,40,0)="","",VLOOKUP($N$5,base3,40,0)))</f>
        <v>3</v>
      </c>
      <c r="H38" s="135"/>
      <c r="I38" s="135">
        <f>IF($N$7="","",IF(VLOOKUP($N$5,base3,41,0)="","",VLOOKUP($N$5,base3,41,0)))</f>
        <v>5.5</v>
      </c>
      <c r="J38" s="135"/>
      <c r="K38" s="32"/>
      <c r="L38" s="33">
        <f>IF(OR($N$7="",G38="",I38=""),"",AVERAGE(D38:I38))</f>
        <v>4.25</v>
      </c>
      <c r="M38" s="150" t="str">
        <f>IF($N$7="","",IF(L39&lt;2,"ضعيف",IF(AND(L39&gt;=2,L39&lt;=3),"دون المستوى",IF(AND(L39&gt;3,L39&lt;5),"متوسط",IF(AND(L39&gt;=5,L39&lt;7),"لابأس به",IF(AND(L39&gt;=7,L39&lt;8),"مستحسن",IF(AND(L39&gt;=8,L39&lt;=10),"ممتاز")))))))</f>
        <v>متوسط</v>
      </c>
      <c r="N38" s="150"/>
      <c r="O38" s="150"/>
    </row>
    <row r="39" spans="1:15" ht="18.75" customHeight="1" x14ac:dyDescent="0.2">
      <c r="A39" s="155"/>
      <c r="B39" s="156"/>
      <c r="C39" s="157"/>
      <c r="D39" s="208" t="s">
        <v>5</v>
      </c>
      <c r="E39" s="209"/>
      <c r="F39" s="210"/>
      <c r="G39" s="25"/>
      <c r="H39" s="26"/>
      <c r="I39" s="24"/>
      <c r="J39" s="26"/>
      <c r="K39" s="26"/>
      <c r="L39" s="84">
        <f>IF($N$7="","",L38)</f>
        <v>4.25</v>
      </c>
      <c r="M39" s="150"/>
      <c r="N39" s="150"/>
      <c r="O39" s="150"/>
    </row>
    <row r="40" spans="1:15" ht="18.75" customHeight="1" x14ac:dyDescent="0.2">
      <c r="A40" s="174" t="s">
        <v>17</v>
      </c>
      <c r="B40" s="175"/>
      <c r="C40" s="176"/>
      <c r="D40" s="159" t="s">
        <v>27</v>
      </c>
      <c r="E40" s="160"/>
      <c r="F40" s="161"/>
      <c r="G40" s="135">
        <f>IF($N$7="","",IF(VLOOKUP($N$5,base3,43,0)="","",VLOOKUP($N$5,base3,43,0)))</f>
        <v>6</v>
      </c>
      <c r="H40" s="135"/>
      <c r="I40" s="135">
        <f>IF($N$7="","",IF(VLOOKUP($N$5,base3,44,0)="","",VLOOKUP($N$5,base3,44,0)))</f>
        <v>8</v>
      </c>
      <c r="J40" s="135"/>
      <c r="K40" s="32"/>
      <c r="L40" s="33">
        <f>IF(OR($N$7="",G40="",I40=""),"",AVERAGE(D40:I40))</f>
        <v>7</v>
      </c>
      <c r="M40" s="150" t="str">
        <f>IF($N$7="","",IF(L41="","معفى من التربية البدنية",IF(L41&lt;2,"ضعيف",IF(AND(L41&gt;=2,L41&lt;=3),"دون المستوى",IF(AND(L41&gt;3,L41&lt;5),"متوسط",IF(AND(L41&gt;=5,L41&lt;7),"لابأس به",IF(AND(L41&gt;=7,L41&lt;8),"مستحسن",IF(AND(L41&gt;=8,L41&lt;=10),"ممتاز"))))))))</f>
        <v>مستحسن</v>
      </c>
      <c r="N40" s="150"/>
      <c r="O40" s="150"/>
    </row>
    <row r="41" spans="1:15" ht="18.75" customHeight="1" x14ac:dyDescent="0.2">
      <c r="A41" s="177" t="s">
        <v>28</v>
      </c>
      <c r="B41" s="178"/>
      <c r="C41" s="179"/>
      <c r="D41" s="208" t="s">
        <v>5</v>
      </c>
      <c r="E41" s="209"/>
      <c r="F41" s="210"/>
      <c r="G41" s="25"/>
      <c r="H41" s="26"/>
      <c r="I41" s="24"/>
      <c r="J41" s="26"/>
      <c r="K41" s="26"/>
      <c r="L41" s="84">
        <f>IF($N$7="","",L40)</f>
        <v>7</v>
      </c>
      <c r="M41" s="150"/>
      <c r="N41" s="150"/>
      <c r="O41" s="150"/>
    </row>
    <row r="42" spans="1:15" customFormat="1" ht="10.5" customHeight="1" x14ac:dyDescent="0.2"/>
    <row r="43" spans="1:15" x14ac:dyDescent="0.2">
      <c r="A43" s="172" t="s">
        <v>11</v>
      </c>
      <c r="B43" s="172"/>
      <c r="C43" s="172"/>
      <c r="D43" s="172"/>
      <c r="E43" s="167">
        <f>IF($N$7="","",VLOOKUP($N$5,base3,48,0))</f>
        <v>31.95</v>
      </c>
      <c r="F43" s="167"/>
      <c r="H43" s="166" t="s">
        <v>47</v>
      </c>
      <c r="I43" s="166"/>
      <c r="J43" s="166"/>
      <c r="L43" s="139" t="s">
        <v>51</v>
      </c>
      <c r="M43" s="139"/>
      <c r="N43" s="139"/>
      <c r="O43" s="139"/>
    </row>
    <row r="44" spans="1:15" x14ac:dyDescent="0.2">
      <c r="A44" s="218" t="s">
        <v>46</v>
      </c>
      <c r="B44" s="219"/>
      <c r="C44" s="219"/>
      <c r="D44" s="220"/>
      <c r="E44" s="221">
        <f>IF($N$7="","",VLOOKUP($N$5,base3,49,0))</f>
        <v>4.5642857142857141</v>
      </c>
      <c r="F44" s="222"/>
      <c r="H44" s="166" t="str">
        <f>IF($N$7="","",VLOOKUP($N$5,base3,51,0))</f>
        <v>دون المتوسط</v>
      </c>
      <c r="I44" s="166"/>
      <c r="J44" s="166"/>
      <c r="L44" s="150"/>
      <c r="M44" s="150"/>
      <c r="N44" s="150"/>
      <c r="O44" s="150"/>
    </row>
    <row r="45" spans="1:15" x14ac:dyDescent="0.2">
      <c r="A45" s="223" t="s">
        <v>93</v>
      </c>
      <c r="B45" s="224"/>
      <c r="C45" s="224"/>
      <c r="D45" s="225"/>
      <c r="E45" s="214">
        <f>IF($N$7="","",VLOOKUP($N$5,base3,52,0))</f>
        <v>3.6892857142857141</v>
      </c>
      <c r="F45" s="215"/>
      <c r="H45" s="166"/>
      <c r="I45" s="166"/>
      <c r="J45" s="166"/>
      <c r="L45" s="150"/>
      <c r="M45" s="150"/>
      <c r="N45" s="150"/>
      <c r="O45" s="150"/>
    </row>
    <row r="46" spans="1:15" x14ac:dyDescent="0.2">
      <c r="A46" s="211" t="s">
        <v>94</v>
      </c>
      <c r="B46" s="212"/>
      <c r="C46" s="212"/>
      <c r="D46" s="213"/>
      <c r="E46" s="216">
        <f>IF($N$7="","",VLOOKUP($N$5,base3,53,0))</f>
        <v>4.1267857142857141</v>
      </c>
      <c r="F46" s="217"/>
      <c r="H46" s="166"/>
      <c r="I46" s="166"/>
      <c r="J46" s="166"/>
      <c r="L46" s="150"/>
      <c r="M46" s="150"/>
      <c r="N46" s="150"/>
      <c r="O46" s="150"/>
    </row>
    <row r="47" spans="1:15" x14ac:dyDescent="0.3">
      <c r="A47" s="162" t="s">
        <v>12</v>
      </c>
      <c r="B47" s="162"/>
      <c r="C47" s="162"/>
      <c r="D47" s="162"/>
      <c r="E47" s="170">
        <f>IF($N$7="","",VLOOKUP($N$5,base3,50,0))</f>
        <v>14</v>
      </c>
      <c r="F47" s="170"/>
      <c r="H47" s="166"/>
      <c r="I47" s="166"/>
      <c r="J47" s="166"/>
      <c r="L47" s="150"/>
      <c r="M47" s="150"/>
      <c r="N47" s="150"/>
      <c r="O47" s="150"/>
    </row>
  </sheetData>
  <mergeCells count="116">
    <mergeCell ref="A1:F1"/>
    <mergeCell ref="K1:M1"/>
    <mergeCell ref="N1:O1"/>
    <mergeCell ref="A2:F2"/>
    <mergeCell ref="K2:M2"/>
    <mergeCell ref="N2:O2"/>
    <mergeCell ref="K7:M7"/>
    <mergeCell ref="N7:O7"/>
    <mergeCell ref="B9:N10"/>
    <mergeCell ref="A5:F5"/>
    <mergeCell ref="K5:M5"/>
    <mergeCell ref="N5:O5"/>
    <mergeCell ref="A3:F3"/>
    <mergeCell ref="K3:M3"/>
    <mergeCell ref="N3:O3"/>
    <mergeCell ref="A4:F4"/>
    <mergeCell ref="K4:M4"/>
    <mergeCell ref="N4:O4"/>
    <mergeCell ref="C12:H12"/>
    <mergeCell ref="I12:M12"/>
    <mergeCell ref="C13:H13"/>
    <mergeCell ref="I13:M13"/>
    <mergeCell ref="A6:F6"/>
    <mergeCell ref="K6:M6"/>
    <mergeCell ref="N6:O6"/>
    <mergeCell ref="G20:H20"/>
    <mergeCell ref="I20:J20"/>
    <mergeCell ref="D21:F21"/>
    <mergeCell ref="G21:H21"/>
    <mergeCell ref="B15:N15"/>
    <mergeCell ref="A17:C18"/>
    <mergeCell ref="D17:F18"/>
    <mergeCell ref="G17:L17"/>
    <mergeCell ref="M17:O18"/>
    <mergeCell ref="G18:H18"/>
    <mergeCell ref="I18:J18"/>
    <mergeCell ref="D32:F32"/>
    <mergeCell ref="G32:H32"/>
    <mergeCell ref="I32:J32"/>
    <mergeCell ref="D24:F24"/>
    <mergeCell ref="A25:C25"/>
    <mergeCell ref="D25:F25"/>
    <mergeCell ref="G25:H25"/>
    <mergeCell ref="I25:J25"/>
    <mergeCell ref="M25:O26"/>
    <mergeCell ref="A26:C26"/>
    <mergeCell ref="D26:F26"/>
    <mergeCell ref="M19:O24"/>
    <mergeCell ref="I21:J21"/>
    <mergeCell ref="D22:F22"/>
    <mergeCell ref="G22:H22"/>
    <mergeCell ref="I22:J22"/>
    <mergeCell ref="D23:F23"/>
    <mergeCell ref="G23:H23"/>
    <mergeCell ref="I23:J23"/>
    <mergeCell ref="A19:C24"/>
    <mergeCell ref="D19:F19"/>
    <mergeCell ref="G19:H19"/>
    <mergeCell ref="I19:J19"/>
    <mergeCell ref="D20:F20"/>
    <mergeCell ref="A35:C35"/>
    <mergeCell ref="A38:C39"/>
    <mergeCell ref="A34:C34"/>
    <mergeCell ref="D34:F34"/>
    <mergeCell ref="G34:H34"/>
    <mergeCell ref="I34:J34"/>
    <mergeCell ref="M34:O35"/>
    <mergeCell ref="D35:F35"/>
    <mergeCell ref="A27:C28"/>
    <mergeCell ref="D27:F27"/>
    <mergeCell ref="M32:O33"/>
    <mergeCell ref="A33:C33"/>
    <mergeCell ref="D33:F33"/>
    <mergeCell ref="M27:O31"/>
    <mergeCell ref="D28:F28"/>
    <mergeCell ref="A29:C31"/>
    <mergeCell ref="D29:F29"/>
    <mergeCell ref="D31:F31"/>
    <mergeCell ref="G27:J27"/>
    <mergeCell ref="D30:F30"/>
    <mergeCell ref="G28:J28"/>
    <mergeCell ref="G29:J29"/>
    <mergeCell ref="G30:J30"/>
    <mergeCell ref="A32:C32"/>
    <mergeCell ref="A46:D46"/>
    <mergeCell ref="E45:F45"/>
    <mergeCell ref="E46:F46"/>
    <mergeCell ref="A43:D43"/>
    <mergeCell ref="E43:F43"/>
    <mergeCell ref="H43:J43"/>
    <mergeCell ref="L43:O43"/>
    <mergeCell ref="A44:D44"/>
    <mergeCell ref="E44:F44"/>
    <mergeCell ref="H44:J47"/>
    <mergeCell ref="L44:O47"/>
    <mergeCell ref="A47:D47"/>
    <mergeCell ref="E47:F47"/>
    <mergeCell ref="A45:D45"/>
    <mergeCell ref="A40:C40"/>
    <mergeCell ref="D40:F40"/>
    <mergeCell ref="G40:H40"/>
    <mergeCell ref="I40:J40"/>
    <mergeCell ref="M40:O41"/>
    <mergeCell ref="A41:C41"/>
    <mergeCell ref="D41:F41"/>
    <mergeCell ref="A36:C37"/>
    <mergeCell ref="D36:F36"/>
    <mergeCell ref="G36:H36"/>
    <mergeCell ref="I36:J36"/>
    <mergeCell ref="M36:O37"/>
    <mergeCell ref="D37:F37"/>
    <mergeCell ref="D38:F38"/>
    <mergeCell ref="G38:H38"/>
    <mergeCell ref="I38:J38"/>
    <mergeCell ref="M38:O39"/>
    <mergeCell ref="D39:F39"/>
  </mergeCells>
  <printOptions horizontalCentered="1" verticalCentered="1"/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xporte">
                <anchor moveWithCells="1" sizeWithCells="1">
                  <from>
                    <xdr:col>21</xdr:col>
                    <xdr:colOff>200025</xdr:colOff>
                    <xdr:row>8</xdr:row>
                    <xdr:rowOff>95250</xdr:rowOff>
                  </from>
                  <to>
                    <xdr:col>24</xdr:col>
                    <xdr:colOff>390525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CFFFF"/>
    <pageSetUpPr fitToPage="1"/>
  </sheetPr>
  <dimension ref="A1:AG60"/>
  <sheetViews>
    <sheetView rightToLeft="1" view="pageBreakPreview" zoomScale="90" zoomScaleNormal="90" zoomScaleSheetLayoutView="90" workbookViewId="0">
      <selection activeCell="F11" sqref="F11"/>
    </sheetView>
  </sheetViews>
  <sheetFormatPr baseColWidth="10" defaultRowHeight="15.75" x14ac:dyDescent="0.2"/>
  <cols>
    <col min="1" max="1" width="3.42578125" style="45" customWidth="1"/>
    <col min="2" max="2" width="4.42578125" style="45" bestFit="1" customWidth="1"/>
    <col min="3" max="3" width="19" style="45" customWidth="1"/>
    <col min="4" max="29" width="6" style="45" customWidth="1"/>
    <col min="30" max="30" width="8.7109375" style="45" bestFit="1" customWidth="1"/>
    <col min="31" max="31" width="5.28515625" style="45" bestFit="1" customWidth="1"/>
    <col min="32" max="32" width="10.85546875" style="45" bestFit="1" customWidth="1"/>
    <col min="33" max="33" width="9" style="45" bestFit="1" customWidth="1"/>
    <col min="34" max="16384" width="11.42578125" style="45"/>
  </cols>
  <sheetData>
    <row r="1" spans="1:33" ht="15" customHeight="1" x14ac:dyDescent="0.2">
      <c r="A1" s="244" t="str">
        <f>info!$A$1</f>
        <v>المملكة المغربية</v>
      </c>
      <c r="B1" s="244"/>
      <c r="C1" s="244"/>
      <c r="D1" s="244"/>
      <c r="E1" s="244"/>
      <c r="AA1" s="244" t="str">
        <f>info!J1</f>
        <v xml:space="preserve">العـام الدراســي </v>
      </c>
      <c r="AB1" s="244"/>
      <c r="AC1" s="244"/>
      <c r="AD1" s="244" t="str">
        <f>info!$M$1</f>
        <v>2018-2017</v>
      </c>
      <c r="AE1" s="244"/>
      <c r="AF1" s="244"/>
    </row>
    <row r="2" spans="1:33" ht="15" customHeight="1" thickBot="1" x14ac:dyDescent="0.25">
      <c r="A2" s="244" t="str">
        <f>info!$A$2</f>
        <v>وزارة التربية الوطنية و التكوين المهني</v>
      </c>
      <c r="B2" s="244"/>
      <c r="C2" s="244"/>
      <c r="D2" s="244"/>
      <c r="E2" s="244"/>
      <c r="AA2" s="244" t="str">
        <f>info!J2</f>
        <v>الأستاذ (ة)</v>
      </c>
      <c r="AB2" s="244"/>
      <c r="AC2" s="244"/>
      <c r="AD2" s="244" t="str">
        <f>info!$M$2</f>
        <v xml:space="preserve">هشام </v>
      </c>
      <c r="AE2" s="244"/>
      <c r="AF2" s="244"/>
    </row>
    <row r="3" spans="1:33" ht="15" customHeight="1" thickTop="1" x14ac:dyDescent="0.2">
      <c r="A3" s="244" t="str">
        <f>info!$A$3</f>
        <v>الأكاديمية الجهوية للتربية والتكوين</v>
      </c>
      <c r="B3" s="244"/>
      <c r="C3" s="244"/>
      <c r="D3" s="244"/>
      <c r="E3" s="244"/>
      <c r="J3" s="247" t="s">
        <v>97</v>
      </c>
      <c r="K3" s="248"/>
      <c r="L3" s="248"/>
      <c r="M3" s="248"/>
      <c r="N3" s="248"/>
      <c r="O3" s="248"/>
      <c r="P3" s="248"/>
      <c r="Q3" s="248"/>
      <c r="R3" s="248"/>
      <c r="S3" s="248"/>
      <c r="T3" s="248"/>
      <c r="U3" s="248"/>
      <c r="V3" s="249"/>
      <c r="W3" s="46"/>
      <c r="X3" s="46"/>
      <c r="Y3" s="46"/>
      <c r="Z3" s="46"/>
      <c r="AA3" s="244" t="str">
        <f>info!J3</f>
        <v xml:space="preserve">المستوى </v>
      </c>
      <c r="AB3" s="244"/>
      <c r="AC3" s="244"/>
      <c r="AD3" s="244" t="str">
        <f>info!$M$3</f>
        <v>الأول</v>
      </c>
      <c r="AE3" s="244"/>
      <c r="AF3" s="244"/>
    </row>
    <row r="4" spans="1:33" ht="15" customHeight="1" thickBot="1" x14ac:dyDescent="0.25">
      <c r="A4" s="244" t="str">
        <f>info!$A$4</f>
        <v xml:space="preserve">جهة دكالة عبدة </v>
      </c>
      <c r="B4" s="244"/>
      <c r="C4" s="244"/>
      <c r="D4" s="244"/>
      <c r="E4" s="244"/>
      <c r="J4" s="250"/>
      <c r="K4" s="251"/>
      <c r="L4" s="251"/>
      <c r="M4" s="251"/>
      <c r="N4" s="251"/>
      <c r="O4" s="251"/>
      <c r="P4" s="251"/>
      <c r="Q4" s="251"/>
      <c r="R4" s="251"/>
      <c r="S4" s="251"/>
      <c r="T4" s="251"/>
      <c r="U4" s="251"/>
      <c r="V4" s="252"/>
      <c r="W4" s="46"/>
      <c r="X4" s="46"/>
      <c r="Y4" s="46"/>
      <c r="Z4" s="46"/>
      <c r="AA4" s="244" t="str">
        <f>info!J4</f>
        <v>الوحدة المدرسية</v>
      </c>
      <c r="AB4" s="244"/>
      <c r="AC4" s="244"/>
      <c r="AD4" s="244" t="str">
        <f>info!$M$4</f>
        <v>لايهم</v>
      </c>
      <c r="AE4" s="244"/>
      <c r="AF4" s="244"/>
    </row>
    <row r="5" spans="1:33" ht="15" customHeight="1" thickTop="1" x14ac:dyDescent="0.2">
      <c r="A5" s="244" t="str">
        <f>info!$A$5</f>
        <v>نيابة المديرية</v>
      </c>
      <c r="B5" s="244"/>
      <c r="C5" s="244"/>
      <c r="D5" s="244"/>
      <c r="E5" s="244"/>
      <c r="V5" s="46"/>
      <c r="W5" s="46"/>
      <c r="X5" s="46"/>
      <c r="Y5" s="46"/>
      <c r="Z5" s="46"/>
      <c r="AA5" s="244" t="str">
        <f>info!J5</f>
        <v>الفوج</v>
      </c>
      <c r="AB5" s="244"/>
      <c r="AC5" s="244"/>
      <c r="AD5" s="244">
        <f>info!$M$5</f>
        <v>1</v>
      </c>
      <c r="AE5" s="244"/>
      <c r="AF5" s="244"/>
    </row>
    <row r="6" spans="1:33" ht="15" customHeight="1" x14ac:dyDescent="0.2">
      <c r="A6" s="244" t="str">
        <f>info!$A$6</f>
        <v>المدرسة</v>
      </c>
      <c r="B6" s="244"/>
      <c r="C6" s="244"/>
      <c r="D6" s="244"/>
      <c r="E6" s="244"/>
      <c r="AA6" s="244" t="str">
        <f>info!J6</f>
        <v>عدد التلاميذ</v>
      </c>
      <c r="AB6" s="244"/>
      <c r="AC6" s="244"/>
      <c r="AD6" s="244">
        <f>info!$M$6</f>
        <v>25</v>
      </c>
      <c r="AE6" s="244"/>
      <c r="AF6" s="244"/>
    </row>
    <row r="7" spans="1:33" ht="8.25" customHeight="1" x14ac:dyDescent="0.2"/>
    <row r="8" spans="1:33" ht="14.1" customHeight="1" x14ac:dyDescent="0.2">
      <c r="A8" s="246" t="s">
        <v>21</v>
      </c>
      <c r="B8" s="246" t="s">
        <v>162</v>
      </c>
      <c r="C8" s="245" t="s">
        <v>22</v>
      </c>
      <c r="D8" s="238" t="s">
        <v>54</v>
      </c>
      <c r="E8" s="243"/>
      <c r="F8" s="239"/>
      <c r="G8" s="238" t="s">
        <v>54</v>
      </c>
      <c r="H8" s="243"/>
      <c r="I8" s="239"/>
      <c r="J8" s="238" t="s">
        <v>17</v>
      </c>
      <c r="K8" s="243"/>
      <c r="L8" s="239"/>
      <c r="M8" s="238" t="s">
        <v>79</v>
      </c>
      <c r="N8" s="243"/>
      <c r="O8" s="239"/>
      <c r="P8" s="238" t="s">
        <v>17</v>
      </c>
      <c r="Q8" s="243"/>
      <c r="R8" s="239"/>
      <c r="S8" s="238" t="s">
        <v>4</v>
      </c>
      <c r="T8" s="243"/>
      <c r="U8" s="239"/>
      <c r="V8" s="238" t="s">
        <v>152</v>
      </c>
      <c r="W8" s="243"/>
      <c r="X8" s="239"/>
      <c r="Y8" s="238" t="s">
        <v>17</v>
      </c>
      <c r="Z8" s="243"/>
      <c r="AA8" s="239"/>
      <c r="AB8" s="238" t="s">
        <v>74</v>
      </c>
      <c r="AC8" s="239"/>
      <c r="AD8" s="47" t="s">
        <v>80</v>
      </c>
      <c r="AE8" s="235" t="s">
        <v>76</v>
      </c>
      <c r="AF8" s="235" t="s">
        <v>47</v>
      </c>
      <c r="AG8" s="47" t="s">
        <v>81</v>
      </c>
    </row>
    <row r="9" spans="1:33" ht="14.1" customHeight="1" x14ac:dyDescent="0.2">
      <c r="A9" s="246"/>
      <c r="B9" s="246"/>
      <c r="C9" s="245"/>
      <c r="D9" s="240" t="s">
        <v>78</v>
      </c>
      <c r="E9" s="241"/>
      <c r="F9" s="242"/>
      <c r="G9" s="240" t="s">
        <v>52</v>
      </c>
      <c r="H9" s="241"/>
      <c r="I9" s="242"/>
      <c r="J9" s="240" t="s">
        <v>49</v>
      </c>
      <c r="K9" s="241"/>
      <c r="L9" s="242"/>
      <c r="M9" s="240" t="s">
        <v>16</v>
      </c>
      <c r="N9" s="241"/>
      <c r="O9" s="242"/>
      <c r="P9" s="240" t="s">
        <v>18</v>
      </c>
      <c r="Q9" s="241"/>
      <c r="R9" s="242"/>
      <c r="S9" s="240"/>
      <c r="T9" s="241"/>
      <c r="U9" s="242"/>
      <c r="V9" s="240"/>
      <c r="W9" s="241"/>
      <c r="X9" s="242"/>
      <c r="Y9" s="240" t="s">
        <v>28</v>
      </c>
      <c r="Z9" s="241"/>
      <c r="AA9" s="242"/>
      <c r="AB9" s="240" t="s">
        <v>75</v>
      </c>
      <c r="AC9" s="242"/>
      <c r="AD9" s="48" t="s">
        <v>83</v>
      </c>
      <c r="AE9" s="236"/>
      <c r="AF9" s="236"/>
      <c r="AG9" s="48" t="s">
        <v>82</v>
      </c>
    </row>
    <row r="10" spans="1:33" ht="14.1" customHeight="1" x14ac:dyDescent="0.2">
      <c r="A10" s="246"/>
      <c r="B10" s="246"/>
      <c r="C10" s="245"/>
      <c r="D10" s="49" t="s">
        <v>72</v>
      </c>
      <c r="E10" s="49" t="s">
        <v>73</v>
      </c>
      <c r="F10" s="50" t="s">
        <v>24</v>
      </c>
      <c r="G10" s="49" t="s">
        <v>72</v>
      </c>
      <c r="H10" s="49" t="s">
        <v>73</v>
      </c>
      <c r="I10" s="50" t="s">
        <v>24</v>
      </c>
      <c r="J10" s="49" t="s">
        <v>72</v>
      </c>
      <c r="K10" s="49" t="s">
        <v>73</v>
      </c>
      <c r="L10" s="50" t="s">
        <v>24</v>
      </c>
      <c r="M10" s="49" t="s">
        <v>72</v>
      </c>
      <c r="N10" s="49" t="s">
        <v>73</v>
      </c>
      <c r="O10" s="50" t="s">
        <v>24</v>
      </c>
      <c r="P10" s="49" t="s">
        <v>72</v>
      </c>
      <c r="Q10" s="49" t="s">
        <v>73</v>
      </c>
      <c r="R10" s="50" t="s">
        <v>24</v>
      </c>
      <c r="S10" s="49" t="s">
        <v>72</v>
      </c>
      <c r="T10" s="49" t="s">
        <v>73</v>
      </c>
      <c r="U10" s="50" t="s">
        <v>24</v>
      </c>
      <c r="V10" s="49" t="s">
        <v>72</v>
      </c>
      <c r="W10" s="49" t="s">
        <v>73</v>
      </c>
      <c r="X10" s="50" t="s">
        <v>24</v>
      </c>
      <c r="Y10" s="49" t="s">
        <v>72</v>
      </c>
      <c r="Z10" s="49" t="s">
        <v>73</v>
      </c>
      <c r="AA10" s="50" t="s">
        <v>24</v>
      </c>
      <c r="AB10" s="49" t="s">
        <v>72</v>
      </c>
      <c r="AC10" s="49" t="s">
        <v>73</v>
      </c>
      <c r="AD10" s="50" t="s">
        <v>24</v>
      </c>
      <c r="AE10" s="237"/>
      <c r="AF10" s="237"/>
      <c r="AG10" s="51" t="s">
        <v>77</v>
      </c>
    </row>
    <row r="11" spans="1:33" ht="15" customHeight="1" x14ac:dyDescent="0.2">
      <c r="A11" s="52">
        <f>IF(info!$A16="","",info!$A16)</f>
        <v>1</v>
      </c>
      <c r="B11" s="52">
        <f>IF($A11="","",info!$F16)</f>
        <v>0</v>
      </c>
      <c r="C11" s="88" t="str">
        <f>IF($A11="","",info!$C16)</f>
        <v>رضوان</v>
      </c>
      <c r="D11" s="53">
        <f>IF('sem1'!V10="","",'sem1'!V10)</f>
        <v>3.7</v>
      </c>
      <c r="E11" s="53">
        <f>IF('sem2'!V10="","",'sem2'!V10)</f>
        <v>4.45</v>
      </c>
      <c r="F11" s="54">
        <f>IF(OR(D11="",E11=""),"",AVERAGE(D11:E11))</f>
        <v>4.0750000000000002</v>
      </c>
      <c r="G11" s="53" t="str">
        <f>IF('sem1'!Y10="","",'sem1'!Y10)</f>
        <v/>
      </c>
      <c r="H11" s="53" t="str">
        <f>IF('sem2'!Y10="","",'sem2'!Y10)</f>
        <v/>
      </c>
      <c r="I11" s="54" t="str">
        <f>IF(OR(G11="",H11=""),"",AVERAGE(G11:H11))</f>
        <v/>
      </c>
      <c r="J11" s="53">
        <f>IF('sem1'!AD10="","",'sem1'!AD10)</f>
        <v>3.625</v>
      </c>
      <c r="K11" s="53">
        <f>IF('sem2'!AD10="","",'sem2'!AD10)</f>
        <v>4.75</v>
      </c>
      <c r="L11" s="54">
        <f>IF(OR(J11="",K11=""),"",AVERAGE(J11:K11))</f>
        <v>4.1875</v>
      </c>
      <c r="M11" s="55">
        <f>IF('sem1'!AG10="","",'sem1'!AG10)</f>
        <v>4</v>
      </c>
      <c r="N11" s="53">
        <f>IF('sem2'!AG10="","",'sem2'!AG10)</f>
        <v>4.25</v>
      </c>
      <c r="O11" s="54">
        <f>IF(OR(M11="",N11=""),"",AVERAGE(M11:N11))</f>
        <v>4.125</v>
      </c>
      <c r="P11" s="55">
        <f>IF('sem1'!AJ10="","",'sem1'!AJ10)</f>
        <v>5.25</v>
      </c>
      <c r="Q11" s="53">
        <f>IF('sem2'!AJ10="","",'sem2'!AJ10)</f>
        <v>5.5</v>
      </c>
      <c r="R11" s="54">
        <f>IF(OR(P11="",Q11=""),"",AVERAGE(P11:Q11))</f>
        <v>5.375</v>
      </c>
      <c r="S11" s="55">
        <f>IF('sem1'!AM10="","",'sem1'!AM10)</f>
        <v>3.25</v>
      </c>
      <c r="T11" s="53">
        <f>IF('sem2'!AM10="","",'sem2'!AM10)</f>
        <v>6</v>
      </c>
      <c r="U11" s="54">
        <f>IF(OR(S11="",T11=""),"",AVERAGE(S11:T11))</f>
        <v>4.625</v>
      </c>
      <c r="V11" s="55">
        <f>IF('sem1'!AP10="","",'sem1'!AP10)</f>
        <v>3.75</v>
      </c>
      <c r="W11" s="53">
        <f>IF('sem2'!AP10="","",'sem2'!AP10)</f>
        <v>4.25</v>
      </c>
      <c r="X11" s="54">
        <f>IF(OR(V11="",W11=""),"",AVERAGE(V11:W11))</f>
        <v>4</v>
      </c>
      <c r="Y11" s="55">
        <f>IF('sem1'!AS10="","",'sem1'!AS10)</f>
        <v>6</v>
      </c>
      <c r="Z11" s="53">
        <f>IF('sem2'!AS10="","",'sem2'!AS10)</f>
        <v>7</v>
      </c>
      <c r="AA11" s="54">
        <f>IF(OR(Y11="",Z11=""),"",AVERAGE(Y11:Z11))</f>
        <v>6.5</v>
      </c>
      <c r="AB11" s="55">
        <f>IF(OR(D11="",J11="",M11="",P11="",S11="",V11=""),"",AVERAGE(D11,G11,J11,M11,P11,S11,V11,Y11))</f>
        <v>4.2249999999999996</v>
      </c>
      <c r="AC11" s="55">
        <f>IF(OR(E11="",K11="",N11="",Q11="",T11="",W11=""),"",AVERAGE(E11,H11,K11,N11,Q11,T11,W11,Z11))</f>
        <v>5.1714285714285717</v>
      </c>
      <c r="AD11" s="54">
        <f>IF(OR(AB11="",AC11=""),"",AVERAGE(AB11:AC11))</f>
        <v>4.6982142857142861</v>
      </c>
      <c r="AE11" s="52">
        <f>IF(IF(AD11="","",RANK(AD11,$AD$11:$AD$60))="","",IF(AD11="","",RANK(AD11,$AD$11:$AD$60)))</f>
        <v>18</v>
      </c>
      <c r="AF11" s="52" t="str">
        <f>IF(IF(AD11="","",IF(AD11&gt;=8," تنويه ",IF(AD11&gt;=7,"تشجيع ",IF(AD11&gt;=6,"لوحة الشرف",IF(AD11&gt;=5,"متوسط",IF(AD11&gt;=4,"دون المتوسط",IF(AD11&gt;=3,"ناقص",IF(AD11&gt;=2,"تنبيه",IF(AD11&gt;=1,"إنذار","توبيخ")))))))))="","",IF(AD11="","",IF(AD11&gt;=8," تنويه ",IF(AD11&gt;=7,"تشجيع ",IF(AD11&gt;=6,"لوحة الشرف",IF(AD11&gt;=5,"متوسط",IF(AD11&gt;=4,"دون المتوسط",IF(AD11&gt;=3,"ناقص",IF(AD11&gt;=2,"تنبيه",IF(AD11&gt;=1,"إنذار","توبيخ"))))))))))</f>
        <v>دون المتوسط</v>
      </c>
      <c r="AG11" s="52" t="str">
        <f t="shared" ref="AG11:AG60" si="0">IF(AD11="","",IF(AD11&gt;=5,"ينتقل","يكرر"))</f>
        <v>يكرر</v>
      </c>
    </row>
    <row r="12" spans="1:33" ht="15" customHeight="1" x14ac:dyDescent="0.2">
      <c r="A12" s="85">
        <f>IF(info!$A17="","",info!$A17)</f>
        <v>2</v>
      </c>
      <c r="B12" s="85">
        <f>IF($A12="","",info!$F17)</f>
        <v>0</v>
      </c>
      <c r="C12" s="88" t="str">
        <f>IF($A12="","",info!$C17)</f>
        <v>محمد</v>
      </c>
      <c r="D12" s="53">
        <f>IF('sem1'!V11="","",'sem1'!V11)</f>
        <v>5.45</v>
      </c>
      <c r="E12" s="53">
        <f>IF('sem2'!V11="","",'sem2'!V11)</f>
        <v>5.875</v>
      </c>
      <c r="F12" s="54">
        <f t="shared" ref="F12:F60" si="1">IF(OR(D12="",E12=""),"",AVERAGE(D12:E12))</f>
        <v>5.6624999999999996</v>
      </c>
      <c r="G12" s="53" t="str">
        <f>IF('sem1'!Y11="","",'sem1'!Y11)</f>
        <v/>
      </c>
      <c r="H12" s="53" t="str">
        <f>IF('sem2'!Y11="","",'sem2'!Y11)</f>
        <v/>
      </c>
      <c r="I12" s="54" t="str">
        <f t="shared" ref="I12:I60" si="2">IF(OR(G12="",H12=""),"",AVERAGE(G12:H12))</f>
        <v/>
      </c>
      <c r="J12" s="53">
        <f>IF('sem1'!AD11="","",'sem1'!AD11)</f>
        <v>5.4375</v>
      </c>
      <c r="K12" s="53">
        <f>IF('sem2'!AD11="","",'sem2'!AD11)</f>
        <v>5.75</v>
      </c>
      <c r="L12" s="54">
        <f t="shared" ref="L12:L60" si="3">IF(OR(J12="",K12=""),"",AVERAGE(J12:K12))</f>
        <v>5.59375</v>
      </c>
      <c r="M12" s="55">
        <f>IF('sem1'!AG11="","",'sem1'!AG11)</f>
        <v>9.25</v>
      </c>
      <c r="N12" s="53">
        <f>IF('sem2'!AG11="","",'sem2'!AG11)</f>
        <v>3.875</v>
      </c>
      <c r="O12" s="54">
        <f t="shared" ref="O12:O60" si="4">IF(OR(M12="",N12=""),"",AVERAGE(M12:N12))</f>
        <v>6.5625</v>
      </c>
      <c r="P12" s="55">
        <f>IF('sem1'!AJ11="","",'sem1'!AJ11)</f>
        <v>6.875</v>
      </c>
      <c r="Q12" s="53">
        <f>IF('sem2'!AJ11="","",'sem2'!AJ11)</f>
        <v>4.375</v>
      </c>
      <c r="R12" s="54">
        <f t="shared" ref="R12:R60" si="5">IF(OR(P12="",Q12=""),"",AVERAGE(P12:Q12))</f>
        <v>5.625</v>
      </c>
      <c r="S12" s="55">
        <f>IF('sem1'!AM11="","",'sem1'!AM11)</f>
        <v>6.665</v>
      </c>
      <c r="T12" s="53">
        <f>IF('sem2'!AM11="","",'sem2'!AM11)</f>
        <v>5.25</v>
      </c>
      <c r="U12" s="54">
        <f t="shared" ref="U12:U60" si="6">IF(OR(S12="",T12=""),"",AVERAGE(S12:T12))</f>
        <v>5.9574999999999996</v>
      </c>
      <c r="V12" s="55">
        <f>IF('sem1'!AP11="","",'sem1'!AP11)</f>
        <v>5.625</v>
      </c>
      <c r="W12" s="53">
        <f>IF('sem2'!AP11="","",'sem2'!AP11)</f>
        <v>5.125</v>
      </c>
      <c r="X12" s="54">
        <f t="shared" ref="X12:X60" si="7">IF(OR(V12="",W12=""),"",AVERAGE(V12:W12))</f>
        <v>5.375</v>
      </c>
      <c r="Y12" s="55">
        <f>IF('sem1'!AS11="","",'sem1'!AS11)</f>
        <v>6.125</v>
      </c>
      <c r="Z12" s="53">
        <f>IF('sem2'!AS11="","",'sem2'!AS11)</f>
        <v>6.25</v>
      </c>
      <c r="AA12" s="54">
        <f t="shared" ref="AA12:AA60" si="8">IF(OR(Y12="",Z12=""),"",AVERAGE(Y12:Z12))</f>
        <v>6.1875</v>
      </c>
      <c r="AB12" s="55">
        <f t="shared" ref="AB12:AB60" si="9">IF(OR(D12="",J12="",M12="",P12="",S12="",V12=""),"",AVERAGE(D12,G12,J12,M12,P12,S12,V12,Y12))</f>
        <v>6.489642857142857</v>
      </c>
      <c r="AC12" s="55">
        <f t="shared" ref="AC12:AC60" si="10">IF(OR(E12="",K12="",N12="",Q12="",T12="",W12=""),"",AVERAGE(E12,H12,K12,N12,Q12,T12,W12,Z12))</f>
        <v>5.2142857142857144</v>
      </c>
      <c r="AD12" s="54">
        <f t="shared" ref="AD12:AD60" si="11">IF(OR(AB12="",AC12=""),"",AVERAGE(AB12:AC12))</f>
        <v>5.8519642857142857</v>
      </c>
      <c r="AE12" s="52">
        <f t="shared" ref="AE12:AE60" si="12">IF(IF(AD12="","",RANK(AD12,$AD$11:$AD$60))="","",IF(AD12="","",RANK(AD12,$AD$11:$AD$60)))</f>
        <v>9</v>
      </c>
      <c r="AF12" s="52" t="str">
        <f t="shared" ref="AF12:AF60" si="13">IF(IF(AD12="","",IF(AD12&gt;=8," تنويه ",IF(AD12&gt;=7,"تشجيع ",IF(AD12&gt;=6,"لوحة الشرف",IF(AD12&gt;=5,"متوسط",IF(AD12&gt;=4,"دون المتوسط",IF(AD12&gt;=3,"ناقص",IF(AD12&gt;=2,"تنبيه",IF(AD12&gt;=1,"إنذار","توبيخ")))))))))="","",IF(AD12="","",IF(AD12&gt;=8," تنويه ",IF(AD12&gt;=7,"تشجيع ",IF(AD12&gt;=6,"لوحة الشرف",IF(AD12&gt;=5,"متوسط",IF(AD12&gt;=4,"دون المتوسط",IF(AD12&gt;=3,"ناقص",IF(AD12&gt;=2,"تنبيه",IF(AD12&gt;=1,"إنذار","توبيخ"))))))))))</f>
        <v>متوسط</v>
      </c>
      <c r="AG12" s="52" t="str">
        <f t="shared" si="0"/>
        <v>ينتقل</v>
      </c>
    </row>
    <row r="13" spans="1:33" ht="15" customHeight="1" x14ac:dyDescent="0.2">
      <c r="A13" s="85">
        <f>IF(info!$A18="","",info!$A18)</f>
        <v>3</v>
      </c>
      <c r="B13" s="85">
        <f>IF($A13="","",info!$F18)</f>
        <v>0</v>
      </c>
      <c r="C13" s="88" t="str">
        <f>IF($A13="","",info!$C18)</f>
        <v>سلمى</v>
      </c>
      <c r="D13" s="53">
        <f>IF('sem1'!V12="","",'sem1'!V12)</f>
        <v>4.75</v>
      </c>
      <c r="E13" s="53">
        <f>IF('sem2'!V12="","",'sem2'!V12)</f>
        <v>4.5999999999999996</v>
      </c>
      <c r="F13" s="54">
        <f t="shared" si="1"/>
        <v>4.6749999999999998</v>
      </c>
      <c r="G13" s="53" t="str">
        <f>IF('sem1'!Y12="","",'sem1'!Y12)</f>
        <v/>
      </c>
      <c r="H13" s="53" t="str">
        <f>IF('sem2'!Y12="","",'sem2'!Y12)</f>
        <v/>
      </c>
      <c r="I13" s="54" t="str">
        <f t="shared" si="2"/>
        <v/>
      </c>
      <c r="J13" s="53">
        <f>IF('sem1'!AD12="","",'sem1'!AD12)</f>
        <v>4.375</v>
      </c>
      <c r="K13" s="53">
        <f>IF('sem2'!AD12="","",'sem2'!AD12)</f>
        <v>5.375</v>
      </c>
      <c r="L13" s="54">
        <f t="shared" si="3"/>
        <v>4.875</v>
      </c>
      <c r="M13" s="55">
        <f>IF('sem1'!AG12="","",'sem1'!AG12)</f>
        <v>5.83</v>
      </c>
      <c r="N13" s="53">
        <f>IF('sem2'!AG12="","",'sem2'!AG12)</f>
        <v>4.375</v>
      </c>
      <c r="O13" s="54">
        <f t="shared" si="4"/>
        <v>5.1025</v>
      </c>
      <c r="P13" s="55">
        <f>IF('sem1'!AJ12="","",'sem1'!AJ12)</f>
        <v>7.25</v>
      </c>
      <c r="Q13" s="53">
        <f>IF('sem2'!AJ12="","",'sem2'!AJ12)</f>
        <v>4.625</v>
      </c>
      <c r="R13" s="54">
        <f t="shared" si="5"/>
        <v>5.9375</v>
      </c>
      <c r="S13" s="55">
        <f>IF('sem1'!AM12="","",'sem1'!AM12)</f>
        <v>5.25</v>
      </c>
      <c r="T13" s="53">
        <f>IF('sem2'!AM12="","",'sem2'!AM12)</f>
        <v>4.75</v>
      </c>
      <c r="U13" s="54">
        <f t="shared" si="6"/>
        <v>5</v>
      </c>
      <c r="V13" s="55">
        <f>IF('sem1'!AP12="","",'sem1'!AP12)</f>
        <v>4.5</v>
      </c>
      <c r="W13" s="53">
        <f>IF('sem2'!AP12="","",'sem2'!AP12)</f>
        <v>4.875</v>
      </c>
      <c r="X13" s="54">
        <f t="shared" si="7"/>
        <v>4.6875</v>
      </c>
      <c r="Y13" s="55">
        <f>IF('sem1'!AS12="","",'sem1'!AS12)</f>
        <v>6.375</v>
      </c>
      <c r="Z13" s="53">
        <f>IF('sem2'!AS12="","",'sem2'!AS12)</f>
        <v>6.25</v>
      </c>
      <c r="AA13" s="54">
        <f t="shared" si="8"/>
        <v>6.3125</v>
      </c>
      <c r="AB13" s="55">
        <f t="shared" si="9"/>
        <v>5.4757142857142851</v>
      </c>
      <c r="AC13" s="55">
        <f t="shared" si="10"/>
        <v>4.9785714285714286</v>
      </c>
      <c r="AD13" s="54">
        <f t="shared" si="11"/>
        <v>5.2271428571428569</v>
      </c>
      <c r="AE13" s="52">
        <f t="shared" si="12"/>
        <v>13</v>
      </c>
      <c r="AF13" s="52" t="str">
        <f t="shared" si="13"/>
        <v>متوسط</v>
      </c>
      <c r="AG13" s="52" t="str">
        <f t="shared" si="0"/>
        <v>ينتقل</v>
      </c>
    </row>
    <row r="14" spans="1:33" ht="15" customHeight="1" x14ac:dyDescent="0.2">
      <c r="A14" s="85">
        <f>IF(info!$A19="","",info!$A19)</f>
        <v>4</v>
      </c>
      <c r="B14" s="85">
        <f>IF($A14="","",info!$F19)</f>
        <v>0</v>
      </c>
      <c r="C14" s="88" t="str">
        <f>IF($A14="","",info!$C19)</f>
        <v>شعيب</v>
      </c>
      <c r="D14" s="53">
        <f>IF('sem1'!V13="","",'sem1'!V13)</f>
        <v>6.5750000000000002</v>
      </c>
      <c r="E14" s="53">
        <f>IF('sem2'!V13="","",'sem2'!V13)</f>
        <v>6.55</v>
      </c>
      <c r="F14" s="54">
        <f t="shared" si="1"/>
        <v>6.5625</v>
      </c>
      <c r="G14" s="53" t="str">
        <f>IF('sem1'!Y13="","",'sem1'!Y13)</f>
        <v/>
      </c>
      <c r="H14" s="53" t="str">
        <f>IF('sem2'!Y13="","",'sem2'!Y13)</f>
        <v/>
      </c>
      <c r="I14" s="54" t="str">
        <f t="shared" si="2"/>
        <v/>
      </c>
      <c r="J14" s="53">
        <f>IF('sem1'!AD13="","",'sem1'!AD13)</f>
        <v>7.21875</v>
      </c>
      <c r="K14" s="53">
        <f>IF('sem2'!AD13="","",'sem2'!AD13)</f>
        <v>6.5625</v>
      </c>
      <c r="L14" s="54">
        <f t="shared" si="3"/>
        <v>6.890625</v>
      </c>
      <c r="M14" s="55">
        <f>IF('sem1'!AG13="","",'sem1'!AG13)</f>
        <v>7.75</v>
      </c>
      <c r="N14" s="53">
        <f>IF('sem2'!AG13="","",'sem2'!AG13)</f>
        <v>8.5</v>
      </c>
      <c r="O14" s="54">
        <f t="shared" si="4"/>
        <v>8.125</v>
      </c>
      <c r="P14" s="55">
        <f>IF('sem1'!AJ13="","",'sem1'!AJ13)</f>
        <v>8.25</v>
      </c>
      <c r="Q14" s="53">
        <f>IF('sem2'!AJ13="","",'sem2'!AJ13)</f>
        <v>7.5</v>
      </c>
      <c r="R14" s="54">
        <f t="shared" si="5"/>
        <v>7.875</v>
      </c>
      <c r="S14" s="55">
        <f>IF('sem1'!AM13="","",'sem1'!AM13)</f>
        <v>9.1649999999999991</v>
      </c>
      <c r="T14" s="53">
        <f>IF('sem2'!AM13="","",'sem2'!AM13)</f>
        <v>9.125</v>
      </c>
      <c r="U14" s="54">
        <f t="shared" si="6"/>
        <v>9.1449999999999996</v>
      </c>
      <c r="V14" s="55">
        <f>IF('sem1'!AP13="","",'sem1'!AP13)</f>
        <v>6.5625</v>
      </c>
      <c r="W14" s="53">
        <f>IF('sem2'!AP13="","",'sem2'!AP13)</f>
        <v>8</v>
      </c>
      <c r="X14" s="54">
        <f t="shared" si="7"/>
        <v>7.28125</v>
      </c>
      <c r="Y14" s="55">
        <f>IF('sem1'!AS13="","",'sem1'!AS13)</f>
        <v>6.5</v>
      </c>
      <c r="Z14" s="53">
        <f>IF('sem2'!AS13="","",'sem2'!AS13)</f>
        <v>6.625</v>
      </c>
      <c r="AA14" s="54">
        <f t="shared" si="8"/>
        <v>6.5625</v>
      </c>
      <c r="AB14" s="55">
        <f t="shared" si="9"/>
        <v>7.4316071428571417</v>
      </c>
      <c r="AC14" s="55">
        <f t="shared" si="10"/>
        <v>7.5517857142857139</v>
      </c>
      <c r="AD14" s="54">
        <f t="shared" si="11"/>
        <v>7.4916964285714283</v>
      </c>
      <c r="AE14" s="52">
        <f t="shared" si="12"/>
        <v>3</v>
      </c>
      <c r="AF14" s="52" t="str">
        <f t="shared" si="13"/>
        <v xml:space="preserve">تشجيع </v>
      </c>
      <c r="AG14" s="52" t="str">
        <f t="shared" si="0"/>
        <v>ينتقل</v>
      </c>
    </row>
    <row r="15" spans="1:33" ht="15" customHeight="1" x14ac:dyDescent="0.2">
      <c r="A15" s="85">
        <f>IF(info!$A20="","",info!$A20)</f>
        <v>5</v>
      </c>
      <c r="B15" s="85">
        <f>IF($A15="","",info!$F20)</f>
        <v>0</v>
      </c>
      <c r="C15" s="88" t="str">
        <f>IF($A15="","",info!$C20)</f>
        <v>ميلود</v>
      </c>
      <c r="D15" s="53">
        <f>IF('sem1'!V14="","",'sem1'!V14)</f>
        <v>5.05</v>
      </c>
      <c r="E15" s="53">
        <f>IF('sem2'!V14="","",'sem2'!V14)</f>
        <v>5.3250000000000002</v>
      </c>
      <c r="F15" s="54">
        <f t="shared" si="1"/>
        <v>5.1875</v>
      </c>
      <c r="G15" s="53" t="str">
        <f>IF('sem1'!Y14="","",'sem1'!Y14)</f>
        <v/>
      </c>
      <c r="H15" s="53" t="str">
        <f>IF('sem2'!Y14="","",'sem2'!Y14)</f>
        <v/>
      </c>
      <c r="I15" s="54" t="str">
        <f t="shared" si="2"/>
        <v/>
      </c>
      <c r="J15" s="53">
        <f>IF('sem1'!AD14="","",'sem1'!AD14)</f>
        <v>5.15625</v>
      </c>
      <c r="K15" s="53">
        <f>IF('sem2'!AD14="","",'sem2'!AD14)</f>
        <v>4.625</v>
      </c>
      <c r="L15" s="54">
        <f t="shared" si="3"/>
        <v>4.890625</v>
      </c>
      <c r="M15" s="55">
        <f>IF('sem1'!AG14="","",'sem1'!AG14)</f>
        <v>8</v>
      </c>
      <c r="N15" s="53">
        <f>IF('sem2'!AG14="","",'sem2'!AG14)</f>
        <v>3.25</v>
      </c>
      <c r="O15" s="54">
        <f t="shared" si="4"/>
        <v>5.625</v>
      </c>
      <c r="P15" s="55">
        <f>IF('sem1'!AJ14="","",'sem1'!AJ14)</f>
        <v>6.5</v>
      </c>
      <c r="Q15" s="53">
        <f>IF('sem2'!AJ14="","",'sem2'!AJ14)</f>
        <v>4.5</v>
      </c>
      <c r="R15" s="54">
        <f t="shared" si="5"/>
        <v>5.5</v>
      </c>
      <c r="S15" s="55">
        <f>IF('sem1'!AM14="","",'sem1'!AM14)</f>
        <v>5.4550000000000001</v>
      </c>
      <c r="T15" s="53">
        <f>IF('sem2'!AM14="","",'sem2'!AM14)</f>
        <v>4.5</v>
      </c>
      <c r="U15" s="54">
        <f t="shared" si="6"/>
        <v>4.9775</v>
      </c>
      <c r="V15" s="55">
        <f>IF('sem1'!AP14="","",'sem1'!AP14)</f>
        <v>4.4375</v>
      </c>
      <c r="W15" s="53">
        <f>IF('sem2'!AP14="","",'sem2'!AP14)</f>
        <v>4.625</v>
      </c>
      <c r="X15" s="54">
        <f t="shared" si="7"/>
        <v>4.53125</v>
      </c>
      <c r="Y15" s="55">
        <f>IF('sem1'!AS14="","",'sem1'!AS14)</f>
        <v>6.125</v>
      </c>
      <c r="Z15" s="53">
        <f>IF('sem2'!AS14="","",'sem2'!AS14)</f>
        <v>6.75</v>
      </c>
      <c r="AA15" s="54">
        <f t="shared" si="8"/>
        <v>6.4375</v>
      </c>
      <c r="AB15" s="55">
        <f t="shared" si="9"/>
        <v>5.8176785714285719</v>
      </c>
      <c r="AC15" s="55">
        <f t="shared" si="10"/>
        <v>4.7964285714285717</v>
      </c>
      <c r="AD15" s="54">
        <f t="shared" si="11"/>
        <v>5.3070535714285718</v>
      </c>
      <c r="AE15" s="52">
        <f t="shared" si="12"/>
        <v>11</v>
      </c>
      <c r="AF15" s="52" t="str">
        <f t="shared" si="13"/>
        <v>متوسط</v>
      </c>
      <c r="AG15" s="52" t="str">
        <f t="shared" si="0"/>
        <v>ينتقل</v>
      </c>
    </row>
    <row r="16" spans="1:33" ht="15" customHeight="1" x14ac:dyDescent="0.2">
      <c r="A16" s="85">
        <f>IF(info!$A21="","",info!$A21)</f>
        <v>6</v>
      </c>
      <c r="B16" s="85">
        <f>IF($A16="","",info!$F21)</f>
        <v>0</v>
      </c>
      <c r="C16" s="88" t="str">
        <f>IF($A16="","",info!$C21)</f>
        <v>فاطمة</v>
      </c>
      <c r="D16" s="53">
        <f>IF('sem1'!V15="","",'sem1'!V15)</f>
        <v>3.05</v>
      </c>
      <c r="E16" s="53">
        <f>IF('sem2'!V15="","",'sem2'!V15)</f>
        <v>2.5499999999999998</v>
      </c>
      <c r="F16" s="54">
        <f t="shared" si="1"/>
        <v>2.8</v>
      </c>
      <c r="G16" s="53" t="str">
        <f>IF('sem1'!Y15="","",'sem1'!Y15)</f>
        <v/>
      </c>
      <c r="H16" s="53" t="str">
        <f>IF('sem2'!Y15="","",'sem2'!Y15)</f>
        <v/>
      </c>
      <c r="I16" s="54" t="str">
        <f t="shared" si="2"/>
        <v/>
      </c>
      <c r="J16" s="53">
        <f>IF('sem1'!AD15="","",'sem1'!AD15)</f>
        <v>3.25</v>
      </c>
      <c r="K16" s="53">
        <f>IF('sem2'!AD15="","",'sem2'!AD15)</f>
        <v>2.5</v>
      </c>
      <c r="L16" s="54">
        <f t="shared" si="3"/>
        <v>2.875</v>
      </c>
      <c r="M16" s="55">
        <f>IF('sem1'!AG15="","",'sem1'!AG15)</f>
        <v>4.5</v>
      </c>
      <c r="N16" s="53">
        <f>IF('sem2'!AG15="","",'sem2'!AG15)</f>
        <v>1.5</v>
      </c>
      <c r="O16" s="54">
        <f t="shared" si="4"/>
        <v>3</v>
      </c>
      <c r="P16" s="55">
        <f>IF('sem1'!AJ15="","",'sem1'!AJ15)</f>
        <v>5.625</v>
      </c>
      <c r="Q16" s="53">
        <f>IF('sem2'!AJ15="","",'sem2'!AJ15)</f>
        <v>2</v>
      </c>
      <c r="R16" s="54">
        <f t="shared" si="5"/>
        <v>3.8125</v>
      </c>
      <c r="S16" s="55">
        <f>IF('sem1'!AM15="","",'sem1'!AM15)</f>
        <v>3.54</v>
      </c>
      <c r="T16" s="53">
        <f>IF('sem2'!AM15="","",'sem2'!AM15)</f>
        <v>1</v>
      </c>
      <c r="U16" s="54">
        <f t="shared" si="6"/>
        <v>2.27</v>
      </c>
      <c r="V16" s="55">
        <f>IF('sem1'!AP15="","",'sem1'!AP15)</f>
        <v>2.5</v>
      </c>
      <c r="W16" s="53">
        <f>IF('sem2'!AP15="","",'sem2'!AP15)</f>
        <v>2</v>
      </c>
      <c r="X16" s="54">
        <f t="shared" si="7"/>
        <v>2.25</v>
      </c>
      <c r="Y16" s="55">
        <f>IF('sem1'!AS15="","",'sem1'!AS15)</f>
        <v>5.5</v>
      </c>
      <c r="Z16" s="53">
        <f>IF('sem2'!AS15="","",'sem2'!AS15)</f>
        <v>5</v>
      </c>
      <c r="AA16" s="54">
        <f t="shared" si="8"/>
        <v>5.25</v>
      </c>
      <c r="AB16" s="55">
        <f t="shared" si="9"/>
        <v>3.9950000000000001</v>
      </c>
      <c r="AC16" s="55">
        <f t="shared" si="10"/>
        <v>2.3642857142857143</v>
      </c>
      <c r="AD16" s="54">
        <f t="shared" si="11"/>
        <v>3.1796428571428574</v>
      </c>
      <c r="AE16" s="52">
        <f t="shared" si="12"/>
        <v>24</v>
      </c>
      <c r="AF16" s="52" t="str">
        <f t="shared" si="13"/>
        <v>ناقص</v>
      </c>
      <c r="AG16" s="52" t="str">
        <f t="shared" si="0"/>
        <v>يكرر</v>
      </c>
    </row>
    <row r="17" spans="1:33" ht="15" customHeight="1" x14ac:dyDescent="0.2">
      <c r="A17" s="85">
        <f>IF(info!$A22="","",info!$A22)</f>
        <v>7</v>
      </c>
      <c r="B17" s="85">
        <f>IF($A17="","",info!$F22)</f>
        <v>0</v>
      </c>
      <c r="C17" s="88" t="str">
        <f>IF($A17="","",info!$C22)</f>
        <v>مصطفى</v>
      </c>
      <c r="D17" s="53">
        <f>IF('sem1'!V16="","",'sem1'!V16)</f>
        <v>4</v>
      </c>
      <c r="E17" s="53">
        <f>IF('sem2'!V16="","",'sem2'!V16)</f>
        <v>4.4000000000000004</v>
      </c>
      <c r="F17" s="54">
        <f t="shared" si="1"/>
        <v>4.2</v>
      </c>
      <c r="G17" s="53" t="str">
        <f>IF('sem1'!Y16="","",'sem1'!Y16)</f>
        <v/>
      </c>
      <c r="H17" s="53" t="str">
        <f>IF('sem2'!Y16="","",'sem2'!Y16)</f>
        <v/>
      </c>
      <c r="I17" s="54" t="str">
        <f t="shared" si="2"/>
        <v/>
      </c>
      <c r="J17" s="53">
        <f>IF('sem1'!AD16="","",'sem1'!AD16)</f>
        <v>3.25</v>
      </c>
      <c r="K17" s="53">
        <f>IF('sem2'!AD16="","",'sem2'!AD16)</f>
        <v>4.125</v>
      </c>
      <c r="L17" s="54">
        <f t="shared" si="3"/>
        <v>3.6875</v>
      </c>
      <c r="M17" s="55">
        <f>IF('sem1'!AG16="","",'sem1'!AG16)</f>
        <v>6.58</v>
      </c>
      <c r="N17" s="53">
        <f>IF('sem2'!AG16="","",'sem2'!AG16)</f>
        <v>7</v>
      </c>
      <c r="O17" s="54">
        <f t="shared" si="4"/>
        <v>6.79</v>
      </c>
      <c r="P17" s="55">
        <f>IF('sem1'!AJ16="","",'sem1'!AJ16)</f>
        <v>6</v>
      </c>
      <c r="Q17" s="53">
        <f>IF('sem2'!AJ16="","",'sem2'!AJ16)</f>
        <v>6</v>
      </c>
      <c r="R17" s="54">
        <f t="shared" si="5"/>
        <v>6</v>
      </c>
      <c r="S17" s="55">
        <f>IF('sem1'!AM16="","",'sem1'!AM16)</f>
        <v>5</v>
      </c>
      <c r="T17" s="53">
        <f>IF('sem2'!AM16="","",'sem2'!AM16)</f>
        <v>5.875</v>
      </c>
      <c r="U17" s="54">
        <f t="shared" si="6"/>
        <v>5.4375</v>
      </c>
      <c r="V17" s="55">
        <f>IF('sem1'!AP16="","",'sem1'!AP16)</f>
        <v>3</v>
      </c>
      <c r="W17" s="53">
        <f>IF('sem2'!AP16="","",'sem2'!AP16)</f>
        <v>5.5</v>
      </c>
      <c r="X17" s="54">
        <f t="shared" si="7"/>
        <v>4.25</v>
      </c>
      <c r="Y17" s="55">
        <f>IF('sem1'!AS16="","",'sem1'!AS16)</f>
        <v>5.5</v>
      </c>
      <c r="Z17" s="53">
        <f>IF('sem2'!AS16="","",'sem2'!AS16)</f>
        <v>6.5</v>
      </c>
      <c r="AA17" s="54">
        <f t="shared" si="8"/>
        <v>6</v>
      </c>
      <c r="AB17" s="55">
        <f t="shared" si="9"/>
        <v>4.7614285714285716</v>
      </c>
      <c r="AC17" s="55">
        <f t="shared" si="10"/>
        <v>5.6285714285714281</v>
      </c>
      <c r="AD17" s="54">
        <f t="shared" si="11"/>
        <v>5.1950000000000003</v>
      </c>
      <c r="AE17" s="52">
        <f t="shared" si="12"/>
        <v>16</v>
      </c>
      <c r="AF17" s="52" t="str">
        <f t="shared" si="13"/>
        <v>متوسط</v>
      </c>
      <c r="AG17" s="52" t="str">
        <f t="shared" si="0"/>
        <v>ينتقل</v>
      </c>
    </row>
    <row r="18" spans="1:33" ht="15" customHeight="1" x14ac:dyDescent="0.2">
      <c r="A18" s="85">
        <f>IF(info!$A23="","",info!$A23)</f>
        <v>8</v>
      </c>
      <c r="B18" s="85">
        <f>IF($A18="","",info!$F23)</f>
        <v>0</v>
      </c>
      <c r="C18" s="88" t="str">
        <f>IF($A18="","",info!$C23)</f>
        <v>فريد</v>
      </c>
      <c r="D18" s="53">
        <f>IF('sem1'!V17="","",'sem1'!V17)</f>
        <v>5.7249999999999996</v>
      </c>
      <c r="E18" s="53">
        <f>IF('sem2'!V17="","",'sem2'!V17)</f>
        <v>6.9749999999999996</v>
      </c>
      <c r="F18" s="54">
        <f t="shared" si="1"/>
        <v>6.35</v>
      </c>
      <c r="G18" s="53" t="str">
        <f>IF('sem1'!Y17="","",'sem1'!Y17)</f>
        <v/>
      </c>
      <c r="H18" s="53" t="str">
        <f>IF('sem2'!Y17="","",'sem2'!Y17)</f>
        <v/>
      </c>
      <c r="I18" s="54" t="str">
        <f t="shared" si="2"/>
        <v/>
      </c>
      <c r="J18" s="53">
        <f>IF('sem1'!AD17="","",'sem1'!AD17)</f>
        <v>5.1875</v>
      </c>
      <c r="K18" s="53">
        <f>IF('sem2'!AD17="","",'sem2'!AD17)</f>
        <v>6.71875</v>
      </c>
      <c r="L18" s="54">
        <f t="shared" si="3"/>
        <v>5.953125</v>
      </c>
      <c r="M18" s="55">
        <f>IF('sem1'!AG17="","",'sem1'!AG17)</f>
        <v>9.6649999999999991</v>
      </c>
      <c r="N18" s="53">
        <f>IF('sem2'!AG17="","",'sem2'!AG17)</f>
        <v>8.375</v>
      </c>
      <c r="O18" s="54">
        <f t="shared" si="4"/>
        <v>9.02</v>
      </c>
      <c r="P18" s="55">
        <f>IF('sem1'!AJ17="","",'sem1'!AJ17)</f>
        <v>8.125</v>
      </c>
      <c r="Q18" s="53">
        <f>IF('sem2'!AJ17="","",'sem2'!AJ17)</f>
        <v>7.75</v>
      </c>
      <c r="R18" s="54">
        <f t="shared" si="5"/>
        <v>7.9375</v>
      </c>
      <c r="S18" s="55">
        <f>IF('sem1'!AM17="","",'sem1'!AM17)</f>
        <v>8.2050000000000001</v>
      </c>
      <c r="T18" s="53">
        <f>IF('sem2'!AM17="","",'sem2'!AM17)</f>
        <v>9.6900000000000013</v>
      </c>
      <c r="U18" s="54">
        <f t="shared" si="6"/>
        <v>8.9475000000000016</v>
      </c>
      <c r="V18" s="55">
        <f>IF('sem1'!AP17="","",'sem1'!AP17)</f>
        <v>4.875</v>
      </c>
      <c r="W18" s="53">
        <f>IF('sem2'!AP17="","",'sem2'!AP17)</f>
        <v>8.125</v>
      </c>
      <c r="X18" s="54">
        <f t="shared" si="7"/>
        <v>6.5</v>
      </c>
      <c r="Y18" s="55">
        <f>IF('sem1'!AS17="","",'sem1'!AS17)</f>
        <v>6.5</v>
      </c>
      <c r="Z18" s="53">
        <f>IF('sem2'!AS17="","",'sem2'!AS17)</f>
        <v>7</v>
      </c>
      <c r="AA18" s="54">
        <f t="shared" si="8"/>
        <v>6.75</v>
      </c>
      <c r="AB18" s="55">
        <f t="shared" si="9"/>
        <v>6.8975</v>
      </c>
      <c r="AC18" s="55">
        <f t="shared" si="10"/>
        <v>7.8048214285714295</v>
      </c>
      <c r="AD18" s="54">
        <f t="shared" si="11"/>
        <v>7.3511607142857152</v>
      </c>
      <c r="AE18" s="52">
        <f t="shared" si="12"/>
        <v>4</v>
      </c>
      <c r="AF18" s="52" t="str">
        <f t="shared" si="13"/>
        <v xml:space="preserve">تشجيع </v>
      </c>
      <c r="AG18" s="52" t="str">
        <f t="shared" si="0"/>
        <v>ينتقل</v>
      </c>
    </row>
    <row r="19" spans="1:33" ht="15" customHeight="1" x14ac:dyDescent="0.2">
      <c r="A19" s="85">
        <f>IF(info!$A24="","",info!$A24)</f>
        <v>9</v>
      </c>
      <c r="B19" s="85">
        <f>IF($A19="","",info!$F24)</f>
        <v>0</v>
      </c>
      <c r="C19" s="88" t="str">
        <f>IF($A19="","",info!$C24)</f>
        <v>كمال</v>
      </c>
      <c r="D19" s="53">
        <f>IF('sem1'!V18="","",'sem1'!V18)</f>
        <v>6.65</v>
      </c>
      <c r="E19" s="53">
        <f>IF('sem2'!V18="","",'sem2'!V18)</f>
        <v>7.0750000000000002</v>
      </c>
      <c r="F19" s="54">
        <f t="shared" si="1"/>
        <v>6.8625000000000007</v>
      </c>
      <c r="G19" s="53" t="str">
        <f>IF('sem1'!Y18="","",'sem1'!Y18)</f>
        <v/>
      </c>
      <c r="H19" s="53" t="str">
        <f>IF('sem2'!Y18="","",'sem2'!Y18)</f>
        <v/>
      </c>
      <c r="I19" s="54" t="str">
        <f t="shared" si="2"/>
        <v/>
      </c>
      <c r="J19" s="53">
        <f>IF('sem1'!AD18="","",'sem1'!AD18)</f>
        <v>7.75</v>
      </c>
      <c r="K19" s="53">
        <f>IF('sem2'!AD18="","",'sem2'!AD18)</f>
        <v>7.25</v>
      </c>
      <c r="L19" s="54">
        <f t="shared" si="3"/>
        <v>7.5</v>
      </c>
      <c r="M19" s="55">
        <f>IF('sem1'!AG18="","",'sem1'!AG18)</f>
        <v>9.33</v>
      </c>
      <c r="N19" s="53">
        <f>IF('sem2'!AG18="","",'sem2'!AG18)</f>
        <v>8.625</v>
      </c>
      <c r="O19" s="54">
        <f t="shared" si="4"/>
        <v>8.9774999999999991</v>
      </c>
      <c r="P19" s="55">
        <f>IF('sem1'!AJ18="","",'sem1'!AJ18)</f>
        <v>8.375</v>
      </c>
      <c r="Q19" s="53">
        <f>IF('sem2'!AJ18="","",'sem2'!AJ18)</f>
        <v>7.125</v>
      </c>
      <c r="R19" s="54">
        <f t="shared" si="5"/>
        <v>7.75</v>
      </c>
      <c r="S19" s="55">
        <f>IF('sem1'!AM18="","",'sem1'!AM18)</f>
        <v>8.125</v>
      </c>
      <c r="T19" s="53">
        <f>IF('sem2'!AM18="","",'sem2'!AM18)</f>
        <v>9.125</v>
      </c>
      <c r="U19" s="54">
        <f t="shared" si="6"/>
        <v>8.625</v>
      </c>
      <c r="V19" s="55">
        <f>IF('sem1'!AP18="","",'sem1'!AP18)</f>
        <v>6.75</v>
      </c>
      <c r="W19" s="53">
        <f>IF('sem2'!AP18="","",'sem2'!AP18)</f>
        <v>7.125</v>
      </c>
      <c r="X19" s="54">
        <f t="shared" si="7"/>
        <v>6.9375</v>
      </c>
      <c r="Y19" s="55">
        <f>IF('sem1'!AS18="","",'sem1'!AS18)</f>
        <v>6.25</v>
      </c>
      <c r="Z19" s="53">
        <f>IF('sem2'!AS18="","",'sem2'!AS18)</f>
        <v>7</v>
      </c>
      <c r="AA19" s="54">
        <f t="shared" si="8"/>
        <v>6.625</v>
      </c>
      <c r="AB19" s="55">
        <f t="shared" si="9"/>
        <v>7.604285714285715</v>
      </c>
      <c r="AC19" s="55">
        <f t="shared" si="10"/>
        <v>7.6178571428571429</v>
      </c>
      <c r="AD19" s="54">
        <f t="shared" si="11"/>
        <v>7.6110714285714289</v>
      </c>
      <c r="AE19" s="52">
        <f t="shared" si="12"/>
        <v>2</v>
      </c>
      <c r="AF19" s="52" t="str">
        <f t="shared" si="13"/>
        <v xml:space="preserve">تشجيع </v>
      </c>
      <c r="AG19" s="52" t="str">
        <f t="shared" si="0"/>
        <v>ينتقل</v>
      </c>
    </row>
    <row r="20" spans="1:33" ht="15" customHeight="1" x14ac:dyDescent="0.2">
      <c r="A20" s="85">
        <f>IF(info!$A25="","",info!$A25)</f>
        <v>10</v>
      </c>
      <c r="B20" s="85">
        <f>IF($A20="","",info!$F25)</f>
        <v>0</v>
      </c>
      <c r="C20" s="88" t="str">
        <f>IF($A20="","",info!$C25)</f>
        <v>لبنى</v>
      </c>
      <c r="D20" s="53">
        <f>IF('sem1'!V19="","",'sem1'!V19)</f>
        <v>4.2</v>
      </c>
      <c r="E20" s="53">
        <f>IF('sem2'!V19="","",'sem2'!V19)</f>
        <v>3.75</v>
      </c>
      <c r="F20" s="54">
        <f t="shared" si="1"/>
        <v>3.9750000000000001</v>
      </c>
      <c r="G20" s="53" t="str">
        <f>IF('sem1'!Y19="","",'sem1'!Y19)</f>
        <v/>
      </c>
      <c r="H20" s="53" t="str">
        <f>IF('sem2'!Y19="","",'sem2'!Y19)</f>
        <v/>
      </c>
      <c r="I20" s="54" t="str">
        <f t="shared" si="2"/>
        <v/>
      </c>
      <c r="J20" s="53">
        <f>IF('sem1'!AD19="","",'sem1'!AD19)</f>
        <v>3.875</v>
      </c>
      <c r="K20" s="53">
        <f>IF('sem2'!AD19="","",'sem2'!AD19)</f>
        <v>3.4375</v>
      </c>
      <c r="L20" s="54">
        <f t="shared" si="3"/>
        <v>3.65625</v>
      </c>
      <c r="M20" s="55">
        <f>IF('sem1'!AG19="","",'sem1'!AG19)</f>
        <v>5.5</v>
      </c>
      <c r="N20" s="53">
        <f>IF('sem2'!AG19="","",'sem2'!AG19)</f>
        <v>3.375</v>
      </c>
      <c r="O20" s="54">
        <f t="shared" si="4"/>
        <v>4.4375</v>
      </c>
      <c r="P20" s="55">
        <f>IF('sem1'!AJ19="","",'sem1'!AJ19)</f>
        <v>6</v>
      </c>
      <c r="Q20" s="53">
        <f>IF('sem2'!AJ19="","",'sem2'!AJ19)</f>
        <v>2.5</v>
      </c>
      <c r="R20" s="54">
        <f t="shared" si="5"/>
        <v>4.25</v>
      </c>
      <c r="S20" s="55">
        <f>IF('sem1'!AM19="","",'sem1'!AM19)</f>
        <v>2.875</v>
      </c>
      <c r="T20" s="53">
        <f>IF('sem2'!AM19="","",'sem2'!AM19)</f>
        <v>3.25</v>
      </c>
      <c r="U20" s="54">
        <f t="shared" si="6"/>
        <v>3.0625</v>
      </c>
      <c r="V20" s="55">
        <f>IF('sem1'!AP19="","",'sem1'!AP19)</f>
        <v>3.75</v>
      </c>
      <c r="W20" s="53">
        <f>IF('sem2'!AP19="","",'sem2'!AP19)</f>
        <v>2.5</v>
      </c>
      <c r="X20" s="54">
        <f t="shared" si="7"/>
        <v>3.125</v>
      </c>
      <c r="Y20" s="55">
        <f>IF('sem1'!AS19="","",'sem1'!AS19)</f>
        <v>5.75</v>
      </c>
      <c r="Z20" s="53">
        <f>IF('sem2'!AS19="","",'sem2'!AS19)</f>
        <v>5</v>
      </c>
      <c r="AA20" s="54">
        <f t="shared" si="8"/>
        <v>5.375</v>
      </c>
      <c r="AB20" s="55">
        <f t="shared" si="9"/>
        <v>4.5642857142857141</v>
      </c>
      <c r="AC20" s="55">
        <f t="shared" si="10"/>
        <v>3.4017857142857144</v>
      </c>
      <c r="AD20" s="54">
        <f t="shared" si="11"/>
        <v>3.9830357142857142</v>
      </c>
      <c r="AE20" s="52">
        <f t="shared" si="12"/>
        <v>20</v>
      </c>
      <c r="AF20" s="52" t="str">
        <f t="shared" si="13"/>
        <v>ناقص</v>
      </c>
      <c r="AG20" s="52" t="str">
        <f t="shared" si="0"/>
        <v>يكرر</v>
      </c>
    </row>
    <row r="21" spans="1:33" ht="15" customHeight="1" x14ac:dyDescent="0.2">
      <c r="A21" s="85">
        <f>IF(info!$A26="","",info!$A26)</f>
        <v>11</v>
      </c>
      <c r="B21" s="85">
        <f>IF($A21="","",info!$F26)</f>
        <v>0</v>
      </c>
      <c r="C21" s="88" t="str">
        <f>IF($A21="","",info!$C26)</f>
        <v>أحمد</v>
      </c>
      <c r="D21" s="53">
        <f>IF('sem1'!V20="","",'sem1'!V20)</f>
        <v>6.7249999999999996</v>
      </c>
      <c r="E21" s="53">
        <f>IF('sem2'!V20="","",'sem2'!V20)</f>
        <v>7.6749999999999998</v>
      </c>
      <c r="F21" s="54">
        <f t="shared" si="1"/>
        <v>7.1999999999999993</v>
      </c>
      <c r="G21" s="53" t="str">
        <f>IF('sem1'!Y20="","",'sem1'!Y20)</f>
        <v/>
      </c>
      <c r="H21" s="53" t="str">
        <f>IF('sem2'!Y20="","",'sem2'!Y20)</f>
        <v/>
      </c>
      <c r="I21" s="54" t="str">
        <f t="shared" si="2"/>
        <v/>
      </c>
      <c r="J21" s="53">
        <f>IF('sem1'!AD20="","",'sem1'!AD20)</f>
        <v>5.125</v>
      </c>
      <c r="K21" s="53">
        <f>IF('sem2'!AD20="","",'sem2'!AD20)</f>
        <v>6.875</v>
      </c>
      <c r="L21" s="54">
        <f t="shared" si="3"/>
        <v>6</v>
      </c>
      <c r="M21" s="55">
        <f>IF('sem1'!AG20="","",'sem1'!AG20)</f>
        <v>7.75</v>
      </c>
      <c r="N21" s="53">
        <f>IF('sem2'!AG20="","",'sem2'!AG20)</f>
        <v>6.25</v>
      </c>
      <c r="O21" s="54">
        <f t="shared" si="4"/>
        <v>7</v>
      </c>
      <c r="P21" s="55">
        <f>IF('sem1'!AJ20="","",'sem1'!AJ20)</f>
        <v>8</v>
      </c>
      <c r="Q21" s="53">
        <f>IF('sem2'!AJ20="","",'sem2'!AJ20)</f>
        <v>6.125</v>
      </c>
      <c r="R21" s="54">
        <f t="shared" si="5"/>
        <v>7.0625</v>
      </c>
      <c r="S21" s="55">
        <f>IF('sem1'!AM20="","",'sem1'!AM20)</f>
        <v>7.83</v>
      </c>
      <c r="T21" s="53">
        <f>IF('sem2'!AM20="","",'sem2'!AM20)</f>
        <v>8.5</v>
      </c>
      <c r="U21" s="54">
        <f t="shared" si="6"/>
        <v>8.1649999999999991</v>
      </c>
      <c r="V21" s="55">
        <f>IF('sem1'!AP20="","",'sem1'!AP20)</f>
        <v>5.25</v>
      </c>
      <c r="W21" s="53">
        <f>IF('sem2'!AP20="","",'sem2'!AP20)</f>
        <v>6.625</v>
      </c>
      <c r="X21" s="54">
        <f t="shared" si="7"/>
        <v>5.9375</v>
      </c>
      <c r="Y21" s="55">
        <f>IF('sem1'!AS20="","",'sem1'!AS20)</f>
        <v>6.5</v>
      </c>
      <c r="Z21" s="53">
        <f>IF('sem2'!AS20="","",'sem2'!AS20)</f>
        <v>7.25</v>
      </c>
      <c r="AA21" s="54">
        <f t="shared" si="8"/>
        <v>6.875</v>
      </c>
      <c r="AB21" s="55">
        <f t="shared" si="9"/>
        <v>6.74</v>
      </c>
      <c r="AC21" s="55">
        <f t="shared" si="10"/>
        <v>7.0428571428571427</v>
      </c>
      <c r="AD21" s="54">
        <f t="shared" si="11"/>
        <v>6.8914285714285715</v>
      </c>
      <c r="AE21" s="52">
        <f t="shared" si="12"/>
        <v>6</v>
      </c>
      <c r="AF21" s="52" t="str">
        <f t="shared" si="13"/>
        <v>لوحة الشرف</v>
      </c>
      <c r="AG21" s="52" t="str">
        <f t="shared" si="0"/>
        <v>ينتقل</v>
      </c>
    </row>
    <row r="22" spans="1:33" ht="15" customHeight="1" x14ac:dyDescent="0.2">
      <c r="A22" s="85">
        <f>IF(info!$A27="","",info!$A27)</f>
        <v>12</v>
      </c>
      <c r="B22" s="85">
        <f>IF($A22="","",info!$F27)</f>
        <v>0</v>
      </c>
      <c r="C22" s="88" t="str">
        <f>IF($A22="","",info!$C27)</f>
        <v>سلمان</v>
      </c>
      <c r="D22" s="53">
        <f>IF('sem1'!V21="","",'sem1'!V21)</f>
        <v>7.0750000000000002</v>
      </c>
      <c r="E22" s="53">
        <f>IF('sem2'!V21="","",'sem2'!V21)</f>
        <v>8.2750000000000004</v>
      </c>
      <c r="F22" s="54">
        <f t="shared" si="1"/>
        <v>7.6750000000000007</v>
      </c>
      <c r="G22" s="53" t="str">
        <f>IF('sem1'!Y21="","",'sem1'!Y21)</f>
        <v/>
      </c>
      <c r="H22" s="53" t="str">
        <f>IF('sem2'!Y21="","",'sem2'!Y21)</f>
        <v/>
      </c>
      <c r="I22" s="54" t="str">
        <f t="shared" si="2"/>
        <v/>
      </c>
      <c r="J22" s="53">
        <f>IF('sem1'!AD21="","",'sem1'!AD21)</f>
        <v>5</v>
      </c>
      <c r="K22" s="53">
        <f>IF('sem2'!AD21="","",'sem2'!AD21)</f>
        <v>7.75</v>
      </c>
      <c r="L22" s="54">
        <f t="shared" si="3"/>
        <v>6.375</v>
      </c>
      <c r="M22" s="55">
        <f>IF('sem1'!AG21="","",'sem1'!AG21)</f>
        <v>10</v>
      </c>
      <c r="N22" s="53">
        <f>IF('sem2'!AG21="","",'sem2'!AG21)</f>
        <v>9</v>
      </c>
      <c r="O22" s="54">
        <f t="shared" si="4"/>
        <v>9.5</v>
      </c>
      <c r="P22" s="55">
        <f>IF('sem1'!AJ21="","",'sem1'!AJ21)</f>
        <v>8.75</v>
      </c>
      <c r="Q22" s="53">
        <f>IF('sem2'!AJ21="","",'sem2'!AJ21)</f>
        <v>8.5</v>
      </c>
      <c r="R22" s="54">
        <f t="shared" si="5"/>
        <v>8.625</v>
      </c>
      <c r="S22" s="55">
        <f>IF('sem1'!AM21="","",'sem1'!AM21)</f>
        <v>8.94</v>
      </c>
      <c r="T22" s="53">
        <f>IF('sem2'!AM21="","",'sem2'!AM21)</f>
        <v>9.3150000000000013</v>
      </c>
      <c r="U22" s="54">
        <f t="shared" si="6"/>
        <v>9.1275000000000013</v>
      </c>
      <c r="V22" s="55">
        <f>IF('sem1'!AP21="","",'sem1'!AP21)</f>
        <v>7</v>
      </c>
      <c r="W22" s="53">
        <f>IF('sem2'!AP21="","",'sem2'!AP21)</f>
        <v>9.25</v>
      </c>
      <c r="X22" s="54">
        <f t="shared" si="7"/>
        <v>8.125</v>
      </c>
      <c r="Y22" s="55">
        <f>IF('sem1'!AS21="","",'sem1'!AS21)</f>
        <v>6.5</v>
      </c>
      <c r="Z22" s="53">
        <f>IF('sem2'!AS21="","",'sem2'!AS21)</f>
        <v>7.5</v>
      </c>
      <c r="AA22" s="54">
        <f t="shared" si="8"/>
        <v>7</v>
      </c>
      <c r="AB22" s="55">
        <f t="shared" si="9"/>
        <v>7.609285714285714</v>
      </c>
      <c r="AC22" s="55">
        <f t="shared" si="10"/>
        <v>8.5128571428571433</v>
      </c>
      <c r="AD22" s="54">
        <f t="shared" si="11"/>
        <v>8.0610714285714291</v>
      </c>
      <c r="AE22" s="52">
        <f t="shared" si="12"/>
        <v>1</v>
      </c>
      <c r="AF22" s="52" t="str">
        <f t="shared" si="13"/>
        <v xml:space="preserve"> تنويه </v>
      </c>
      <c r="AG22" s="52" t="str">
        <f t="shared" si="0"/>
        <v>ينتقل</v>
      </c>
    </row>
    <row r="23" spans="1:33" ht="15" customHeight="1" x14ac:dyDescent="0.2">
      <c r="A23" s="85">
        <f>IF(info!$A28="","",info!$A28)</f>
        <v>13</v>
      </c>
      <c r="B23" s="85">
        <f>IF($A23="","",info!$F28)</f>
        <v>0</v>
      </c>
      <c r="C23" s="88" t="str">
        <f>IF($A23="","",info!$C28)</f>
        <v>مروة</v>
      </c>
      <c r="D23" s="53">
        <f>IF('sem1'!V22="","",'sem1'!V22)</f>
        <v>3.95</v>
      </c>
      <c r="E23" s="53">
        <f>IF('sem2'!V22="","",'sem2'!V22)</f>
        <v>4.5</v>
      </c>
      <c r="F23" s="54">
        <f t="shared" si="1"/>
        <v>4.2249999999999996</v>
      </c>
      <c r="G23" s="53" t="str">
        <f>IF('sem1'!Y22="","",'sem1'!Y22)</f>
        <v/>
      </c>
      <c r="H23" s="53" t="str">
        <f>IF('sem2'!Y22="","",'sem2'!Y22)</f>
        <v/>
      </c>
      <c r="I23" s="54" t="str">
        <f t="shared" si="2"/>
        <v/>
      </c>
      <c r="J23" s="53">
        <f>IF('sem1'!AD22="","",'sem1'!AD22)</f>
        <v>3.875</v>
      </c>
      <c r="K23" s="53">
        <f>IF('sem2'!AD22="","",'sem2'!AD22)</f>
        <v>4.375</v>
      </c>
      <c r="L23" s="54">
        <f t="shared" si="3"/>
        <v>4.125</v>
      </c>
      <c r="M23" s="55">
        <f>IF('sem1'!AG22="","",'sem1'!AG22)</f>
        <v>5.875</v>
      </c>
      <c r="N23" s="53">
        <f>IF('sem2'!AG22="","",'sem2'!AG22)</f>
        <v>5.75</v>
      </c>
      <c r="O23" s="54">
        <f t="shared" si="4"/>
        <v>5.8125</v>
      </c>
      <c r="P23" s="55">
        <f>IF('sem1'!AJ22="","",'sem1'!AJ22)</f>
        <v>6.375</v>
      </c>
      <c r="Q23" s="53">
        <f>IF('sem2'!AJ22="","",'sem2'!AJ22)</f>
        <v>6.5</v>
      </c>
      <c r="R23" s="54">
        <f t="shared" si="5"/>
        <v>6.4375</v>
      </c>
      <c r="S23" s="55">
        <f>IF('sem1'!AM22="","",'sem1'!AM22)</f>
        <v>3.33</v>
      </c>
      <c r="T23" s="53">
        <f>IF('sem2'!AM22="","",'sem2'!AM22)</f>
        <v>4.6899999999999995</v>
      </c>
      <c r="U23" s="54">
        <f t="shared" si="6"/>
        <v>4.01</v>
      </c>
      <c r="V23" s="55">
        <f>IF('sem1'!AP22="","",'sem1'!AP22)</f>
        <v>3.25</v>
      </c>
      <c r="W23" s="53">
        <f>IF('sem2'!AP22="","",'sem2'!AP22)</f>
        <v>6.25</v>
      </c>
      <c r="X23" s="54">
        <f t="shared" si="7"/>
        <v>4.75</v>
      </c>
      <c r="Y23" s="55">
        <f>IF('sem1'!AS22="","",'sem1'!AS22)</f>
        <v>6.25</v>
      </c>
      <c r="Z23" s="53">
        <f>IF('sem2'!AS22="","",'sem2'!AS22)</f>
        <v>6.75</v>
      </c>
      <c r="AA23" s="54">
        <f t="shared" si="8"/>
        <v>6.5</v>
      </c>
      <c r="AB23" s="55">
        <f t="shared" si="9"/>
        <v>4.7007142857142856</v>
      </c>
      <c r="AC23" s="55">
        <f t="shared" si="10"/>
        <v>5.5449999999999999</v>
      </c>
      <c r="AD23" s="54">
        <f t="shared" si="11"/>
        <v>5.1228571428571428</v>
      </c>
      <c r="AE23" s="52">
        <f t="shared" si="12"/>
        <v>17</v>
      </c>
      <c r="AF23" s="52" t="str">
        <f t="shared" si="13"/>
        <v>متوسط</v>
      </c>
      <c r="AG23" s="52" t="str">
        <f t="shared" si="0"/>
        <v>ينتقل</v>
      </c>
    </row>
    <row r="24" spans="1:33" ht="15" customHeight="1" x14ac:dyDescent="0.2">
      <c r="A24" s="85">
        <f>IF(info!$A29="","",info!$A29)</f>
        <v>14</v>
      </c>
      <c r="B24" s="85">
        <f>IF($A24="","",info!$F29)</f>
        <v>0</v>
      </c>
      <c r="C24" s="88" t="str">
        <f>IF($A24="","",info!$C29)</f>
        <v>خالد</v>
      </c>
      <c r="D24" s="53">
        <f>IF('sem1'!V23="","",'sem1'!V23)</f>
        <v>6.2750000000000004</v>
      </c>
      <c r="E24" s="53">
        <f>IF('sem2'!V23="","",'sem2'!V23)</f>
        <v>6.9249999999999998</v>
      </c>
      <c r="F24" s="54">
        <f t="shared" si="1"/>
        <v>6.6</v>
      </c>
      <c r="G24" s="53" t="str">
        <f>IF('sem1'!Y23="","",'sem1'!Y23)</f>
        <v/>
      </c>
      <c r="H24" s="53" t="str">
        <f>IF('sem2'!Y23="","",'sem2'!Y23)</f>
        <v/>
      </c>
      <c r="I24" s="54" t="str">
        <f t="shared" si="2"/>
        <v/>
      </c>
      <c r="J24" s="53">
        <f>IF('sem1'!AD23="","",'sem1'!AD23)</f>
        <v>5</v>
      </c>
      <c r="K24" s="53">
        <f>IF('sem2'!AD23="","",'sem2'!AD23)</f>
        <v>6.8125</v>
      </c>
      <c r="L24" s="54">
        <f t="shared" si="3"/>
        <v>5.90625</v>
      </c>
      <c r="M24" s="55">
        <f>IF('sem1'!AG23="","",'sem1'!AG23)</f>
        <v>7.665</v>
      </c>
      <c r="N24" s="53">
        <f>IF('sem2'!AG23="","",'sem2'!AG23)</f>
        <v>5.25</v>
      </c>
      <c r="O24" s="54">
        <f t="shared" si="4"/>
        <v>6.4574999999999996</v>
      </c>
      <c r="P24" s="55">
        <f>IF('sem1'!AJ23="","",'sem1'!AJ23)</f>
        <v>7.25</v>
      </c>
      <c r="Q24" s="53">
        <f>IF('sem2'!AJ23="","",'sem2'!AJ23)</f>
        <v>7.75</v>
      </c>
      <c r="R24" s="54">
        <f t="shared" si="5"/>
        <v>7.5</v>
      </c>
      <c r="S24" s="55">
        <f>IF('sem1'!AM23="","",'sem1'!AM23)</f>
        <v>6.625</v>
      </c>
      <c r="T24" s="53">
        <f>IF('sem2'!AM23="","",'sem2'!AM23)</f>
        <v>8.75</v>
      </c>
      <c r="U24" s="54">
        <f t="shared" si="6"/>
        <v>7.6875</v>
      </c>
      <c r="V24" s="55">
        <f>IF('sem1'!AP23="","",'sem1'!AP23)</f>
        <v>5.25</v>
      </c>
      <c r="W24" s="53">
        <f>IF('sem2'!AP23="","",'sem2'!AP23)</f>
        <v>6.5</v>
      </c>
      <c r="X24" s="54">
        <f t="shared" si="7"/>
        <v>5.875</v>
      </c>
      <c r="Y24" s="55">
        <f>IF('sem1'!AS23="","",'sem1'!AS23)</f>
        <v>6.5</v>
      </c>
      <c r="Z24" s="53">
        <f>IF('sem2'!AS23="","",'sem2'!AS23)</f>
        <v>7.375</v>
      </c>
      <c r="AA24" s="54">
        <f t="shared" si="8"/>
        <v>6.9375</v>
      </c>
      <c r="AB24" s="55">
        <f t="shared" si="9"/>
        <v>6.3664285714285711</v>
      </c>
      <c r="AC24" s="55">
        <f t="shared" si="10"/>
        <v>7.0517857142857139</v>
      </c>
      <c r="AD24" s="54">
        <f t="shared" si="11"/>
        <v>6.7091071428571425</v>
      </c>
      <c r="AE24" s="52">
        <f t="shared" si="12"/>
        <v>8</v>
      </c>
      <c r="AF24" s="52" t="str">
        <f t="shared" si="13"/>
        <v>لوحة الشرف</v>
      </c>
      <c r="AG24" s="52" t="str">
        <f t="shared" si="0"/>
        <v>ينتقل</v>
      </c>
    </row>
    <row r="25" spans="1:33" ht="15" customHeight="1" x14ac:dyDescent="0.2">
      <c r="A25" s="85">
        <f>IF(info!$A30="","",info!$A30)</f>
        <v>15</v>
      </c>
      <c r="B25" s="85">
        <f>IF($A25="","",info!$F30)</f>
        <v>0</v>
      </c>
      <c r="C25" s="88" t="str">
        <f>IF($A25="","",info!$C30)</f>
        <v>سفيان</v>
      </c>
      <c r="D25" s="53">
        <f>IF('sem1'!V24="","",'sem1'!V24)</f>
        <v>4.5</v>
      </c>
      <c r="E25" s="53">
        <f>IF('sem2'!V24="","",'sem2'!V24)</f>
        <v>5.0999999999999996</v>
      </c>
      <c r="F25" s="54">
        <f t="shared" si="1"/>
        <v>4.8</v>
      </c>
      <c r="G25" s="53" t="str">
        <f>IF('sem1'!Y24="","",'sem1'!Y24)</f>
        <v/>
      </c>
      <c r="H25" s="53" t="str">
        <f>IF('sem2'!Y24="","",'sem2'!Y24)</f>
        <v/>
      </c>
      <c r="I25" s="54" t="str">
        <f t="shared" si="2"/>
        <v/>
      </c>
      <c r="J25" s="53">
        <f>IF('sem1'!AD24="","",'sem1'!AD24)</f>
        <v>3.875</v>
      </c>
      <c r="K25" s="53">
        <f>IF('sem2'!AD24="","",'sem2'!AD24)</f>
        <v>5.0625</v>
      </c>
      <c r="L25" s="54">
        <f t="shared" si="3"/>
        <v>4.46875</v>
      </c>
      <c r="M25" s="55">
        <f>IF('sem1'!AG24="","",'sem1'!AG24)</f>
        <v>4.415</v>
      </c>
      <c r="N25" s="53">
        <f>IF('sem2'!AG24="","",'sem2'!AG24)</f>
        <v>5.875</v>
      </c>
      <c r="O25" s="54">
        <f t="shared" si="4"/>
        <v>5.1449999999999996</v>
      </c>
      <c r="P25" s="55">
        <f>IF('sem1'!AJ24="","",'sem1'!AJ24)</f>
        <v>7.375</v>
      </c>
      <c r="Q25" s="53">
        <f>IF('sem2'!AJ24="","",'sem2'!AJ24)</f>
        <v>6</v>
      </c>
      <c r="R25" s="54">
        <f t="shared" si="5"/>
        <v>6.6875</v>
      </c>
      <c r="S25" s="55">
        <f>IF('sem1'!AM24="","",'sem1'!AM24)</f>
        <v>5.04</v>
      </c>
      <c r="T25" s="53">
        <f>IF('sem2'!AM24="","",'sem2'!AM24)</f>
        <v>4.4399999999999995</v>
      </c>
      <c r="U25" s="54">
        <f t="shared" si="6"/>
        <v>4.74</v>
      </c>
      <c r="V25" s="55">
        <f>IF('sem1'!AP24="","",'sem1'!AP24)</f>
        <v>3.75</v>
      </c>
      <c r="W25" s="53">
        <f>IF('sem2'!AP24="","",'sem2'!AP24)</f>
        <v>5.375</v>
      </c>
      <c r="X25" s="54">
        <f t="shared" si="7"/>
        <v>4.5625</v>
      </c>
      <c r="Y25" s="55">
        <f>IF('sem1'!AS24="","",'sem1'!AS24)</f>
        <v>5.75</v>
      </c>
      <c r="Z25" s="53">
        <f>IF('sem2'!AS24="","",'sem2'!AS24)</f>
        <v>6.25</v>
      </c>
      <c r="AA25" s="54">
        <f t="shared" si="8"/>
        <v>6</v>
      </c>
      <c r="AB25" s="55">
        <f t="shared" si="9"/>
        <v>4.9578571428571427</v>
      </c>
      <c r="AC25" s="55">
        <f t="shared" si="10"/>
        <v>5.4432142857142853</v>
      </c>
      <c r="AD25" s="54">
        <f t="shared" si="11"/>
        <v>5.2005357142857136</v>
      </c>
      <c r="AE25" s="52">
        <f t="shared" si="12"/>
        <v>15</v>
      </c>
      <c r="AF25" s="52" t="str">
        <f t="shared" si="13"/>
        <v>متوسط</v>
      </c>
      <c r="AG25" s="52" t="str">
        <f t="shared" si="0"/>
        <v>ينتقل</v>
      </c>
    </row>
    <row r="26" spans="1:33" ht="15" customHeight="1" x14ac:dyDescent="0.2">
      <c r="A26" s="85">
        <f>IF(info!$A31="","",info!$A31)</f>
        <v>16</v>
      </c>
      <c r="B26" s="85">
        <f>IF($A26="","",info!$F31)</f>
        <v>0</v>
      </c>
      <c r="C26" s="88" t="str">
        <f>IF($A26="","",info!$C31)</f>
        <v>لمياء</v>
      </c>
      <c r="D26" s="53">
        <f>IF('sem1'!V25="","",'sem1'!V25)</f>
        <v>4.875</v>
      </c>
      <c r="E26" s="53">
        <f>IF('sem2'!V25="","",'sem2'!V25)</f>
        <v>5.9</v>
      </c>
      <c r="F26" s="54">
        <f t="shared" si="1"/>
        <v>5.3875000000000002</v>
      </c>
      <c r="G26" s="53" t="str">
        <f>IF('sem1'!Y25="","",'sem1'!Y25)</f>
        <v/>
      </c>
      <c r="H26" s="53" t="str">
        <f>IF('sem2'!Y25="","",'sem2'!Y25)</f>
        <v/>
      </c>
      <c r="I26" s="54" t="str">
        <f t="shared" si="2"/>
        <v/>
      </c>
      <c r="J26" s="53">
        <f>IF('sem1'!AD25="","",'sem1'!AD25)</f>
        <v>4.875</v>
      </c>
      <c r="K26" s="53">
        <f>IF('sem2'!AD25="","",'sem2'!AD25)</f>
        <v>5.5625</v>
      </c>
      <c r="L26" s="54">
        <f t="shared" si="3"/>
        <v>5.21875</v>
      </c>
      <c r="M26" s="55">
        <f>IF('sem1'!AG25="","",'sem1'!AG25)</f>
        <v>6.83</v>
      </c>
      <c r="N26" s="53">
        <f>IF('sem2'!AG25="","",'sem2'!AG25)</f>
        <v>8</v>
      </c>
      <c r="O26" s="54">
        <f t="shared" si="4"/>
        <v>7.415</v>
      </c>
      <c r="P26" s="55">
        <f>IF('sem1'!AJ25="","",'sem1'!AJ25)</f>
        <v>6.625</v>
      </c>
      <c r="Q26" s="53">
        <f>IF('sem2'!AJ25="","",'sem2'!AJ25)</f>
        <v>4.75</v>
      </c>
      <c r="R26" s="54">
        <f t="shared" si="5"/>
        <v>5.6875</v>
      </c>
      <c r="S26" s="55">
        <f>IF('sem1'!AM25="","",'sem1'!AM25)</f>
        <v>5.29</v>
      </c>
      <c r="T26" s="53">
        <f>IF('sem2'!AM25="","",'sem2'!AM25)</f>
        <v>4.9399999999999995</v>
      </c>
      <c r="U26" s="54">
        <f t="shared" si="6"/>
        <v>5.1150000000000002</v>
      </c>
      <c r="V26" s="55">
        <f>IF('sem1'!AP25="","",'sem1'!AP25)</f>
        <v>4.25</v>
      </c>
      <c r="W26" s="53">
        <f>IF('sem2'!AP25="","",'sem2'!AP25)</f>
        <v>5.75</v>
      </c>
      <c r="X26" s="54">
        <f t="shared" si="7"/>
        <v>5</v>
      </c>
      <c r="Y26" s="55">
        <f>IF('sem1'!AS25="","",'sem1'!AS25)</f>
        <v>6</v>
      </c>
      <c r="Z26" s="53">
        <f>IF('sem2'!AS25="","",'sem2'!AS25)</f>
        <v>6.25</v>
      </c>
      <c r="AA26" s="54">
        <f t="shared" si="8"/>
        <v>6.125</v>
      </c>
      <c r="AB26" s="55">
        <f t="shared" si="9"/>
        <v>5.5349999999999993</v>
      </c>
      <c r="AC26" s="55">
        <f t="shared" si="10"/>
        <v>5.8789285714285713</v>
      </c>
      <c r="AD26" s="54">
        <f t="shared" si="11"/>
        <v>5.7069642857142853</v>
      </c>
      <c r="AE26" s="52">
        <f t="shared" si="12"/>
        <v>10</v>
      </c>
      <c r="AF26" s="52" t="str">
        <f t="shared" si="13"/>
        <v>متوسط</v>
      </c>
      <c r="AG26" s="52" t="str">
        <f t="shared" si="0"/>
        <v>ينتقل</v>
      </c>
    </row>
    <row r="27" spans="1:33" ht="15" customHeight="1" x14ac:dyDescent="0.2">
      <c r="A27" s="85">
        <f>IF(info!$A32="","",info!$A32)</f>
        <v>17</v>
      </c>
      <c r="B27" s="85">
        <f>IF($A27="","",info!$F32)</f>
        <v>0</v>
      </c>
      <c r="C27" s="88" t="str">
        <f>IF($A27="","",info!$C32)</f>
        <v>مريم</v>
      </c>
      <c r="D27" s="53">
        <f>IF('sem1'!V26="","",'sem1'!V26)</f>
        <v>6.95</v>
      </c>
      <c r="E27" s="53">
        <f>IF('sem2'!V26="","",'sem2'!V26)</f>
        <v>7.05</v>
      </c>
      <c r="F27" s="54">
        <f t="shared" si="1"/>
        <v>7</v>
      </c>
      <c r="G27" s="53" t="str">
        <f>IF('sem1'!Y26="","",'sem1'!Y26)</f>
        <v/>
      </c>
      <c r="H27" s="53" t="str">
        <f>IF('sem2'!Y26="","",'sem2'!Y26)</f>
        <v/>
      </c>
      <c r="I27" s="54" t="str">
        <f t="shared" si="2"/>
        <v/>
      </c>
      <c r="J27" s="53">
        <f>IF('sem1'!AD26="","",'sem1'!AD26)</f>
        <v>6.8125</v>
      </c>
      <c r="K27" s="53">
        <f>IF('sem2'!AD26="","",'sem2'!AD26)</f>
        <v>6.375</v>
      </c>
      <c r="L27" s="54">
        <f t="shared" si="3"/>
        <v>6.59375</v>
      </c>
      <c r="M27" s="55">
        <f>IF('sem1'!AG26="","",'sem1'!AG26)</f>
        <v>9.1649999999999991</v>
      </c>
      <c r="N27" s="53">
        <f>IF('sem2'!AG26="","",'sem2'!AG26)</f>
        <v>7</v>
      </c>
      <c r="O27" s="54">
        <f t="shared" si="4"/>
        <v>8.0824999999999996</v>
      </c>
      <c r="P27" s="55">
        <f>IF('sem1'!AJ26="","",'sem1'!AJ26)</f>
        <v>7.5</v>
      </c>
      <c r="Q27" s="53">
        <f>IF('sem2'!AJ26="","",'sem2'!AJ26)</f>
        <v>6.5</v>
      </c>
      <c r="R27" s="54">
        <f t="shared" si="5"/>
        <v>7</v>
      </c>
      <c r="S27" s="55">
        <f>IF('sem1'!AM26="","",'sem1'!AM26)</f>
        <v>8.0399999999999991</v>
      </c>
      <c r="T27" s="53">
        <f>IF('sem2'!AM26="","",'sem2'!AM26)</f>
        <v>8.1900000000000013</v>
      </c>
      <c r="U27" s="54">
        <f t="shared" si="6"/>
        <v>8.1150000000000002</v>
      </c>
      <c r="V27" s="55">
        <f>IF('sem1'!AP26="","",'sem1'!AP26)</f>
        <v>6.375</v>
      </c>
      <c r="W27" s="53">
        <f>IF('sem2'!AP26="","",'sem2'!AP26)</f>
        <v>7.875</v>
      </c>
      <c r="X27" s="54">
        <f t="shared" si="7"/>
        <v>7.125</v>
      </c>
      <c r="Y27" s="55">
        <f>IF('sem1'!AS26="","",'sem1'!AS26)</f>
        <v>6.75</v>
      </c>
      <c r="Z27" s="53">
        <f>IF('sem2'!AS26="","",'sem2'!AS26)</f>
        <v>6.75</v>
      </c>
      <c r="AA27" s="54">
        <f t="shared" si="8"/>
        <v>6.75</v>
      </c>
      <c r="AB27" s="55">
        <f t="shared" si="9"/>
        <v>7.3703571428571433</v>
      </c>
      <c r="AC27" s="55">
        <f t="shared" si="10"/>
        <v>7.1057142857142859</v>
      </c>
      <c r="AD27" s="54">
        <f t="shared" si="11"/>
        <v>7.238035714285715</v>
      </c>
      <c r="AE27" s="52">
        <f t="shared" si="12"/>
        <v>5</v>
      </c>
      <c r="AF27" s="52" t="str">
        <f t="shared" si="13"/>
        <v xml:space="preserve">تشجيع </v>
      </c>
      <c r="AG27" s="52" t="str">
        <f t="shared" si="0"/>
        <v>ينتقل</v>
      </c>
    </row>
    <row r="28" spans="1:33" ht="15" customHeight="1" x14ac:dyDescent="0.2">
      <c r="A28" s="85">
        <f>IF(info!$A33="","",info!$A33)</f>
        <v>18</v>
      </c>
      <c r="B28" s="85">
        <f>IF($A28="","",info!$F33)</f>
        <v>0</v>
      </c>
      <c r="C28" s="88" t="str">
        <f>IF($A28="","",info!$C33)</f>
        <v>لقمان</v>
      </c>
      <c r="D28" s="53">
        <f>IF('sem1'!V27="","",'sem1'!V27)</f>
        <v>3.6</v>
      </c>
      <c r="E28" s="53">
        <f>IF('sem2'!V27="","",'sem2'!V27)</f>
        <v>3.35</v>
      </c>
      <c r="F28" s="54">
        <f t="shared" si="1"/>
        <v>3.4750000000000001</v>
      </c>
      <c r="G28" s="53" t="str">
        <f>IF('sem1'!Y27="","",'sem1'!Y27)</f>
        <v/>
      </c>
      <c r="H28" s="53" t="str">
        <f>IF('sem2'!Y27="","",'sem2'!Y27)</f>
        <v/>
      </c>
      <c r="I28" s="54" t="str">
        <f t="shared" si="2"/>
        <v/>
      </c>
      <c r="J28" s="53">
        <f>IF('sem1'!AD27="","",'sem1'!AD27)</f>
        <v>4.25</v>
      </c>
      <c r="K28" s="53">
        <f>IF('sem2'!AD27="","",'sem2'!AD27)</f>
        <v>3.625</v>
      </c>
      <c r="L28" s="54">
        <f t="shared" si="3"/>
        <v>3.9375</v>
      </c>
      <c r="M28" s="55">
        <f>IF('sem1'!AG27="","",'sem1'!AG27)</f>
        <v>5.33</v>
      </c>
      <c r="N28" s="53">
        <f>IF('sem2'!AG27="","",'sem2'!AG27)</f>
        <v>2.25</v>
      </c>
      <c r="O28" s="54">
        <f t="shared" si="4"/>
        <v>3.79</v>
      </c>
      <c r="P28" s="55">
        <f>IF('sem1'!AJ27="","",'sem1'!AJ27)</f>
        <v>5.625</v>
      </c>
      <c r="Q28" s="53">
        <f>IF('sem2'!AJ27="","",'sem2'!AJ27)</f>
        <v>3</v>
      </c>
      <c r="R28" s="54">
        <f t="shared" si="5"/>
        <v>4.3125</v>
      </c>
      <c r="S28" s="55">
        <f>IF('sem1'!AM27="","",'sem1'!AM27)</f>
        <v>2.125</v>
      </c>
      <c r="T28" s="53">
        <f>IF('sem2'!AM27="","",'sem2'!AM27)</f>
        <v>1.875</v>
      </c>
      <c r="U28" s="54">
        <f t="shared" si="6"/>
        <v>2</v>
      </c>
      <c r="V28" s="55">
        <f>IF('sem1'!AP27="","",'sem1'!AP27)</f>
        <v>4</v>
      </c>
      <c r="W28" s="53">
        <f>IF('sem2'!AP27="","",'sem2'!AP27)</f>
        <v>2.75</v>
      </c>
      <c r="X28" s="54">
        <f t="shared" si="7"/>
        <v>3.375</v>
      </c>
      <c r="Y28" s="55">
        <f>IF('sem1'!AS27="","",'sem1'!AS27)</f>
        <v>6.375</v>
      </c>
      <c r="Z28" s="53">
        <f>IF('sem2'!AS27="","",'sem2'!AS27)</f>
        <v>5.5</v>
      </c>
      <c r="AA28" s="54">
        <f t="shared" si="8"/>
        <v>5.9375</v>
      </c>
      <c r="AB28" s="55">
        <f t="shared" si="9"/>
        <v>4.472142857142857</v>
      </c>
      <c r="AC28" s="55">
        <f t="shared" si="10"/>
        <v>3.1928571428571431</v>
      </c>
      <c r="AD28" s="54">
        <f t="shared" si="11"/>
        <v>3.8325</v>
      </c>
      <c r="AE28" s="52">
        <f t="shared" si="12"/>
        <v>23</v>
      </c>
      <c r="AF28" s="52" t="str">
        <f t="shared" si="13"/>
        <v>ناقص</v>
      </c>
      <c r="AG28" s="52" t="str">
        <f t="shared" si="0"/>
        <v>يكرر</v>
      </c>
    </row>
    <row r="29" spans="1:33" ht="15" customHeight="1" x14ac:dyDescent="0.2">
      <c r="A29" s="85">
        <f>IF(info!$A34="","",info!$A34)</f>
        <v>19</v>
      </c>
      <c r="B29" s="85">
        <f>IF($A29="","",info!$F34)</f>
        <v>0</v>
      </c>
      <c r="C29" s="88" t="str">
        <f>IF($A29="","",info!$C34)</f>
        <v>محمد</v>
      </c>
      <c r="D29" s="53">
        <f>IF('sem1'!V28="","",'sem1'!V28)</f>
        <v>2.8</v>
      </c>
      <c r="E29" s="53">
        <f>IF('sem2'!V28="","",'sem2'!V28)</f>
        <v>1.5</v>
      </c>
      <c r="F29" s="54">
        <f t="shared" si="1"/>
        <v>2.15</v>
      </c>
      <c r="G29" s="53" t="str">
        <f>IF('sem1'!Y28="","",'sem1'!Y28)</f>
        <v/>
      </c>
      <c r="H29" s="53" t="str">
        <f>IF('sem2'!Y28="","",'sem2'!Y28)</f>
        <v/>
      </c>
      <c r="I29" s="54" t="str">
        <f t="shared" si="2"/>
        <v/>
      </c>
      <c r="J29" s="53">
        <f>IF('sem1'!AD28="","",'sem1'!AD28)</f>
        <v>3.625</v>
      </c>
      <c r="K29" s="53">
        <f>IF('sem2'!AD28="","",'sem2'!AD28)</f>
        <v>2.25</v>
      </c>
      <c r="L29" s="54">
        <f t="shared" si="3"/>
        <v>2.9375</v>
      </c>
      <c r="M29" s="55">
        <f>IF('sem1'!AG28="","",'sem1'!AG28)</f>
        <v>2.75</v>
      </c>
      <c r="N29" s="53">
        <f>IF('sem2'!AG28="","",'sem2'!AG28)</f>
        <v>1.75</v>
      </c>
      <c r="O29" s="54">
        <f t="shared" si="4"/>
        <v>2.25</v>
      </c>
      <c r="P29" s="55">
        <f>IF('sem1'!AJ28="","",'sem1'!AJ28)</f>
        <v>4.5</v>
      </c>
      <c r="Q29" s="53">
        <f>IF('sem2'!AJ28="","",'sem2'!AJ28)</f>
        <v>1.5</v>
      </c>
      <c r="R29" s="54">
        <f t="shared" si="5"/>
        <v>3</v>
      </c>
      <c r="S29" s="55">
        <f>IF('sem1'!AM28="","",'sem1'!AM28)</f>
        <v>2.75</v>
      </c>
      <c r="T29" s="53">
        <f>IF('sem2'!AM28="","",'sem2'!AM28)</f>
        <v>1</v>
      </c>
      <c r="U29" s="54">
        <f t="shared" si="6"/>
        <v>1.875</v>
      </c>
      <c r="V29" s="55">
        <f>IF('sem1'!AP28="","",'sem1'!AP28)</f>
        <v>2.75</v>
      </c>
      <c r="W29" s="53">
        <f>IF('sem2'!AP28="","",'sem2'!AP28)</f>
        <v>1.75</v>
      </c>
      <c r="X29" s="54">
        <f t="shared" si="7"/>
        <v>2.25</v>
      </c>
      <c r="Y29" s="55">
        <f>IF('sem1'!AS28="","",'sem1'!AS28)</f>
        <v>5.875</v>
      </c>
      <c r="Z29" s="53">
        <f>IF('sem2'!AS28="","",'sem2'!AS28)</f>
        <v>4.5</v>
      </c>
      <c r="AA29" s="54">
        <f t="shared" si="8"/>
        <v>5.1875</v>
      </c>
      <c r="AB29" s="55">
        <f t="shared" si="9"/>
        <v>3.5785714285714287</v>
      </c>
      <c r="AC29" s="55">
        <f t="shared" si="10"/>
        <v>2.0357142857142856</v>
      </c>
      <c r="AD29" s="54">
        <f t="shared" si="11"/>
        <v>2.8071428571428569</v>
      </c>
      <c r="AE29" s="52">
        <f t="shared" si="12"/>
        <v>25</v>
      </c>
      <c r="AF29" s="52" t="str">
        <f t="shared" si="13"/>
        <v>تنبيه</v>
      </c>
      <c r="AG29" s="52" t="str">
        <f t="shared" si="0"/>
        <v>يكرر</v>
      </c>
    </row>
    <row r="30" spans="1:33" ht="15" customHeight="1" x14ac:dyDescent="0.2">
      <c r="A30" s="85">
        <f>IF(info!$A35="","",info!$A35)</f>
        <v>20</v>
      </c>
      <c r="B30" s="85">
        <f>IF($A30="","",info!$F35)</f>
        <v>0</v>
      </c>
      <c r="C30" s="88" t="str">
        <f>IF($A30="","",info!$C35)</f>
        <v>سليم</v>
      </c>
      <c r="D30" s="53">
        <f>IF('sem1'!V29="","",'sem1'!V29)</f>
        <v>6.25</v>
      </c>
      <c r="E30" s="53">
        <f>IF('sem2'!V29="","",'sem2'!V29)</f>
        <v>6.8250000000000002</v>
      </c>
      <c r="F30" s="54">
        <f t="shared" si="1"/>
        <v>6.5374999999999996</v>
      </c>
      <c r="G30" s="53" t="str">
        <f>IF('sem1'!Y29="","",'sem1'!Y29)</f>
        <v/>
      </c>
      <c r="H30" s="53" t="str">
        <f>IF('sem2'!Y29="","",'sem2'!Y29)</f>
        <v/>
      </c>
      <c r="I30" s="54" t="str">
        <f t="shared" si="2"/>
        <v/>
      </c>
      <c r="J30" s="53">
        <f>IF('sem1'!AD29="","",'sem1'!AD29)</f>
        <v>5.6875</v>
      </c>
      <c r="K30" s="53">
        <f>IF('sem2'!AD29="","",'sem2'!AD29)</f>
        <v>5.125</v>
      </c>
      <c r="L30" s="54">
        <f t="shared" si="3"/>
        <v>5.40625</v>
      </c>
      <c r="M30" s="55">
        <f>IF('sem1'!AG29="","",'sem1'!AG29)</f>
        <v>7.25</v>
      </c>
      <c r="N30" s="53">
        <f>IF('sem2'!AG29="","",'sem2'!AG29)</f>
        <v>9.25</v>
      </c>
      <c r="O30" s="54">
        <f t="shared" si="4"/>
        <v>8.25</v>
      </c>
      <c r="P30" s="55">
        <f>IF('sem1'!AJ29="","",'sem1'!AJ29)</f>
        <v>8.25</v>
      </c>
      <c r="Q30" s="53">
        <f>IF('sem2'!AJ29="","",'sem2'!AJ29)</f>
        <v>7.125</v>
      </c>
      <c r="R30" s="54">
        <f t="shared" si="5"/>
        <v>7.6875</v>
      </c>
      <c r="S30" s="55">
        <f>IF('sem1'!AM29="","",'sem1'!AM29)</f>
        <v>6.915</v>
      </c>
      <c r="T30" s="53">
        <f>IF('sem2'!AM29="","",'sem2'!AM29)</f>
        <v>6.44</v>
      </c>
      <c r="U30" s="54">
        <f t="shared" si="6"/>
        <v>6.6775000000000002</v>
      </c>
      <c r="V30" s="55">
        <f>IF('sem1'!AP29="","",'sem1'!AP29)</f>
        <v>6.125</v>
      </c>
      <c r="W30" s="53">
        <f>IF('sem2'!AP29="","",'sem2'!AP29)</f>
        <v>7</v>
      </c>
      <c r="X30" s="54">
        <f t="shared" si="7"/>
        <v>6.5625</v>
      </c>
      <c r="Y30" s="55">
        <f>IF('sem1'!AS29="","",'sem1'!AS29)</f>
        <v>6.5</v>
      </c>
      <c r="Z30" s="53">
        <f>IF('sem2'!AS29="","",'sem2'!AS29)</f>
        <v>6.875</v>
      </c>
      <c r="AA30" s="54">
        <f t="shared" si="8"/>
        <v>6.6875</v>
      </c>
      <c r="AB30" s="55">
        <f t="shared" si="9"/>
        <v>6.7110714285714286</v>
      </c>
      <c r="AC30" s="55">
        <f t="shared" si="10"/>
        <v>6.9485714285714284</v>
      </c>
      <c r="AD30" s="54">
        <f t="shared" si="11"/>
        <v>6.829821428571428</v>
      </c>
      <c r="AE30" s="52">
        <f t="shared" si="12"/>
        <v>7</v>
      </c>
      <c r="AF30" s="52" t="str">
        <f t="shared" si="13"/>
        <v>لوحة الشرف</v>
      </c>
      <c r="AG30" s="52" t="str">
        <f t="shared" si="0"/>
        <v>ينتقل</v>
      </c>
    </row>
    <row r="31" spans="1:33" ht="15" customHeight="1" x14ac:dyDescent="0.2">
      <c r="A31" s="85">
        <f>IF(info!$A36="","",info!$A36)</f>
        <v>21</v>
      </c>
      <c r="B31" s="85">
        <f>IF($A31="","",info!$F36)</f>
        <v>0</v>
      </c>
      <c r="C31" s="88" t="str">
        <f>IF($A31="","",info!$C36)</f>
        <v>فتيحة</v>
      </c>
      <c r="D31" s="53">
        <f>IF('sem1'!V30="","",'sem1'!V30)</f>
        <v>4.5</v>
      </c>
      <c r="E31" s="53">
        <f>IF('sem2'!V30="","",'sem2'!V30)</f>
        <v>5</v>
      </c>
      <c r="F31" s="54">
        <f t="shared" si="1"/>
        <v>4.75</v>
      </c>
      <c r="G31" s="53" t="str">
        <f>IF('sem1'!Y30="","",'sem1'!Y30)</f>
        <v/>
      </c>
      <c r="H31" s="53" t="str">
        <f>IF('sem2'!Y30="","",'sem2'!Y30)</f>
        <v/>
      </c>
      <c r="I31" s="54" t="str">
        <f t="shared" si="2"/>
        <v/>
      </c>
      <c r="J31" s="53">
        <f>IF('sem1'!AD30="","",'sem1'!AD30)</f>
        <v>4.25</v>
      </c>
      <c r="K31" s="53">
        <f>IF('sem2'!AD30="","",'sem2'!AD30)</f>
        <v>4.6875</v>
      </c>
      <c r="L31" s="54">
        <f t="shared" si="3"/>
        <v>4.46875</v>
      </c>
      <c r="M31" s="55">
        <f>IF('sem1'!AG30="","",'sem1'!AG30)</f>
        <v>6.58</v>
      </c>
      <c r="N31" s="53">
        <f>IF('sem2'!AG30="","",'sem2'!AG30)</f>
        <v>5.375</v>
      </c>
      <c r="O31" s="54">
        <f t="shared" si="4"/>
        <v>5.9775</v>
      </c>
      <c r="P31" s="55">
        <f>IF('sem1'!AJ30="","",'sem1'!AJ30)</f>
        <v>7.25</v>
      </c>
      <c r="Q31" s="53">
        <f>IF('sem2'!AJ30="","",'sem2'!AJ30)</f>
        <v>5</v>
      </c>
      <c r="R31" s="54">
        <f t="shared" si="5"/>
        <v>6.125</v>
      </c>
      <c r="S31" s="55">
        <f>IF('sem1'!AM30="","",'sem1'!AM30)</f>
        <v>3.665</v>
      </c>
      <c r="T31" s="53">
        <f>IF('sem2'!AM30="","",'sem2'!AM30)</f>
        <v>6.1899999999999995</v>
      </c>
      <c r="U31" s="54">
        <f t="shared" si="6"/>
        <v>4.9275000000000002</v>
      </c>
      <c r="V31" s="55">
        <f>IF('sem1'!AP30="","",'sem1'!AP30)</f>
        <v>4</v>
      </c>
      <c r="W31" s="53">
        <f>IF('sem2'!AP30="","",'sem2'!AP30)</f>
        <v>4.875</v>
      </c>
      <c r="X31" s="54">
        <f t="shared" si="7"/>
        <v>4.4375</v>
      </c>
      <c r="Y31" s="55">
        <f>IF('sem1'!AS30="","",'sem1'!AS30)</f>
        <v>6.25</v>
      </c>
      <c r="Z31" s="53">
        <f>IF('sem2'!AS30="","",'sem2'!AS30)</f>
        <v>6.375</v>
      </c>
      <c r="AA31" s="54">
        <f t="shared" si="8"/>
        <v>6.3125</v>
      </c>
      <c r="AB31" s="55">
        <f t="shared" si="9"/>
        <v>5.2135714285714281</v>
      </c>
      <c r="AC31" s="55">
        <f t="shared" si="10"/>
        <v>5.3574999999999999</v>
      </c>
      <c r="AD31" s="54">
        <f t="shared" si="11"/>
        <v>5.2855357142857144</v>
      </c>
      <c r="AE31" s="52">
        <f t="shared" si="12"/>
        <v>12</v>
      </c>
      <c r="AF31" s="52" t="str">
        <f t="shared" si="13"/>
        <v>متوسط</v>
      </c>
      <c r="AG31" s="52" t="str">
        <f t="shared" si="0"/>
        <v>ينتقل</v>
      </c>
    </row>
    <row r="32" spans="1:33" ht="15" customHeight="1" x14ac:dyDescent="0.2">
      <c r="A32" s="85">
        <f>IF(info!$A37="","",info!$A37)</f>
        <v>22</v>
      </c>
      <c r="B32" s="85">
        <f>IF($A32="","",info!$F37)</f>
        <v>0</v>
      </c>
      <c r="C32" s="88" t="str">
        <f>IF($A32="","",info!$C37)</f>
        <v>رقية</v>
      </c>
      <c r="D32" s="53">
        <f>IF('sem1'!V31="","",'sem1'!V31)</f>
        <v>3.35</v>
      </c>
      <c r="E32" s="53">
        <f>IF('sem2'!V31="","",'sem2'!V31)</f>
        <v>3.45</v>
      </c>
      <c r="F32" s="54">
        <f t="shared" si="1"/>
        <v>3.4000000000000004</v>
      </c>
      <c r="G32" s="53" t="str">
        <f>IF('sem1'!Y31="","",'sem1'!Y31)</f>
        <v/>
      </c>
      <c r="H32" s="53" t="str">
        <f>IF('sem2'!Y31="","",'sem2'!Y31)</f>
        <v/>
      </c>
      <c r="I32" s="54" t="str">
        <f t="shared" si="2"/>
        <v/>
      </c>
      <c r="J32" s="53">
        <f>IF('sem1'!AD31="","",'sem1'!AD31)</f>
        <v>3.8125</v>
      </c>
      <c r="K32" s="53">
        <f>IF('sem2'!AD31="","",'sem2'!AD31)</f>
        <v>3.625</v>
      </c>
      <c r="L32" s="54">
        <f t="shared" si="3"/>
        <v>3.71875</v>
      </c>
      <c r="M32" s="55">
        <f>IF('sem1'!AG31="","",'sem1'!AG31)</f>
        <v>5.75</v>
      </c>
      <c r="N32" s="53">
        <f>IF('sem2'!AG31="","",'sem2'!AG31)</f>
        <v>3.25</v>
      </c>
      <c r="O32" s="54">
        <f t="shared" si="4"/>
        <v>4.5</v>
      </c>
      <c r="P32" s="55">
        <f>IF('sem1'!AJ31="","",'sem1'!AJ31)</f>
        <v>6.25</v>
      </c>
      <c r="Q32" s="53">
        <f>IF('sem2'!AJ31="","",'sem2'!AJ31)</f>
        <v>3</v>
      </c>
      <c r="R32" s="54">
        <f t="shared" si="5"/>
        <v>4.625</v>
      </c>
      <c r="S32" s="55">
        <f>IF('sem1'!AM31="","",'sem1'!AM31)</f>
        <v>2</v>
      </c>
      <c r="T32" s="53">
        <f>IF('sem2'!AM31="","",'sem2'!AM31)</f>
        <v>1.875</v>
      </c>
      <c r="U32" s="54">
        <f t="shared" si="6"/>
        <v>1.9375</v>
      </c>
      <c r="V32" s="55">
        <f>IF('sem1'!AP31="","",'sem1'!AP31)</f>
        <v>3.375</v>
      </c>
      <c r="W32" s="53">
        <f>IF('sem2'!AP31="","",'sem2'!AP31)</f>
        <v>4</v>
      </c>
      <c r="X32" s="54">
        <f t="shared" si="7"/>
        <v>3.6875</v>
      </c>
      <c r="Y32" s="55">
        <f>IF('sem1'!AS31="","",'sem1'!AS31)</f>
        <v>5.75</v>
      </c>
      <c r="Z32" s="53">
        <f>IF('sem2'!AS31="","",'sem2'!AS31)</f>
        <v>4.75</v>
      </c>
      <c r="AA32" s="54">
        <f t="shared" si="8"/>
        <v>5.25</v>
      </c>
      <c r="AB32" s="55">
        <f t="shared" si="9"/>
        <v>4.3267857142857142</v>
      </c>
      <c r="AC32" s="55">
        <f t="shared" si="10"/>
        <v>3.4214285714285713</v>
      </c>
      <c r="AD32" s="54">
        <f t="shared" si="11"/>
        <v>3.8741071428571425</v>
      </c>
      <c r="AE32" s="52">
        <f t="shared" si="12"/>
        <v>22</v>
      </c>
      <c r="AF32" s="52" t="str">
        <f t="shared" si="13"/>
        <v>ناقص</v>
      </c>
      <c r="AG32" s="52" t="str">
        <f t="shared" si="0"/>
        <v>يكرر</v>
      </c>
    </row>
    <row r="33" spans="1:33" ht="15" customHeight="1" x14ac:dyDescent="0.2">
      <c r="A33" s="85">
        <f>IF(info!$A38="","",info!$A38)</f>
        <v>23</v>
      </c>
      <c r="B33" s="85">
        <f>IF($A33="","",info!$F38)</f>
        <v>0</v>
      </c>
      <c r="C33" s="88" t="str">
        <f>IF($A33="","",info!$C38)</f>
        <v>جميلة</v>
      </c>
      <c r="D33" s="53">
        <f>IF('sem1'!V32="","",'sem1'!V32)</f>
        <v>3.375</v>
      </c>
      <c r="E33" s="53">
        <f>IF('sem2'!V32="","",'sem2'!V32)</f>
        <v>2.8</v>
      </c>
      <c r="F33" s="54">
        <f t="shared" si="1"/>
        <v>3.0874999999999999</v>
      </c>
      <c r="G33" s="53" t="str">
        <f>IF('sem1'!Y32="","",'sem1'!Y32)</f>
        <v/>
      </c>
      <c r="H33" s="53" t="str">
        <f>IF('sem2'!Y32="","",'sem2'!Y32)</f>
        <v/>
      </c>
      <c r="I33" s="54" t="str">
        <f t="shared" si="2"/>
        <v/>
      </c>
      <c r="J33" s="53">
        <f>IF('sem1'!AD32="","",'sem1'!AD32)</f>
        <v>4.28125</v>
      </c>
      <c r="K33" s="53">
        <f>IF('sem2'!AD32="","",'sem2'!AD32)</f>
        <v>3.25</v>
      </c>
      <c r="L33" s="54">
        <f t="shared" si="3"/>
        <v>3.765625</v>
      </c>
      <c r="M33" s="55">
        <f>IF('sem1'!AG32="","",'sem1'!AG32)</f>
        <v>4.25</v>
      </c>
      <c r="N33" s="53">
        <f>IF('sem2'!AG32="","",'sem2'!AG32)</f>
        <v>2.75</v>
      </c>
      <c r="O33" s="54">
        <f t="shared" si="4"/>
        <v>3.5</v>
      </c>
      <c r="P33" s="55">
        <f>IF('sem1'!AJ32="","",'sem1'!AJ32)</f>
        <v>6.5</v>
      </c>
      <c r="Q33" s="53">
        <f>IF('sem2'!AJ32="","",'sem2'!AJ32)</f>
        <v>4.5</v>
      </c>
      <c r="R33" s="54">
        <f t="shared" si="5"/>
        <v>5.5</v>
      </c>
      <c r="S33" s="55">
        <f>IF('sem1'!AM32="","",'sem1'!AM32)</f>
        <v>4.25</v>
      </c>
      <c r="T33" s="53">
        <f>IF('sem2'!AM32="","",'sem2'!AM32)</f>
        <v>2.375</v>
      </c>
      <c r="U33" s="54">
        <f t="shared" si="6"/>
        <v>3.3125</v>
      </c>
      <c r="V33" s="55">
        <f>IF('sem1'!AP32="","",'sem1'!AP32)</f>
        <v>2.9375</v>
      </c>
      <c r="W33" s="53">
        <f>IF('sem2'!AP32="","",'sem2'!AP32)</f>
        <v>2.75</v>
      </c>
      <c r="X33" s="54">
        <f t="shared" si="7"/>
        <v>2.84375</v>
      </c>
      <c r="Y33" s="55">
        <f>IF('sem1'!AS32="","",'sem1'!AS32)</f>
        <v>5.625</v>
      </c>
      <c r="Z33" s="53">
        <f>IF('sem2'!AS32="","",'sem2'!AS32)</f>
        <v>5.25</v>
      </c>
      <c r="AA33" s="54">
        <f t="shared" si="8"/>
        <v>5.4375</v>
      </c>
      <c r="AB33" s="55">
        <f t="shared" si="9"/>
        <v>4.4598214285714288</v>
      </c>
      <c r="AC33" s="55">
        <f t="shared" si="10"/>
        <v>3.3821428571428571</v>
      </c>
      <c r="AD33" s="54">
        <f t="shared" si="11"/>
        <v>3.920982142857143</v>
      </c>
      <c r="AE33" s="52">
        <f t="shared" si="12"/>
        <v>21</v>
      </c>
      <c r="AF33" s="52" t="str">
        <f t="shared" si="13"/>
        <v>ناقص</v>
      </c>
      <c r="AG33" s="52" t="str">
        <f t="shared" si="0"/>
        <v>يكرر</v>
      </c>
    </row>
    <row r="34" spans="1:33" ht="15" customHeight="1" x14ac:dyDescent="0.2">
      <c r="A34" s="85">
        <f>IF(info!$A39="","",info!$A39)</f>
        <v>24</v>
      </c>
      <c r="B34" s="85">
        <f>IF($A34="","",info!$F39)</f>
        <v>0</v>
      </c>
      <c r="C34" s="88" t="str">
        <f>IF($A34="","",info!$C39)</f>
        <v>نادية</v>
      </c>
      <c r="D34" s="53">
        <f>IF('sem1'!V33="","",'sem1'!V33)</f>
        <v>3.6</v>
      </c>
      <c r="E34" s="53">
        <f>IF('sem2'!V33="","",'sem2'!V33)</f>
        <v>3.85</v>
      </c>
      <c r="F34" s="54">
        <f t="shared" si="1"/>
        <v>3.7250000000000001</v>
      </c>
      <c r="G34" s="53" t="str">
        <f>IF('sem1'!Y33="","",'sem1'!Y33)</f>
        <v/>
      </c>
      <c r="H34" s="53" t="str">
        <f>IF('sem2'!Y33="","",'sem2'!Y33)</f>
        <v/>
      </c>
      <c r="I34" s="54" t="str">
        <f t="shared" si="2"/>
        <v/>
      </c>
      <c r="J34" s="53">
        <f>IF('sem1'!AD33="","",'sem1'!AD33)</f>
        <v>4.5</v>
      </c>
      <c r="K34" s="53">
        <f>IF('sem2'!AD33="","",'sem2'!AD33)</f>
        <v>3.875</v>
      </c>
      <c r="L34" s="54">
        <f t="shared" si="3"/>
        <v>4.1875</v>
      </c>
      <c r="M34" s="55">
        <f>IF('sem1'!AG33="","",'sem1'!AG33)</f>
        <v>7.5</v>
      </c>
      <c r="N34" s="53">
        <f>IF('sem2'!AG33="","",'sem2'!AG33)</f>
        <v>3</v>
      </c>
      <c r="O34" s="54">
        <f t="shared" si="4"/>
        <v>5.25</v>
      </c>
      <c r="P34" s="55">
        <f>IF('sem1'!AJ33="","",'sem1'!AJ33)</f>
        <v>6.5</v>
      </c>
      <c r="Q34" s="53">
        <f>IF('sem2'!AJ33="","",'sem2'!AJ33)</f>
        <v>3</v>
      </c>
      <c r="R34" s="54">
        <f t="shared" si="5"/>
        <v>4.75</v>
      </c>
      <c r="S34" s="55">
        <f>IF('sem1'!AM33="","",'sem1'!AM33)</f>
        <v>3.25</v>
      </c>
      <c r="T34" s="53">
        <f>IF('sem2'!AM33="","",'sem2'!AM33)</f>
        <v>3.3149999999999999</v>
      </c>
      <c r="U34" s="54">
        <f t="shared" si="6"/>
        <v>3.2824999999999998</v>
      </c>
      <c r="V34" s="55">
        <f>IF('sem1'!AP33="","",'sem1'!AP33)</f>
        <v>3.75</v>
      </c>
      <c r="W34" s="53">
        <f>IF('sem2'!AP33="","",'sem2'!AP33)</f>
        <v>3</v>
      </c>
      <c r="X34" s="54">
        <f t="shared" si="7"/>
        <v>3.375</v>
      </c>
      <c r="Y34" s="55">
        <f>IF('sem1'!AS33="","",'sem1'!AS33)</f>
        <v>5.75</v>
      </c>
      <c r="Z34" s="53">
        <f>IF('sem2'!AS33="","",'sem2'!AS33)</f>
        <v>5</v>
      </c>
      <c r="AA34" s="54">
        <f t="shared" si="8"/>
        <v>5.375</v>
      </c>
      <c r="AB34" s="55">
        <f t="shared" si="9"/>
        <v>4.9785714285714286</v>
      </c>
      <c r="AC34" s="55">
        <f t="shared" si="10"/>
        <v>3.577142857142857</v>
      </c>
      <c r="AD34" s="54">
        <f t="shared" si="11"/>
        <v>4.277857142857143</v>
      </c>
      <c r="AE34" s="52">
        <f t="shared" si="12"/>
        <v>19</v>
      </c>
      <c r="AF34" s="52" t="str">
        <f t="shared" si="13"/>
        <v>دون المتوسط</v>
      </c>
      <c r="AG34" s="52" t="str">
        <f t="shared" si="0"/>
        <v>يكرر</v>
      </c>
    </row>
    <row r="35" spans="1:33" ht="15" customHeight="1" x14ac:dyDescent="0.2">
      <c r="A35" s="85">
        <f>IF(info!$A40="","",info!$A40)</f>
        <v>25</v>
      </c>
      <c r="B35" s="85">
        <f>IF($A35="","",info!$F40)</f>
        <v>0</v>
      </c>
      <c r="C35" s="88" t="str">
        <f>IF($A35="","",info!$C40)</f>
        <v>سكينة</v>
      </c>
      <c r="D35" s="53">
        <f>IF('sem1'!V34="","",'sem1'!V34)</f>
        <v>4.9000000000000004</v>
      </c>
      <c r="E35" s="53">
        <f>IF('sem2'!V34="","",'sem2'!V34)</f>
        <v>5.9</v>
      </c>
      <c r="F35" s="54">
        <f t="shared" si="1"/>
        <v>5.4</v>
      </c>
      <c r="G35" s="53" t="str">
        <f>IF('sem1'!Y34="","",'sem1'!Y34)</f>
        <v/>
      </c>
      <c r="H35" s="53" t="str">
        <f>IF('sem2'!Y34="","",'sem2'!Y34)</f>
        <v/>
      </c>
      <c r="I35" s="54" t="str">
        <f t="shared" si="2"/>
        <v/>
      </c>
      <c r="J35" s="53">
        <f>IF('sem1'!AD34="","",'sem1'!AD34)</f>
        <v>4.59375</v>
      </c>
      <c r="K35" s="53">
        <f>IF('sem2'!AD34="","",'sem2'!AD34)</f>
        <v>5.125</v>
      </c>
      <c r="L35" s="54">
        <f t="shared" si="3"/>
        <v>4.859375</v>
      </c>
      <c r="M35" s="55">
        <f>IF('sem1'!AG34="","",'sem1'!AG34)</f>
        <v>5.58</v>
      </c>
      <c r="N35" s="53">
        <f>IF('sem2'!AG34="","",'sem2'!AG34)</f>
        <v>3.75</v>
      </c>
      <c r="O35" s="54">
        <f t="shared" si="4"/>
        <v>4.665</v>
      </c>
      <c r="P35" s="55">
        <f>IF('sem1'!AJ34="","",'sem1'!AJ34)</f>
        <v>6.625</v>
      </c>
      <c r="Q35" s="53">
        <f>IF('sem2'!AJ34="","",'sem2'!AJ34)</f>
        <v>5.5</v>
      </c>
      <c r="R35" s="54">
        <f t="shared" si="5"/>
        <v>6.0625</v>
      </c>
      <c r="S35" s="55">
        <f>IF('sem1'!AM34="","",'sem1'!AM34)</f>
        <v>5.25</v>
      </c>
      <c r="T35" s="53">
        <f>IF('sem2'!AM34="","",'sem2'!AM34)</f>
        <v>4.9399999999999995</v>
      </c>
      <c r="U35" s="54">
        <f t="shared" si="6"/>
        <v>5.0949999999999998</v>
      </c>
      <c r="V35" s="55">
        <f>IF('sem1'!AP34="","",'sem1'!AP34)</f>
        <v>4.1875</v>
      </c>
      <c r="W35" s="53">
        <f>IF('sem2'!AP34="","",'sem2'!AP34)</f>
        <v>4.5</v>
      </c>
      <c r="X35" s="54">
        <f t="shared" si="7"/>
        <v>4.34375</v>
      </c>
      <c r="Y35" s="55">
        <f>IF('sem1'!AS34="","",'sem1'!AS34)</f>
        <v>5.75</v>
      </c>
      <c r="Z35" s="53">
        <f>IF('sem2'!AS34="","",'sem2'!AS34)</f>
        <v>6.25</v>
      </c>
      <c r="AA35" s="54">
        <f t="shared" si="8"/>
        <v>6</v>
      </c>
      <c r="AB35" s="55">
        <f t="shared" si="9"/>
        <v>5.2694642857142862</v>
      </c>
      <c r="AC35" s="55">
        <f t="shared" si="10"/>
        <v>5.1378571428571425</v>
      </c>
      <c r="AD35" s="54">
        <f t="shared" si="11"/>
        <v>5.2036607142857143</v>
      </c>
      <c r="AE35" s="52">
        <f t="shared" si="12"/>
        <v>14</v>
      </c>
      <c r="AF35" s="52" t="str">
        <f t="shared" si="13"/>
        <v>متوسط</v>
      </c>
      <c r="AG35" s="52" t="str">
        <f t="shared" si="0"/>
        <v>ينتقل</v>
      </c>
    </row>
    <row r="36" spans="1:33" ht="15" customHeight="1" x14ac:dyDescent="0.2">
      <c r="A36" s="85" t="str">
        <f>IF(info!$A41="","",info!$A41)</f>
        <v/>
      </c>
      <c r="B36" s="85" t="str">
        <f>IF($A36="","",info!$F41)</f>
        <v/>
      </c>
      <c r="C36" s="88" t="str">
        <f>IF($A36="","",info!$C41)</f>
        <v/>
      </c>
      <c r="D36" s="53" t="str">
        <f>IF('sem1'!V35="","",'sem1'!V35)</f>
        <v/>
      </c>
      <c r="E36" s="53" t="str">
        <f>IF('sem2'!V35="","",'sem2'!V35)</f>
        <v/>
      </c>
      <c r="F36" s="54" t="str">
        <f t="shared" si="1"/>
        <v/>
      </c>
      <c r="G36" s="53" t="str">
        <f>IF('sem1'!Y35="","",'sem1'!Y35)</f>
        <v/>
      </c>
      <c r="H36" s="53" t="str">
        <f>IF('sem2'!Y35="","",'sem2'!Y35)</f>
        <v/>
      </c>
      <c r="I36" s="54" t="str">
        <f t="shared" si="2"/>
        <v/>
      </c>
      <c r="J36" s="53" t="str">
        <f>IF('sem1'!AD35="","",'sem1'!AD35)</f>
        <v/>
      </c>
      <c r="K36" s="53" t="str">
        <f>IF('sem2'!AD35="","",'sem2'!AD35)</f>
        <v/>
      </c>
      <c r="L36" s="54" t="str">
        <f t="shared" si="3"/>
        <v/>
      </c>
      <c r="M36" s="55" t="str">
        <f>IF('sem1'!AG35="","",'sem1'!AG35)</f>
        <v/>
      </c>
      <c r="N36" s="53" t="str">
        <f>IF('sem2'!AG35="","",'sem2'!AG35)</f>
        <v/>
      </c>
      <c r="O36" s="54" t="str">
        <f t="shared" si="4"/>
        <v/>
      </c>
      <c r="P36" s="55" t="str">
        <f>IF('sem1'!AJ35="","",'sem1'!AJ35)</f>
        <v/>
      </c>
      <c r="Q36" s="53" t="str">
        <f>IF('sem2'!AJ35="","",'sem2'!AJ35)</f>
        <v/>
      </c>
      <c r="R36" s="54" t="str">
        <f t="shared" si="5"/>
        <v/>
      </c>
      <c r="S36" s="55" t="str">
        <f>IF('sem1'!AM35="","",'sem1'!AM35)</f>
        <v/>
      </c>
      <c r="T36" s="53" t="str">
        <f>IF('sem2'!AM35="","",'sem2'!AM35)</f>
        <v/>
      </c>
      <c r="U36" s="54" t="str">
        <f t="shared" si="6"/>
        <v/>
      </c>
      <c r="V36" s="55" t="str">
        <f>IF('sem1'!AP35="","",'sem1'!AP35)</f>
        <v/>
      </c>
      <c r="W36" s="53" t="str">
        <f>IF('sem2'!AP35="","",'sem2'!AP35)</f>
        <v/>
      </c>
      <c r="X36" s="54" t="str">
        <f t="shared" si="7"/>
        <v/>
      </c>
      <c r="Y36" s="55" t="str">
        <f>IF('sem1'!AS35="","",'sem1'!AS35)</f>
        <v/>
      </c>
      <c r="Z36" s="53" t="str">
        <f>IF('sem2'!AS35="","",'sem2'!AS35)</f>
        <v/>
      </c>
      <c r="AA36" s="54" t="str">
        <f t="shared" si="8"/>
        <v/>
      </c>
      <c r="AB36" s="55" t="str">
        <f t="shared" si="9"/>
        <v/>
      </c>
      <c r="AC36" s="55" t="str">
        <f t="shared" si="10"/>
        <v/>
      </c>
      <c r="AD36" s="54" t="str">
        <f t="shared" si="11"/>
        <v/>
      </c>
      <c r="AE36" s="52" t="str">
        <f t="shared" si="12"/>
        <v/>
      </c>
      <c r="AF36" s="52" t="str">
        <f t="shared" si="13"/>
        <v/>
      </c>
      <c r="AG36" s="52" t="str">
        <f t="shared" si="0"/>
        <v/>
      </c>
    </row>
    <row r="37" spans="1:33" ht="15" customHeight="1" x14ac:dyDescent="0.2">
      <c r="A37" s="85" t="str">
        <f>IF(info!$A42="","",info!$A42)</f>
        <v/>
      </c>
      <c r="B37" s="85" t="str">
        <f>IF($A37="","",info!$F42)</f>
        <v/>
      </c>
      <c r="C37" s="88" t="str">
        <f>IF($A37="","",info!$C42)</f>
        <v/>
      </c>
      <c r="D37" s="53" t="str">
        <f>IF('sem1'!V36="","",'sem1'!V36)</f>
        <v/>
      </c>
      <c r="E37" s="53" t="str">
        <f>IF('sem2'!V36="","",'sem2'!V36)</f>
        <v/>
      </c>
      <c r="F37" s="54" t="str">
        <f t="shared" si="1"/>
        <v/>
      </c>
      <c r="G37" s="53" t="str">
        <f>IF('sem1'!Y36="","",'sem1'!Y36)</f>
        <v/>
      </c>
      <c r="H37" s="53" t="str">
        <f>IF('sem2'!Y36="","",'sem2'!Y36)</f>
        <v/>
      </c>
      <c r="I37" s="54" t="str">
        <f t="shared" si="2"/>
        <v/>
      </c>
      <c r="J37" s="53" t="str">
        <f>IF('sem1'!AD36="","",'sem1'!AD36)</f>
        <v/>
      </c>
      <c r="K37" s="53" t="str">
        <f>IF('sem2'!AD36="","",'sem2'!AD36)</f>
        <v/>
      </c>
      <c r="L37" s="54" t="str">
        <f t="shared" si="3"/>
        <v/>
      </c>
      <c r="M37" s="55" t="str">
        <f>IF('sem1'!AG36="","",'sem1'!AG36)</f>
        <v/>
      </c>
      <c r="N37" s="53" t="str">
        <f>IF('sem2'!AG36="","",'sem2'!AG36)</f>
        <v/>
      </c>
      <c r="O37" s="54" t="str">
        <f t="shared" si="4"/>
        <v/>
      </c>
      <c r="P37" s="55" t="str">
        <f>IF('sem1'!AJ36="","",'sem1'!AJ36)</f>
        <v/>
      </c>
      <c r="Q37" s="53" t="str">
        <f>IF('sem2'!AJ36="","",'sem2'!AJ36)</f>
        <v/>
      </c>
      <c r="R37" s="54" t="str">
        <f t="shared" si="5"/>
        <v/>
      </c>
      <c r="S37" s="55" t="str">
        <f>IF('sem1'!AM36="","",'sem1'!AM36)</f>
        <v/>
      </c>
      <c r="T37" s="53" t="str">
        <f>IF('sem2'!AM36="","",'sem2'!AM36)</f>
        <v/>
      </c>
      <c r="U37" s="54" t="str">
        <f t="shared" si="6"/>
        <v/>
      </c>
      <c r="V37" s="55" t="str">
        <f>IF('sem1'!AP36="","",'sem1'!AP36)</f>
        <v/>
      </c>
      <c r="W37" s="53" t="str">
        <f>IF('sem2'!AP36="","",'sem2'!AP36)</f>
        <v/>
      </c>
      <c r="X37" s="54" t="str">
        <f t="shared" si="7"/>
        <v/>
      </c>
      <c r="Y37" s="55" t="str">
        <f>IF('sem1'!AS36="","",'sem1'!AS36)</f>
        <v/>
      </c>
      <c r="Z37" s="53" t="str">
        <f>IF('sem2'!AS36="","",'sem2'!AS36)</f>
        <v/>
      </c>
      <c r="AA37" s="54" t="str">
        <f t="shared" si="8"/>
        <v/>
      </c>
      <c r="AB37" s="55" t="str">
        <f t="shared" si="9"/>
        <v/>
      </c>
      <c r="AC37" s="55" t="str">
        <f t="shared" si="10"/>
        <v/>
      </c>
      <c r="AD37" s="54" t="str">
        <f t="shared" si="11"/>
        <v/>
      </c>
      <c r="AE37" s="52" t="str">
        <f t="shared" si="12"/>
        <v/>
      </c>
      <c r="AF37" s="52" t="str">
        <f t="shared" si="13"/>
        <v/>
      </c>
      <c r="AG37" s="52" t="str">
        <f t="shared" si="0"/>
        <v/>
      </c>
    </row>
    <row r="38" spans="1:33" ht="15" customHeight="1" x14ac:dyDescent="0.2">
      <c r="A38" s="85" t="str">
        <f>IF(info!$A43="","",info!$A43)</f>
        <v/>
      </c>
      <c r="B38" s="85" t="str">
        <f>IF($A38="","",info!$F43)</f>
        <v/>
      </c>
      <c r="C38" s="88" t="str">
        <f>IF($A38="","",info!$C43)</f>
        <v/>
      </c>
      <c r="D38" s="53" t="str">
        <f>IF('sem1'!V37="","",'sem1'!V37)</f>
        <v/>
      </c>
      <c r="E38" s="53" t="str">
        <f>IF('sem2'!V37="","",'sem2'!V37)</f>
        <v/>
      </c>
      <c r="F38" s="54" t="str">
        <f t="shared" si="1"/>
        <v/>
      </c>
      <c r="G38" s="53" t="str">
        <f>IF('sem1'!Y37="","",'sem1'!Y37)</f>
        <v/>
      </c>
      <c r="H38" s="53" t="str">
        <f>IF('sem2'!Y37="","",'sem2'!Y37)</f>
        <v/>
      </c>
      <c r="I38" s="54" t="str">
        <f t="shared" si="2"/>
        <v/>
      </c>
      <c r="J38" s="53" t="str">
        <f>IF('sem1'!AD37="","",'sem1'!AD37)</f>
        <v/>
      </c>
      <c r="K38" s="53" t="str">
        <f>IF('sem2'!AD37="","",'sem2'!AD37)</f>
        <v/>
      </c>
      <c r="L38" s="54" t="str">
        <f t="shared" si="3"/>
        <v/>
      </c>
      <c r="M38" s="55" t="str">
        <f>IF('sem1'!AG37="","",'sem1'!AG37)</f>
        <v/>
      </c>
      <c r="N38" s="53" t="str">
        <f>IF('sem2'!AG37="","",'sem2'!AG37)</f>
        <v/>
      </c>
      <c r="O38" s="54" t="str">
        <f t="shared" si="4"/>
        <v/>
      </c>
      <c r="P38" s="55" t="str">
        <f>IF('sem1'!AJ37="","",'sem1'!AJ37)</f>
        <v/>
      </c>
      <c r="Q38" s="53" t="str">
        <f>IF('sem2'!AJ37="","",'sem2'!AJ37)</f>
        <v/>
      </c>
      <c r="R38" s="54" t="str">
        <f t="shared" si="5"/>
        <v/>
      </c>
      <c r="S38" s="55" t="str">
        <f>IF('sem1'!AM37="","",'sem1'!AM37)</f>
        <v/>
      </c>
      <c r="T38" s="53" t="str">
        <f>IF('sem2'!AM37="","",'sem2'!AM37)</f>
        <v/>
      </c>
      <c r="U38" s="54" t="str">
        <f t="shared" si="6"/>
        <v/>
      </c>
      <c r="V38" s="55" t="str">
        <f>IF('sem1'!AP37="","",'sem1'!AP37)</f>
        <v/>
      </c>
      <c r="W38" s="53" t="str">
        <f>IF('sem2'!AP37="","",'sem2'!AP37)</f>
        <v/>
      </c>
      <c r="X38" s="54" t="str">
        <f t="shared" si="7"/>
        <v/>
      </c>
      <c r="Y38" s="55" t="str">
        <f>IF('sem1'!AS37="","",'sem1'!AS37)</f>
        <v/>
      </c>
      <c r="Z38" s="53" t="str">
        <f>IF('sem2'!AS37="","",'sem2'!AS37)</f>
        <v/>
      </c>
      <c r="AA38" s="54" t="str">
        <f t="shared" si="8"/>
        <v/>
      </c>
      <c r="AB38" s="55" t="str">
        <f t="shared" si="9"/>
        <v/>
      </c>
      <c r="AC38" s="55" t="str">
        <f t="shared" si="10"/>
        <v/>
      </c>
      <c r="AD38" s="54" t="str">
        <f t="shared" si="11"/>
        <v/>
      </c>
      <c r="AE38" s="52" t="str">
        <f t="shared" si="12"/>
        <v/>
      </c>
      <c r="AF38" s="52" t="str">
        <f t="shared" si="13"/>
        <v/>
      </c>
      <c r="AG38" s="52" t="str">
        <f t="shared" si="0"/>
        <v/>
      </c>
    </row>
    <row r="39" spans="1:33" ht="15" customHeight="1" x14ac:dyDescent="0.2">
      <c r="A39" s="85" t="str">
        <f>IF(info!$A44="","",info!$A44)</f>
        <v/>
      </c>
      <c r="B39" s="85" t="str">
        <f>IF($A39="","",info!$F44)</f>
        <v/>
      </c>
      <c r="C39" s="88" t="str">
        <f>IF($A39="","",info!$C44)</f>
        <v/>
      </c>
      <c r="D39" s="53" t="str">
        <f>IF('sem1'!V38="","",'sem1'!V38)</f>
        <v/>
      </c>
      <c r="E39" s="53" t="str">
        <f>IF('sem2'!V38="","",'sem2'!V38)</f>
        <v/>
      </c>
      <c r="F39" s="54" t="str">
        <f t="shared" si="1"/>
        <v/>
      </c>
      <c r="G39" s="53" t="str">
        <f>IF('sem1'!Y38="","",'sem1'!Y38)</f>
        <v/>
      </c>
      <c r="H39" s="53" t="str">
        <f>IF('sem2'!Y38="","",'sem2'!Y38)</f>
        <v/>
      </c>
      <c r="I39" s="54" t="str">
        <f t="shared" si="2"/>
        <v/>
      </c>
      <c r="J39" s="53" t="str">
        <f>IF('sem1'!AD38="","",'sem1'!AD38)</f>
        <v/>
      </c>
      <c r="K39" s="53" t="str">
        <f>IF('sem2'!AD38="","",'sem2'!AD38)</f>
        <v/>
      </c>
      <c r="L39" s="54" t="str">
        <f t="shared" si="3"/>
        <v/>
      </c>
      <c r="M39" s="55" t="str">
        <f>IF('sem1'!AG38="","",'sem1'!AG38)</f>
        <v/>
      </c>
      <c r="N39" s="53" t="str">
        <f>IF('sem2'!AG38="","",'sem2'!AG38)</f>
        <v/>
      </c>
      <c r="O39" s="54" t="str">
        <f t="shared" si="4"/>
        <v/>
      </c>
      <c r="P39" s="55" t="str">
        <f>IF('sem1'!AJ38="","",'sem1'!AJ38)</f>
        <v/>
      </c>
      <c r="Q39" s="53" t="str">
        <f>IF('sem2'!AJ38="","",'sem2'!AJ38)</f>
        <v/>
      </c>
      <c r="R39" s="54" t="str">
        <f t="shared" si="5"/>
        <v/>
      </c>
      <c r="S39" s="55" t="str">
        <f>IF('sem1'!AM38="","",'sem1'!AM38)</f>
        <v/>
      </c>
      <c r="T39" s="53" t="str">
        <f>IF('sem2'!AM38="","",'sem2'!AM38)</f>
        <v/>
      </c>
      <c r="U39" s="54" t="str">
        <f t="shared" si="6"/>
        <v/>
      </c>
      <c r="V39" s="55" t="str">
        <f>IF('sem1'!AP38="","",'sem1'!AP38)</f>
        <v/>
      </c>
      <c r="W39" s="53" t="str">
        <f>IF('sem2'!AP38="","",'sem2'!AP38)</f>
        <v/>
      </c>
      <c r="X39" s="54" t="str">
        <f t="shared" si="7"/>
        <v/>
      </c>
      <c r="Y39" s="55" t="str">
        <f>IF('sem1'!AS38="","",'sem1'!AS38)</f>
        <v/>
      </c>
      <c r="Z39" s="53" t="str">
        <f>IF('sem2'!AS38="","",'sem2'!AS38)</f>
        <v/>
      </c>
      <c r="AA39" s="54" t="str">
        <f t="shared" si="8"/>
        <v/>
      </c>
      <c r="AB39" s="55" t="str">
        <f t="shared" si="9"/>
        <v/>
      </c>
      <c r="AC39" s="55" t="str">
        <f t="shared" si="10"/>
        <v/>
      </c>
      <c r="AD39" s="54" t="str">
        <f t="shared" si="11"/>
        <v/>
      </c>
      <c r="AE39" s="52" t="str">
        <f t="shared" si="12"/>
        <v/>
      </c>
      <c r="AF39" s="52" t="str">
        <f t="shared" si="13"/>
        <v/>
      </c>
      <c r="AG39" s="52" t="str">
        <f t="shared" si="0"/>
        <v/>
      </c>
    </row>
    <row r="40" spans="1:33" ht="15" customHeight="1" x14ac:dyDescent="0.2">
      <c r="A40" s="85" t="str">
        <f>IF(info!$A45="","",info!$A45)</f>
        <v/>
      </c>
      <c r="B40" s="85" t="str">
        <f>IF($A40="","",info!$F45)</f>
        <v/>
      </c>
      <c r="C40" s="88" t="str">
        <f>IF($A40="","",info!$C45)</f>
        <v/>
      </c>
      <c r="D40" s="53" t="str">
        <f>IF('sem1'!V39="","",'sem1'!V39)</f>
        <v/>
      </c>
      <c r="E40" s="53" t="str">
        <f>IF('sem2'!V39="","",'sem2'!V39)</f>
        <v/>
      </c>
      <c r="F40" s="54" t="str">
        <f t="shared" si="1"/>
        <v/>
      </c>
      <c r="G40" s="53" t="str">
        <f>IF('sem1'!Y39="","",'sem1'!Y39)</f>
        <v/>
      </c>
      <c r="H40" s="53" t="str">
        <f>IF('sem2'!Y39="","",'sem2'!Y39)</f>
        <v/>
      </c>
      <c r="I40" s="54" t="str">
        <f t="shared" si="2"/>
        <v/>
      </c>
      <c r="J40" s="53" t="str">
        <f>IF('sem1'!AD39="","",'sem1'!AD39)</f>
        <v/>
      </c>
      <c r="K40" s="53" t="str">
        <f>IF('sem2'!AD39="","",'sem2'!AD39)</f>
        <v/>
      </c>
      <c r="L40" s="54" t="str">
        <f t="shared" si="3"/>
        <v/>
      </c>
      <c r="M40" s="55" t="str">
        <f>IF('sem1'!AG39="","",'sem1'!AG39)</f>
        <v/>
      </c>
      <c r="N40" s="53" t="str">
        <f>IF('sem2'!AG39="","",'sem2'!AG39)</f>
        <v/>
      </c>
      <c r="O40" s="54" t="str">
        <f t="shared" si="4"/>
        <v/>
      </c>
      <c r="P40" s="55" t="str">
        <f>IF('sem1'!AJ39="","",'sem1'!AJ39)</f>
        <v/>
      </c>
      <c r="Q40" s="53" t="str">
        <f>IF('sem2'!AJ39="","",'sem2'!AJ39)</f>
        <v/>
      </c>
      <c r="R40" s="54" t="str">
        <f t="shared" si="5"/>
        <v/>
      </c>
      <c r="S40" s="55" t="str">
        <f>IF('sem1'!AM39="","",'sem1'!AM39)</f>
        <v/>
      </c>
      <c r="T40" s="53" t="str">
        <f>IF('sem2'!AM39="","",'sem2'!AM39)</f>
        <v/>
      </c>
      <c r="U40" s="54" t="str">
        <f t="shared" si="6"/>
        <v/>
      </c>
      <c r="V40" s="55" t="str">
        <f>IF('sem1'!AP39="","",'sem1'!AP39)</f>
        <v/>
      </c>
      <c r="W40" s="53" t="str">
        <f>IF('sem2'!AP39="","",'sem2'!AP39)</f>
        <v/>
      </c>
      <c r="X40" s="54" t="str">
        <f t="shared" si="7"/>
        <v/>
      </c>
      <c r="Y40" s="55" t="str">
        <f>IF('sem1'!AS39="","",'sem1'!AS39)</f>
        <v/>
      </c>
      <c r="Z40" s="53" t="str">
        <f>IF('sem2'!AS39="","",'sem2'!AS39)</f>
        <v/>
      </c>
      <c r="AA40" s="54" t="str">
        <f t="shared" si="8"/>
        <v/>
      </c>
      <c r="AB40" s="55" t="str">
        <f t="shared" si="9"/>
        <v/>
      </c>
      <c r="AC40" s="55" t="str">
        <f t="shared" si="10"/>
        <v/>
      </c>
      <c r="AD40" s="54" t="str">
        <f t="shared" si="11"/>
        <v/>
      </c>
      <c r="AE40" s="52" t="str">
        <f t="shared" si="12"/>
        <v/>
      </c>
      <c r="AF40" s="52" t="str">
        <f t="shared" si="13"/>
        <v/>
      </c>
      <c r="AG40" s="52" t="str">
        <f t="shared" si="0"/>
        <v/>
      </c>
    </row>
    <row r="41" spans="1:33" ht="15" customHeight="1" x14ac:dyDescent="0.2">
      <c r="A41" s="85" t="str">
        <f>IF(info!$A46="","",info!$A46)</f>
        <v/>
      </c>
      <c r="B41" s="85" t="str">
        <f>IF($A41="","",info!$F46)</f>
        <v/>
      </c>
      <c r="C41" s="88" t="str">
        <f>IF($A41="","",info!$C46)</f>
        <v/>
      </c>
      <c r="D41" s="53" t="str">
        <f>IF('sem1'!V40="","",'sem1'!V40)</f>
        <v/>
      </c>
      <c r="E41" s="53" t="str">
        <f>IF('sem2'!V40="","",'sem2'!V40)</f>
        <v/>
      </c>
      <c r="F41" s="54" t="str">
        <f t="shared" si="1"/>
        <v/>
      </c>
      <c r="G41" s="53" t="str">
        <f>IF('sem1'!Y40="","",'sem1'!Y40)</f>
        <v/>
      </c>
      <c r="H41" s="53" t="str">
        <f>IF('sem2'!Y40="","",'sem2'!Y40)</f>
        <v/>
      </c>
      <c r="I41" s="54" t="str">
        <f t="shared" si="2"/>
        <v/>
      </c>
      <c r="J41" s="53" t="str">
        <f>IF('sem1'!AD40="","",'sem1'!AD40)</f>
        <v/>
      </c>
      <c r="K41" s="53" t="str">
        <f>IF('sem2'!AD40="","",'sem2'!AD40)</f>
        <v/>
      </c>
      <c r="L41" s="54" t="str">
        <f t="shared" si="3"/>
        <v/>
      </c>
      <c r="M41" s="55" t="str">
        <f>IF('sem1'!AG40="","",'sem1'!AG40)</f>
        <v/>
      </c>
      <c r="N41" s="53" t="str">
        <f>IF('sem2'!AG40="","",'sem2'!AG40)</f>
        <v/>
      </c>
      <c r="O41" s="54" t="str">
        <f t="shared" si="4"/>
        <v/>
      </c>
      <c r="P41" s="55" t="str">
        <f>IF('sem1'!AJ40="","",'sem1'!AJ40)</f>
        <v/>
      </c>
      <c r="Q41" s="53" t="str">
        <f>IF('sem2'!AJ40="","",'sem2'!AJ40)</f>
        <v/>
      </c>
      <c r="R41" s="54" t="str">
        <f t="shared" si="5"/>
        <v/>
      </c>
      <c r="S41" s="55" t="str">
        <f>IF('sem1'!AM40="","",'sem1'!AM40)</f>
        <v/>
      </c>
      <c r="T41" s="53" t="str">
        <f>IF('sem2'!AM40="","",'sem2'!AM40)</f>
        <v/>
      </c>
      <c r="U41" s="54" t="str">
        <f t="shared" si="6"/>
        <v/>
      </c>
      <c r="V41" s="55" t="str">
        <f>IF('sem1'!AP40="","",'sem1'!AP40)</f>
        <v/>
      </c>
      <c r="W41" s="53" t="str">
        <f>IF('sem2'!AP40="","",'sem2'!AP40)</f>
        <v/>
      </c>
      <c r="X41" s="54" t="str">
        <f t="shared" si="7"/>
        <v/>
      </c>
      <c r="Y41" s="55" t="str">
        <f>IF('sem1'!AS40="","",'sem1'!AS40)</f>
        <v/>
      </c>
      <c r="Z41" s="53" t="str">
        <f>IF('sem2'!AS40="","",'sem2'!AS40)</f>
        <v/>
      </c>
      <c r="AA41" s="54" t="str">
        <f t="shared" si="8"/>
        <v/>
      </c>
      <c r="AB41" s="55" t="str">
        <f t="shared" si="9"/>
        <v/>
      </c>
      <c r="AC41" s="55" t="str">
        <f t="shared" si="10"/>
        <v/>
      </c>
      <c r="AD41" s="54" t="str">
        <f t="shared" si="11"/>
        <v/>
      </c>
      <c r="AE41" s="52" t="str">
        <f t="shared" si="12"/>
        <v/>
      </c>
      <c r="AF41" s="52" t="str">
        <f t="shared" si="13"/>
        <v/>
      </c>
      <c r="AG41" s="52" t="str">
        <f t="shared" si="0"/>
        <v/>
      </c>
    </row>
    <row r="42" spans="1:33" ht="15" customHeight="1" x14ac:dyDescent="0.2">
      <c r="A42" s="85" t="str">
        <f>IF(info!$A47="","",info!$A47)</f>
        <v/>
      </c>
      <c r="B42" s="85" t="str">
        <f>IF($A42="","",info!$F47)</f>
        <v/>
      </c>
      <c r="C42" s="88" t="str">
        <f>IF($A42="","",info!$C47)</f>
        <v/>
      </c>
      <c r="D42" s="53" t="str">
        <f>IF('sem1'!V41="","",'sem1'!V41)</f>
        <v/>
      </c>
      <c r="E42" s="53" t="str">
        <f>IF('sem2'!V41="","",'sem2'!V41)</f>
        <v/>
      </c>
      <c r="F42" s="54" t="str">
        <f t="shared" si="1"/>
        <v/>
      </c>
      <c r="G42" s="53" t="str">
        <f>IF('sem1'!Y41="","",'sem1'!Y41)</f>
        <v/>
      </c>
      <c r="H42" s="53" t="str">
        <f>IF('sem2'!Y41="","",'sem2'!Y41)</f>
        <v/>
      </c>
      <c r="I42" s="54" t="str">
        <f t="shared" si="2"/>
        <v/>
      </c>
      <c r="J42" s="53" t="str">
        <f>IF('sem1'!AD41="","",'sem1'!AD41)</f>
        <v/>
      </c>
      <c r="K42" s="53" t="str">
        <f>IF('sem2'!AD41="","",'sem2'!AD41)</f>
        <v/>
      </c>
      <c r="L42" s="54" t="str">
        <f t="shared" si="3"/>
        <v/>
      </c>
      <c r="M42" s="55" t="str">
        <f>IF('sem1'!AG41="","",'sem1'!AG41)</f>
        <v/>
      </c>
      <c r="N42" s="53" t="str">
        <f>IF('sem2'!AG41="","",'sem2'!AG41)</f>
        <v/>
      </c>
      <c r="O42" s="54" t="str">
        <f t="shared" si="4"/>
        <v/>
      </c>
      <c r="P42" s="55" t="str">
        <f>IF('sem1'!AJ41="","",'sem1'!AJ41)</f>
        <v/>
      </c>
      <c r="Q42" s="53" t="str">
        <f>IF('sem2'!AJ41="","",'sem2'!AJ41)</f>
        <v/>
      </c>
      <c r="R42" s="54" t="str">
        <f t="shared" si="5"/>
        <v/>
      </c>
      <c r="S42" s="55" t="str">
        <f>IF('sem1'!AM41="","",'sem1'!AM41)</f>
        <v/>
      </c>
      <c r="T42" s="53" t="str">
        <f>IF('sem2'!AM41="","",'sem2'!AM41)</f>
        <v/>
      </c>
      <c r="U42" s="54" t="str">
        <f t="shared" si="6"/>
        <v/>
      </c>
      <c r="V42" s="55" t="str">
        <f>IF('sem1'!AP41="","",'sem1'!AP41)</f>
        <v/>
      </c>
      <c r="W42" s="53" t="str">
        <f>IF('sem2'!AP41="","",'sem2'!AP41)</f>
        <v/>
      </c>
      <c r="X42" s="54" t="str">
        <f t="shared" si="7"/>
        <v/>
      </c>
      <c r="Y42" s="55" t="str">
        <f>IF('sem1'!AS41="","",'sem1'!AS41)</f>
        <v/>
      </c>
      <c r="Z42" s="53" t="str">
        <f>IF('sem2'!AS41="","",'sem2'!AS41)</f>
        <v/>
      </c>
      <c r="AA42" s="54" t="str">
        <f t="shared" si="8"/>
        <v/>
      </c>
      <c r="AB42" s="55" t="str">
        <f t="shared" si="9"/>
        <v/>
      </c>
      <c r="AC42" s="55" t="str">
        <f t="shared" si="10"/>
        <v/>
      </c>
      <c r="AD42" s="54" t="str">
        <f t="shared" si="11"/>
        <v/>
      </c>
      <c r="AE42" s="52" t="str">
        <f t="shared" si="12"/>
        <v/>
      </c>
      <c r="AF42" s="52" t="str">
        <f t="shared" si="13"/>
        <v/>
      </c>
      <c r="AG42" s="52" t="str">
        <f t="shared" si="0"/>
        <v/>
      </c>
    </row>
    <row r="43" spans="1:33" ht="15" customHeight="1" x14ac:dyDescent="0.2">
      <c r="A43" s="85" t="str">
        <f>IF(info!$A48="","",info!$A48)</f>
        <v/>
      </c>
      <c r="B43" s="85" t="str">
        <f>IF($A43="","",info!$F48)</f>
        <v/>
      </c>
      <c r="C43" s="88" t="str">
        <f>IF($A43="","",info!$C48)</f>
        <v/>
      </c>
      <c r="D43" s="53" t="str">
        <f>IF('sem1'!V42="","",'sem1'!V42)</f>
        <v/>
      </c>
      <c r="E43" s="53" t="str">
        <f>IF('sem2'!V42="","",'sem2'!V42)</f>
        <v/>
      </c>
      <c r="F43" s="54" t="str">
        <f t="shared" si="1"/>
        <v/>
      </c>
      <c r="G43" s="53" t="str">
        <f>IF('sem1'!Y42="","",'sem1'!Y42)</f>
        <v/>
      </c>
      <c r="H43" s="53" t="str">
        <f>IF('sem2'!Y42="","",'sem2'!Y42)</f>
        <v/>
      </c>
      <c r="I43" s="54" t="str">
        <f t="shared" si="2"/>
        <v/>
      </c>
      <c r="J43" s="53" t="str">
        <f>IF('sem1'!AD42="","",'sem1'!AD42)</f>
        <v/>
      </c>
      <c r="K43" s="53" t="str">
        <f>IF('sem2'!AD42="","",'sem2'!AD42)</f>
        <v/>
      </c>
      <c r="L43" s="54" t="str">
        <f t="shared" si="3"/>
        <v/>
      </c>
      <c r="M43" s="55" t="str">
        <f>IF('sem1'!AG42="","",'sem1'!AG42)</f>
        <v/>
      </c>
      <c r="N43" s="53" t="str">
        <f>IF('sem2'!AG42="","",'sem2'!AG42)</f>
        <v/>
      </c>
      <c r="O43" s="54" t="str">
        <f t="shared" si="4"/>
        <v/>
      </c>
      <c r="P43" s="55" t="str">
        <f>IF('sem1'!AJ42="","",'sem1'!AJ42)</f>
        <v/>
      </c>
      <c r="Q43" s="53" t="str">
        <f>IF('sem2'!AJ42="","",'sem2'!AJ42)</f>
        <v/>
      </c>
      <c r="R43" s="54" t="str">
        <f t="shared" si="5"/>
        <v/>
      </c>
      <c r="S43" s="55" t="str">
        <f>IF('sem1'!AM42="","",'sem1'!AM42)</f>
        <v/>
      </c>
      <c r="T43" s="53" t="str">
        <f>IF('sem2'!AM42="","",'sem2'!AM42)</f>
        <v/>
      </c>
      <c r="U43" s="54" t="str">
        <f t="shared" si="6"/>
        <v/>
      </c>
      <c r="V43" s="55" t="str">
        <f>IF('sem1'!AP42="","",'sem1'!AP42)</f>
        <v/>
      </c>
      <c r="W43" s="53" t="str">
        <f>IF('sem2'!AP42="","",'sem2'!AP42)</f>
        <v/>
      </c>
      <c r="X43" s="54" t="str">
        <f t="shared" si="7"/>
        <v/>
      </c>
      <c r="Y43" s="55" t="str">
        <f>IF('sem1'!AS42="","",'sem1'!AS42)</f>
        <v/>
      </c>
      <c r="Z43" s="53" t="str">
        <f>IF('sem2'!AS42="","",'sem2'!AS42)</f>
        <v/>
      </c>
      <c r="AA43" s="54" t="str">
        <f t="shared" si="8"/>
        <v/>
      </c>
      <c r="AB43" s="55" t="str">
        <f t="shared" si="9"/>
        <v/>
      </c>
      <c r="AC43" s="55" t="str">
        <f t="shared" si="10"/>
        <v/>
      </c>
      <c r="AD43" s="54" t="str">
        <f t="shared" si="11"/>
        <v/>
      </c>
      <c r="AE43" s="52" t="str">
        <f t="shared" si="12"/>
        <v/>
      </c>
      <c r="AF43" s="52" t="str">
        <f t="shared" si="13"/>
        <v/>
      </c>
      <c r="AG43" s="52" t="str">
        <f t="shared" si="0"/>
        <v/>
      </c>
    </row>
    <row r="44" spans="1:33" ht="15" customHeight="1" x14ac:dyDescent="0.2">
      <c r="A44" s="85" t="str">
        <f>IF(info!$A49="","",info!$A49)</f>
        <v/>
      </c>
      <c r="B44" s="85" t="str">
        <f>IF($A44="","",info!$F49)</f>
        <v/>
      </c>
      <c r="C44" s="88" t="str">
        <f>IF($A44="","",info!$C49)</f>
        <v/>
      </c>
      <c r="D44" s="53" t="str">
        <f>IF('sem1'!V43="","",'sem1'!V43)</f>
        <v/>
      </c>
      <c r="E44" s="53" t="str">
        <f>IF('sem2'!V43="","",'sem2'!V43)</f>
        <v/>
      </c>
      <c r="F44" s="54" t="str">
        <f t="shared" si="1"/>
        <v/>
      </c>
      <c r="G44" s="53" t="str">
        <f>IF('sem1'!Y43="","",'sem1'!Y43)</f>
        <v/>
      </c>
      <c r="H44" s="53" t="str">
        <f>IF('sem2'!Y43="","",'sem2'!Y43)</f>
        <v/>
      </c>
      <c r="I44" s="54" t="str">
        <f t="shared" si="2"/>
        <v/>
      </c>
      <c r="J44" s="53" t="str">
        <f>IF('sem1'!AD43="","",'sem1'!AD43)</f>
        <v/>
      </c>
      <c r="K44" s="53" t="str">
        <f>IF('sem2'!AD43="","",'sem2'!AD43)</f>
        <v/>
      </c>
      <c r="L44" s="54" t="str">
        <f t="shared" si="3"/>
        <v/>
      </c>
      <c r="M44" s="55" t="str">
        <f>IF('sem1'!AG43="","",'sem1'!AG43)</f>
        <v/>
      </c>
      <c r="N44" s="53" t="str">
        <f>IF('sem2'!AG43="","",'sem2'!AG43)</f>
        <v/>
      </c>
      <c r="O44" s="54" t="str">
        <f t="shared" si="4"/>
        <v/>
      </c>
      <c r="P44" s="55" t="str">
        <f>IF('sem1'!AJ43="","",'sem1'!AJ43)</f>
        <v/>
      </c>
      <c r="Q44" s="53" t="str">
        <f>IF('sem2'!AJ43="","",'sem2'!AJ43)</f>
        <v/>
      </c>
      <c r="R44" s="54" t="str">
        <f t="shared" si="5"/>
        <v/>
      </c>
      <c r="S44" s="55" t="str">
        <f>IF('sem1'!AM43="","",'sem1'!AM43)</f>
        <v/>
      </c>
      <c r="T44" s="53" t="str">
        <f>IF('sem2'!AM43="","",'sem2'!AM43)</f>
        <v/>
      </c>
      <c r="U44" s="54" t="str">
        <f t="shared" si="6"/>
        <v/>
      </c>
      <c r="V44" s="55" t="str">
        <f>IF('sem1'!AP43="","",'sem1'!AP43)</f>
        <v/>
      </c>
      <c r="W44" s="53" t="str">
        <f>IF('sem2'!AP43="","",'sem2'!AP43)</f>
        <v/>
      </c>
      <c r="X44" s="54" t="str">
        <f t="shared" si="7"/>
        <v/>
      </c>
      <c r="Y44" s="55" t="str">
        <f>IF('sem1'!AS43="","",'sem1'!AS43)</f>
        <v/>
      </c>
      <c r="Z44" s="53" t="str">
        <f>IF('sem2'!AS43="","",'sem2'!AS43)</f>
        <v/>
      </c>
      <c r="AA44" s="54" t="str">
        <f t="shared" si="8"/>
        <v/>
      </c>
      <c r="AB44" s="55" t="str">
        <f t="shared" si="9"/>
        <v/>
      </c>
      <c r="AC44" s="55" t="str">
        <f t="shared" si="10"/>
        <v/>
      </c>
      <c r="AD44" s="54" t="str">
        <f t="shared" si="11"/>
        <v/>
      </c>
      <c r="AE44" s="52" t="str">
        <f t="shared" si="12"/>
        <v/>
      </c>
      <c r="AF44" s="52" t="str">
        <f t="shared" si="13"/>
        <v/>
      </c>
      <c r="AG44" s="52" t="str">
        <f t="shared" si="0"/>
        <v/>
      </c>
    </row>
    <row r="45" spans="1:33" ht="15" customHeight="1" x14ac:dyDescent="0.2">
      <c r="A45" s="85" t="str">
        <f>IF(info!$A50="","",info!$A50)</f>
        <v/>
      </c>
      <c r="B45" s="85" t="str">
        <f>IF($A45="","",info!$F50)</f>
        <v/>
      </c>
      <c r="C45" s="88" t="str">
        <f>IF($A45="","",info!$C50)</f>
        <v/>
      </c>
      <c r="D45" s="53" t="str">
        <f>IF('sem1'!V44="","",'sem1'!V44)</f>
        <v/>
      </c>
      <c r="E45" s="53" t="str">
        <f>IF('sem2'!V44="","",'sem2'!V44)</f>
        <v/>
      </c>
      <c r="F45" s="54" t="str">
        <f t="shared" si="1"/>
        <v/>
      </c>
      <c r="G45" s="53" t="str">
        <f>IF('sem1'!Y44="","",'sem1'!Y44)</f>
        <v/>
      </c>
      <c r="H45" s="53" t="str">
        <f>IF('sem2'!Y44="","",'sem2'!Y44)</f>
        <v/>
      </c>
      <c r="I45" s="54" t="str">
        <f t="shared" si="2"/>
        <v/>
      </c>
      <c r="J45" s="53" t="str">
        <f>IF('sem1'!AD44="","",'sem1'!AD44)</f>
        <v/>
      </c>
      <c r="K45" s="53" t="str">
        <f>IF('sem2'!AD44="","",'sem2'!AD44)</f>
        <v/>
      </c>
      <c r="L45" s="54" t="str">
        <f t="shared" si="3"/>
        <v/>
      </c>
      <c r="M45" s="55" t="str">
        <f>IF('sem1'!AG44="","",'sem1'!AG44)</f>
        <v/>
      </c>
      <c r="N45" s="53" t="str">
        <f>IF('sem2'!AG44="","",'sem2'!AG44)</f>
        <v/>
      </c>
      <c r="O45" s="54" t="str">
        <f t="shared" si="4"/>
        <v/>
      </c>
      <c r="P45" s="55" t="str">
        <f>IF('sem1'!AJ44="","",'sem1'!AJ44)</f>
        <v/>
      </c>
      <c r="Q45" s="53" t="str">
        <f>IF('sem2'!AJ44="","",'sem2'!AJ44)</f>
        <v/>
      </c>
      <c r="R45" s="54" t="str">
        <f t="shared" si="5"/>
        <v/>
      </c>
      <c r="S45" s="55" t="str">
        <f>IF('sem1'!AM44="","",'sem1'!AM44)</f>
        <v/>
      </c>
      <c r="T45" s="53" t="str">
        <f>IF('sem2'!AM44="","",'sem2'!AM44)</f>
        <v/>
      </c>
      <c r="U45" s="54" t="str">
        <f t="shared" si="6"/>
        <v/>
      </c>
      <c r="V45" s="55" t="str">
        <f>IF('sem1'!AP44="","",'sem1'!AP44)</f>
        <v/>
      </c>
      <c r="W45" s="53" t="str">
        <f>IF('sem2'!AP44="","",'sem2'!AP44)</f>
        <v/>
      </c>
      <c r="X45" s="54" t="str">
        <f t="shared" si="7"/>
        <v/>
      </c>
      <c r="Y45" s="55" t="str">
        <f>IF('sem1'!AS44="","",'sem1'!AS44)</f>
        <v/>
      </c>
      <c r="Z45" s="53" t="str">
        <f>IF('sem2'!AS44="","",'sem2'!AS44)</f>
        <v/>
      </c>
      <c r="AA45" s="54" t="str">
        <f t="shared" si="8"/>
        <v/>
      </c>
      <c r="AB45" s="55" t="str">
        <f t="shared" si="9"/>
        <v/>
      </c>
      <c r="AC45" s="55" t="str">
        <f t="shared" si="10"/>
        <v/>
      </c>
      <c r="AD45" s="54" t="str">
        <f t="shared" si="11"/>
        <v/>
      </c>
      <c r="AE45" s="52" t="str">
        <f t="shared" si="12"/>
        <v/>
      </c>
      <c r="AF45" s="52" t="str">
        <f t="shared" si="13"/>
        <v/>
      </c>
      <c r="AG45" s="52" t="str">
        <f t="shared" si="0"/>
        <v/>
      </c>
    </row>
    <row r="46" spans="1:33" ht="15" customHeight="1" x14ac:dyDescent="0.2">
      <c r="A46" s="85" t="str">
        <f>IF(info!$A51="","",info!$A51)</f>
        <v/>
      </c>
      <c r="B46" s="85" t="str">
        <f>IF($A46="","",info!$F51)</f>
        <v/>
      </c>
      <c r="C46" s="88" t="str">
        <f>IF($A46="","",info!$C51)</f>
        <v/>
      </c>
      <c r="D46" s="53" t="str">
        <f>IF('sem1'!V45="","",'sem1'!V45)</f>
        <v/>
      </c>
      <c r="E46" s="53" t="str">
        <f>IF('sem2'!V45="","",'sem2'!V45)</f>
        <v/>
      </c>
      <c r="F46" s="54" t="str">
        <f t="shared" si="1"/>
        <v/>
      </c>
      <c r="G46" s="53" t="str">
        <f>IF('sem1'!Y45="","",'sem1'!Y45)</f>
        <v/>
      </c>
      <c r="H46" s="53" t="str">
        <f>IF('sem2'!Y45="","",'sem2'!Y45)</f>
        <v/>
      </c>
      <c r="I46" s="54" t="str">
        <f t="shared" si="2"/>
        <v/>
      </c>
      <c r="J46" s="53" t="str">
        <f>IF('sem1'!AD45="","",'sem1'!AD45)</f>
        <v/>
      </c>
      <c r="K46" s="53" t="str">
        <f>IF('sem2'!AD45="","",'sem2'!AD45)</f>
        <v/>
      </c>
      <c r="L46" s="54" t="str">
        <f t="shared" si="3"/>
        <v/>
      </c>
      <c r="M46" s="55" t="str">
        <f>IF('sem1'!AG45="","",'sem1'!AG45)</f>
        <v/>
      </c>
      <c r="N46" s="53" t="str">
        <f>IF('sem2'!AG45="","",'sem2'!AG45)</f>
        <v/>
      </c>
      <c r="O46" s="54" t="str">
        <f t="shared" si="4"/>
        <v/>
      </c>
      <c r="P46" s="55" t="str">
        <f>IF('sem1'!AJ45="","",'sem1'!AJ45)</f>
        <v/>
      </c>
      <c r="Q46" s="53" t="str">
        <f>IF('sem2'!AJ45="","",'sem2'!AJ45)</f>
        <v/>
      </c>
      <c r="R46" s="54" t="str">
        <f t="shared" si="5"/>
        <v/>
      </c>
      <c r="S46" s="55" t="str">
        <f>IF('sem1'!AM45="","",'sem1'!AM45)</f>
        <v/>
      </c>
      <c r="T46" s="53" t="str">
        <f>IF('sem2'!AM45="","",'sem2'!AM45)</f>
        <v/>
      </c>
      <c r="U46" s="54" t="str">
        <f t="shared" si="6"/>
        <v/>
      </c>
      <c r="V46" s="55" t="str">
        <f>IF('sem1'!AP45="","",'sem1'!AP45)</f>
        <v/>
      </c>
      <c r="W46" s="53" t="str">
        <f>IF('sem2'!AP45="","",'sem2'!AP45)</f>
        <v/>
      </c>
      <c r="X46" s="54" t="str">
        <f t="shared" si="7"/>
        <v/>
      </c>
      <c r="Y46" s="55" t="str">
        <f>IF('sem1'!AS45="","",'sem1'!AS45)</f>
        <v/>
      </c>
      <c r="Z46" s="53" t="str">
        <f>IF('sem2'!AS45="","",'sem2'!AS45)</f>
        <v/>
      </c>
      <c r="AA46" s="54" t="str">
        <f t="shared" si="8"/>
        <v/>
      </c>
      <c r="AB46" s="55" t="str">
        <f t="shared" si="9"/>
        <v/>
      </c>
      <c r="AC46" s="55" t="str">
        <f t="shared" si="10"/>
        <v/>
      </c>
      <c r="AD46" s="54" t="str">
        <f t="shared" si="11"/>
        <v/>
      </c>
      <c r="AE46" s="52" t="str">
        <f t="shared" si="12"/>
        <v/>
      </c>
      <c r="AF46" s="52" t="str">
        <f t="shared" si="13"/>
        <v/>
      </c>
      <c r="AG46" s="52" t="str">
        <f t="shared" si="0"/>
        <v/>
      </c>
    </row>
    <row r="47" spans="1:33" ht="15" customHeight="1" x14ac:dyDescent="0.2">
      <c r="A47" s="85" t="str">
        <f>IF(info!$A52="","",info!$A52)</f>
        <v/>
      </c>
      <c r="B47" s="85" t="str">
        <f>IF($A47="","",info!$F52)</f>
        <v/>
      </c>
      <c r="C47" s="88" t="str">
        <f>IF($A47="","",info!$C52)</f>
        <v/>
      </c>
      <c r="D47" s="53" t="str">
        <f>IF('sem1'!V46="","",'sem1'!V46)</f>
        <v/>
      </c>
      <c r="E47" s="53" t="str">
        <f>IF('sem2'!V46="","",'sem2'!V46)</f>
        <v/>
      </c>
      <c r="F47" s="54" t="str">
        <f t="shared" si="1"/>
        <v/>
      </c>
      <c r="G47" s="53" t="str">
        <f>IF('sem1'!Y46="","",'sem1'!Y46)</f>
        <v/>
      </c>
      <c r="H47" s="53" t="str">
        <f>IF('sem2'!Y46="","",'sem2'!Y46)</f>
        <v/>
      </c>
      <c r="I47" s="54" t="str">
        <f t="shared" si="2"/>
        <v/>
      </c>
      <c r="J47" s="53" t="str">
        <f>IF('sem1'!AD46="","",'sem1'!AD46)</f>
        <v/>
      </c>
      <c r="K47" s="53" t="str">
        <f>IF('sem2'!AD46="","",'sem2'!AD46)</f>
        <v/>
      </c>
      <c r="L47" s="54" t="str">
        <f t="shared" si="3"/>
        <v/>
      </c>
      <c r="M47" s="55" t="str">
        <f>IF('sem1'!AG46="","",'sem1'!AG46)</f>
        <v/>
      </c>
      <c r="N47" s="53" t="str">
        <f>IF('sem2'!AG46="","",'sem2'!AG46)</f>
        <v/>
      </c>
      <c r="O47" s="54" t="str">
        <f t="shared" si="4"/>
        <v/>
      </c>
      <c r="P47" s="55" t="str">
        <f>IF('sem1'!AJ46="","",'sem1'!AJ46)</f>
        <v/>
      </c>
      <c r="Q47" s="53" t="str">
        <f>IF('sem2'!AJ46="","",'sem2'!AJ46)</f>
        <v/>
      </c>
      <c r="R47" s="54" t="str">
        <f t="shared" si="5"/>
        <v/>
      </c>
      <c r="S47" s="55" t="str">
        <f>IF('sem1'!AM46="","",'sem1'!AM46)</f>
        <v/>
      </c>
      <c r="T47" s="53" t="str">
        <f>IF('sem2'!AM46="","",'sem2'!AM46)</f>
        <v/>
      </c>
      <c r="U47" s="54" t="str">
        <f t="shared" si="6"/>
        <v/>
      </c>
      <c r="V47" s="55" t="str">
        <f>IF('sem1'!AP46="","",'sem1'!AP46)</f>
        <v/>
      </c>
      <c r="W47" s="53" t="str">
        <f>IF('sem2'!AP46="","",'sem2'!AP46)</f>
        <v/>
      </c>
      <c r="X47" s="54" t="str">
        <f t="shared" si="7"/>
        <v/>
      </c>
      <c r="Y47" s="55" t="str">
        <f>IF('sem1'!AS46="","",'sem1'!AS46)</f>
        <v/>
      </c>
      <c r="Z47" s="53" t="str">
        <f>IF('sem2'!AS46="","",'sem2'!AS46)</f>
        <v/>
      </c>
      <c r="AA47" s="54" t="str">
        <f t="shared" si="8"/>
        <v/>
      </c>
      <c r="AB47" s="55" t="str">
        <f t="shared" si="9"/>
        <v/>
      </c>
      <c r="AC47" s="55" t="str">
        <f t="shared" si="10"/>
        <v/>
      </c>
      <c r="AD47" s="54" t="str">
        <f t="shared" si="11"/>
        <v/>
      </c>
      <c r="AE47" s="52" t="str">
        <f t="shared" si="12"/>
        <v/>
      </c>
      <c r="AF47" s="52" t="str">
        <f t="shared" si="13"/>
        <v/>
      </c>
      <c r="AG47" s="52" t="str">
        <f t="shared" si="0"/>
        <v/>
      </c>
    </row>
    <row r="48" spans="1:33" ht="15" customHeight="1" x14ac:dyDescent="0.2">
      <c r="A48" s="85" t="str">
        <f>IF(info!$A53="","",info!$A53)</f>
        <v/>
      </c>
      <c r="B48" s="85" t="str">
        <f>IF($A48="","",info!$F53)</f>
        <v/>
      </c>
      <c r="C48" s="88" t="str">
        <f>IF($A48="","",info!$C53)</f>
        <v/>
      </c>
      <c r="D48" s="53" t="str">
        <f>IF('sem1'!V47="","",'sem1'!V47)</f>
        <v/>
      </c>
      <c r="E48" s="53" t="str">
        <f>IF('sem2'!V47="","",'sem2'!V47)</f>
        <v/>
      </c>
      <c r="F48" s="54" t="str">
        <f t="shared" si="1"/>
        <v/>
      </c>
      <c r="G48" s="53" t="str">
        <f>IF('sem1'!Y47="","",'sem1'!Y47)</f>
        <v/>
      </c>
      <c r="H48" s="53" t="str">
        <f>IF('sem2'!Y47="","",'sem2'!Y47)</f>
        <v/>
      </c>
      <c r="I48" s="54" t="str">
        <f t="shared" si="2"/>
        <v/>
      </c>
      <c r="J48" s="53" t="str">
        <f>IF('sem1'!AD47="","",'sem1'!AD47)</f>
        <v/>
      </c>
      <c r="K48" s="53" t="str">
        <f>IF('sem2'!AD47="","",'sem2'!AD47)</f>
        <v/>
      </c>
      <c r="L48" s="54" t="str">
        <f t="shared" si="3"/>
        <v/>
      </c>
      <c r="M48" s="55" t="str">
        <f>IF('sem1'!AG47="","",'sem1'!AG47)</f>
        <v/>
      </c>
      <c r="N48" s="53" t="str">
        <f>IF('sem2'!AG47="","",'sem2'!AG47)</f>
        <v/>
      </c>
      <c r="O48" s="54" t="str">
        <f t="shared" si="4"/>
        <v/>
      </c>
      <c r="P48" s="55" t="str">
        <f>IF('sem1'!AJ47="","",'sem1'!AJ47)</f>
        <v/>
      </c>
      <c r="Q48" s="53" t="str">
        <f>IF('sem2'!AJ47="","",'sem2'!AJ47)</f>
        <v/>
      </c>
      <c r="R48" s="54" t="str">
        <f t="shared" si="5"/>
        <v/>
      </c>
      <c r="S48" s="55" t="str">
        <f>IF('sem1'!AM47="","",'sem1'!AM47)</f>
        <v/>
      </c>
      <c r="T48" s="53" t="str">
        <f>IF('sem2'!AM47="","",'sem2'!AM47)</f>
        <v/>
      </c>
      <c r="U48" s="54" t="str">
        <f t="shared" si="6"/>
        <v/>
      </c>
      <c r="V48" s="55" t="str">
        <f>IF('sem1'!AP47="","",'sem1'!AP47)</f>
        <v/>
      </c>
      <c r="W48" s="53" t="str">
        <f>IF('sem2'!AP47="","",'sem2'!AP47)</f>
        <v/>
      </c>
      <c r="X48" s="54" t="str">
        <f t="shared" si="7"/>
        <v/>
      </c>
      <c r="Y48" s="55" t="str">
        <f>IF('sem1'!AS47="","",'sem1'!AS47)</f>
        <v/>
      </c>
      <c r="Z48" s="53" t="str">
        <f>IF('sem2'!AS47="","",'sem2'!AS47)</f>
        <v/>
      </c>
      <c r="AA48" s="54" t="str">
        <f t="shared" si="8"/>
        <v/>
      </c>
      <c r="AB48" s="55" t="str">
        <f t="shared" si="9"/>
        <v/>
      </c>
      <c r="AC48" s="55" t="str">
        <f t="shared" si="10"/>
        <v/>
      </c>
      <c r="AD48" s="54" t="str">
        <f t="shared" si="11"/>
        <v/>
      </c>
      <c r="AE48" s="52" t="str">
        <f t="shared" si="12"/>
        <v/>
      </c>
      <c r="AF48" s="52" t="str">
        <f t="shared" si="13"/>
        <v/>
      </c>
      <c r="AG48" s="52" t="str">
        <f t="shared" si="0"/>
        <v/>
      </c>
    </row>
    <row r="49" spans="1:33" ht="15" customHeight="1" x14ac:dyDescent="0.2">
      <c r="A49" s="85" t="str">
        <f>IF(info!$A54="","",info!$A54)</f>
        <v/>
      </c>
      <c r="B49" s="85" t="str">
        <f>IF($A49="","",info!$F54)</f>
        <v/>
      </c>
      <c r="C49" s="88" t="str">
        <f>IF($A49="","",info!$C54)</f>
        <v/>
      </c>
      <c r="D49" s="53" t="str">
        <f>IF('sem1'!V48="","",'sem1'!V48)</f>
        <v/>
      </c>
      <c r="E49" s="53" t="str">
        <f>IF('sem2'!V48="","",'sem2'!V48)</f>
        <v/>
      </c>
      <c r="F49" s="54" t="str">
        <f t="shared" si="1"/>
        <v/>
      </c>
      <c r="G49" s="53" t="str">
        <f>IF('sem1'!Y48="","",'sem1'!Y48)</f>
        <v/>
      </c>
      <c r="H49" s="53" t="str">
        <f>IF('sem2'!Y48="","",'sem2'!Y48)</f>
        <v/>
      </c>
      <c r="I49" s="54" t="str">
        <f t="shared" si="2"/>
        <v/>
      </c>
      <c r="J49" s="53" t="str">
        <f>IF('sem1'!AD48="","",'sem1'!AD48)</f>
        <v/>
      </c>
      <c r="K49" s="53" t="str">
        <f>IF('sem2'!AD48="","",'sem2'!AD48)</f>
        <v/>
      </c>
      <c r="L49" s="54" t="str">
        <f t="shared" si="3"/>
        <v/>
      </c>
      <c r="M49" s="55" t="str">
        <f>IF('sem1'!AG48="","",'sem1'!AG48)</f>
        <v/>
      </c>
      <c r="N49" s="53" t="str">
        <f>IF('sem2'!AG48="","",'sem2'!AG48)</f>
        <v/>
      </c>
      <c r="O49" s="54" t="str">
        <f t="shared" si="4"/>
        <v/>
      </c>
      <c r="P49" s="55" t="str">
        <f>IF('sem1'!AJ48="","",'sem1'!AJ48)</f>
        <v/>
      </c>
      <c r="Q49" s="53" t="str">
        <f>IF('sem2'!AJ48="","",'sem2'!AJ48)</f>
        <v/>
      </c>
      <c r="R49" s="54" t="str">
        <f t="shared" si="5"/>
        <v/>
      </c>
      <c r="S49" s="55" t="str">
        <f>IF('sem1'!AM48="","",'sem1'!AM48)</f>
        <v/>
      </c>
      <c r="T49" s="53" t="str">
        <f>IF('sem2'!AM48="","",'sem2'!AM48)</f>
        <v/>
      </c>
      <c r="U49" s="54" t="str">
        <f t="shared" si="6"/>
        <v/>
      </c>
      <c r="V49" s="55" t="str">
        <f>IF('sem1'!AP48="","",'sem1'!AP48)</f>
        <v/>
      </c>
      <c r="W49" s="53" t="str">
        <f>IF('sem2'!AP48="","",'sem2'!AP48)</f>
        <v/>
      </c>
      <c r="X49" s="54" t="str">
        <f t="shared" si="7"/>
        <v/>
      </c>
      <c r="Y49" s="55" t="str">
        <f>IF('sem1'!AS48="","",'sem1'!AS48)</f>
        <v/>
      </c>
      <c r="Z49" s="53" t="str">
        <f>IF('sem2'!AS48="","",'sem2'!AS48)</f>
        <v/>
      </c>
      <c r="AA49" s="54" t="str">
        <f t="shared" si="8"/>
        <v/>
      </c>
      <c r="AB49" s="55" t="str">
        <f t="shared" si="9"/>
        <v/>
      </c>
      <c r="AC49" s="55" t="str">
        <f t="shared" si="10"/>
        <v/>
      </c>
      <c r="AD49" s="54" t="str">
        <f t="shared" si="11"/>
        <v/>
      </c>
      <c r="AE49" s="52" t="str">
        <f t="shared" si="12"/>
        <v/>
      </c>
      <c r="AF49" s="52" t="str">
        <f t="shared" si="13"/>
        <v/>
      </c>
      <c r="AG49" s="52" t="str">
        <f t="shared" si="0"/>
        <v/>
      </c>
    </row>
    <row r="50" spans="1:33" ht="15" customHeight="1" x14ac:dyDescent="0.2">
      <c r="A50" s="85" t="str">
        <f>IF(info!$A55="","",info!$A55)</f>
        <v/>
      </c>
      <c r="B50" s="85" t="str">
        <f>IF($A50="","",info!$F55)</f>
        <v/>
      </c>
      <c r="C50" s="88" t="str">
        <f>IF($A50="","",info!$C55)</f>
        <v/>
      </c>
      <c r="D50" s="53" t="str">
        <f>IF('sem1'!V49="","",'sem1'!V49)</f>
        <v/>
      </c>
      <c r="E50" s="53" t="str">
        <f>IF('sem2'!V49="","",'sem2'!V49)</f>
        <v/>
      </c>
      <c r="F50" s="54" t="str">
        <f t="shared" si="1"/>
        <v/>
      </c>
      <c r="G50" s="53" t="str">
        <f>IF('sem1'!Y49="","",'sem1'!Y49)</f>
        <v/>
      </c>
      <c r="H50" s="53" t="str">
        <f>IF('sem2'!Y49="","",'sem2'!Y49)</f>
        <v/>
      </c>
      <c r="I50" s="54" t="str">
        <f t="shared" si="2"/>
        <v/>
      </c>
      <c r="J50" s="53" t="str">
        <f>IF('sem1'!AD49="","",'sem1'!AD49)</f>
        <v/>
      </c>
      <c r="K50" s="53" t="str">
        <f>IF('sem2'!AD49="","",'sem2'!AD49)</f>
        <v/>
      </c>
      <c r="L50" s="54" t="str">
        <f t="shared" si="3"/>
        <v/>
      </c>
      <c r="M50" s="55" t="str">
        <f>IF('sem1'!AG49="","",'sem1'!AG49)</f>
        <v/>
      </c>
      <c r="N50" s="53" t="str">
        <f>IF('sem2'!AG49="","",'sem2'!AG49)</f>
        <v/>
      </c>
      <c r="O50" s="54" t="str">
        <f t="shared" si="4"/>
        <v/>
      </c>
      <c r="P50" s="55" t="str">
        <f>IF('sem1'!AJ49="","",'sem1'!AJ49)</f>
        <v/>
      </c>
      <c r="Q50" s="53" t="str">
        <f>IF('sem2'!AJ49="","",'sem2'!AJ49)</f>
        <v/>
      </c>
      <c r="R50" s="54" t="str">
        <f t="shared" si="5"/>
        <v/>
      </c>
      <c r="S50" s="55" t="str">
        <f>IF('sem1'!AM49="","",'sem1'!AM49)</f>
        <v/>
      </c>
      <c r="T50" s="53" t="str">
        <f>IF('sem2'!AM49="","",'sem2'!AM49)</f>
        <v/>
      </c>
      <c r="U50" s="54" t="str">
        <f t="shared" si="6"/>
        <v/>
      </c>
      <c r="V50" s="55" t="str">
        <f>IF('sem1'!AP49="","",'sem1'!AP49)</f>
        <v/>
      </c>
      <c r="W50" s="53" t="str">
        <f>IF('sem2'!AP49="","",'sem2'!AP49)</f>
        <v/>
      </c>
      <c r="X50" s="54" t="str">
        <f t="shared" si="7"/>
        <v/>
      </c>
      <c r="Y50" s="55" t="str">
        <f>IF('sem1'!AS49="","",'sem1'!AS49)</f>
        <v/>
      </c>
      <c r="Z50" s="53" t="str">
        <f>IF('sem2'!AS49="","",'sem2'!AS49)</f>
        <v/>
      </c>
      <c r="AA50" s="54" t="str">
        <f t="shared" si="8"/>
        <v/>
      </c>
      <c r="AB50" s="55" t="str">
        <f t="shared" si="9"/>
        <v/>
      </c>
      <c r="AC50" s="55" t="str">
        <f t="shared" si="10"/>
        <v/>
      </c>
      <c r="AD50" s="54" t="str">
        <f t="shared" si="11"/>
        <v/>
      </c>
      <c r="AE50" s="52" t="str">
        <f t="shared" si="12"/>
        <v/>
      </c>
      <c r="AF50" s="52" t="str">
        <f t="shared" si="13"/>
        <v/>
      </c>
      <c r="AG50" s="52" t="str">
        <f t="shared" si="0"/>
        <v/>
      </c>
    </row>
    <row r="51" spans="1:33" ht="15" customHeight="1" x14ac:dyDescent="0.2">
      <c r="A51" s="85" t="str">
        <f>IF(info!$A56="","",info!$A56)</f>
        <v/>
      </c>
      <c r="B51" s="85" t="str">
        <f>IF($A51="","",info!$F56)</f>
        <v/>
      </c>
      <c r="C51" s="88" t="str">
        <f>IF($A51="","",info!$C56)</f>
        <v/>
      </c>
      <c r="D51" s="53" t="str">
        <f>IF('sem1'!V50="","",'sem1'!V50)</f>
        <v/>
      </c>
      <c r="E51" s="53" t="str">
        <f>IF('sem2'!V50="","",'sem2'!V50)</f>
        <v/>
      </c>
      <c r="F51" s="54" t="str">
        <f t="shared" si="1"/>
        <v/>
      </c>
      <c r="G51" s="53" t="str">
        <f>IF('sem1'!Y50="","",'sem1'!Y50)</f>
        <v/>
      </c>
      <c r="H51" s="53" t="str">
        <f>IF('sem2'!Y50="","",'sem2'!Y50)</f>
        <v/>
      </c>
      <c r="I51" s="54" t="str">
        <f t="shared" si="2"/>
        <v/>
      </c>
      <c r="J51" s="53" t="str">
        <f>IF('sem1'!AD50="","",'sem1'!AD50)</f>
        <v/>
      </c>
      <c r="K51" s="53" t="str">
        <f>IF('sem2'!AD50="","",'sem2'!AD50)</f>
        <v/>
      </c>
      <c r="L51" s="54" t="str">
        <f t="shared" si="3"/>
        <v/>
      </c>
      <c r="M51" s="55" t="str">
        <f>IF('sem1'!AG50="","",'sem1'!AG50)</f>
        <v/>
      </c>
      <c r="N51" s="53" t="str">
        <f>IF('sem2'!AG50="","",'sem2'!AG50)</f>
        <v/>
      </c>
      <c r="O51" s="54" t="str">
        <f t="shared" si="4"/>
        <v/>
      </c>
      <c r="P51" s="55" t="str">
        <f>IF('sem1'!AJ50="","",'sem1'!AJ50)</f>
        <v/>
      </c>
      <c r="Q51" s="53" t="str">
        <f>IF('sem2'!AJ50="","",'sem2'!AJ50)</f>
        <v/>
      </c>
      <c r="R51" s="54" t="str">
        <f t="shared" si="5"/>
        <v/>
      </c>
      <c r="S51" s="55" t="str">
        <f>IF('sem1'!AM50="","",'sem1'!AM50)</f>
        <v/>
      </c>
      <c r="T51" s="53" t="str">
        <f>IF('sem2'!AM50="","",'sem2'!AM50)</f>
        <v/>
      </c>
      <c r="U51" s="54" t="str">
        <f t="shared" si="6"/>
        <v/>
      </c>
      <c r="V51" s="55" t="str">
        <f>IF('sem1'!AP50="","",'sem1'!AP50)</f>
        <v/>
      </c>
      <c r="W51" s="53" t="str">
        <f>IF('sem2'!AP50="","",'sem2'!AP50)</f>
        <v/>
      </c>
      <c r="X51" s="54" t="str">
        <f t="shared" si="7"/>
        <v/>
      </c>
      <c r="Y51" s="55" t="str">
        <f>IF('sem1'!AS50="","",'sem1'!AS50)</f>
        <v/>
      </c>
      <c r="Z51" s="53" t="str">
        <f>IF('sem2'!AS50="","",'sem2'!AS50)</f>
        <v/>
      </c>
      <c r="AA51" s="54" t="str">
        <f t="shared" si="8"/>
        <v/>
      </c>
      <c r="AB51" s="55" t="str">
        <f t="shared" si="9"/>
        <v/>
      </c>
      <c r="AC51" s="55" t="str">
        <f t="shared" si="10"/>
        <v/>
      </c>
      <c r="AD51" s="54" t="str">
        <f t="shared" si="11"/>
        <v/>
      </c>
      <c r="AE51" s="52" t="str">
        <f t="shared" si="12"/>
        <v/>
      </c>
      <c r="AF51" s="52" t="str">
        <f t="shared" si="13"/>
        <v/>
      </c>
      <c r="AG51" s="52" t="str">
        <f t="shared" si="0"/>
        <v/>
      </c>
    </row>
    <row r="52" spans="1:33" ht="15" customHeight="1" x14ac:dyDescent="0.2">
      <c r="A52" s="85" t="str">
        <f>IF(info!$A57="","",info!$A57)</f>
        <v/>
      </c>
      <c r="B52" s="85" t="str">
        <f>IF($A52="","",info!$F57)</f>
        <v/>
      </c>
      <c r="C52" s="88" t="str">
        <f>IF($A52="","",info!$C57)</f>
        <v/>
      </c>
      <c r="D52" s="53" t="str">
        <f>IF('sem1'!V51="","",'sem1'!V51)</f>
        <v/>
      </c>
      <c r="E52" s="53" t="str">
        <f>IF('sem2'!V51="","",'sem2'!V51)</f>
        <v/>
      </c>
      <c r="F52" s="54" t="str">
        <f t="shared" si="1"/>
        <v/>
      </c>
      <c r="G52" s="53" t="str">
        <f>IF('sem1'!Y51="","",'sem1'!Y51)</f>
        <v/>
      </c>
      <c r="H52" s="53" t="str">
        <f>IF('sem2'!Y51="","",'sem2'!Y51)</f>
        <v/>
      </c>
      <c r="I52" s="54" t="str">
        <f t="shared" si="2"/>
        <v/>
      </c>
      <c r="J52" s="53" t="str">
        <f>IF('sem1'!AD51="","",'sem1'!AD51)</f>
        <v/>
      </c>
      <c r="K52" s="53" t="str">
        <f>IF('sem2'!AD51="","",'sem2'!AD51)</f>
        <v/>
      </c>
      <c r="L52" s="54" t="str">
        <f t="shared" si="3"/>
        <v/>
      </c>
      <c r="M52" s="55" t="str">
        <f>IF('sem1'!AG51="","",'sem1'!AG51)</f>
        <v/>
      </c>
      <c r="N52" s="53" t="str">
        <f>IF('sem2'!AG51="","",'sem2'!AG51)</f>
        <v/>
      </c>
      <c r="O52" s="54" t="str">
        <f t="shared" si="4"/>
        <v/>
      </c>
      <c r="P52" s="55" t="str">
        <f>IF('sem1'!AJ51="","",'sem1'!AJ51)</f>
        <v/>
      </c>
      <c r="Q52" s="53" t="str">
        <f>IF('sem2'!AJ51="","",'sem2'!AJ51)</f>
        <v/>
      </c>
      <c r="R52" s="54" t="str">
        <f t="shared" si="5"/>
        <v/>
      </c>
      <c r="S52" s="55" t="str">
        <f>IF('sem1'!AM51="","",'sem1'!AM51)</f>
        <v/>
      </c>
      <c r="T52" s="53" t="str">
        <f>IF('sem2'!AM51="","",'sem2'!AM51)</f>
        <v/>
      </c>
      <c r="U52" s="54" t="str">
        <f t="shared" si="6"/>
        <v/>
      </c>
      <c r="V52" s="55" t="str">
        <f>IF('sem1'!AP51="","",'sem1'!AP51)</f>
        <v/>
      </c>
      <c r="W52" s="53" t="str">
        <f>IF('sem2'!AP51="","",'sem2'!AP51)</f>
        <v/>
      </c>
      <c r="X52" s="54" t="str">
        <f t="shared" si="7"/>
        <v/>
      </c>
      <c r="Y52" s="55" t="str">
        <f>IF('sem1'!AS51="","",'sem1'!AS51)</f>
        <v/>
      </c>
      <c r="Z52" s="53" t="str">
        <f>IF('sem2'!AS51="","",'sem2'!AS51)</f>
        <v/>
      </c>
      <c r="AA52" s="54" t="str">
        <f t="shared" si="8"/>
        <v/>
      </c>
      <c r="AB52" s="55" t="str">
        <f t="shared" si="9"/>
        <v/>
      </c>
      <c r="AC52" s="55" t="str">
        <f t="shared" si="10"/>
        <v/>
      </c>
      <c r="AD52" s="54" t="str">
        <f t="shared" si="11"/>
        <v/>
      </c>
      <c r="AE52" s="52" t="str">
        <f t="shared" si="12"/>
        <v/>
      </c>
      <c r="AF52" s="52" t="str">
        <f t="shared" si="13"/>
        <v/>
      </c>
      <c r="AG52" s="52" t="str">
        <f t="shared" si="0"/>
        <v/>
      </c>
    </row>
    <row r="53" spans="1:33" ht="15" customHeight="1" x14ac:dyDescent="0.2">
      <c r="A53" s="85" t="str">
        <f>IF(info!$A58="","",info!$A58)</f>
        <v/>
      </c>
      <c r="B53" s="85" t="str">
        <f>IF($A53="","",info!$F58)</f>
        <v/>
      </c>
      <c r="C53" s="88" t="str">
        <f>IF($A53="","",info!$C58)</f>
        <v/>
      </c>
      <c r="D53" s="53" t="str">
        <f>IF('sem1'!V52="","",'sem1'!V52)</f>
        <v/>
      </c>
      <c r="E53" s="53" t="str">
        <f>IF('sem2'!V52="","",'sem2'!V52)</f>
        <v/>
      </c>
      <c r="F53" s="54" t="str">
        <f t="shared" si="1"/>
        <v/>
      </c>
      <c r="G53" s="53" t="str">
        <f>IF('sem1'!Y52="","",'sem1'!Y52)</f>
        <v/>
      </c>
      <c r="H53" s="53" t="str">
        <f>IF('sem2'!Y52="","",'sem2'!Y52)</f>
        <v/>
      </c>
      <c r="I53" s="54" t="str">
        <f t="shared" si="2"/>
        <v/>
      </c>
      <c r="J53" s="53" t="str">
        <f>IF('sem1'!AD52="","",'sem1'!AD52)</f>
        <v/>
      </c>
      <c r="K53" s="53" t="str">
        <f>IF('sem2'!AD52="","",'sem2'!AD52)</f>
        <v/>
      </c>
      <c r="L53" s="54" t="str">
        <f t="shared" si="3"/>
        <v/>
      </c>
      <c r="M53" s="55" t="str">
        <f>IF('sem1'!AG52="","",'sem1'!AG52)</f>
        <v/>
      </c>
      <c r="N53" s="53" t="str">
        <f>IF('sem2'!AG52="","",'sem2'!AG52)</f>
        <v/>
      </c>
      <c r="O53" s="54" t="str">
        <f t="shared" si="4"/>
        <v/>
      </c>
      <c r="P53" s="55" t="str">
        <f>IF('sem1'!AJ52="","",'sem1'!AJ52)</f>
        <v/>
      </c>
      <c r="Q53" s="53" t="str">
        <f>IF('sem2'!AJ52="","",'sem2'!AJ52)</f>
        <v/>
      </c>
      <c r="R53" s="54" t="str">
        <f t="shared" si="5"/>
        <v/>
      </c>
      <c r="S53" s="55" t="str">
        <f>IF('sem1'!AM52="","",'sem1'!AM52)</f>
        <v/>
      </c>
      <c r="T53" s="53" t="str">
        <f>IF('sem2'!AM52="","",'sem2'!AM52)</f>
        <v/>
      </c>
      <c r="U53" s="54" t="str">
        <f t="shared" si="6"/>
        <v/>
      </c>
      <c r="V53" s="55" t="str">
        <f>IF('sem1'!AP52="","",'sem1'!AP52)</f>
        <v/>
      </c>
      <c r="W53" s="53" t="str">
        <f>IF('sem2'!AP52="","",'sem2'!AP52)</f>
        <v/>
      </c>
      <c r="X53" s="54" t="str">
        <f t="shared" si="7"/>
        <v/>
      </c>
      <c r="Y53" s="55" t="str">
        <f>IF('sem1'!AS52="","",'sem1'!AS52)</f>
        <v/>
      </c>
      <c r="Z53" s="53" t="str">
        <f>IF('sem2'!AS52="","",'sem2'!AS52)</f>
        <v/>
      </c>
      <c r="AA53" s="54" t="str">
        <f t="shared" si="8"/>
        <v/>
      </c>
      <c r="AB53" s="55" t="str">
        <f t="shared" si="9"/>
        <v/>
      </c>
      <c r="AC53" s="55" t="str">
        <f t="shared" si="10"/>
        <v/>
      </c>
      <c r="AD53" s="54" t="str">
        <f t="shared" si="11"/>
        <v/>
      </c>
      <c r="AE53" s="52" t="str">
        <f t="shared" si="12"/>
        <v/>
      </c>
      <c r="AF53" s="52" t="str">
        <f t="shared" si="13"/>
        <v/>
      </c>
      <c r="AG53" s="52" t="str">
        <f t="shared" si="0"/>
        <v/>
      </c>
    </row>
    <row r="54" spans="1:33" ht="15" customHeight="1" x14ac:dyDescent="0.2">
      <c r="A54" s="85" t="str">
        <f>IF(info!$A59="","",info!$A59)</f>
        <v/>
      </c>
      <c r="B54" s="85" t="str">
        <f>IF($A54="","",info!$F59)</f>
        <v/>
      </c>
      <c r="C54" s="88" t="str">
        <f>IF($A54="","",info!$C59)</f>
        <v/>
      </c>
      <c r="D54" s="53" t="str">
        <f>IF('sem1'!V53="","",'sem1'!V53)</f>
        <v/>
      </c>
      <c r="E54" s="53" t="str">
        <f>IF('sem2'!V53="","",'sem2'!V53)</f>
        <v/>
      </c>
      <c r="F54" s="54" t="str">
        <f t="shared" si="1"/>
        <v/>
      </c>
      <c r="G54" s="53" t="str">
        <f>IF('sem1'!Y53="","",'sem1'!Y53)</f>
        <v/>
      </c>
      <c r="H54" s="53" t="str">
        <f>IF('sem2'!Y53="","",'sem2'!Y53)</f>
        <v/>
      </c>
      <c r="I54" s="54" t="str">
        <f t="shared" si="2"/>
        <v/>
      </c>
      <c r="J54" s="53" t="str">
        <f>IF('sem1'!AD53="","",'sem1'!AD53)</f>
        <v/>
      </c>
      <c r="K54" s="53" t="str">
        <f>IF('sem2'!AD53="","",'sem2'!AD53)</f>
        <v/>
      </c>
      <c r="L54" s="54" t="str">
        <f t="shared" si="3"/>
        <v/>
      </c>
      <c r="M54" s="55" t="str">
        <f>IF('sem1'!AG53="","",'sem1'!AG53)</f>
        <v/>
      </c>
      <c r="N54" s="53" t="str">
        <f>IF('sem2'!AG53="","",'sem2'!AG53)</f>
        <v/>
      </c>
      <c r="O54" s="54" t="str">
        <f t="shared" si="4"/>
        <v/>
      </c>
      <c r="P54" s="55" t="str">
        <f>IF('sem1'!AJ53="","",'sem1'!AJ53)</f>
        <v/>
      </c>
      <c r="Q54" s="53" t="str">
        <f>IF('sem2'!AJ53="","",'sem2'!AJ53)</f>
        <v/>
      </c>
      <c r="R54" s="54" t="str">
        <f t="shared" si="5"/>
        <v/>
      </c>
      <c r="S54" s="55" t="str">
        <f>IF('sem1'!AM53="","",'sem1'!AM53)</f>
        <v/>
      </c>
      <c r="T54" s="53" t="str">
        <f>IF('sem2'!AM53="","",'sem2'!AM53)</f>
        <v/>
      </c>
      <c r="U54" s="54" t="str">
        <f t="shared" si="6"/>
        <v/>
      </c>
      <c r="V54" s="55" t="str">
        <f>IF('sem1'!AP53="","",'sem1'!AP53)</f>
        <v/>
      </c>
      <c r="W54" s="53" t="str">
        <f>IF('sem2'!AP53="","",'sem2'!AP53)</f>
        <v/>
      </c>
      <c r="X54" s="54" t="str">
        <f t="shared" si="7"/>
        <v/>
      </c>
      <c r="Y54" s="55" t="str">
        <f>IF('sem1'!AS53="","",'sem1'!AS53)</f>
        <v/>
      </c>
      <c r="Z54" s="53" t="str">
        <f>IF('sem2'!AS53="","",'sem2'!AS53)</f>
        <v/>
      </c>
      <c r="AA54" s="54" t="str">
        <f t="shared" si="8"/>
        <v/>
      </c>
      <c r="AB54" s="55" t="str">
        <f t="shared" si="9"/>
        <v/>
      </c>
      <c r="AC54" s="55" t="str">
        <f t="shared" si="10"/>
        <v/>
      </c>
      <c r="AD54" s="54" t="str">
        <f t="shared" si="11"/>
        <v/>
      </c>
      <c r="AE54" s="52" t="str">
        <f t="shared" si="12"/>
        <v/>
      </c>
      <c r="AF54" s="52" t="str">
        <f t="shared" si="13"/>
        <v/>
      </c>
      <c r="AG54" s="52" t="str">
        <f t="shared" si="0"/>
        <v/>
      </c>
    </row>
    <row r="55" spans="1:33" ht="15" customHeight="1" x14ac:dyDescent="0.2">
      <c r="A55" s="85" t="str">
        <f>IF(info!$A60="","",info!$A60)</f>
        <v/>
      </c>
      <c r="B55" s="85" t="str">
        <f>IF($A55="","",info!$F60)</f>
        <v/>
      </c>
      <c r="C55" s="88" t="str">
        <f>IF($A55="","",info!$C60)</f>
        <v/>
      </c>
      <c r="D55" s="53" t="str">
        <f>IF('sem1'!V54="","",'sem1'!V54)</f>
        <v/>
      </c>
      <c r="E55" s="53" t="str">
        <f>IF('sem2'!V54="","",'sem2'!V54)</f>
        <v/>
      </c>
      <c r="F55" s="54" t="str">
        <f t="shared" si="1"/>
        <v/>
      </c>
      <c r="G55" s="53" t="str">
        <f>IF('sem1'!Y54="","",'sem1'!Y54)</f>
        <v/>
      </c>
      <c r="H55" s="53" t="str">
        <f>IF('sem2'!Y54="","",'sem2'!Y54)</f>
        <v/>
      </c>
      <c r="I55" s="54" t="str">
        <f t="shared" si="2"/>
        <v/>
      </c>
      <c r="J55" s="53" t="str">
        <f>IF('sem1'!AD54="","",'sem1'!AD54)</f>
        <v/>
      </c>
      <c r="K55" s="53" t="str">
        <f>IF('sem2'!AD54="","",'sem2'!AD54)</f>
        <v/>
      </c>
      <c r="L55" s="54" t="str">
        <f t="shared" si="3"/>
        <v/>
      </c>
      <c r="M55" s="55" t="str">
        <f>IF('sem1'!AG54="","",'sem1'!AG54)</f>
        <v/>
      </c>
      <c r="N55" s="53" t="str">
        <f>IF('sem2'!AG54="","",'sem2'!AG54)</f>
        <v/>
      </c>
      <c r="O55" s="54" t="str">
        <f t="shared" si="4"/>
        <v/>
      </c>
      <c r="P55" s="55" t="str">
        <f>IF('sem1'!AJ54="","",'sem1'!AJ54)</f>
        <v/>
      </c>
      <c r="Q55" s="53" t="str">
        <f>IF('sem2'!AJ54="","",'sem2'!AJ54)</f>
        <v/>
      </c>
      <c r="R55" s="54" t="str">
        <f t="shared" si="5"/>
        <v/>
      </c>
      <c r="S55" s="55" t="str">
        <f>IF('sem1'!AM54="","",'sem1'!AM54)</f>
        <v/>
      </c>
      <c r="T55" s="53" t="str">
        <f>IF('sem2'!AM54="","",'sem2'!AM54)</f>
        <v/>
      </c>
      <c r="U55" s="54" t="str">
        <f t="shared" si="6"/>
        <v/>
      </c>
      <c r="V55" s="55" t="str">
        <f>IF('sem1'!AP54="","",'sem1'!AP54)</f>
        <v/>
      </c>
      <c r="W55" s="53" t="str">
        <f>IF('sem2'!AP54="","",'sem2'!AP54)</f>
        <v/>
      </c>
      <c r="X55" s="54" t="str">
        <f t="shared" si="7"/>
        <v/>
      </c>
      <c r="Y55" s="55" t="str">
        <f>IF('sem1'!AS54="","",'sem1'!AS54)</f>
        <v/>
      </c>
      <c r="Z55" s="53" t="str">
        <f>IF('sem2'!AS54="","",'sem2'!AS54)</f>
        <v/>
      </c>
      <c r="AA55" s="54" t="str">
        <f t="shared" si="8"/>
        <v/>
      </c>
      <c r="AB55" s="55" t="str">
        <f t="shared" si="9"/>
        <v/>
      </c>
      <c r="AC55" s="55" t="str">
        <f t="shared" si="10"/>
        <v/>
      </c>
      <c r="AD55" s="54" t="str">
        <f t="shared" si="11"/>
        <v/>
      </c>
      <c r="AE55" s="52" t="str">
        <f t="shared" si="12"/>
        <v/>
      </c>
      <c r="AF55" s="52" t="str">
        <f t="shared" si="13"/>
        <v/>
      </c>
      <c r="AG55" s="52" t="str">
        <f t="shared" si="0"/>
        <v/>
      </c>
    </row>
    <row r="56" spans="1:33" ht="15" customHeight="1" x14ac:dyDescent="0.2">
      <c r="A56" s="85" t="str">
        <f>IF(info!$A61="","",info!$A61)</f>
        <v/>
      </c>
      <c r="B56" s="85" t="str">
        <f>IF($A56="","",info!$F61)</f>
        <v/>
      </c>
      <c r="C56" s="88" t="str">
        <f>IF($A56="","",info!$C61)</f>
        <v/>
      </c>
      <c r="D56" s="53" t="str">
        <f>IF('sem1'!V55="","",'sem1'!V55)</f>
        <v/>
      </c>
      <c r="E56" s="53" t="str">
        <f>IF('sem2'!V55="","",'sem2'!V55)</f>
        <v/>
      </c>
      <c r="F56" s="54" t="str">
        <f t="shared" si="1"/>
        <v/>
      </c>
      <c r="G56" s="53" t="str">
        <f>IF('sem1'!Y55="","",'sem1'!Y55)</f>
        <v/>
      </c>
      <c r="H56" s="53" t="str">
        <f>IF('sem2'!Y55="","",'sem2'!Y55)</f>
        <v/>
      </c>
      <c r="I56" s="54" t="str">
        <f t="shared" si="2"/>
        <v/>
      </c>
      <c r="J56" s="53" t="str">
        <f>IF('sem1'!AD55="","",'sem1'!AD55)</f>
        <v/>
      </c>
      <c r="K56" s="53" t="str">
        <f>IF('sem2'!AD55="","",'sem2'!AD55)</f>
        <v/>
      </c>
      <c r="L56" s="54" t="str">
        <f t="shared" si="3"/>
        <v/>
      </c>
      <c r="M56" s="55" t="str">
        <f>IF('sem1'!AG55="","",'sem1'!AG55)</f>
        <v/>
      </c>
      <c r="N56" s="53" t="str">
        <f>IF('sem2'!AG55="","",'sem2'!AG55)</f>
        <v/>
      </c>
      <c r="O56" s="54" t="str">
        <f t="shared" si="4"/>
        <v/>
      </c>
      <c r="P56" s="55" t="str">
        <f>IF('sem1'!AJ55="","",'sem1'!AJ55)</f>
        <v/>
      </c>
      <c r="Q56" s="53" t="str">
        <f>IF('sem2'!AJ55="","",'sem2'!AJ55)</f>
        <v/>
      </c>
      <c r="R56" s="54" t="str">
        <f t="shared" si="5"/>
        <v/>
      </c>
      <c r="S56" s="55" t="str">
        <f>IF('sem1'!AM55="","",'sem1'!AM55)</f>
        <v/>
      </c>
      <c r="T56" s="53" t="str">
        <f>IF('sem2'!AM55="","",'sem2'!AM55)</f>
        <v/>
      </c>
      <c r="U56" s="54" t="str">
        <f t="shared" si="6"/>
        <v/>
      </c>
      <c r="V56" s="55" t="str">
        <f>IF('sem1'!AP55="","",'sem1'!AP55)</f>
        <v/>
      </c>
      <c r="W56" s="53" t="str">
        <f>IF('sem2'!AP55="","",'sem2'!AP55)</f>
        <v/>
      </c>
      <c r="X56" s="54" t="str">
        <f t="shared" si="7"/>
        <v/>
      </c>
      <c r="Y56" s="55" t="str">
        <f>IF('sem1'!AS55="","",'sem1'!AS55)</f>
        <v/>
      </c>
      <c r="Z56" s="53" t="str">
        <f>IF('sem2'!AS55="","",'sem2'!AS55)</f>
        <v/>
      </c>
      <c r="AA56" s="54" t="str">
        <f t="shared" si="8"/>
        <v/>
      </c>
      <c r="AB56" s="55" t="str">
        <f t="shared" si="9"/>
        <v/>
      </c>
      <c r="AC56" s="55" t="str">
        <f t="shared" si="10"/>
        <v/>
      </c>
      <c r="AD56" s="54" t="str">
        <f t="shared" si="11"/>
        <v/>
      </c>
      <c r="AE56" s="52" t="str">
        <f t="shared" si="12"/>
        <v/>
      </c>
      <c r="AF56" s="52" t="str">
        <f t="shared" si="13"/>
        <v/>
      </c>
      <c r="AG56" s="52" t="str">
        <f t="shared" si="0"/>
        <v/>
      </c>
    </row>
    <row r="57" spans="1:33" ht="15" customHeight="1" x14ac:dyDescent="0.2">
      <c r="A57" s="85" t="str">
        <f>IF(info!$A62="","",info!$A62)</f>
        <v/>
      </c>
      <c r="B57" s="85" t="str">
        <f>IF($A57="","",info!$F62)</f>
        <v/>
      </c>
      <c r="C57" s="88" t="str">
        <f>IF($A57="","",info!$C62)</f>
        <v/>
      </c>
      <c r="D57" s="53" t="str">
        <f>IF('sem1'!V56="","",'sem1'!V56)</f>
        <v/>
      </c>
      <c r="E57" s="53" t="str">
        <f>IF('sem2'!V56="","",'sem2'!V56)</f>
        <v/>
      </c>
      <c r="F57" s="54" t="str">
        <f t="shared" si="1"/>
        <v/>
      </c>
      <c r="G57" s="53" t="str">
        <f>IF('sem1'!Y56="","",'sem1'!Y56)</f>
        <v/>
      </c>
      <c r="H57" s="53" t="str">
        <f>IF('sem2'!Y56="","",'sem2'!Y56)</f>
        <v/>
      </c>
      <c r="I57" s="54" t="str">
        <f t="shared" si="2"/>
        <v/>
      </c>
      <c r="J57" s="53" t="str">
        <f>IF('sem1'!AD56="","",'sem1'!AD56)</f>
        <v/>
      </c>
      <c r="K57" s="53" t="str">
        <f>IF('sem2'!AD56="","",'sem2'!AD56)</f>
        <v/>
      </c>
      <c r="L57" s="54" t="str">
        <f t="shared" si="3"/>
        <v/>
      </c>
      <c r="M57" s="55" t="str">
        <f>IF('sem1'!AG56="","",'sem1'!AG56)</f>
        <v/>
      </c>
      <c r="N57" s="53" t="str">
        <f>IF('sem2'!AG56="","",'sem2'!AG56)</f>
        <v/>
      </c>
      <c r="O57" s="54" t="str">
        <f t="shared" si="4"/>
        <v/>
      </c>
      <c r="P57" s="55" t="str">
        <f>IF('sem1'!AJ56="","",'sem1'!AJ56)</f>
        <v/>
      </c>
      <c r="Q57" s="53" t="str">
        <f>IF('sem2'!AJ56="","",'sem2'!AJ56)</f>
        <v/>
      </c>
      <c r="R57" s="54" t="str">
        <f t="shared" si="5"/>
        <v/>
      </c>
      <c r="S57" s="55" t="str">
        <f>IF('sem1'!AM56="","",'sem1'!AM56)</f>
        <v/>
      </c>
      <c r="T57" s="53" t="str">
        <f>IF('sem2'!AM56="","",'sem2'!AM56)</f>
        <v/>
      </c>
      <c r="U57" s="54" t="str">
        <f t="shared" si="6"/>
        <v/>
      </c>
      <c r="V57" s="55" t="str">
        <f>IF('sem1'!AP56="","",'sem1'!AP56)</f>
        <v/>
      </c>
      <c r="W57" s="53" t="str">
        <f>IF('sem2'!AP56="","",'sem2'!AP56)</f>
        <v/>
      </c>
      <c r="X57" s="54" t="str">
        <f t="shared" si="7"/>
        <v/>
      </c>
      <c r="Y57" s="55" t="str">
        <f>IF('sem1'!AS56="","",'sem1'!AS56)</f>
        <v/>
      </c>
      <c r="Z57" s="53" t="str">
        <f>IF('sem2'!AS56="","",'sem2'!AS56)</f>
        <v/>
      </c>
      <c r="AA57" s="54" t="str">
        <f t="shared" si="8"/>
        <v/>
      </c>
      <c r="AB57" s="55" t="str">
        <f t="shared" si="9"/>
        <v/>
      </c>
      <c r="AC57" s="55" t="str">
        <f t="shared" si="10"/>
        <v/>
      </c>
      <c r="AD57" s="54" t="str">
        <f t="shared" si="11"/>
        <v/>
      </c>
      <c r="AE57" s="52" t="str">
        <f t="shared" si="12"/>
        <v/>
      </c>
      <c r="AF57" s="52" t="str">
        <f t="shared" si="13"/>
        <v/>
      </c>
      <c r="AG57" s="52" t="str">
        <f t="shared" si="0"/>
        <v/>
      </c>
    </row>
    <row r="58" spans="1:33" ht="15" customHeight="1" x14ac:dyDescent="0.2">
      <c r="A58" s="85" t="str">
        <f>IF(info!$A63="","",info!$A63)</f>
        <v/>
      </c>
      <c r="B58" s="85" t="str">
        <f>IF($A58="","",info!$F63)</f>
        <v/>
      </c>
      <c r="C58" s="88" t="str">
        <f>IF($A58="","",info!$C63)</f>
        <v/>
      </c>
      <c r="D58" s="53" t="str">
        <f>IF('sem1'!V57="","",'sem1'!V57)</f>
        <v/>
      </c>
      <c r="E58" s="53" t="str">
        <f>IF('sem2'!V57="","",'sem2'!V57)</f>
        <v/>
      </c>
      <c r="F58" s="54" t="str">
        <f t="shared" si="1"/>
        <v/>
      </c>
      <c r="G58" s="53" t="str">
        <f>IF('sem1'!Y57="","",'sem1'!Y57)</f>
        <v/>
      </c>
      <c r="H58" s="53" t="str">
        <f>IF('sem2'!Y57="","",'sem2'!Y57)</f>
        <v/>
      </c>
      <c r="I58" s="54" t="str">
        <f t="shared" si="2"/>
        <v/>
      </c>
      <c r="J58" s="53" t="str">
        <f>IF('sem1'!AD57="","",'sem1'!AD57)</f>
        <v/>
      </c>
      <c r="K58" s="53" t="str">
        <f>IF('sem2'!AD57="","",'sem2'!AD57)</f>
        <v/>
      </c>
      <c r="L58" s="54" t="str">
        <f t="shared" si="3"/>
        <v/>
      </c>
      <c r="M58" s="55" t="str">
        <f>IF('sem1'!AG57="","",'sem1'!AG57)</f>
        <v/>
      </c>
      <c r="N58" s="53" t="str">
        <f>IF('sem2'!AG57="","",'sem2'!AG57)</f>
        <v/>
      </c>
      <c r="O58" s="54" t="str">
        <f t="shared" si="4"/>
        <v/>
      </c>
      <c r="P58" s="55" t="str">
        <f>IF('sem1'!AJ57="","",'sem1'!AJ57)</f>
        <v/>
      </c>
      <c r="Q58" s="53" t="str">
        <f>IF('sem2'!AJ57="","",'sem2'!AJ57)</f>
        <v/>
      </c>
      <c r="R58" s="54" t="str">
        <f t="shared" si="5"/>
        <v/>
      </c>
      <c r="S58" s="55" t="str">
        <f>IF('sem1'!AM57="","",'sem1'!AM57)</f>
        <v/>
      </c>
      <c r="T58" s="53" t="str">
        <f>IF('sem2'!AM57="","",'sem2'!AM57)</f>
        <v/>
      </c>
      <c r="U58" s="54" t="str">
        <f t="shared" si="6"/>
        <v/>
      </c>
      <c r="V58" s="55" t="str">
        <f>IF('sem1'!AP57="","",'sem1'!AP57)</f>
        <v/>
      </c>
      <c r="W58" s="53" t="str">
        <f>IF('sem2'!AP57="","",'sem2'!AP57)</f>
        <v/>
      </c>
      <c r="X58" s="54" t="str">
        <f t="shared" si="7"/>
        <v/>
      </c>
      <c r="Y58" s="55" t="str">
        <f>IF('sem1'!AS57="","",'sem1'!AS57)</f>
        <v/>
      </c>
      <c r="Z58" s="53" t="str">
        <f>IF('sem2'!AS57="","",'sem2'!AS57)</f>
        <v/>
      </c>
      <c r="AA58" s="54" t="str">
        <f t="shared" si="8"/>
        <v/>
      </c>
      <c r="AB58" s="55" t="str">
        <f t="shared" si="9"/>
        <v/>
      </c>
      <c r="AC58" s="55" t="str">
        <f t="shared" si="10"/>
        <v/>
      </c>
      <c r="AD58" s="54" t="str">
        <f t="shared" si="11"/>
        <v/>
      </c>
      <c r="AE58" s="52" t="str">
        <f t="shared" si="12"/>
        <v/>
      </c>
      <c r="AF58" s="52" t="str">
        <f t="shared" si="13"/>
        <v/>
      </c>
      <c r="AG58" s="52" t="str">
        <f t="shared" si="0"/>
        <v/>
      </c>
    </row>
    <row r="59" spans="1:33" ht="15" customHeight="1" x14ac:dyDescent="0.2">
      <c r="A59" s="85" t="str">
        <f>IF(info!$A64="","",info!$A64)</f>
        <v/>
      </c>
      <c r="B59" s="85" t="str">
        <f>IF($A59="","",info!$F64)</f>
        <v/>
      </c>
      <c r="C59" s="88" t="str">
        <f>IF($A59="","",info!$C64)</f>
        <v/>
      </c>
      <c r="D59" s="53" t="str">
        <f>IF('sem1'!V58="","",'sem1'!V58)</f>
        <v/>
      </c>
      <c r="E59" s="53" t="str">
        <f>IF('sem2'!V58="","",'sem2'!V58)</f>
        <v/>
      </c>
      <c r="F59" s="54" t="str">
        <f t="shared" si="1"/>
        <v/>
      </c>
      <c r="G59" s="53" t="str">
        <f>IF('sem1'!Y58="","",'sem1'!Y58)</f>
        <v/>
      </c>
      <c r="H59" s="53" t="str">
        <f>IF('sem2'!Y58="","",'sem2'!Y58)</f>
        <v/>
      </c>
      <c r="I59" s="54" t="str">
        <f t="shared" si="2"/>
        <v/>
      </c>
      <c r="J59" s="53" t="str">
        <f>IF('sem1'!AD58="","",'sem1'!AD58)</f>
        <v/>
      </c>
      <c r="K59" s="53" t="str">
        <f>IF('sem2'!AD58="","",'sem2'!AD58)</f>
        <v/>
      </c>
      <c r="L59" s="54" t="str">
        <f t="shared" si="3"/>
        <v/>
      </c>
      <c r="M59" s="55" t="str">
        <f>IF('sem1'!AG58="","",'sem1'!AG58)</f>
        <v/>
      </c>
      <c r="N59" s="53" t="str">
        <f>IF('sem2'!AG58="","",'sem2'!AG58)</f>
        <v/>
      </c>
      <c r="O59" s="54" t="str">
        <f t="shared" si="4"/>
        <v/>
      </c>
      <c r="P59" s="55" t="str">
        <f>IF('sem1'!AJ58="","",'sem1'!AJ58)</f>
        <v/>
      </c>
      <c r="Q59" s="53" t="str">
        <f>IF('sem2'!AJ58="","",'sem2'!AJ58)</f>
        <v/>
      </c>
      <c r="R59" s="54" t="str">
        <f t="shared" si="5"/>
        <v/>
      </c>
      <c r="S59" s="55" t="str">
        <f>IF('sem1'!AM58="","",'sem1'!AM58)</f>
        <v/>
      </c>
      <c r="T59" s="53" t="str">
        <f>IF('sem2'!AM58="","",'sem2'!AM58)</f>
        <v/>
      </c>
      <c r="U59" s="54" t="str">
        <f t="shared" si="6"/>
        <v/>
      </c>
      <c r="V59" s="55" t="str">
        <f>IF('sem1'!AP58="","",'sem1'!AP58)</f>
        <v/>
      </c>
      <c r="W59" s="53" t="str">
        <f>IF('sem2'!AP58="","",'sem2'!AP58)</f>
        <v/>
      </c>
      <c r="X59" s="54" t="str">
        <f t="shared" si="7"/>
        <v/>
      </c>
      <c r="Y59" s="55" t="str">
        <f>IF('sem1'!AS58="","",'sem1'!AS58)</f>
        <v/>
      </c>
      <c r="Z59" s="53" t="str">
        <f>IF('sem2'!AS58="","",'sem2'!AS58)</f>
        <v/>
      </c>
      <c r="AA59" s="54" t="str">
        <f t="shared" si="8"/>
        <v/>
      </c>
      <c r="AB59" s="55" t="str">
        <f t="shared" si="9"/>
        <v/>
      </c>
      <c r="AC59" s="55" t="str">
        <f t="shared" si="10"/>
        <v/>
      </c>
      <c r="AD59" s="54" t="str">
        <f t="shared" si="11"/>
        <v/>
      </c>
      <c r="AE59" s="52" t="str">
        <f t="shared" si="12"/>
        <v/>
      </c>
      <c r="AF59" s="52" t="str">
        <f t="shared" si="13"/>
        <v/>
      </c>
      <c r="AG59" s="52" t="str">
        <f t="shared" si="0"/>
        <v/>
      </c>
    </row>
    <row r="60" spans="1:33" ht="15" customHeight="1" x14ac:dyDescent="0.2">
      <c r="A60" s="85" t="str">
        <f>IF(info!$A65="","",info!$A65)</f>
        <v/>
      </c>
      <c r="B60" s="85" t="str">
        <f>IF($A60="","",info!$F65)</f>
        <v/>
      </c>
      <c r="C60" s="88" t="str">
        <f>IF($A60="","",info!$C65)</f>
        <v/>
      </c>
      <c r="D60" s="53" t="str">
        <f>IF('sem1'!V59="","",'sem1'!V59)</f>
        <v/>
      </c>
      <c r="E60" s="53" t="str">
        <f>IF('sem2'!V59="","",'sem2'!V59)</f>
        <v/>
      </c>
      <c r="F60" s="54" t="str">
        <f t="shared" si="1"/>
        <v/>
      </c>
      <c r="G60" s="53" t="str">
        <f>IF('sem1'!Y59="","",'sem1'!Y59)</f>
        <v/>
      </c>
      <c r="H60" s="53" t="str">
        <f>IF('sem2'!Y59="","",'sem2'!Y59)</f>
        <v/>
      </c>
      <c r="I60" s="54" t="str">
        <f t="shared" si="2"/>
        <v/>
      </c>
      <c r="J60" s="53" t="str">
        <f>IF('sem1'!AD59="","",'sem1'!AD59)</f>
        <v/>
      </c>
      <c r="K60" s="53" t="str">
        <f>IF('sem2'!AD59="","",'sem2'!AD59)</f>
        <v/>
      </c>
      <c r="L60" s="54" t="str">
        <f t="shared" si="3"/>
        <v/>
      </c>
      <c r="M60" s="55" t="str">
        <f>IF('sem1'!AG59="","",'sem1'!AG59)</f>
        <v/>
      </c>
      <c r="N60" s="53" t="str">
        <f>IF('sem2'!AG59="","",'sem2'!AG59)</f>
        <v/>
      </c>
      <c r="O60" s="54" t="str">
        <f t="shared" si="4"/>
        <v/>
      </c>
      <c r="P60" s="55" t="str">
        <f>IF('sem1'!AJ59="","",'sem1'!AJ59)</f>
        <v/>
      </c>
      <c r="Q60" s="53" t="str">
        <f>IF('sem2'!AJ59="","",'sem2'!AJ59)</f>
        <v/>
      </c>
      <c r="R60" s="54" t="str">
        <f t="shared" si="5"/>
        <v/>
      </c>
      <c r="S60" s="55" t="str">
        <f>IF('sem1'!AM59="","",'sem1'!AM59)</f>
        <v/>
      </c>
      <c r="T60" s="53" t="str">
        <f>IF('sem2'!AM59="","",'sem2'!AM59)</f>
        <v/>
      </c>
      <c r="U60" s="54" t="str">
        <f t="shared" si="6"/>
        <v/>
      </c>
      <c r="V60" s="55" t="str">
        <f>IF('sem1'!AP59="","",'sem1'!AP59)</f>
        <v/>
      </c>
      <c r="W60" s="53" t="str">
        <f>IF('sem2'!AP59="","",'sem2'!AP59)</f>
        <v/>
      </c>
      <c r="X60" s="54" t="str">
        <f t="shared" si="7"/>
        <v/>
      </c>
      <c r="Y60" s="55" t="str">
        <f>IF('sem1'!AS59="","",'sem1'!AS59)</f>
        <v/>
      </c>
      <c r="Z60" s="53" t="str">
        <f>IF('sem2'!AS59="","",'sem2'!AS59)</f>
        <v/>
      </c>
      <c r="AA60" s="54" t="str">
        <f t="shared" si="8"/>
        <v/>
      </c>
      <c r="AB60" s="55" t="str">
        <f t="shared" si="9"/>
        <v/>
      </c>
      <c r="AC60" s="55" t="str">
        <f t="shared" si="10"/>
        <v/>
      </c>
      <c r="AD60" s="54" t="str">
        <f t="shared" si="11"/>
        <v/>
      </c>
      <c r="AE60" s="52" t="str">
        <f t="shared" si="12"/>
        <v/>
      </c>
      <c r="AF60" s="52" t="str">
        <f t="shared" si="13"/>
        <v/>
      </c>
      <c r="AG60" s="52" t="str">
        <f t="shared" si="0"/>
        <v/>
      </c>
    </row>
  </sheetData>
  <mergeCells count="40">
    <mergeCell ref="AD5:AF5"/>
    <mergeCell ref="AD6:AF6"/>
    <mergeCell ref="AA1:AC1"/>
    <mergeCell ref="AA2:AC2"/>
    <mergeCell ref="AA3:AC3"/>
    <mergeCell ref="AA4:AC4"/>
    <mergeCell ref="AA5:AC5"/>
    <mergeCell ref="J3:V4"/>
    <mergeCell ref="AD1:AF1"/>
    <mergeCell ref="AD2:AF2"/>
    <mergeCell ref="AD3:AF3"/>
    <mergeCell ref="AD4:AF4"/>
    <mergeCell ref="A6:E6"/>
    <mergeCell ref="Y8:AA8"/>
    <mergeCell ref="Y9:AA9"/>
    <mergeCell ref="J9:L9"/>
    <mergeCell ref="D9:F9"/>
    <mergeCell ref="G9:I9"/>
    <mergeCell ref="D8:F8"/>
    <mergeCell ref="G8:I8"/>
    <mergeCell ref="J8:L8"/>
    <mergeCell ref="AA6:AC6"/>
    <mergeCell ref="V8:X9"/>
    <mergeCell ref="C8:C10"/>
    <mergeCell ref="B8:B10"/>
    <mergeCell ref="A8:A10"/>
    <mergeCell ref="A1:E1"/>
    <mergeCell ref="A2:E2"/>
    <mergeCell ref="A3:E3"/>
    <mergeCell ref="A4:E4"/>
    <mergeCell ref="A5:E5"/>
    <mergeCell ref="AE8:AE10"/>
    <mergeCell ref="AF8:AF10"/>
    <mergeCell ref="AB8:AC8"/>
    <mergeCell ref="P9:R9"/>
    <mergeCell ref="M9:O9"/>
    <mergeCell ref="M8:O8"/>
    <mergeCell ref="P8:R8"/>
    <mergeCell ref="S8:U9"/>
    <mergeCell ref="AB9:AC9"/>
  </mergeCells>
  <printOptions horizontalCentered="1" verticalCentered="1"/>
  <pageMargins left="0" right="0" top="0" bottom="0" header="0" footer="0"/>
  <pageSetup paperSize="9" scale="6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info</vt:lpstr>
      <vt:lpstr>sem1</vt:lpstr>
      <vt:lpstr>bulletin_sem1</vt:lpstr>
      <vt:lpstr>sem2</vt:lpstr>
      <vt:lpstr>bulletin_sem2</vt:lpstr>
      <vt:lpstr>مجمل</vt:lpstr>
      <vt:lpstr>'sem2'!base1</vt:lpstr>
      <vt:lpstr>base1</vt:lpstr>
      <vt:lpstr>'sem2'!base2</vt:lpstr>
      <vt:lpstr>base3</vt:lpstr>
      <vt:lpstr>'sem2'!liste_eleve</vt:lpstr>
      <vt:lpstr>liste_eleve</vt:lpstr>
      <vt:lpstr>matieres</vt:lpstr>
      <vt:lpstr>bulletin_sem1!Zone_d_impression</vt:lpstr>
      <vt:lpstr>bulletin_sem2!Zone_d_impression</vt:lpstr>
      <vt:lpstr>info!Zone_d_impression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2018-07-20T23:42:28Z</cp:lastPrinted>
  <dcterms:created xsi:type="dcterms:W3CDTF">2007-11-30T00:10:03Z</dcterms:created>
  <dcterms:modified xsi:type="dcterms:W3CDTF">2018-07-20T23:43:36Z</dcterms:modified>
</cp:coreProperties>
</file>