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7.xml" ContentType="application/vnd.ms-office.activeX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8.xml" ContentType="application/vnd.ms-office.activeX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dorai\Desktop\"/>
    </mc:Choice>
  </mc:AlternateContent>
  <bookViews>
    <workbookView xWindow="0" yWindow="120" windowWidth="14775" windowHeight="3210" tabRatio="599" activeTab="1"/>
  </bookViews>
  <sheets>
    <sheet name="Prog" sheetId="50" r:id="rId1"/>
    <sheet name="Lentilles" sheetId="9" r:id="rId2"/>
    <sheet name="Out" sheetId="8" state="hidden" r:id="rId3"/>
    <sheet name="L3" sheetId="52" state="hidden" r:id="rId4"/>
  </sheets>
  <externalReferences>
    <externalReference r:id="rId5"/>
    <externalReference r:id="rId6"/>
  </externalReferences>
  <definedNames>
    <definedName name="_xlnm._FilterDatabase" localSheetId="2" hidden="1">Out!$A$2:$AY$2</definedName>
    <definedName name="_xlnm.Criteria" localSheetId="1">Lentilles!$A$3:$M$55</definedName>
    <definedName name="Liste_Catégories">OFFSET([1]Catégories!$A$3,,,COUNTA([1]Catégories!$A:$A)-1,)</definedName>
    <definedName name="Liste_Fournisseurs">OFFSET([1]Fournisseurs!$A$3,,,COUNTA([1]Fournisseurs!$A:$A)-1,)</definedName>
    <definedName name="Liste_Pièces">OFFSET([1]Inventaire!$A$3,,,COUNTA([1]Inventaire!$A:$A)-1,)</definedName>
    <definedName name="Liste_Techniciens">OFFSET([1]Techniciens!$A$3,,,COUNTA([1]Techniciens!$A:$A)-1,)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[2]check!$B$14</definedName>
    <definedName name="_xlnm.Print_Area" localSheetId="1">Lentilles!#REF!</definedName>
  </definedNames>
  <calcPr calcId="162913"/>
</workbook>
</file>

<file path=xl/calcChain.xml><?xml version="1.0" encoding="utf-8"?>
<calcChain xmlns="http://schemas.openxmlformats.org/spreadsheetml/2006/main">
  <c r="I22" i="9" l="1"/>
  <c r="F22" i="9"/>
  <c r="M22" i="9" s="1"/>
  <c r="N22" i="9" s="1"/>
  <c r="I43" i="9" l="1"/>
  <c r="F43" i="9"/>
  <c r="M43" i="9" s="1"/>
  <c r="N43" i="9" s="1"/>
  <c r="I49" i="9" l="1"/>
  <c r="F49" i="9"/>
  <c r="M49" i="9" s="1"/>
  <c r="N49" i="9" s="1"/>
  <c r="I47" i="9"/>
  <c r="F47" i="9"/>
  <c r="M47" i="9" s="1"/>
  <c r="N47" i="9" s="1"/>
  <c r="I34" i="9" l="1"/>
  <c r="F34" i="9"/>
  <c r="M34" i="9" s="1"/>
  <c r="N34" i="9" s="1"/>
  <c r="I33" i="9"/>
  <c r="F33" i="9"/>
  <c r="M33" i="9" s="1"/>
  <c r="N33" i="9" s="1"/>
  <c r="I32" i="9"/>
  <c r="F32" i="9"/>
  <c r="M32" i="9" s="1"/>
  <c r="N32" i="9" s="1"/>
  <c r="O5" i="9"/>
  <c r="O6" i="9" s="1"/>
  <c r="O7" i="9" s="1"/>
  <c r="O8" i="9" s="1"/>
  <c r="O9" i="9" s="1"/>
  <c r="O10" i="9" s="1"/>
  <c r="O11" i="9" s="1"/>
  <c r="O12" i="9" s="1"/>
  <c r="O13" i="9" s="1"/>
  <c r="O14" i="9" s="1"/>
  <c r="O15" i="9" s="1"/>
  <c r="O16" i="9" s="1"/>
  <c r="O17" i="9" s="1"/>
  <c r="O18" i="9" s="1"/>
  <c r="F39" i="9"/>
  <c r="M39" i="9" s="1"/>
  <c r="N39" i="9" s="1"/>
  <c r="I39" i="9"/>
  <c r="F40" i="9"/>
  <c r="M40" i="9" s="1"/>
  <c r="N40" i="9" s="1"/>
  <c r="I40" i="9"/>
  <c r="F41" i="9"/>
  <c r="M41" i="9" s="1"/>
  <c r="N41" i="9" s="1"/>
  <c r="I41" i="9"/>
  <c r="F42" i="9"/>
  <c r="M42" i="9" s="1"/>
  <c r="N42" i="9" s="1"/>
  <c r="I42" i="9"/>
  <c r="F44" i="9"/>
  <c r="M44" i="9" s="1"/>
  <c r="N44" i="9" s="1"/>
  <c r="I44" i="9"/>
  <c r="I31" i="9"/>
  <c r="F31" i="9"/>
  <c r="M31" i="9" s="1"/>
  <c r="N31" i="9" s="1"/>
  <c r="I30" i="9"/>
  <c r="F30" i="9"/>
  <c r="M30" i="9" s="1"/>
  <c r="N30" i="9" s="1"/>
  <c r="I29" i="9"/>
  <c r="F29" i="9"/>
  <c r="M29" i="9" s="1"/>
  <c r="N29" i="9" s="1"/>
  <c r="I28" i="9"/>
  <c r="F28" i="9"/>
  <c r="M28" i="9" s="1"/>
  <c r="N28" i="9" s="1"/>
  <c r="I27" i="9"/>
  <c r="F27" i="9"/>
  <c r="M27" i="9" s="1"/>
  <c r="N27" i="9" s="1"/>
  <c r="I26" i="9"/>
  <c r="F26" i="9"/>
  <c r="M26" i="9" s="1"/>
  <c r="N26" i="9" s="1"/>
  <c r="I25" i="9"/>
  <c r="F25" i="9"/>
  <c r="M25" i="9" s="1"/>
  <c r="N25" i="9" s="1"/>
  <c r="I24" i="9"/>
  <c r="F24" i="9"/>
  <c r="M24" i="9" s="1"/>
  <c r="I48" i="9"/>
  <c r="F48" i="9"/>
  <c r="M48" i="9" s="1"/>
  <c r="N48" i="9" s="1"/>
  <c r="I46" i="9"/>
  <c r="F46" i="9"/>
  <c r="M46" i="9" s="1"/>
  <c r="N24" i="9" l="1"/>
  <c r="N46" i="9"/>
  <c r="I35" i="9"/>
  <c r="F35" i="9"/>
  <c r="M35" i="9" s="1"/>
  <c r="N35" i="9" s="1"/>
  <c r="I21" i="9" l="1"/>
  <c r="F21" i="9"/>
  <c r="M21" i="9" s="1"/>
  <c r="N21" i="9" s="1"/>
  <c r="I20" i="9"/>
  <c r="F20" i="9"/>
  <c r="M20" i="9" s="1"/>
  <c r="N20" i="9" s="1"/>
  <c r="I19" i="9"/>
  <c r="F19" i="9"/>
  <c r="M19" i="9" s="1"/>
  <c r="O19" i="9" s="1"/>
  <c r="I18" i="9"/>
  <c r="F18" i="9"/>
  <c r="M18" i="9" s="1"/>
  <c r="O20" i="9" l="1"/>
  <c r="O21" i="9" s="1"/>
  <c r="O22" i="9" s="1"/>
  <c r="I23" i="9"/>
  <c r="F23" i="9" l="1"/>
  <c r="I17" i="9" l="1"/>
  <c r="I36" i="9"/>
  <c r="I37" i="9"/>
  <c r="I38" i="9"/>
  <c r="I45" i="9"/>
  <c r="I50" i="9"/>
  <c r="I51" i="9"/>
  <c r="I52" i="9"/>
  <c r="I53" i="9"/>
  <c r="I54" i="9"/>
  <c r="I55" i="9"/>
  <c r="I7" i="9"/>
  <c r="I9" i="9"/>
  <c r="I10" i="9"/>
  <c r="I11" i="9"/>
  <c r="I12" i="9"/>
  <c r="I13" i="9"/>
  <c r="I14" i="9"/>
  <c r="I15" i="9"/>
  <c r="I16" i="9"/>
  <c r="I8" i="9"/>
  <c r="I5" i="9"/>
  <c r="I6" i="9" l="1"/>
  <c r="M23" i="9"/>
  <c r="F37" i="9" l="1"/>
  <c r="M37" i="9" l="1"/>
  <c r="N37" i="9" s="1"/>
  <c r="F36" i="9"/>
  <c r="M36" i="9" s="1"/>
  <c r="N36" i="9" l="1"/>
  <c r="F17" i="9"/>
  <c r="M17" i="9" s="1"/>
  <c r="N23" i="9"/>
  <c r="O23" i="9" s="1"/>
  <c r="O24" i="9" s="1"/>
  <c r="O25" i="9" s="1"/>
  <c r="O26" i="9" s="1"/>
  <c r="O27" i="9" s="1"/>
  <c r="O28" i="9" s="1"/>
  <c r="O29" i="9" s="1"/>
  <c r="O30" i="9" s="1"/>
  <c r="O31" i="9" s="1"/>
  <c r="O32" i="9" s="1"/>
  <c r="O33" i="9" s="1"/>
  <c r="O34" i="9" s="1"/>
  <c r="O35" i="9" s="1"/>
  <c r="O36" i="9" s="1"/>
  <c r="O37" i="9" s="1"/>
  <c r="F5" i="9" l="1"/>
  <c r="M5" i="9" s="1"/>
  <c r="F6" i="9"/>
  <c r="M6" i="9" s="1"/>
  <c r="F7" i="9" l="1"/>
  <c r="M7" i="9" s="1"/>
  <c r="F8" i="9"/>
  <c r="M8" i="9" s="1"/>
  <c r="F9" i="9"/>
  <c r="M9" i="9" s="1"/>
  <c r="F10" i="9"/>
  <c r="M10" i="9" s="1"/>
  <c r="F11" i="9"/>
  <c r="M11" i="9" s="1"/>
  <c r="F12" i="9"/>
  <c r="M12" i="9" s="1"/>
  <c r="F13" i="9"/>
  <c r="M13" i="9" s="1"/>
  <c r="F14" i="9"/>
  <c r="M14" i="9" s="1"/>
  <c r="F15" i="9"/>
  <c r="M15" i="9" s="1"/>
  <c r="F16" i="9"/>
  <c r="M16" i="9" s="1"/>
  <c r="F38" i="9"/>
  <c r="F45" i="9"/>
  <c r="F50" i="9"/>
  <c r="F51" i="9"/>
  <c r="F52" i="9"/>
  <c r="F53" i="9"/>
  <c r="F54" i="9"/>
  <c r="F55" i="9"/>
  <c r="M52" i="9" l="1"/>
  <c r="N52" i="9" s="1"/>
  <c r="M38" i="9"/>
  <c r="N38" i="9" s="1"/>
  <c r="O38" i="9" s="1"/>
  <c r="O39" i="9" s="1"/>
  <c r="O40" i="9" s="1"/>
  <c r="O41" i="9" s="1"/>
  <c r="O42" i="9" s="1"/>
  <c r="O43" i="9" s="1"/>
  <c r="O44" i="9" s="1"/>
  <c r="M51" i="9"/>
  <c r="N51" i="9" s="1"/>
  <c r="M50" i="9"/>
  <c r="N50" i="9" s="1"/>
  <c r="M55" i="9"/>
  <c r="N55" i="9" s="1"/>
  <c r="M45" i="9"/>
  <c r="N45" i="9" s="1"/>
  <c r="M54" i="9"/>
  <c r="N54" i="9" s="1"/>
  <c r="M53" i="9"/>
  <c r="N53" i="9" s="1"/>
  <c r="F56" i="9"/>
  <c r="O45" i="9" l="1"/>
  <c r="O46" i="9" s="1"/>
  <c r="O47" i="9" s="1"/>
  <c r="O48" i="9" s="1"/>
  <c r="O49" i="9" s="1"/>
  <c r="O50" i="9" s="1"/>
  <c r="O51" i="9" s="1"/>
  <c r="O52" i="9" s="1"/>
  <c r="O53" i="9" s="1"/>
  <c r="O54" i="9" s="1"/>
  <c r="O55" i="9" s="1"/>
  <c r="N57" i="9"/>
  <c r="M56" i="9"/>
  <c r="DQ33" i="52" l="1"/>
  <c r="CQ33" i="52"/>
  <c r="CG33" i="52"/>
  <c r="AT33" i="52"/>
  <c r="U33" i="52"/>
  <c r="D33" i="52"/>
  <c r="AZ32" i="8"/>
  <c r="Q31" i="8"/>
  <c r="DQ32" i="52"/>
  <c r="CQ32" i="52"/>
  <c r="CG32" i="52"/>
  <c r="AT32" i="52"/>
  <c r="U32" i="52"/>
  <c r="D32" i="52"/>
  <c r="DQ31" i="52"/>
  <c r="CO31" i="52"/>
  <c r="CG31" i="52"/>
  <c r="AR31" i="52"/>
  <c r="U31" i="52"/>
  <c r="CP30" i="52"/>
  <c r="CG30" i="52"/>
  <c r="AS30" i="52"/>
  <c r="U30" i="52"/>
  <c r="CP29" i="52"/>
  <c r="CO29" i="52"/>
  <c r="CG29" i="52"/>
  <c r="AS29" i="52"/>
  <c r="AR29" i="52"/>
  <c r="U29" i="52"/>
  <c r="D29" i="52"/>
  <c r="DQ28" i="52"/>
  <c r="CO28" i="52"/>
  <c r="CG28" i="52"/>
  <c r="AR28" i="52"/>
  <c r="U28" i="52"/>
  <c r="D28" i="52"/>
  <c r="DQ27" i="52"/>
  <c r="CV27" i="52"/>
  <c r="CG27" i="52"/>
  <c r="AY27" i="52"/>
  <c r="U27" i="52"/>
  <c r="D27" i="52"/>
  <c r="Q27" i="8"/>
  <c r="CO26" i="52"/>
  <c r="CG26" i="52"/>
  <c r="AR26" i="52"/>
  <c r="U26" i="52"/>
  <c r="BK25" i="8"/>
  <c r="S25" i="8"/>
  <c r="CH25" i="8"/>
  <c r="DQ25" i="52"/>
  <c r="CR25" i="52"/>
  <c r="CG25" i="52"/>
  <c r="AU25" i="52"/>
  <c r="U25" i="52"/>
  <c r="DZ25" i="8"/>
  <c r="DQ24" i="52"/>
  <c r="CO24" i="52"/>
  <c r="CG24" i="52"/>
  <c r="AR24" i="52"/>
  <c r="U24" i="52"/>
  <c r="DQ23" i="52"/>
  <c r="CO23" i="52"/>
  <c r="CG23" i="52"/>
  <c r="AR23" i="52"/>
  <c r="U23" i="52"/>
  <c r="DQ22" i="52"/>
  <c r="CR22" i="52"/>
  <c r="CG22" i="52"/>
  <c r="AU22" i="52"/>
  <c r="U22" i="52"/>
  <c r="D22" i="52"/>
  <c r="DQ21" i="52"/>
  <c r="CS21" i="52"/>
  <c r="AV21" i="52"/>
  <c r="CG21" i="52"/>
  <c r="U21" i="52"/>
  <c r="D21" i="52"/>
  <c r="DQ20" i="52"/>
  <c r="CO20" i="52"/>
  <c r="CG20" i="52"/>
  <c r="AR20" i="52"/>
  <c r="U20" i="52"/>
  <c r="D20" i="52"/>
  <c r="Q20" i="8"/>
  <c r="CF20" i="8"/>
  <c r="DQ19" i="52"/>
  <c r="CO19" i="52"/>
  <c r="CG19" i="52"/>
  <c r="AR19" i="52"/>
  <c r="U19" i="52"/>
  <c r="DQ18" i="52"/>
  <c r="CO18" i="52"/>
  <c r="CG18" i="52"/>
  <c r="AR18" i="52"/>
  <c r="U18" i="52"/>
  <c r="DQ17" i="52"/>
  <c r="CO17" i="52"/>
  <c r="CG17" i="52"/>
  <c r="AR17" i="52"/>
  <c r="U17" i="52"/>
  <c r="S17" i="8"/>
  <c r="CH16" i="8"/>
  <c r="DQ16" i="52"/>
  <c r="CQ16" i="52"/>
  <c r="CG16" i="52"/>
  <c r="AT16" i="52"/>
  <c r="U16" i="52"/>
  <c r="D16" i="52"/>
  <c r="S16" i="8"/>
  <c r="DQ15" i="52"/>
  <c r="CQ15" i="52"/>
  <c r="CG15" i="52"/>
  <c r="AT15" i="52"/>
  <c r="U15" i="52"/>
  <c r="D15" i="52"/>
  <c r="DQ14" i="52"/>
  <c r="CQ14" i="52"/>
  <c r="CG14" i="52"/>
  <c r="AT14" i="52"/>
  <c r="U14" i="52"/>
  <c r="D14" i="52"/>
  <c r="DQ13" i="52"/>
  <c r="CQ13" i="52"/>
  <c r="CG13" i="52"/>
  <c r="AT13" i="52"/>
  <c r="U13" i="52"/>
  <c r="D13" i="52"/>
  <c r="S13" i="8"/>
  <c r="CO12" i="52"/>
  <c r="CP12" i="52"/>
  <c r="CG12" i="52"/>
  <c r="AS12" i="52"/>
  <c r="AR12" i="52"/>
  <c r="U12" i="52"/>
  <c r="S12" i="8"/>
  <c r="CH12" i="8"/>
  <c r="Q12" i="8"/>
  <c r="AZ11" i="8"/>
  <c r="DQ11" i="52"/>
  <c r="CQ11" i="52"/>
  <c r="CG11" i="52"/>
  <c r="AT11" i="52"/>
  <c r="U11" i="52"/>
  <c r="D11" i="52"/>
  <c r="CQ10" i="52"/>
  <c r="CG10" i="52"/>
  <c r="AT10" i="52"/>
  <c r="U10" i="52"/>
  <c r="CO9" i="52"/>
  <c r="CG9" i="52"/>
  <c r="AR9" i="52"/>
  <c r="U9" i="52"/>
  <c r="W9" i="8"/>
  <c r="CL9" i="8"/>
  <c r="CH6" i="8"/>
  <c r="DQ8" i="52"/>
  <c r="CP8" i="52"/>
  <c r="CO8" i="52"/>
  <c r="CG8" i="52"/>
  <c r="AS8" i="52"/>
  <c r="AR8" i="52"/>
  <c r="U8" i="52"/>
  <c r="D8" i="52"/>
  <c r="CR7" i="52"/>
  <c r="CP7" i="52"/>
  <c r="CG7" i="52"/>
  <c r="AU7" i="52"/>
  <c r="AS7" i="52"/>
  <c r="U7" i="52"/>
  <c r="D7" i="52"/>
  <c r="CO6" i="52"/>
  <c r="CG6" i="52"/>
  <c r="AR6" i="52"/>
  <c r="U6" i="52"/>
  <c r="CU5" i="52"/>
  <c r="CU4" i="52"/>
  <c r="CG5" i="52"/>
  <c r="CG4" i="52"/>
  <c r="AX5" i="52"/>
  <c r="AR5" i="52"/>
  <c r="U5" i="52"/>
  <c r="AX4" i="52"/>
  <c r="U4" i="52"/>
  <c r="D4" i="52"/>
  <c r="G36" i="52"/>
  <c r="EN22" i="52"/>
  <c r="CN5" i="52"/>
  <c r="CN6" i="52"/>
  <c r="CN7" i="52"/>
  <c r="CN8" i="52"/>
  <c r="CN9" i="52"/>
  <c r="CN10" i="52"/>
  <c r="CN11" i="52"/>
  <c r="CN12" i="52"/>
  <c r="CN13" i="52"/>
  <c r="CN14" i="52"/>
  <c r="CN15" i="52"/>
  <c r="CN16" i="52"/>
  <c r="CN17" i="52"/>
  <c r="CN18" i="52"/>
  <c r="CN19" i="52"/>
  <c r="CN20" i="52"/>
  <c r="CN21" i="52"/>
  <c r="CN22" i="52"/>
  <c r="CN23" i="52"/>
  <c r="CN24" i="52"/>
  <c r="CN25" i="52"/>
  <c r="CN26" i="52"/>
  <c r="CN27" i="52"/>
  <c r="CN28" i="52"/>
  <c r="CN29" i="52"/>
  <c r="CN30" i="52"/>
  <c r="CN31" i="52"/>
  <c r="CN32" i="52"/>
  <c r="CN33" i="52"/>
  <c r="CN34" i="52"/>
  <c r="CN35" i="52"/>
  <c r="CN4" i="52"/>
  <c r="BD35" i="8"/>
  <c r="BA35" i="8"/>
  <c r="ET20" i="52"/>
  <c r="ET21" i="52"/>
  <c r="ET22" i="52"/>
  <c r="ET23" i="52"/>
  <c r="ET24" i="52"/>
  <c r="ET25" i="52"/>
  <c r="ET26" i="52"/>
  <c r="ET27" i="52"/>
  <c r="ET28" i="52"/>
  <c r="ET29" i="52"/>
  <c r="EV18" i="52"/>
  <c r="EV19" i="52"/>
  <c r="EV20" i="52"/>
  <c r="EV21" i="52"/>
  <c r="EV22" i="52"/>
  <c r="EV23" i="52"/>
  <c r="EV24" i="52"/>
  <c r="EV25" i="52"/>
  <c r="EV26" i="52"/>
  <c r="EV27" i="52"/>
  <c r="EV28" i="52"/>
  <c r="EV29" i="52"/>
  <c r="EV30" i="52"/>
  <c r="EN5" i="52"/>
  <c r="EL5" i="52"/>
  <c r="EN6" i="52"/>
  <c r="EL6" i="52"/>
  <c r="EN7" i="52"/>
  <c r="EL7" i="52"/>
  <c r="EN8" i="52"/>
  <c r="EL8" i="52"/>
  <c r="EN9" i="52"/>
  <c r="EL9" i="52"/>
  <c r="EN10" i="52"/>
  <c r="EL10" i="52"/>
  <c r="EN11" i="52"/>
  <c r="EL11" i="52"/>
  <c r="EN12" i="52"/>
  <c r="EL12" i="52"/>
  <c r="EN13" i="52"/>
  <c r="EL13" i="52"/>
  <c r="EN14" i="52"/>
  <c r="EL14" i="52"/>
  <c r="EN15" i="52"/>
  <c r="EL15" i="52"/>
  <c r="EN16" i="52"/>
  <c r="EL16" i="52"/>
  <c r="EN17" i="52"/>
  <c r="EL17" i="52"/>
  <c r="EN18" i="52"/>
  <c r="EL18" i="52"/>
  <c r="EN19" i="52"/>
  <c r="EL19" i="52"/>
  <c r="EN20" i="52"/>
  <c r="EN21" i="52"/>
  <c r="EL21" i="52"/>
  <c r="EL22" i="52"/>
  <c r="EN23" i="52"/>
  <c r="EN24" i="52"/>
  <c r="EL24" i="52"/>
  <c r="EN25" i="52"/>
  <c r="EL25" i="52"/>
  <c r="EN26" i="52"/>
  <c r="EL26" i="52"/>
  <c r="EN27" i="52"/>
  <c r="EL27" i="52"/>
  <c r="EN28" i="52"/>
  <c r="EL28" i="52"/>
  <c r="EN29" i="52"/>
  <c r="EL29" i="52"/>
  <c r="EN30" i="52"/>
  <c r="EL30" i="52"/>
  <c r="EN31" i="52"/>
  <c r="EL31" i="52"/>
  <c r="EN32" i="52"/>
  <c r="EL32" i="52"/>
  <c r="EN33" i="52"/>
  <c r="EL33" i="52"/>
  <c r="EN34" i="52"/>
  <c r="EL34" i="52"/>
  <c r="EN35" i="52"/>
  <c r="EL35" i="52"/>
  <c r="EM5" i="52"/>
  <c r="EM6" i="52"/>
  <c r="EM7" i="52"/>
  <c r="EM8" i="52"/>
  <c r="EM9" i="52"/>
  <c r="EM10" i="52"/>
  <c r="EM11" i="52"/>
  <c r="EM12" i="52"/>
  <c r="EM13" i="52"/>
  <c r="EM14" i="52"/>
  <c r="EM15" i="52"/>
  <c r="EM16" i="52"/>
  <c r="EM17" i="52"/>
  <c r="EM18" i="52"/>
  <c r="EM19" i="52"/>
  <c r="EM20" i="52"/>
  <c r="EM21" i="52"/>
  <c r="EM22" i="52"/>
  <c r="EM23" i="52"/>
  <c r="EM24" i="52"/>
  <c r="EM25" i="52"/>
  <c r="EM26" i="52"/>
  <c r="EM27" i="52"/>
  <c r="EM28" i="52"/>
  <c r="EM29" i="52"/>
  <c r="EM30" i="52"/>
  <c r="EM31" i="52"/>
  <c r="EM32" i="52"/>
  <c r="EM33" i="52"/>
  <c r="EM34" i="52"/>
  <c r="EM35" i="52"/>
  <c r="EV35" i="52"/>
  <c r="ET35" i="52"/>
  <c r="EV34" i="52"/>
  <c r="ET34" i="52"/>
  <c r="EV33" i="52"/>
  <c r="ET33" i="52"/>
  <c r="EV32" i="52"/>
  <c r="ET32" i="52"/>
  <c r="EV31" i="52"/>
  <c r="ET31" i="52"/>
  <c r="ET30" i="52"/>
  <c r="ET19" i="52"/>
  <c r="ET18" i="52"/>
  <c r="EV17" i="52"/>
  <c r="ET17" i="52"/>
  <c r="EV16" i="52"/>
  <c r="ET16" i="52"/>
  <c r="EV15" i="52"/>
  <c r="ET15" i="52"/>
  <c r="EV14" i="52"/>
  <c r="ET14" i="52"/>
  <c r="EV13" i="52"/>
  <c r="ET13" i="52"/>
  <c r="EV12" i="52"/>
  <c r="ET12" i="52"/>
  <c r="EV11" i="52"/>
  <c r="ET11" i="52"/>
  <c r="EV10" i="52"/>
  <c r="ET10" i="52"/>
  <c r="EV9" i="52"/>
  <c r="ET9" i="52"/>
  <c r="EV8" i="52"/>
  <c r="ET8" i="52"/>
  <c r="EV7" i="52"/>
  <c r="ET7" i="52"/>
  <c r="EV6" i="52"/>
  <c r="ET6" i="52"/>
  <c r="EV5" i="52"/>
  <c r="ET5" i="52"/>
  <c r="EV4" i="52"/>
  <c r="ET4" i="52"/>
  <c r="ES3" i="52"/>
  <c r="ER3" i="52"/>
  <c r="EQ36" i="52"/>
  <c r="EP36" i="52"/>
  <c r="EO36" i="52"/>
  <c r="EN4" i="52"/>
  <c r="EL4" i="52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R35" i="8"/>
  <c r="DQ35" i="8"/>
  <c r="DP35" i="8"/>
  <c r="DO35" i="8"/>
  <c r="DN35" i="8"/>
  <c r="DM35" i="8"/>
  <c r="DL35" i="8"/>
  <c r="DK35" i="8"/>
  <c r="DJ35" i="8"/>
  <c r="DI35" i="8"/>
  <c r="DH35" i="8"/>
  <c r="DG35" i="8"/>
  <c r="DF35" i="8"/>
  <c r="DE35" i="8"/>
  <c r="DD35" i="8"/>
  <c r="DC35" i="8"/>
  <c r="DB35" i="8"/>
  <c r="DA35" i="8"/>
  <c r="CZ35" i="8"/>
  <c r="CY35" i="8"/>
  <c r="CX35" i="8"/>
  <c r="CW35" i="8"/>
  <c r="CV35" i="8"/>
  <c r="CU35" i="8"/>
  <c r="CT35" i="8"/>
  <c r="CS35" i="8"/>
  <c r="CR35" i="8"/>
  <c r="CQ35" i="8"/>
  <c r="CP35" i="8"/>
  <c r="CO35" i="8"/>
  <c r="CN35" i="8"/>
  <c r="CM35" i="8"/>
  <c r="CL35" i="8"/>
  <c r="CK35" i="8"/>
  <c r="CJ35" i="8"/>
  <c r="CI35" i="8"/>
  <c r="CH35" i="8"/>
  <c r="CG35" i="8"/>
  <c r="CF35" i="8"/>
  <c r="CE35" i="8"/>
  <c r="CD35" i="8"/>
  <c r="CC35" i="8"/>
  <c r="CB35" i="8"/>
  <c r="BY35" i="8"/>
  <c r="BX35" i="8"/>
  <c r="BW35" i="8"/>
  <c r="BV35" i="8"/>
  <c r="BU35" i="8"/>
  <c r="BT35" i="8"/>
  <c r="BS35" i="8"/>
  <c r="BR35" i="8"/>
  <c r="CE36" i="52"/>
  <c r="CD36" i="52"/>
  <c r="CC36" i="52"/>
  <c r="CB36" i="52"/>
  <c r="CA36" i="52"/>
  <c r="BZ36" i="52"/>
  <c r="CK36" i="52"/>
  <c r="CL36" i="52"/>
  <c r="CM36" i="52"/>
  <c r="DI36" i="52"/>
  <c r="DH36" i="52"/>
  <c r="DF36" i="52"/>
  <c r="DG36" i="52"/>
  <c r="DT36" i="52"/>
  <c r="DS36" i="52"/>
  <c r="DR36" i="52"/>
  <c r="DQ36" i="52"/>
  <c r="DP36" i="52"/>
  <c r="DO36" i="52"/>
  <c r="X36" i="52"/>
  <c r="Y36" i="52"/>
  <c r="Z36" i="52"/>
  <c r="AA36" i="52"/>
  <c r="AB36" i="52"/>
  <c r="AC36" i="52"/>
  <c r="AD36" i="52"/>
  <c r="AE36" i="52"/>
  <c r="AF36" i="52"/>
  <c r="AG36" i="52"/>
  <c r="AH36" i="52"/>
  <c r="AI36" i="52"/>
  <c r="AJ36" i="52"/>
  <c r="AK36" i="52"/>
  <c r="AL36" i="52"/>
  <c r="AM36" i="52"/>
  <c r="AN36" i="52"/>
  <c r="AO36" i="52"/>
  <c r="AP36" i="52"/>
  <c r="AQ36" i="52"/>
  <c r="W36" i="52"/>
  <c r="V36" i="52"/>
  <c r="U36" i="52"/>
  <c r="T36" i="52"/>
  <c r="S36" i="52"/>
  <c r="R36" i="52"/>
  <c r="Q36" i="52"/>
  <c r="P36" i="52"/>
  <c r="O36" i="52"/>
  <c r="N36" i="52"/>
  <c r="M36" i="52"/>
  <c r="L36" i="52"/>
  <c r="K36" i="52"/>
  <c r="J36" i="52"/>
  <c r="I36" i="52"/>
  <c r="H36" i="52"/>
  <c r="F36" i="52"/>
  <c r="E36" i="52"/>
  <c r="D36" i="52"/>
  <c r="BY36" i="52"/>
  <c r="EF36" i="52"/>
  <c r="EE36" i="52"/>
  <c r="ED36" i="52"/>
  <c r="EC36" i="52"/>
  <c r="EB36" i="52"/>
  <c r="CJ36" i="52"/>
  <c r="CF5" i="52"/>
  <c r="CF6" i="52"/>
  <c r="CF7" i="52"/>
  <c r="CF8" i="52"/>
  <c r="CF9" i="52"/>
  <c r="CF10" i="52"/>
  <c r="CF11" i="52"/>
  <c r="CF12" i="52"/>
  <c r="CF13" i="52"/>
  <c r="CF14" i="52"/>
  <c r="CF15" i="52"/>
  <c r="CF16" i="52"/>
  <c r="CF17" i="52"/>
  <c r="CF18" i="52"/>
  <c r="CF19" i="52"/>
  <c r="CF20" i="52"/>
  <c r="CF21" i="52"/>
  <c r="CF22" i="52"/>
  <c r="CF23" i="52"/>
  <c r="CF24" i="52"/>
  <c r="CF25" i="52"/>
  <c r="CF26" i="52"/>
  <c r="CF27" i="52"/>
  <c r="CF28" i="52"/>
  <c r="CF29" i="52"/>
  <c r="CF30" i="52"/>
  <c r="CF31" i="52"/>
  <c r="CF32" i="52"/>
  <c r="CF33" i="52"/>
  <c r="CF34" i="52"/>
  <c r="CF35" i="52"/>
  <c r="CF4" i="52"/>
  <c r="BM36" i="52"/>
  <c r="BN36" i="52"/>
  <c r="BO36" i="52"/>
  <c r="BP36" i="52"/>
  <c r="BQ36" i="52"/>
  <c r="BR36" i="52"/>
  <c r="BS36" i="52"/>
  <c r="BT36" i="52"/>
  <c r="BU36" i="52"/>
  <c r="BV36" i="52"/>
  <c r="BW36" i="52"/>
  <c r="C36" i="52"/>
  <c r="BX36" i="52"/>
  <c r="BL36" i="52"/>
  <c r="BK36" i="52"/>
  <c r="BI36" i="52"/>
  <c r="BH36" i="52"/>
  <c r="BF36" i="52"/>
  <c r="BE36" i="52"/>
  <c r="BD36" i="52"/>
  <c r="BB36" i="52"/>
  <c r="BA36" i="52"/>
  <c r="AX36" i="52"/>
  <c r="AW36" i="52"/>
  <c r="AV36" i="52"/>
  <c r="AU36" i="52"/>
  <c r="AT36" i="52"/>
  <c r="AR36" i="52"/>
  <c r="AZ36" i="52"/>
  <c r="BJ36" i="52"/>
  <c r="BC36" i="52"/>
  <c r="BG36" i="52"/>
  <c r="B4" i="52"/>
  <c r="A4" i="52"/>
  <c r="CI36" i="52"/>
  <c r="CH36" i="52"/>
  <c r="DN36" i="52"/>
  <c r="DM36" i="52"/>
  <c r="DL36" i="52"/>
  <c r="DK36" i="52"/>
  <c r="DJ36" i="52"/>
  <c r="DE36" i="52"/>
  <c r="DD36" i="52"/>
  <c r="DA36" i="52"/>
  <c r="CZ36" i="52"/>
  <c r="CY36" i="52"/>
  <c r="CX36" i="52"/>
  <c r="CV36" i="52"/>
  <c r="CS36" i="52"/>
  <c r="CQ36" i="52"/>
  <c r="CP36" i="52"/>
  <c r="CU36" i="52"/>
  <c r="DC36" i="52"/>
  <c r="CW36" i="52"/>
  <c r="DB36" i="52"/>
  <c r="CR36" i="52"/>
  <c r="EI36" i="52"/>
  <c r="EH36" i="52"/>
  <c r="EG36" i="52"/>
  <c r="EA36" i="52"/>
  <c r="DZ36" i="52"/>
  <c r="DY36" i="52"/>
  <c r="DX36" i="52"/>
  <c r="DW36" i="52"/>
  <c r="DV36" i="52"/>
  <c r="DU36" i="52"/>
  <c r="EK36" i="52"/>
  <c r="EJ36" i="52"/>
  <c r="EM4" i="52"/>
  <c r="AS36" i="52"/>
  <c r="AY36" i="52"/>
  <c r="CG36" i="52"/>
  <c r="CO36" i="52"/>
  <c r="CT36" i="52"/>
  <c r="BM35" i="8"/>
  <c r="BN35" i="8"/>
  <c r="BO35" i="8"/>
  <c r="BP35" i="8"/>
  <c r="BI35" i="8"/>
  <c r="BJ35" i="8"/>
  <c r="BK35" i="8"/>
  <c r="AJ35" i="8"/>
  <c r="AK35" i="8"/>
  <c r="AL35" i="8"/>
  <c r="AM35" i="8"/>
  <c r="BC35" i="8"/>
  <c r="BE35" i="8"/>
  <c r="BF35" i="8"/>
  <c r="BG35" i="8"/>
  <c r="BH35" i="8"/>
  <c r="V35" i="8"/>
  <c r="AP35" i="8"/>
  <c r="C35" i="8"/>
  <c r="E35" i="8"/>
  <c r="B5" i="52"/>
  <c r="B4" i="8"/>
  <c r="A4" i="8"/>
  <c r="AE35" i="8"/>
  <c r="AQ35" i="8"/>
  <c r="AH35" i="8"/>
  <c r="AG35" i="8"/>
  <c r="AF35" i="8"/>
  <c r="AA35" i="8"/>
  <c r="X35" i="8"/>
  <c r="BQ35" i="8"/>
  <c r="J35" i="8"/>
  <c r="N35" i="8"/>
  <c r="I35" i="8"/>
  <c r="AO35" i="8"/>
  <c r="F35" i="8"/>
  <c r="Y35" i="8"/>
  <c r="Z35" i="8"/>
  <c r="M35" i="8"/>
  <c r="AC35" i="8"/>
  <c r="O35" i="8"/>
  <c r="Q35" i="8"/>
  <c r="S35" i="8"/>
  <c r="T35" i="8"/>
  <c r="U35" i="8"/>
  <c r="W35" i="8"/>
  <c r="AB35" i="8"/>
  <c r="AD35" i="8"/>
  <c r="AI35" i="8"/>
  <c r="AN35" i="8"/>
  <c r="AR35" i="8"/>
  <c r="AS35" i="8"/>
  <c r="AT35" i="8"/>
  <c r="AU35" i="8"/>
  <c r="AV35" i="8"/>
  <c r="AW35" i="8"/>
  <c r="H35" i="8"/>
  <c r="AX35" i="8"/>
  <c r="D35" i="8"/>
  <c r="AY35" i="8"/>
  <c r="AZ35" i="8"/>
  <c r="BB35" i="8"/>
  <c r="BL35" i="8"/>
  <c r="P35" i="8"/>
  <c r="G35" i="8"/>
  <c r="R35" i="8"/>
  <c r="EM36" i="52"/>
  <c r="ES22" i="52"/>
  <c r="A5" i="52"/>
  <c r="A5" i="8"/>
  <c r="ES10" i="52"/>
  <c r="ES7" i="52"/>
  <c r="ES13" i="52"/>
  <c r="ER27" i="52"/>
  <c r="ES23" i="52"/>
  <c r="EV36" i="52"/>
  <c r="B5" i="8"/>
  <c r="ES19" i="52"/>
  <c r="ER11" i="52"/>
  <c r="ES32" i="52"/>
  <c r="ES28" i="52"/>
  <c r="ES20" i="52"/>
  <c r="ES12" i="52"/>
  <c r="EL23" i="52"/>
  <c r="ER23" i="52"/>
  <c r="ER18" i="52"/>
  <c r="ES11" i="52"/>
  <c r="ES15" i="52"/>
  <c r="ES21" i="52"/>
  <c r="ES17" i="52"/>
  <c r="ES34" i="52"/>
  <c r="ES14" i="52"/>
  <c r="ER8" i="52"/>
  <c r="ER35" i="52"/>
  <c r="U40" i="8"/>
  <c r="ER32" i="52"/>
  <c r="ER34" i="52"/>
  <c r="ER26" i="52"/>
  <c r="ES25" i="52"/>
  <c r="ER22" i="52"/>
  <c r="ER19" i="52"/>
  <c r="ES18" i="52"/>
  <c r="ER17" i="52"/>
  <c r="ER16" i="52"/>
  <c r="ER15" i="52"/>
  <c r="ER14" i="52"/>
  <c r="ER10" i="52"/>
  <c r="ES9" i="52"/>
  <c r="ER9" i="52"/>
  <c r="ER7" i="52"/>
  <c r="ER6" i="52"/>
  <c r="ES6" i="52"/>
  <c r="ES5" i="52"/>
  <c r="ES4" i="52"/>
  <c r="ET36" i="52"/>
  <c r="EU36" i="52"/>
  <c r="ER4" i="52"/>
  <c r="ER25" i="52"/>
  <c r="ES27" i="52"/>
  <c r="ES24" i="52"/>
  <c r="ER12" i="52"/>
  <c r="ER20" i="52"/>
  <c r="ER5" i="52"/>
  <c r="ER13" i="52"/>
  <c r="ER21" i="52"/>
  <c r="ER28" i="52"/>
  <c r="ES8" i="52"/>
  <c r="ES16" i="52"/>
  <c r="ES35" i="52"/>
  <c r="ER30" i="52"/>
  <c r="U44" i="8"/>
  <c r="R44" i="8"/>
  <c r="ES33" i="52"/>
  <c r="ER33" i="52"/>
  <c r="ER31" i="52"/>
  <c r="CN36" i="52"/>
  <c r="ES31" i="52"/>
  <c r="ES30" i="52"/>
  <c r="R40" i="8"/>
  <c r="ES29" i="52"/>
  <c r="ER29" i="52"/>
  <c r="CF36" i="52"/>
  <c r="ES26" i="52"/>
  <c r="EN36" i="52"/>
  <c r="ER24" i="52"/>
  <c r="A6" i="52"/>
  <c r="A6" i="8"/>
  <c r="EL36" i="52"/>
  <c r="ER36" i="52"/>
  <c r="B6" i="52"/>
  <c r="B6" i="8"/>
  <c r="ES36" i="52"/>
  <c r="A7" i="8"/>
  <c r="A7" i="52"/>
  <c r="B7" i="8"/>
  <c r="B7" i="52"/>
  <c r="A8" i="52"/>
  <c r="A8" i="8"/>
  <c r="B8" i="52"/>
  <c r="B8" i="8"/>
  <c r="A10" i="52"/>
  <c r="A9" i="52"/>
  <c r="A9" i="8"/>
  <c r="B9" i="52"/>
  <c r="B9" i="8"/>
  <c r="A10" i="8"/>
  <c r="B10" i="8"/>
  <c r="B10" i="52"/>
  <c r="A12" i="8"/>
  <c r="A11" i="52"/>
  <c r="A11" i="8"/>
  <c r="B11" i="8"/>
  <c r="B11" i="52"/>
  <c r="A13" i="8"/>
  <c r="A12" i="52"/>
  <c r="B12" i="52"/>
  <c r="B12" i="8"/>
  <c r="A13" i="52"/>
  <c r="A14" i="8"/>
  <c r="B13" i="8"/>
  <c r="B13" i="52"/>
  <c r="A15" i="8"/>
  <c r="A14" i="52"/>
  <c r="B14" i="8"/>
  <c r="B14" i="52"/>
  <c r="A15" i="52"/>
  <c r="B15" i="52"/>
  <c r="B15" i="8"/>
  <c r="A16" i="52"/>
  <c r="A16" i="8"/>
  <c r="B16" i="8"/>
  <c r="B16" i="52"/>
  <c r="A17" i="8"/>
  <c r="A17" i="52"/>
  <c r="B17" i="52"/>
  <c r="B17" i="8"/>
  <c r="A18" i="52"/>
  <c r="A18" i="8"/>
  <c r="B18" i="8"/>
  <c r="B18" i="52"/>
  <c r="A19" i="8"/>
  <c r="A19" i="52"/>
  <c r="B19" i="52"/>
  <c r="B19" i="8"/>
  <c r="A20" i="52"/>
  <c r="A20" i="8"/>
  <c r="B20" i="8"/>
  <c r="B20" i="52"/>
  <c r="A21" i="8"/>
  <c r="A21" i="52"/>
  <c r="B21" i="8"/>
  <c r="B21" i="52"/>
  <c r="A22" i="8"/>
  <c r="A22" i="52"/>
  <c r="B22" i="52"/>
  <c r="B22" i="8"/>
  <c r="A23" i="8"/>
  <c r="A23" i="52"/>
  <c r="B23" i="8"/>
  <c r="B23" i="52"/>
  <c r="A24" i="8"/>
  <c r="A24" i="52"/>
  <c r="B24" i="52"/>
  <c r="B24" i="8"/>
  <c r="A25" i="52"/>
  <c r="A25" i="8"/>
  <c r="B25" i="52"/>
  <c r="B25" i="8"/>
  <c r="A26" i="8"/>
  <c r="A26" i="52"/>
  <c r="B26" i="52"/>
  <c r="B26" i="8"/>
  <c r="A27" i="52"/>
  <c r="A27" i="8"/>
  <c r="B27" i="52"/>
  <c r="B27" i="8"/>
  <c r="A28" i="52"/>
  <c r="A28" i="8"/>
  <c r="B28" i="52"/>
  <c r="B28" i="8"/>
  <c r="A29" i="8"/>
  <c r="A29" i="52"/>
  <c r="B29" i="52"/>
  <c r="B29" i="8"/>
  <c r="A30" i="8"/>
  <c r="A30" i="52"/>
  <c r="B30" i="52"/>
  <c r="B30" i="8"/>
  <c r="A31" i="52"/>
  <c r="A31" i="8"/>
  <c r="B31" i="8"/>
  <c r="B31" i="52"/>
  <c r="A32" i="52"/>
  <c r="A32" i="8"/>
  <c r="B32" i="52"/>
  <c r="B32" i="8"/>
  <c r="A33" i="8"/>
  <c r="A33" i="52"/>
  <c r="B33" i="52"/>
  <c r="B33" i="8"/>
  <c r="A34" i="8"/>
  <c r="A34" i="52"/>
  <c r="B34" i="52"/>
  <c r="B34" i="8"/>
</calcChain>
</file>

<file path=xl/comments1.xml><?xml version="1.0" encoding="utf-8"?>
<comments xmlns="http://schemas.openxmlformats.org/spreadsheetml/2006/main">
  <authors>
    <author>Valerie TOURNEMEULLE</author>
    <author>Mickael DORAI</author>
    <author>Olivier RAPHANAUD</author>
  </authors>
  <commentList>
    <comment ref="S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SAS 171100002</t>
        </r>
      </text>
    </comment>
    <comment ref="AZ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171100003</t>
        </r>
      </text>
    </comment>
    <comment ref="BK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171100001</t>
        </r>
      </text>
    </comment>
    <comment ref="DO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171100006</t>
        </r>
      </text>
    </comment>
    <comment ref="X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171100007</t>
        </r>
      </text>
    </comment>
    <comment ref="AZ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171100005</t>
        </r>
      </text>
    </comment>
    <comment ref="CF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</t>
        </r>
      </text>
    </comment>
    <comment ref="CH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4 thonon + 22 ibe</t>
        </r>
      </text>
    </comment>
    <comment ref="CM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DO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
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 171100010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 + ANDRE BONDET 171100009</t>
        </r>
      </text>
    </comment>
    <comment ref="Y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</t>
        </r>
      </text>
    </comment>
    <comment ref="CL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 4 et 6 bb sab
</t>
        </r>
      </text>
    </comment>
    <comment ref="CN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Y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BK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171100011</t>
        </r>
      </text>
    </comment>
    <comment ref="CG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H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echantillon thonon &gt; vut</t>
        </r>
      </text>
    </comment>
    <comment ref="CJ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L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 compo</t>
        </r>
      </text>
    </comment>
    <comment ref="CN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DO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od plast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171100014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171100017</t>
        </r>
      </text>
    </comment>
    <comment ref="AZ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171100015 + TUYPER 171100016</t>
        </r>
      </text>
    </comment>
    <comment ref="BT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H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171100019 + CASTEL ENGINEERING 171100020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PLASTEC 171100021</t>
        </r>
      </text>
    </comment>
    <comment ref="S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burgos 171100018 + VEKA SAS 171100022</t>
        </r>
      </text>
    </comment>
    <comment ref="CF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castel et extruplesa</t>
        </r>
      </text>
    </comment>
    <comment ref="CG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plastec</t>
        </r>
      </text>
    </comment>
    <comment ref="CH12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iberica + 4 thonons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 171100025 + CORTIZO (GREINER) 171100024</t>
        </r>
      </text>
    </comment>
    <comment ref="U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CORTIZO (GREINER) 171100024</t>
        </r>
      </text>
    </comment>
    <comment ref="CH1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S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171100027 + VEKA THONON 171100028 (BB) + VEKA THONON 171100029</t>
        </r>
      </text>
    </comment>
    <comment ref="AY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BARRAIN EXTRUSION 171100026</t>
        </r>
      </text>
    </comment>
    <comment ref="CH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N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barrain</t>
        </r>
      </text>
    </comment>
    <comment ref="E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od plast 171100030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COUGNAUD (LAPEYRE) 171100032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171100031 + VEKA IBERICA 171100034</t>
        </r>
      </text>
    </comment>
    <comment ref="BK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171100033</t>
        </r>
      </text>
    </comment>
    <comment ref="CG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lapeyre
</t>
        </r>
      </text>
    </comment>
    <comment ref="CH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DZ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TOUARGHA PLAST 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171100036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171100038</t>
        </r>
      </text>
    </comment>
    <comment ref="BA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171100037</t>
        </r>
      </text>
    </comment>
    <comment ref="BK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PLASTIC NFC BL 171100035</t>
        </r>
      </text>
    </comment>
    <comment ref="CH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P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S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171100039</t>
        </r>
      </text>
    </comment>
    <comment ref="AZ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171100040</t>
        </r>
      </text>
    </comment>
    <comment ref="CH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RELS 171100042</t>
        </r>
      </text>
    </comment>
    <comment ref="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kras chez PESL (RESL)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ARMABOX 171100041 + PESL 171100043</t>
        </r>
      </text>
    </comment>
    <comment ref="BR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 et armabox 10bb 9002,009
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171100045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171100046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171100044</t>
        </r>
      </text>
    </comment>
    <comment ref="BT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F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 </t>
        </r>
      </text>
    </comment>
    <comment ref="CH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Q2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171100047</t>
        </r>
      </text>
    </comment>
    <comment ref="CF24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171100048 + VEKA THONON 171100052</t>
        </r>
      </text>
    </comment>
    <comment ref="U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ANDRE BONDET 171100050</t>
        </r>
      </text>
    </comment>
    <comment ref="BK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171100049 + SEBTA 171100051 + SEBTA 171100053</t>
        </r>
      </text>
    </comment>
    <comment ref="CH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thonons+ibe</t>
        </r>
      </text>
    </comment>
    <comment ref="CJ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171100054</t>
        </r>
      </text>
    </comment>
    <comment ref="U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171100055</t>
        </r>
      </text>
    </comment>
    <comment ref="BA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171100056</t>
        </r>
      </text>
    </comment>
    <comment ref="CF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fornels</t>
        </r>
      </text>
    </comment>
    <comment ref="CH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</t>
        </r>
      </text>
    </comment>
    <comment ref="CJ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 405</t>
        </r>
      </text>
    </comment>
    <comment ref="DP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FORNELLS 171100057 + OCEPLAST 171100059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171100058</t>
        </r>
      </text>
    </comment>
    <comment ref="CF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oceplast</t>
        </r>
      </text>
    </comment>
    <comment ref="CH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171100060</t>
        </r>
      </text>
    </comment>
    <comment ref="Q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PESL 171100062</t>
        </r>
      </text>
    </comment>
    <comment ref="S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171100064</t>
        </r>
      </text>
    </comment>
    <comment ref="BK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171100061</t>
        </r>
      </text>
    </comment>
    <comment ref="CF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H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DZ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p30r touarga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171100065 </t>
        </r>
      </text>
    </comment>
    <comment ref="U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171100067</t>
        </r>
      </text>
    </comment>
    <comment ref="BK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171100066</t>
        </r>
      </text>
    </comment>
    <comment ref="CF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CJ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DZ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171100070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ERGONOMIC 171100071</t>
        </r>
      </text>
    </comment>
    <comment ref="S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171100073</t>
        </r>
      </text>
    </comment>
    <comment ref="AZ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171100069 + TUYPER 171100072</t>
        </r>
      </text>
    </comment>
    <comment ref="CF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mamillon</t>
        </r>
      </text>
    </comment>
    <comment ref="CG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ergonomic</t>
        </r>
      </text>
    </comment>
    <comment ref="CH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 + beo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171100074</t>
        </r>
      </text>
    </comment>
    <comment ref="X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171100075</t>
        </r>
      </text>
    </comment>
    <comment ref="BT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M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AE3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8019.401 Maine Peillex 171200001</t>
        </r>
      </text>
    </comment>
  </commentList>
</comments>
</file>

<file path=xl/comments2.xml><?xml version="1.0" encoding="utf-8"?>
<comments xmlns="http://schemas.openxmlformats.org/spreadsheetml/2006/main">
  <authors>
    <author>Mickael DORAI</author>
    <author>mdorai</author>
  </authors>
  <commentList>
    <comment ref="CG2" authorId="0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33tr / min max</t>
        </r>
      </text>
    </comment>
    <comment ref="DQ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80kg net  3/4 plein
60kg net bac L3</t>
        </r>
      </text>
    </comment>
    <comment ref="DU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13kg le seau
BB=1250 kg</t>
        </r>
      </text>
    </comment>
  </commentList>
</comments>
</file>

<file path=xl/sharedStrings.xml><?xml version="1.0" encoding="utf-8"?>
<sst xmlns="http://schemas.openxmlformats.org/spreadsheetml/2006/main" count="341" uniqueCount="155">
  <si>
    <t>DATE</t>
  </si>
  <si>
    <t>TOTAL</t>
  </si>
  <si>
    <t>Total</t>
  </si>
  <si>
    <t>1.10.B</t>
  </si>
  <si>
    <t>1.10.A</t>
  </si>
  <si>
    <t>B21</t>
  </si>
  <si>
    <t>Briquettes sciure/swarf</t>
  </si>
  <si>
    <t>Galettes extrusion/extruder cake</t>
  </si>
  <si>
    <t>B21 N</t>
  </si>
  <si>
    <t>Tps d'ouverture  L3</t>
  </si>
  <si>
    <t>L3 compteur</t>
  </si>
  <si>
    <t>Total Temps de travail pour les 3 produits</t>
  </si>
  <si>
    <t>Utilisation 
KMD7</t>
  </si>
  <si>
    <t>Output
Line 3
10A</t>
  </si>
  <si>
    <t>Output
Line 3
10B</t>
  </si>
  <si>
    <t>TPS PROD LINE 3
10A</t>
  </si>
  <si>
    <t>TPS PROD
LINE 3
10B</t>
  </si>
  <si>
    <t>TPS PROD
LINE 3
B21</t>
  </si>
  <si>
    <t>Tonnage Moyen
Line 3</t>
  </si>
  <si>
    <t>9010.003</t>
  </si>
  <si>
    <t>P30</t>
  </si>
  <si>
    <t>9016.001</t>
  </si>
  <si>
    <t>Output
Line 3
B21</t>
  </si>
  <si>
    <t>Nombre d'équipe sur L3</t>
  </si>
  <si>
    <t>PELLETS</t>
  </si>
  <si>
    <t>TPS BROYE VUK LINE 3</t>
  </si>
  <si>
    <t>1015.001</t>
  </si>
  <si>
    <t>7037.001</t>
  </si>
  <si>
    <t>10B in</t>
  </si>
  <si>
    <t>7004.001</t>
  </si>
  <si>
    <t>Gris 7037 elian M274705 à 1%</t>
  </si>
  <si>
    <t>Beige 1015 elian</t>
  </si>
  <si>
    <t>REJET L3</t>
  </si>
  <si>
    <t>8017.001</t>
  </si>
  <si>
    <t>JOUR</t>
  </si>
  <si>
    <t>9010.001</t>
  </si>
  <si>
    <t>9002.001</t>
  </si>
  <si>
    <t>7035.001</t>
  </si>
  <si>
    <t>7006.001</t>
  </si>
  <si>
    <t>1013.001</t>
  </si>
  <si>
    <t>7015.001</t>
  </si>
  <si>
    <t>9011.001</t>
  </si>
  <si>
    <t xml:space="preserve"> </t>
  </si>
  <si>
    <t>Chute L3</t>
  </si>
  <si>
    <t>10A in</t>
  </si>
  <si>
    <t>REGRIND</t>
  </si>
  <si>
    <t xml:space="preserve">9002.003 </t>
  </si>
  <si>
    <t>9003.005</t>
  </si>
  <si>
    <t>7037.031</t>
  </si>
  <si>
    <t xml:space="preserve">16.001
</t>
  </si>
  <si>
    <t xml:space="preserve">16.003
</t>
  </si>
  <si>
    <t xml:space="preserve">36.001
</t>
  </si>
  <si>
    <t xml:space="preserve">36.008
</t>
  </si>
  <si>
    <t xml:space="preserve">36.007
</t>
  </si>
  <si>
    <t>PULVER</t>
  </si>
  <si>
    <t>BY PRODUCT AND OTHERS</t>
  </si>
  <si>
    <t>P30R</t>
  </si>
  <si>
    <t>TIME</t>
  </si>
  <si>
    <t>BATCH</t>
  </si>
  <si>
    <t>9002.003</t>
  </si>
  <si>
    <t>TOTAL PELLETS</t>
  </si>
  <si>
    <t>FROM 10A</t>
  </si>
  <si>
    <t>FROM 10B</t>
  </si>
  <si>
    <t>FROM B21</t>
  </si>
  <si>
    <t>B21 in</t>
  </si>
  <si>
    <t>9002.001 in</t>
  </si>
  <si>
    <t>Galette</t>
  </si>
  <si>
    <t>Déchet L3</t>
  </si>
  <si>
    <t>White 
Clariant</t>
  </si>
  <si>
    <t>Bleu</t>
  </si>
  <si>
    <t>PPM PE 93 22 pour 7035</t>
  </si>
  <si>
    <t>MB PE 1705 BEIGE</t>
  </si>
  <si>
    <t>SHIFTS</t>
  </si>
  <si>
    <t>1.10.A in</t>
  </si>
  <si>
    <t>1.10.B in</t>
  </si>
  <si>
    <t>9010.001 in</t>
  </si>
  <si>
    <t>9010.003 in</t>
  </si>
  <si>
    <t>REFERENCE OUT (BB)</t>
  </si>
  <si>
    <t>PRODUCTION KG</t>
  </si>
  <si>
    <t>OTHERS KG</t>
  </si>
  <si>
    <t>OTHERS BB</t>
  </si>
  <si>
    <t>REGRIND BIG BAG</t>
  </si>
  <si>
    <t>PULVER BIG BAG</t>
  </si>
  <si>
    <t>BY PRODUCT AND OTHERS BIG BAG</t>
  </si>
  <si>
    <t>PELLETS BIG BAG BIG BAG</t>
  </si>
  <si>
    <t>10.A</t>
  </si>
  <si>
    <t>10.B</t>
  </si>
  <si>
    <t>THROUGPUT</t>
  </si>
  <si>
    <t>REF KG</t>
  </si>
  <si>
    <t>9003.001</t>
  </si>
  <si>
    <t>REFERENCE BB IN</t>
  </si>
  <si>
    <t>REFERENCE KG IN</t>
  </si>
  <si>
    <t>1013.001 in</t>
  </si>
  <si>
    <t>REFERENCE</t>
  </si>
  <si>
    <t>VENTES
BROYE</t>
  </si>
  <si>
    <t>VENTES
BY PRODUCT</t>
  </si>
  <si>
    <t>VENTES
GRANULE</t>
  </si>
  <si>
    <t>VENTES
MICRONISE</t>
  </si>
  <si>
    <t>CHECK</t>
  </si>
  <si>
    <t>colorant 8017</t>
  </si>
  <si>
    <t>7004.003</t>
  </si>
  <si>
    <t>colorant VUK</t>
  </si>
  <si>
    <t>PLANNING PRODUCTION L3</t>
  </si>
  <si>
    <t>MAJ</t>
  </si>
  <si>
    <t>CLIENTS</t>
  </si>
  <si>
    <t>Prévision prod</t>
  </si>
  <si>
    <t>ENVOYE</t>
  </si>
  <si>
    <t>BB SPECIAUX</t>
  </si>
  <si>
    <t>9010.403</t>
  </si>
  <si>
    <t>POINT</t>
  </si>
  <si>
    <t>PRODUCTION INFO</t>
  </si>
  <si>
    <t>F E V R I E R</t>
  </si>
  <si>
    <t>CAPACITE THEORIQUE FEVRIER</t>
  </si>
  <si>
    <t>MARS</t>
  </si>
  <si>
    <t>9002.403</t>
  </si>
  <si>
    <t>9002.303</t>
  </si>
  <si>
    <t>7035.403</t>
  </si>
  <si>
    <t>1015.403</t>
  </si>
  <si>
    <t>9010.203</t>
  </si>
  <si>
    <t>entre 27 et 5/3</t>
  </si>
  <si>
    <t>DATE CHARGEMENT 
PREVUE</t>
  </si>
  <si>
    <t>N° DE LOT</t>
  </si>
  <si>
    <t>NRB DE BB</t>
  </si>
  <si>
    <t>POIDS DU BB</t>
  </si>
  <si>
    <t>QUANTITE KG</t>
  </si>
  <si>
    <t>POS 10</t>
  </si>
  <si>
    <t>POS 20</t>
  </si>
  <si>
    <t>MARS N° LOT SUR BACHE
ET CHARGEMENT A QUAI</t>
  </si>
  <si>
    <t>FEVRIER N° LOT SUR BACHE
ET CHARGEMENT A QUAI</t>
  </si>
  <si>
    <t>POS 10 MARS</t>
  </si>
  <si>
    <t>POS 20 MARS</t>
  </si>
  <si>
    <t>POS 30 MARS</t>
  </si>
  <si>
    <t>POS 40 MARS</t>
  </si>
  <si>
    <t>POS 30</t>
  </si>
  <si>
    <t>POS 40</t>
  </si>
  <si>
    <t>VENTE AU MOIS</t>
  </si>
  <si>
    <t>FEVRIER</t>
  </si>
  <si>
    <t>OK</t>
  </si>
  <si>
    <t>(commande à compléter)
déjà 3bb en stock il faut 5 bb au total</t>
  </si>
  <si>
    <t xml:space="preserve">LOT DE 145T A LIVRER ENTRE 20 ET 30 du mois en cours </t>
  </si>
  <si>
    <t>STOCK</t>
  </si>
  <si>
    <t>Total à produire (kg)</t>
  </si>
  <si>
    <t>TOTAL RESTANT</t>
  </si>
  <si>
    <t>TONNAGE PLAN</t>
  </si>
  <si>
    <t>POS 50</t>
  </si>
  <si>
    <t>POS 50 MARS</t>
  </si>
  <si>
    <t>TONNAGE 
RESTANT</t>
  </si>
  <si>
    <t>LOT 14</t>
  </si>
  <si>
    <t>LOT 13</t>
  </si>
  <si>
    <t>PREVI/FERME</t>
  </si>
  <si>
    <t>TON JOUR</t>
  </si>
  <si>
    <t>(PLASTEC)</t>
  </si>
  <si>
    <t>date à confirmer</t>
  </si>
  <si>
    <t>client A</t>
  </si>
  <si>
    <t>client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</si>
</sst>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\-mmm\-yy;@"/>
    <numFmt numFmtId="165" formatCode="0.0%"/>
    <numFmt numFmtId="166" formatCode="0.0"/>
    <numFmt numFmtId="167" formatCode="#,##0.0"/>
  </numFmts>
  <fonts count="28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"/>
      <family val="2"/>
    </font>
    <font>
      <b/>
      <i/>
      <sz val="14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2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sz val="10"/>
      <color theme="0" tint="-0.1499984740745262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28F8E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1" fillId="0" borderId="0"/>
    <xf numFmtId="0" fontId="2" fillId="0" borderId="0"/>
    <xf numFmtId="9" fontId="18" fillId="0" borderId="0" applyFont="0" applyFill="0" applyBorder="0" applyAlignment="0" applyProtection="0"/>
  </cellStyleXfs>
  <cellXfs count="415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Border="1"/>
    <xf numFmtId="0" fontId="2" fillId="0" borderId="0" xfId="0" applyFont="1" applyFill="1" applyBorder="1"/>
    <xf numFmtId="0" fontId="4" fillId="6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4" fontId="9" fillId="0" borderId="13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3" fontId="9" fillId="16" borderId="13" xfId="0" applyNumberFormat="1" applyFont="1" applyFill="1" applyBorder="1"/>
    <xf numFmtId="3" fontId="9" fillId="16" borderId="1" xfId="0" applyNumberFormat="1" applyFont="1" applyFill="1" applyBorder="1"/>
    <xf numFmtId="3" fontId="9" fillId="16" borderId="14" xfId="0" applyNumberFormat="1" applyFont="1" applyFill="1" applyBorder="1"/>
    <xf numFmtId="3" fontId="9" fillId="16" borderId="7" xfId="0" applyNumberFormat="1" applyFont="1" applyFill="1" applyBorder="1"/>
    <xf numFmtId="3" fontId="9" fillId="16" borderId="8" xfId="0" applyNumberFormat="1" applyFont="1" applyFill="1" applyBorder="1"/>
    <xf numFmtId="3" fontId="9" fillId="16" borderId="8" xfId="0" applyNumberFormat="1" applyFont="1" applyFill="1" applyBorder="1" applyAlignment="1">
      <alignment horizontal="center"/>
    </xf>
    <xf numFmtId="3" fontId="9" fillId="16" borderId="9" xfId="0" applyNumberFormat="1" applyFont="1" applyFill="1" applyBorder="1"/>
    <xf numFmtId="0" fontId="9" fillId="16" borderId="8" xfId="0" applyFont="1" applyFill="1" applyBorder="1"/>
    <xf numFmtId="0" fontId="9" fillId="16" borderId="9" xfId="0" applyFont="1" applyFill="1" applyBorder="1"/>
    <xf numFmtId="0" fontId="9" fillId="16" borderId="7" xfId="0" applyFont="1" applyFill="1" applyBorder="1"/>
    <xf numFmtId="0" fontId="9" fillId="16" borderId="8" xfId="0" applyFont="1" applyFill="1" applyBorder="1" applyAlignment="1">
      <alignment horizontal="center" vertical="center" wrapText="1"/>
    </xf>
    <xf numFmtId="0" fontId="9" fillId="16" borderId="9" xfId="0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5" xfId="0" applyNumberFormat="1" applyFont="1" applyFill="1" applyBorder="1" applyAlignment="1">
      <alignment horizontal="center" vertical="center" wrapText="1"/>
    </xf>
    <xf numFmtId="0" fontId="5" fillId="11" borderId="0" xfId="0" applyFont="1" applyFill="1" applyBorder="1"/>
    <xf numFmtId="0" fontId="5" fillId="11" borderId="0" xfId="0" applyFont="1" applyFill="1" applyBorder="1" applyAlignment="1">
      <alignment horizontal="center" vertical="center"/>
    </xf>
    <xf numFmtId="0" fontId="2" fillId="11" borderId="0" xfId="0" applyFont="1" applyFill="1" applyBorder="1"/>
    <xf numFmtId="0" fontId="4" fillId="11" borderId="0" xfId="0" applyFont="1" applyFill="1" applyBorder="1"/>
    <xf numFmtId="2" fontId="4" fillId="5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7" borderId="15" xfId="0" applyNumberFormat="1" applyFont="1" applyFill="1" applyBorder="1" applyAlignment="1">
      <alignment horizontal="center" vertical="center"/>
    </xf>
    <xf numFmtId="0" fontId="4" fillId="17" borderId="16" xfId="0" applyNumberFormat="1" applyFont="1" applyFill="1" applyBorder="1" applyAlignment="1">
      <alignment horizontal="center" vertical="center"/>
    </xf>
    <xf numFmtId="0" fontId="4" fillId="17" borderId="28" xfId="0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4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3" fontId="4" fillId="18" borderId="1" xfId="0" applyNumberFormat="1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 wrapText="1"/>
    </xf>
    <xf numFmtId="0" fontId="4" fillId="18" borderId="14" xfId="0" applyFont="1" applyFill="1" applyBorder="1" applyAlignment="1">
      <alignment horizontal="center" vertical="center" wrapText="1"/>
    </xf>
    <xf numFmtId="3" fontId="4" fillId="18" borderId="2" xfId="0" applyNumberFormat="1" applyFont="1" applyFill="1" applyBorder="1" applyAlignment="1">
      <alignment horizontal="center" vertical="center"/>
    </xf>
    <xf numFmtId="3" fontId="4" fillId="18" borderId="2" xfId="0" applyNumberFormat="1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/>
    </xf>
    <xf numFmtId="3" fontId="4" fillId="18" borderId="5" xfId="0" applyNumberFormat="1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10" borderId="16" xfId="0" applyNumberFormat="1" applyFont="1" applyFill="1" applyBorder="1" applyAlignment="1">
      <alignment horizontal="center" vertical="center"/>
    </xf>
    <xf numFmtId="0" fontId="4" fillId="10" borderId="31" xfId="0" applyNumberFormat="1" applyFont="1" applyFill="1" applyBorder="1" applyAlignment="1">
      <alignment horizontal="center" vertical="center"/>
    </xf>
    <xf numFmtId="3" fontId="9" fillId="16" borderId="35" xfId="0" applyNumberFormat="1" applyFont="1" applyFill="1" applyBorder="1"/>
    <xf numFmtId="3" fontId="9" fillId="16" borderId="11" xfId="0" applyNumberFormat="1" applyFont="1" applyFill="1" applyBorder="1"/>
    <xf numFmtId="0" fontId="0" fillId="11" borderId="0" xfId="0" applyFill="1"/>
    <xf numFmtId="9" fontId="4" fillId="6" borderId="1" xfId="0" applyNumberFormat="1" applyFont="1" applyFill="1" applyBorder="1" applyAlignment="1">
      <alignment horizontal="center"/>
    </xf>
    <xf numFmtId="0" fontId="4" fillId="6" borderId="14" xfId="0" applyNumberFormat="1" applyFont="1" applyFill="1" applyBorder="1" applyAlignment="1">
      <alignment horizontal="center"/>
    </xf>
    <xf numFmtId="1" fontId="4" fillId="6" borderId="13" xfId="0" applyNumberFormat="1" applyFont="1" applyFill="1" applyBorder="1" applyAlignment="1">
      <alignment horizontal="center"/>
    </xf>
    <xf numFmtId="0" fontId="4" fillId="11" borderId="0" xfId="0" applyFont="1" applyFill="1"/>
    <xf numFmtId="0" fontId="4" fillId="14" borderId="23" xfId="0" applyFont="1" applyFill="1" applyBorder="1" applyAlignment="1">
      <alignment horizontal="center" vertical="center"/>
    </xf>
    <xf numFmtId="0" fontId="4" fillId="14" borderId="33" xfId="0" applyFont="1" applyFill="1" applyBorder="1" applyAlignment="1">
      <alignment horizontal="center" vertical="center"/>
    </xf>
    <xf numFmtId="0" fontId="0" fillId="0" borderId="0" xfId="0" applyBorder="1"/>
    <xf numFmtId="0" fontId="9" fillId="16" borderId="31" xfId="0" applyNumberFormat="1" applyFont="1" applyFill="1" applyBorder="1" applyAlignment="1">
      <alignment horizontal="center"/>
    </xf>
    <xf numFmtId="0" fontId="9" fillId="17" borderId="15" xfId="0" applyNumberFormat="1" applyFont="1" applyFill="1" applyBorder="1" applyAlignment="1">
      <alignment horizontal="center"/>
    </xf>
    <xf numFmtId="2" fontId="4" fillId="5" borderId="13" xfId="0" applyNumberFormat="1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6" borderId="13" xfId="0" applyNumberFormat="1" applyFont="1" applyFill="1" applyBorder="1" applyAlignment="1">
      <alignment horizontal="center"/>
    </xf>
    <xf numFmtId="3" fontId="4" fillId="18" borderId="13" xfId="0" applyNumberFormat="1" applyFont="1" applyFill="1" applyBorder="1" applyAlignment="1">
      <alignment horizontal="center" vertical="center" wrapText="1"/>
    </xf>
    <xf numFmtId="0" fontId="4" fillId="16" borderId="28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4" fillId="18" borderId="35" xfId="0" applyFont="1" applyFill="1" applyBorder="1" applyAlignment="1">
      <alignment horizontal="center" vertical="center" wrapText="1"/>
    </xf>
    <xf numFmtId="0" fontId="6" fillId="14" borderId="1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 wrapText="1"/>
    </xf>
    <xf numFmtId="0" fontId="4" fillId="16" borderId="1" xfId="0" applyNumberFormat="1" applyFont="1" applyFill="1" applyBorder="1" applyAlignment="1">
      <alignment horizontal="center"/>
    </xf>
    <xf numFmtId="0" fontId="4" fillId="16" borderId="14" xfId="0" applyNumberFormat="1" applyFont="1" applyFill="1" applyBorder="1" applyAlignment="1">
      <alignment horizontal="center"/>
    </xf>
    <xf numFmtId="2" fontId="4" fillId="5" borderId="30" xfId="0" applyNumberFormat="1" applyFont="1" applyFill="1" applyBorder="1" applyAlignment="1">
      <alignment horizontal="center" vertical="center" wrapText="1"/>
    </xf>
    <xf numFmtId="0" fontId="4" fillId="16" borderId="30" xfId="0" applyNumberFormat="1" applyFont="1" applyFill="1" applyBorder="1" applyAlignment="1">
      <alignment horizontal="center"/>
    </xf>
    <xf numFmtId="1" fontId="4" fillId="16" borderId="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 wrapText="1"/>
    </xf>
    <xf numFmtId="1" fontId="4" fillId="16" borderId="13" xfId="0" applyNumberFormat="1" applyFont="1" applyFill="1" applyBorder="1" applyAlignment="1">
      <alignment horizontal="center"/>
    </xf>
    <xf numFmtId="1" fontId="4" fillId="17" borderId="15" xfId="0" applyNumberFormat="1" applyFont="1" applyFill="1" applyBorder="1" applyAlignment="1">
      <alignment horizontal="center" vertical="center"/>
    </xf>
    <xf numFmtId="1" fontId="4" fillId="17" borderId="16" xfId="0" applyNumberFormat="1" applyFont="1" applyFill="1" applyBorder="1" applyAlignment="1">
      <alignment horizontal="center" vertical="center"/>
    </xf>
    <xf numFmtId="0" fontId="7" fillId="11" borderId="0" xfId="0" applyNumberFormat="1" applyFont="1" applyFill="1" applyBorder="1" applyAlignment="1">
      <alignment horizontal="center"/>
    </xf>
    <xf numFmtId="3" fontId="7" fillId="11" borderId="0" xfId="0" applyNumberFormat="1" applyFont="1" applyFill="1" applyBorder="1"/>
    <xf numFmtId="0" fontId="7" fillId="11" borderId="0" xfId="0" applyFont="1" applyFill="1" applyBorder="1"/>
    <xf numFmtId="0" fontId="7" fillId="11" borderId="0" xfId="0" applyFont="1" applyFill="1" applyBorder="1" applyAlignment="1">
      <alignment horizontal="center"/>
    </xf>
    <xf numFmtId="3" fontId="4" fillId="4" borderId="18" xfId="0" applyNumberFormat="1" applyFont="1" applyFill="1" applyBorder="1" applyAlignment="1">
      <alignment vertical="center"/>
    </xf>
    <xf numFmtId="3" fontId="4" fillId="15" borderId="19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vertical="center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3" fontId="4" fillId="0" borderId="13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35" xfId="0" applyFont="1" applyFill="1" applyBorder="1" applyAlignment="1" applyProtection="1">
      <alignment horizontal="center"/>
      <protection locked="0"/>
    </xf>
    <xf numFmtId="3" fontId="9" fillId="0" borderId="13" xfId="0" applyNumberFormat="1" applyFont="1" applyFill="1" applyBorder="1" applyAlignment="1" applyProtection="1">
      <alignment horizontal="center"/>
      <protection locked="0"/>
    </xf>
    <xf numFmtId="3" fontId="9" fillId="0" borderId="1" xfId="0" applyNumberFormat="1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3" fontId="4" fillId="0" borderId="14" xfId="0" applyNumberFormat="1" applyFont="1" applyFill="1" applyBorder="1" applyAlignment="1" applyProtection="1">
      <alignment horizontal="center"/>
      <protection locked="0"/>
    </xf>
    <xf numFmtId="3" fontId="4" fillId="11" borderId="1" xfId="0" applyNumberFormat="1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 applyProtection="1">
      <alignment horizontal="center"/>
      <protection locked="0"/>
    </xf>
    <xf numFmtId="0" fontId="4" fillId="11" borderId="14" xfId="0" applyFont="1" applyFill="1" applyBorder="1" applyAlignment="1" applyProtection="1">
      <alignment horizontal="center"/>
      <protection locked="0"/>
    </xf>
    <xf numFmtId="3" fontId="4" fillId="11" borderId="14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3" fontId="9" fillId="0" borderId="14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/>
      <protection locked="0"/>
    </xf>
    <xf numFmtId="3" fontId="4" fillId="17" borderId="15" xfId="0" applyNumberFormat="1" applyFont="1" applyFill="1" applyBorder="1" applyAlignment="1" applyProtection="1">
      <alignment horizontal="center"/>
      <protection locked="0"/>
    </xf>
    <xf numFmtId="3" fontId="4" fillId="17" borderId="16" xfId="0" applyNumberFormat="1" applyFont="1" applyFill="1" applyBorder="1" applyAlignment="1" applyProtection="1">
      <alignment horizontal="center"/>
      <protection locked="0"/>
    </xf>
    <xf numFmtId="3" fontId="4" fillId="17" borderId="28" xfId="0" applyNumberFormat="1" applyFont="1" applyFill="1" applyBorder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30" xfId="0" applyNumberFormat="1" applyFont="1" applyFill="1" applyBorder="1" applyAlignment="1" applyProtection="1">
      <alignment horizontal="center"/>
      <protection locked="0"/>
    </xf>
    <xf numFmtId="0" fontId="4" fillId="0" borderId="14" xfId="0" applyNumberFormat="1" applyFont="1" applyFill="1" applyBorder="1" applyAlignment="1" applyProtection="1">
      <alignment horizontal="center"/>
      <protection locked="0"/>
    </xf>
    <xf numFmtId="0" fontId="4" fillId="0" borderId="13" xfId="0" applyNumberFormat="1" applyFont="1" applyFill="1" applyBorder="1" applyAlignment="1" applyProtection="1">
      <alignment horizontal="center"/>
      <protection locked="0"/>
    </xf>
    <xf numFmtId="3" fontId="8" fillId="0" borderId="1" xfId="0" applyNumberFormat="1" applyFont="1" applyFill="1" applyBorder="1" applyAlignment="1" applyProtection="1">
      <alignment horizontal="center"/>
      <protection locked="0"/>
    </xf>
    <xf numFmtId="3" fontId="8" fillId="0" borderId="1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3" fontId="8" fillId="11" borderId="1" xfId="0" applyNumberFormat="1" applyFont="1" applyFill="1" applyBorder="1" applyAlignment="1" applyProtection="1">
      <alignment horizontal="center"/>
      <protection locked="0"/>
    </xf>
    <xf numFmtId="3" fontId="8" fillId="11" borderId="14" xfId="0" applyNumberFormat="1" applyFont="1" applyFill="1" applyBorder="1" applyAlignment="1" applyProtection="1">
      <alignment horizontal="center"/>
      <protection locked="0"/>
    </xf>
    <xf numFmtId="0" fontId="4" fillId="17" borderId="16" xfId="0" applyNumberFormat="1" applyFont="1" applyFill="1" applyBorder="1" applyAlignment="1" applyProtection="1">
      <alignment horizontal="center" vertical="center"/>
      <protection locked="0"/>
    </xf>
    <xf numFmtId="0" fontId="4" fillId="17" borderId="28" xfId="0" applyNumberFormat="1" applyFont="1" applyFill="1" applyBorder="1" applyAlignment="1" applyProtection="1">
      <alignment horizontal="center" vertical="center"/>
      <protection locked="0"/>
    </xf>
    <xf numFmtId="0" fontId="4" fillId="17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NumberFormat="1" applyFont="1" applyFill="1" applyBorder="1" applyAlignment="1" applyProtection="1">
      <alignment horizontal="center"/>
      <protection locked="0"/>
    </xf>
    <xf numFmtId="0" fontId="4" fillId="0" borderId="30" xfId="0" applyFont="1" applyFill="1" applyBorder="1" applyAlignment="1" applyProtection="1">
      <alignment horizontal="center"/>
      <protection locked="0"/>
    </xf>
    <xf numFmtId="3" fontId="4" fillId="0" borderId="30" xfId="0" applyNumberFormat="1" applyFont="1" applyFill="1" applyBorder="1" applyAlignment="1" applyProtection="1">
      <alignment horizontal="center"/>
      <protection locked="0"/>
    </xf>
    <xf numFmtId="0" fontId="4" fillId="11" borderId="30" xfId="0" applyFont="1" applyFill="1" applyBorder="1" applyAlignment="1" applyProtection="1">
      <alignment horizontal="center"/>
      <protection locked="0"/>
    </xf>
    <xf numFmtId="3" fontId="4" fillId="11" borderId="30" xfId="0" applyNumberFormat="1" applyFont="1" applyFill="1" applyBorder="1" applyAlignment="1" applyProtection="1">
      <alignment horizontal="center"/>
      <protection locked="0"/>
    </xf>
    <xf numFmtId="0" fontId="4" fillId="0" borderId="4" xfId="0" applyNumberFormat="1" applyFont="1" applyFill="1" applyBorder="1" applyAlignment="1" applyProtection="1">
      <alignment horizontal="center"/>
      <protection locked="0"/>
    </xf>
    <xf numFmtId="3" fontId="13" fillId="0" borderId="1" xfId="0" applyNumberFormat="1" applyFont="1" applyFill="1" applyBorder="1" applyAlignment="1" applyProtection="1">
      <alignment horizontal="center"/>
      <protection locked="0"/>
    </xf>
    <xf numFmtId="3" fontId="4" fillId="17" borderId="27" xfId="0" applyNumberFormat="1" applyFont="1" applyFill="1" applyBorder="1" applyAlignment="1" applyProtection="1">
      <alignment horizontal="center"/>
      <protection locked="0"/>
    </xf>
    <xf numFmtId="3" fontId="4" fillId="17" borderId="36" xfId="0" applyNumberFormat="1" applyFont="1" applyFill="1" applyBorder="1" applyAlignment="1" applyProtection="1">
      <alignment horizontal="center"/>
      <protection locked="0"/>
    </xf>
    <xf numFmtId="3" fontId="7" fillId="11" borderId="0" xfId="0" applyNumberFormat="1" applyFont="1" applyFill="1" applyBorder="1" applyAlignment="1"/>
    <xf numFmtId="0" fontId="4" fillId="11" borderId="1" xfId="0" applyNumberFormat="1" applyFont="1" applyFill="1" applyBorder="1" applyAlignment="1" applyProtection="1">
      <alignment horizontal="center"/>
      <protection locked="0"/>
    </xf>
    <xf numFmtId="1" fontId="4" fillId="12" borderId="1" xfId="0" applyNumberFormat="1" applyFont="1" applyFill="1" applyBorder="1" applyAlignment="1">
      <alignment horizontal="center"/>
    </xf>
    <xf numFmtId="9" fontId="4" fillId="12" borderId="1" xfId="0" applyNumberFormat="1" applyFont="1" applyFill="1" applyBorder="1" applyAlignment="1">
      <alignment horizontal="center"/>
    </xf>
    <xf numFmtId="0" fontId="4" fillId="12" borderId="1" xfId="0" applyNumberFormat="1" applyFont="1" applyFill="1" applyBorder="1" applyAlignment="1">
      <alignment horizontal="center"/>
    </xf>
    <xf numFmtId="166" fontId="4" fillId="12" borderId="1" xfId="0" applyNumberFormat="1" applyFont="1" applyFill="1" applyBorder="1" applyAlignment="1">
      <alignment horizontal="center"/>
    </xf>
    <xf numFmtId="0" fontId="0" fillId="21" borderId="0" xfId="0" applyFill="1"/>
    <xf numFmtId="0" fontId="4" fillId="14" borderId="14" xfId="0" applyFont="1" applyFill="1" applyBorder="1" applyAlignment="1">
      <alignment horizontal="center" vertical="center" wrapText="1"/>
    </xf>
    <xf numFmtId="0" fontId="4" fillId="13" borderId="14" xfId="0" applyNumberFormat="1" applyFont="1" applyFill="1" applyBorder="1" applyAlignment="1" applyProtection="1">
      <alignment horizontal="center"/>
      <protection locked="0"/>
    </xf>
    <xf numFmtId="165" fontId="4" fillId="17" borderId="16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 applyProtection="1">
      <alignment horizontal="center"/>
      <protection locked="0"/>
    </xf>
    <xf numFmtId="0" fontId="14" fillId="11" borderId="0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 wrapText="1"/>
    </xf>
    <xf numFmtId="14" fontId="2" fillId="11" borderId="1" xfId="0" applyNumberFormat="1" applyFont="1" applyFill="1" applyBorder="1" applyAlignment="1">
      <alignment horizontal="center" vertical="center" wrapText="1"/>
    </xf>
    <xf numFmtId="14" fontId="2" fillId="11" borderId="0" xfId="0" applyNumberFormat="1" applyFont="1" applyFill="1" applyBorder="1" applyAlignment="1">
      <alignment horizontal="center" vertical="center" wrapText="1"/>
    </xf>
    <xf numFmtId="0" fontId="0" fillId="21" borderId="0" xfId="0" applyFill="1" applyBorder="1"/>
    <xf numFmtId="0" fontId="15" fillId="21" borderId="0" xfId="0" applyFont="1" applyFill="1" applyBorder="1"/>
    <xf numFmtId="0" fontId="2" fillId="11" borderId="0" xfId="0" applyFont="1" applyFill="1" applyBorder="1" applyAlignment="1">
      <alignment horizontal="center" vertical="center" wrapText="1"/>
    </xf>
    <xf numFmtId="2" fontId="2" fillId="11" borderId="1" xfId="0" applyNumberFormat="1" applyFont="1" applyFill="1" applyBorder="1" applyAlignment="1">
      <alignment horizontal="center" vertical="center" wrapText="1"/>
    </xf>
    <xf numFmtId="0" fontId="2" fillId="16" borderId="0" xfId="0" applyFont="1" applyFill="1" applyBorder="1" applyAlignment="1">
      <alignment horizontal="center"/>
    </xf>
    <xf numFmtId="0" fontId="2" fillId="16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3" fontId="7" fillId="5" borderId="14" xfId="0" applyNumberFormat="1" applyFont="1" applyFill="1" applyBorder="1" applyAlignment="1">
      <alignment horizontal="center"/>
    </xf>
    <xf numFmtId="167" fontId="7" fillId="5" borderId="14" xfId="0" applyNumberFormat="1" applyFont="1" applyFill="1" applyBorder="1" applyAlignment="1">
      <alignment horizontal="center"/>
    </xf>
    <xf numFmtId="3" fontId="7" fillId="24" borderId="14" xfId="0" applyNumberFormat="1" applyFont="1" applyFill="1" applyBorder="1" applyAlignment="1">
      <alignment horizontal="center"/>
    </xf>
    <xf numFmtId="9" fontId="7" fillId="24" borderId="14" xfId="5" applyNumberFormat="1" applyFont="1" applyFill="1" applyBorder="1" applyAlignment="1">
      <alignment horizontal="center"/>
    </xf>
    <xf numFmtId="0" fontId="2" fillId="16" borderId="42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2" fontId="2" fillId="11" borderId="0" xfId="0" applyNumberFormat="1" applyFont="1" applyFill="1" applyBorder="1" applyAlignment="1">
      <alignment horizontal="center" vertical="center" wrapText="1"/>
    </xf>
    <xf numFmtId="4" fontId="21" fillId="24" borderId="14" xfId="0" applyNumberFormat="1" applyFont="1" applyFill="1" applyBorder="1" applyAlignment="1">
      <alignment horizontal="center"/>
    </xf>
    <xf numFmtId="0" fontId="2" fillId="11" borderId="37" xfId="0" applyFont="1" applyFill="1" applyBorder="1" applyAlignment="1">
      <alignment horizontal="center" vertical="center" wrapText="1"/>
    </xf>
    <xf numFmtId="14" fontId="2" fillId="11" borderId="37" xfId="0" applyNumberFormat="1" applyFont="1" applyFill="1" applyBorder="1" applyAlignment="1">
      <alignment horizontal="center" vertical="center" wrapText="1"/>
    </xf>
    <xf numFmtId="166" fontId="7" fillId="11" borderId="9" xfId="0" applyNumberFormat="1" applyFont="1" applyFill="1" applyBorder="1" applyAlignment="1">
      <alignment horizontal="center"/>
    </xf>
    <xf numFmtId="16" fontId="0" fillId="11" borderId="0" xfId="0" applyNumberForma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16" fontId="2" fillId="12" borderId="1" xfId="0" applyNumberFormat="1" applyFont="1" applyFill="1" applyBorder="1" applyAlignment="1">
      <alignment horizontal="center" vertical="center" wrapText="1"/>
    </xf>
    <xf numFmtId="14" fontId="2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16" fontId="0" fillId="12" borderId="1" xfId="0" applyNumberFormat="1" applyFill="1" applyBorder="1" applyAlignment="1">
      <alignment horizontal="center" vertical="center" wrapText="1"/>
    </xf>
    <xf numFmtId="16" fontId="4" fillId="19" borderId="1" xfId="0" applyNumberFormat="1" applyFont="1" applyFill="1" applyBorder="1" applyAlignment="1">
      <alignment horizontal="center" vertical="center" wrapText="1"/>
    </xf>
    <xf numFmtId="0" fontId="15" fillId="11" borderId="0" xfId="0" applyFont="1" applyFill="1"/>
    <xf numFmtId="0" fontId="0" fillId="11" borderId="1" xfId="0" applyFill="1" applyBorder="1" applyAlignment="1">
      <alignment horizontal="center"/>
    </xf>
    <xf numFmtId="0" fontId="4" fillId="22" borderId="1" xfId="0" applyFont="1" applyFill="1" applyBorder="1" applyAlignment="1">
      <alignment horizontal="center" vertical="center"/>
    </xf>
    <xf numFmtId="0" fontId="6" fillId="22" borderId="1" xfId="0" applyFont="1" applyFill="1" applyBorder="1" applyAlignment="1">
      <alignment vertical="center" wrapText="1"/>
    </xf>
    <xf numFmtId="0" fontId="15" fillId="21" borderId="1" xfId="0" applyFont="1" applyFill="1" applyBorder="1"/>
    <xf numFmtId="166" fontId="7" fillId="11" borderId="1" xfId="0" applyNumberFormat="1" applyFont="1" applyFill="1" applyBorder="1" applyAlignment="1">
      <alignment horizontal="center"/>
    </xf>
    <xf numFmtId="2" fontId="7" fillId="11" borderId="1" xfId="0" applyNumberFormat="1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4" fillId="15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/>
    </xf>
    <xf numFmtId="0" fontId="4" fillId="28" borderId="1" xfId="0" applyFont="1" applyFill="1" applyBorder="1" applyAlignment="1">
      <alignment horizontal="center" vertical="center" wrapText="1"/>
    </xf>
    <xf numFmtId="0" fontId="4" fillId="27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/>
    </xf>
    <xf numFmtId="0" fontId="4" fillId="29" borderId="1" xfId="0" applyFont="1" applyFill="1" applyBorder="1" applyAlignment="1">
      <alignment horizontal="center" vertical="center" wrapText="1"/>
    </xf>
    <xf numFmtId="0" fontId="2" fillId="29" borderId="1" xfId="0" applyFont="1" applyFill="1" applyBorder="1" applyAlignment="1">
      <alignment horizontal="center" vertical="center" wrapText="1"/>
    </xf>
    <xf numFmtId="16" fontId="0" fillId="29" borderId="1" xfId="0" applyNumberFormat="1" applyFill="1" applyBorder="1" applyAlignment="1">
      <alignment horizontal="center" vertical="center" wrapText="1"/>
    </xf>
    <xf numFmtId="16" fontId="4" fillId="29" borderId="1" xfId="0" applyNumberFormat="1" applyFont="1" applyFill="1" applyBorder="1" applyAlignment="1">
      <alignment horizontal="center" vertical="center" wrapText="1"/>
    </xf>
    <xf numFmtId="0" fontId="4" fillId="30" borderId="1" xfId="0" applyFont="1" applyFill="1" applyBorder="1" applyAlignment="1">
      <alignment horizontal="center" vertical="center"/>
    </xf>
    <xf numFmtId="0" fontId="2" fillId="30" borderId="1" xfId="0" applyFont="1" applyFill="1" applyBorder="1" applyAlignment="1">
      <alignment horizontal="center" vertical="center" wrapText="1"/>
    </xf>
    <xf numFmtId="0" fontId="4" fillId="31" borderId="1" xfId="0" applyFont="1" applyFill="1" applyBorder="1" applyAlignment="1">
      <alignment horizontal="center" vertical="center"/>
    </xf>
    <xf numFmtId="0" fontId="4" fillId="31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/>
    </xf>
    <xf numFmtId="0" fontId="2" fillId="26" borderId="1" xfId="0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horizontal="center" vertical="center"/>
    </xf>
    <xf numFmtId="0" fontId="2" fillId="32" borderId="1" xfId="0" applyFont="1" applyFill="1" applyBorder="1" applyAlignment="1">
      <alignment horizontal="center" vertical="center" wrapText="1"/>
    </xf>
    <xf numFmtId="16" fontId="4" fillId="11" borderId="1" xfId="0" applyNumberFormat="1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center"/>
    </xf>
    <xf numFmtId="16" fontId="4" fillId="12" borderId="1" xfId="0" applyNumberFormat="1" applyFont="1" applyFill="1" applyBorder="1" applyAlignment="1">
      <alignment horizontal="center" vertical="center" wrapText="1"/>
    </xf>
    <xf numFmtId="16" fontId="2" fillId="29" borderId="1" xfId="0" applyNumberFormat="1" applyFont="1" applyFill="1" applyBorder="1" applyAlignment="1">
      <alignment horizontal="center" vertical="center" wrapText="1"/>
    </xf>
    <xf numFmtId="16" fontId="2" fillId="19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0" fontId="6" fillId="22" borderId="1" xfId="0" applyFont="1" applyFill="1" applyBorder="1" applyAlignment="1">
      <alignment horizontal="center" vertical="center" wrapText="1"/>
    </xf>
    <xf numFmtId="0" fontId="4" fillId="27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vertical="center" wrapText="1"/>
    </xf>
    <xf numFmtId="16" fontId="2" fillId="11" borderId="1" xfId="0" applyNumberFormat="1" applyFont="1" applyFill="1" applyBorder="1" applyAlignment="1">
      <alignment horizontal="center" vertical="center" wrapText="1"/>
    </xf>
    <xf numFmtId="16" fontId="2" fillId="15" borderId="1" xfId="0" applyNumberFormat="1" applyFont="1" applyFill="1" applyBorder="1" applyAlignment="1">
      <alignment horizontal="center" vertical="center" wrapText="1"/>
    </xf>
    <xf numFmtId="16" fontId="2" fillId="27" borderId="1" xfId="0" applyNumberFormat="1" applyFont="1" applyFill="1" applyBorder="1" applyAlignment="1">
      <alignment horizontal="center" vertical="center" wrapText="1"/>
    </xf>
    <xf numFmtId="16" fontId="2" fillId="28" borderId="1" xfId="0" applyNumberFormat="1" applyFont="1" applyFill="1" applyBorder="1" applyAlignment="1">
      <alignment horizontal="center" vertical="center" wrapText="1"/>
    </xf>
    <xf numFmtId="16" fontId="2" fillId="30" borderId="1" xfId="0" applyNumberFormat="1" applyFont="1" applyFill="1" applyBorder="1" applyAlignment="1">
      <alignment horizontal="center" vertical="center" wrapText="1"/>
    </xf>
    <xf numFmtId="16" fontId="2" fillId="32" borderId="1" xfId="0" applyNumberFormat="1" applyFont="1" applyFill="1" applyBorder="1" applyAlignment="1">
      <alignment horizontal="center" vertical="center" wrapText="1"/>
    </xf>
    <xf numFmtId="16" fontId="2" fillId="26" borderId="1" xfId="0" applyNumberFormat="1" applyFont="1" applyFill="1" applyBorder="1" applyAlignment="1">
      <alignment horizontal="center" vertical="center" wrapText="1"/>
    </xf>
    <xf numFmtId="16" fontId="2" fillId="31" borderId="1" xfId="0" applyNumberFormat="1" applyFont="1" applyFill="1" applyBorder="1" applyAlignment="1">
      <alignment horizontal="center" vertical="center" wrapText="1"/>
    </xf>
    <xf numFmtId="0" fontId="4" fillId="22" borderId="30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vertical="center" wrapText="1"/>
    </xf>
    <xf numFmtId="0" fontId="2" fillId="22" borderId="1" xfId="0" applyFont="1" applyFill="1" applyBorder="1" applyAlignment="1">
      <alignment horizontal="center" vertical="center" wrapText="1"/>
    </xf>
    <xf numFmtId="16" fontId="2" fillId="27" borderId="1" xfId="0" applyNumberFormat="1" applyFont="1" applyFill="1" applyBorder="1" applyAlignment="1">
      <alignment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23" borderId="41" xfId="0" applyFont="1" applyFill="1" applyBorder="1" applyAlignment="1">
      <alignment vertical="center"/>
    </xf>
    <xf numFmtId="0" fontId="16" fillId="23" borderId="0" xfId="0" applyFont="1" applyFill="1" applyBorder="1" applyAlignment="1">
      <alignment vertical="center"/>
    </xf>
    <xf numFmtId="0" fontId="19" fillId="11" borderId="0" xfId="0" applyFont="1" applyFill="1" applyBorder="1" applyAlignment="1">
      <alignment horizontal="center" vertical="center"/>
    </xf>
    <xf numFmtId="0" fontId="2" fillId="11" borderId="41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14" fontId="7" fillId="12" borderId="1" xfId="0" applyNumberFormat="1" applyFont="1" applyFill="1" applyBorder="1" applyAlignment="1">
      <alignment horizontal="center" vertical="center"/>
    </xf>
    <xf numFmtId="14" fontId="7" fillId="33" borderId="1" xfId="0" applyNumberFormat="1" applyFont="1" applyFill="1" applyBorder="1" applyAlignment="1">
      <alignment horizontal="center" vertical="center"/>
    </xf>
    <xf numFmtId="0" fontId="2" fillId="16" borderId="46" xfId="0" applyFont="1" applyFill="1" applyBorder="1" applyAlignment="1">
      <alignment horizontal="center" vertical="center" wrapText="1"/>
    </xf>
    <xf numFmtId="0" fontId="2" fillId="16" borderId="47" xfId="0" applyFont="1" applyFill="1" applyBorder="1" applyAlignment="1">
      <alignment horizontal="center" vertical="center" wrapText="1"/>
    </xf>
    <xf numFmtId="0" fontId="2" fillId="16" borderId="17" xfId="0" applyFont="1" applyFill="1" applyBorder="1" applyAlignment="1">
      <alignment horizontal="center" vertical="center" wrapText="1"/>
    </xf>
    <xf numFmtId="0" fontId="16" fillId="23" borderId="0" xfId="0" applyFont="1" applyFill="1" applyBorder="1" applyAlignment="1">
      <alignment horizontal="center" vertical="center"/>
    </xf>
    <xf numFmtId="166" fontId="4" fillId="12" borderId="1" xfId="0" applyNumberFormat="1" applyFont="1" applyFill="1" applyBorder="1" applyAlignment="1">
      <alignment horizontal="center" vertical="center" wrapText="1"/>
    </xf>
    <xf numFmtId="16" fontId="4" fillId="27" borderId="30" xfId="0" applyNumberFormat="1" applyFont="1" applyFill="1" applyBorder="1" applyAlignment="1">
      <alignment horizontal="center" vertical="center"/>
    </xf>
    <xf numFmtId="2" fontId="7" fillId="12" borderId="33" xfId="0" applyNumberFormat="1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center" vertical="center" wrapText="1"/>
    </xf>
    <xf numFmtId="0" fontId="16" fillId="23" borderId="0" xfId="0" applyFont="1" applyFill="1" applyBorder="1" applyAlignment="1">
      <alignment horizontal="center" vertical="center"/>
    </xf>
    <xf numFmtId="0" fontId="23" fillId="12" borderId="30" xfId="0" applyFont="1" applyFill="1" applyBorder="1" applyAlignment="1">
      <alignment vertical="center"/>
    </xf>
    <xf numFmtId="16" fontId="2" fillId="22" borderId="1" xfId="0" applyNumberFormat="1" applyFont="1" applyFill="1" applyBorder="1" applyAlignment="1">
      <alignment horizontal="center" vertical="center" wrapText="1"/>
    </xf>
    <xf numFmtId="0" fontId="16" fillId="23" borderId="0" xfId="0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center" vertical="center" wrapText="1"/>
    </xf>
    <xf numFmtId="2" fontId="20" fillId="25" borderId="20" xfId="0" applyNumberFormat="1" applyFont="1" applyFill="1" applyBorder="1" applyAlignment="1">
      <alignment horizontal="center" vertical="center" wrapText="1"/>
    </xf>
    <xf numFmtId="2" fontId="7" fillId="1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7" fillId="11" borderId="28" xfId="0" applyNumberFormat="1" applyFont="1" applyFill="1" applyBorder="1" applyAlignment="1">
      <alignment horizontal="center"/>
    </xf>
    <xf numFmtId="0" fontId="4" fillId="19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20" fillId="11" borderId="34" xfId="0" applyFont="1" applyFill="1" applyBorder="1" applyAlignment="1">
      <alignment horizontal="center" vertical="center" wrapText="1"/>
    </xf>
    <xf numFmtId="14" fontId="20" fillId="11" borderId="32" xfId="0" applyNumberFormat="1" applyFont="1" applyFill="1" applyBorder="1" applyAlignment="1">
      <alignment horizontal="center" vertical="center" wrapText="1"/>
    </xf>
    <xf numFmtId="2" fontId="20" fillId="25" borderId="34" xfId="0" applyNumberFormat="1" applyFont="1" applyFill="1" applyBorder="1" applyAlignment="1">
      <alignment horizontal="center" vertical="center" wrapText="1"/>
    </xf>
    <xf numFmtId="2" fontId="20" fillId="12" borderId="17" xfId="0" applyNumberFormat="1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22" fillId="12" borderId="23" xfId="0" applyFont="1" applyFill="1" applyBorder="1" applyAlignment="1">
      <alignment horizontal="center" vertical="center" wrapText="1"/>
    </xf>
    <xf numFmtId="166" fontId="4" fillId="12" borderId="23" xfId="0" applyNumberFormat="1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16" fontId="0" fillId="12" borderId="23" xfId="0" applyNumberFormat="1" applyFill="1" applyBorder="1" applyAlignment="1">
      <alignment horizontal="center" vertical="center" wrapText="1"/>
    </xf>
    <xf numFmtId="16" fontId="2" fillId="12" borderId="23" xfId="0" applyNumberFormat="1" applyFont="1" applyFill="1" applyBorder="1" applyAlignment="1">
      <alignment horizontal="center" vertical="center" wrapText="1"/>
    </xf>
    <xf numFmtId="14" fontId="2" fillId="12" borderId="23" xfId="0" applyNumberFormat="1" applyFont="1" applyFill="1" applyBorder="1" applyAlignment="1">
      <alignment horizontal="center" vertical="center" wrapText="1"/>
    </xf>
    <xf numFmtId="2" fontId="2" fillId="12" borderId="23" xfId="0" applyNumberFormat="1" applyFont="1" applyFill="1" applyBorder="1" applyAlignment="1">
      <alignment horizontal="center" vertical="center" wrapText="1"/>
    </xf>
    <xf numFmtId="2" fontId="2" fillId="12" borderId="33" xfId="0" applyNumberFormat="1" applyFont="1" applyFill="1" applyBorder="1" applyAlignment="1">
      <alignment horizontal="center" vertical="center" wrapText="1"/>
    </xf>
    <xf numFmtId="2" fontId="2" fillId="12" borderId="14" xfId="0" applyNumberFormat="1" applyFont="1" applyFill="1" applyBorder="1" applyAlignment="1">
      <alignment horizontal="center" vertical="center" wrapText="1"/>
    </xf>
    <xf numFmtId="0" fontId="4" fillId="31" borderId="16" xfId="0" applyFont="1" applyFill="1" applyBorder="1" applyAlignment="1">
      <alignment horizontal="center" vertical="center"/>
    </xf>
    <xf numFmtId="0" fontId="4" fillId="31" borderId="16" xfId="0" applyFont="1" applyFill="1" applyBorder="1" applyAlignment="1">
      <alignment horizontal="center" vertical="center" wrapText="1"/>
    </xf>
    <xf numFmtId="0" fontId="2" fillId="12" borderId="16" xfId="0" applyFont="1" applyFill="1" applyBorder="1" applyAlignment="1">
      <alignment horizontal="center" vertical="center" wrapText="1"/>
    </xf>
    <xf numFmtId="16" fontId="2" fillId="31" borderId="16" xfId="0" applyNumberFormat="1" applyFont="1" applyFill="1" applyBorder="1" applyAlignment="1">
      <alignment horizontal="center" vertical="center" wrapText="1"/>
    </xf>
    <xf numFmtId="14" fontId="2" fillId="11" borderId="16" xfId="0" applyNumberFormat="1" applyFont="1" applyFill="1" applyBorder="1" applyAlignment="1">
      <alignment horizontal="center" vertical="center" wrapText="1"/>
    </xf>
    <xf numFmtId="2" fontId="2" fillId="12" borderId="16" xfId="0" applyNumberFormat="1" applyFont="1" applyFill="1" applyBorder="1" applyAlignment="1">
      <alignment horizontal="center" vertical="center" wrapText="1"/>
    </xf>
    <xf numFmtId="2" fontId="2" fillId="11" borderId="16" xfId="0" applyNumberFormat="1" applyFont="1" applyFill="1" applyBorder="1" applyAlignment="1">
      <alignment horizontal="center" vertical="center" wrapText="1"/>
    </xf>
    <xf numFmtId="16" fontId="4" fillId="12" borderId="38" xfId="0" applyNumberFormat="1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left" vertical="center" wrapText="1"/>
    </xf>
    <xf numFmtId="0" fontId="19" fillId="17" borderId="35" xfId="0" applyFont="1" applyFill="1" applyBorder="1" applyAlignment="1">
      <alignment horizontal="left" vertical="center" wrapText="1"/>
    </xf>
    <xf numFmtId="0" fontId="25" fillId="11" borderId="48" xfId="0" applyFont="1" applyFill="1" applyBorder="1" applyAlignment="1">
      <alignment horizontal="left" vertical="center" wrapText="1"/>
    </xf>
    <xf numFmtId="0" fontId="25" fillId="11" borderId="8" xfId="0" applyFont="1" applyFill="1" applyBorder="1" applyAlignment="1">
      <alignment horizontal="left" vertical="center" wrapText="1"/>
    </xf>
    <xf numFmtId="0" fontId="2" fillId="16" borderId="12" xfId="0" applyFont="1" applyFill="1" applyBorder="1" applyAlignment="1">
      <alignment horizontal="center"/>
    </xf>
    <xf numFmtId="0" fontId="19" fillId="17" borderId="48" xfId="0" applyFont="1" applyFill="1" applyBorder="1" applyAlignment="1">
      <alignment horizontal="left" vertical="center" wrapText="1"/>
    </xf>
    <xf numFmtId="0" fontId="17" fillId="4" borderId="54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/>
    </xf>
    <xf numFmtId="3" fontId="7" fillId="5" borderId="33" xfId="0" applyNumberFormat="1" applyFont="1" applyFill="1" applyBorder="1" applyAlignment="1">
      <alignment horizontal="center"/>
    </xf>
    <xf numFmtId="3" fontId="20" fillId="6" borderId="59" xfId="0" applyNumberFormat="1" applyFont="1" applyFill="1" applyBorder="1" applyAlignment="1">
      <alignment horizontal="center"/>
    </xf>
    <xf numFmtId="0" fontId="19" fillId="17" borderId="44" xfId="0" applyFont="1" applyFill="1" applyBorder="1" applyAlignment="1">
      <alignment horizontal="left" vertical="center" wrapText="1"/>
    </xf>
    <xf numFmtId="16" fontId="4" fillId="12" borderId="16" xfId="0" applyNumberFormat="1" applyFont="1" applyFill="1" applyBorder="1" applyAlignment="1">
      <alignment horizontal="center" vertical="center" wrapText="1"/>
    </xf>
    <xf numFmtId="0" fontId="25" fillId="11" borderId="55" xfId="0" applyFont="1" applyFill="1" applyBorder="1" applyAlignment="1">
      <alignment horizontal="left" vertical="center" wrapText="1"/>
    </xf>
    <xf numFmtId="16" fontId="19" fillId="17" borderId="30" xfId="0" applyNumberFormat="1" applyFont="1" applyFill="1" applyBorder="1" applyAlignment="1">
      <alignment vertical="center" wrapText="1"/>
    </xf>
    <xf numFmtId="16" fontId="19" fillId="17" borderId="35" xfId="0" applyNumberFormat="1" applyFont="1" applyFill="1" applyBorder="1" applyAlignment="1">
      <alignment vertical="center" wrapText="1"/>
    </xf>
    <xf numFmtId="0" fontId="25" fillId="11" borderId="12" xfId="0" applyFont="1" applyFill="1" applyBorder="1" applyAlignment="1">
      <alignment horizontal="left" vertical="center" wrapText="1"/>
    </xf>
    <xf numFmtId="0" fontId="2" fillId="16" borderId="32" xfId="0" applyFont="1" applyFill="1" applyBorder="1" applyAlignment="1">
      <alignment horizontal="center" vertical="center" wrapText="1"/>
    </xf>
    <xf numFmtId="16" fontId="24" fillId="11" borderId="51" xfId="0" applyNumberFormat="1" applyFont="1" applyFill="1" applyBorder="1" applyAlignment="1">
      <alignment vertical="center" wrapText="1"/>
    </xf>
    <xf numFmtId="16" fontId="25" fillId="11" borderId="51" xfId="0" applyNumberFormat="1" applyFont="1" applyFill="1" applyBorder="1" applyAlignment="1">
      <alignment vertical="center" wrapText="1"/>
    </xf>
    <xf numFmtId="0" fontId="17" fillId="15" borderId="40" xfId="0" applyFont="1" applyFill="1" applyBorder="1" applyAlignment="1">
      <alignment horizontal="center" vertical="center" wrapText="1"/>
    </xf>
    <xf numFmtId="0" fontId="17" fillId="15" borderId="56" xfId="0" applyFont="1" applyFill="1" applyBorder="1" applyAlignment="1">
      <alignment horizontal="center" vertical="center" wrapText="1"/>
    </xf>
    <xf numFmtId="166" fontId="17" fillId="15" borderId="60" xfId="0" applyNumberFormat="1" applyFont="1" applyFill="1" applyBorder="1" applyAlignment="1">
      <alignment horizontal="center" vertical="center" wrapText="1"/>
    </xf>
    <xf numFmtId="166" fontId="26" fillId="15" borderId="12" xfId="0" applyNumberFormat="1" applyFont="1" applyFill="1" applyBorder="1" applyAlignment="1">
      <alignment horizontal="center" vertical="center" wrapText="1"/>
    </xf>
    <xf numFmtId="2" fontId="25" fillId="15" borderId="30" xfId="0" applyNumberFormat="1" applyFont="1" applyFill="1" applyBorder="1" applyAlignment="1">
      <alignment horizontal="center" vertical="center" wrapText="1"/>
    </xf>
    <xf numFmtId="16" fontId="19" fillId="17" borderId="30" xfId="0" applyNumberFormat="1" applyFont="1" applyFill="1" applyBorder="1" applyAlignment="1">
      <alignment horizontal="right" vertical="center" wrapText="1"/>
    </xf>
    <xf numFmtId="166" fontId="7" fillId="12" borderId="8" xfId="0" applyNumberFormat="1" applyFont="1" applyFill="1" applyBorder="1" applyAlignment="1">
      <alignment horizontal="center" vertical="center"/>
    </xf>
    <xf numFmtId="0" fontId="20" fillId="16" borderId="5" xfId="0" applyFont="1" applyFill="1" applyBorder="1" applyAlignment="1">
      <alignment horizontal="center" wrapText="1"/>
    </xf>
    <xf numFmtId="0" fontId="20" fillId="16" borderId="21" xfId="0" applyFont="1" applyFill="1" applyBorder="1" applyAlignment="1">
      <alignment horizontal="center" wrapText="1"/>
    </xf>
    <xf numFmtId="0" fontId="20" fillId="16" borderId="20" xfId="0" applyFont="1" applyFill="1" applyBorder="1" applyAlignment="1">
      <alignment horizontal="center" wrapText="1"/>
    </xf>
    <xf numFmtId="166" fontId="17" fillId="15" borderId="57" xfId="0" applyNumberFormat="1" applyFont="1" applyFill="1" applyBorder="1" applyAlignment="1">
      <alignment horizontal="right"/>
    </xf>
    <xf numFmtId="0" fontId="17" fillId="15" borderId="1" xfId="0" applyFont="1" applyFill="1" applyBorder="1" applyAlignment="1">
      <alignment horizontal="center"/>
    </xf>
    <xf numFmtId="166" fontId="17" fillId="15" borderId="7" xfId="0" applyNumberFormat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166" fontId="4" fillId="12" borderId="26" xfId="0" applyNumberFormat="1" applyFont="1" applyFill="1" applyBorder="1" applyAlignment="1">
      <alignment horizontal="center" vertical="center" wrapText="1"/>
    </xf>
    <xf numFmtId="166" fontId="4" fillId="12" borderId="16" xfId="0" applyNumberFormat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16" fontId="19" fillId="17" borderId="17" xfId="0" applyNumberFormat="1" applyFont="1" applyFill="1" applyBorder="1" applyAlignment="1">
      <alignment vertical="center" wrapText="1"/>
    </xf>
    <xf numFmtId="0" fontId="27" fillId="16" borderId="0" xfId="0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0" fillId="20" borderId="0" xfId="0" applyFill="1" applyAlignment="1">
      <alignment horizontal="center"/>
    </xf>
    <xf numFmtId="0" fontId="17" fillId="4" borderId="39" xfId="0" applyFont="1" applyFill="1" applyBorder="1" applyAlignment="1">
      <alignment horizontal="center" vertical="center" wrapText="1"/>
    </xf>
    <xf numFmtId="0" fontId="17" fillId="4" borderId="40" xfId="0" applyFont="1" applyFill="1" applyBorder="1" applyAlignment="1">
      <alignment horizontal="center" vertical="center" wrapText="1"/>
    </xf>
    <xf numFmtId="0" fontId="20" fillId="11" borderId="43" xfId="0" applyFont="1" applyFill="1" applyBorder="1" applyAlignment="1">
      <alignment horizontal="center" vertical="center"/>
    </xf>
    <xf numFmtId="0" fontId="20" fillId="11" borderId="4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wrapText="1"/>
    </xf>
    <xf numFmtId="0" fontId="20" fillId="11" borderId="35" xfId="0" applyFont="1" applyFill="1" applyBorder="1" applyAlignment="1">
      <alignment horizontal="center" wrapText="1"/>
    </xf>
    <xf numFmtId="0" fontId="20" fillId="11" borderId="1" xfId="0" applyFont="1" applyFill="1" applyBorder="1" applyAlignment="1">
      <alignment horizontal="center" wrapText="1"/>
    </xf>
    <xf numFmtId="0" fontId="20" fillId="11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/>
    </xf>
    <xf numFmtId="166" fontId="25" fillId="15" borderId="5" xfId="0" applyNumberFormat="1" applyFont="1" applyFill="1" applyBorder="1" applyAlignment="1">
      <alignment horizontal="center" vertical="center" wrapText="1"/>
    </xf>
    <xf numFmtId="166" fontId="25" fillId="15" borderId="52" xfId="0" applyNumberFormat="1" applyFont="1" applyFill="1" applyBorder="1" applyAlignment="1">
      <alignment horizontal="center" vertical="center" wrapText="1"/>
    </xf>
    <xf numFmtId="0" fontId="20" fillId="11" borderId="35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54" xfId="0" applyFont="1" applyFill="1" applyBorder="1" applyAlignment="1">
      <alignment horizontal="center" vertical="center" wrapText="1"/>
    </xf>
    <xf numFmtId="0" fontId="7" fillId="4" borderId="55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16" fontId="19" fillId="17" borderId="1" xfId="0" applyNumberFormat="1" applyFont="1" applyFill="1" applyBorder="1" applyAlignment="1">
      <alignment horizontal="left" vertical="center" wrapText="1"/>
    </xf>
    <xf numFmtId="16" fontId="19" fillId="17" borderId="30" xfId="0" applyNumberFormat="1" applyFont="1" applyFill="1" applyBorder="1" applyAlignment="1">
      <alignment horizontal="left" vertical="center" wrapText="1"/>
    </xf>
    <xf numFmtId="16" fontId="19" fillId="17" borderId="5" xfId="0" applyNumberFormat="1" applyFont="1" applyFill="1" applyBorder="1" applyAlignment="1">
      <alignment horizontal="center" vertical="center" wrapText="1"/>
    </xf>
    <xf numFmtId="16" fontId="19" fillId="17" borderId="21" xfId="0" applyNumberFormat="1" applyFont="1" applyFill="1" applyBorder="1" applyAlignment="1">
      <alignment horizontal="center" vertical="center" wrapText="1"/>
    </xf>
    <xf numFmtId="16" fontId="19" fillId="17" borderId="13" xfId="0" applyNumberFormat="1" applyFont="1" applyFill="1" applyBorder="1" applyAlignment="1">
      <alignment horizontal="center" vertical="center" wrapText="1"/>
    </xf>
    <xf numFmtId="16" fontId="19" fillId="17" borderId="30" xfId="0" applyNumberFormat="1" applyFont="1" applyFill="1" applyBorder="1" applyAlignment="1">
      <alignment horizontal="center" vertical="center" wrapText="1"/>
    </xf>
    <xf numFmtId="16" fontId="19" fillId="17" borderId="1" xfId="0" applyNumberFormat="1" applyFont="1" applyFill="1" applyBorder="1" applyAlignment="1">
      <alignment horizontal="center" vertical="center" wrapText="1"/>
    </xf>
    <xf numFmtId="16" fontId="20" fillId="17" borderId="6" xfId="0" applyNumberFormat="1" applyFont="1" applyFill="1" applyBorder="1" applyAlignment="1">
      <alignment horizontal="center" vertical="center" wrapText="1"/>
    </xf>
    <xf numFmtId="16" fontId="20" fillId="17" borderId="42" xfId="0" applyNumberFormat="1" applyFont="1" applyFill="1" applyBorder="1" applyAlignment="1">
      <alignment horizontal="center" vertical="center" wrapText="1"/>
    </xf>
    <xf numFmtId="16" fontId="20" fillId="17" borderId="41" xfId="0" applyNumberFormat="1" applyFont="1" applyFill="1" applyBorder="1" applyAlignment="1">
      <alignment horizontal="center" vertical="center" wrapText="1"/>
    </xf>
    <xf numFmtId="16" fontId="20" fillId="17" borderId="0" xfId="0" applyNumberFormat="1" applyFont="1" applyFill="1" applyBorder="1" applyAlignment="1">
      <alignment horizontal="center" vertical="center" wrapText="1"/>
    </xf>
    <xf numFmtId="14" fontId="20" fillId="11" borderId="5" xfId="0" applyNumberFormat="1" applyFont="1" applyFill="1" applyBorder="1" applyAlignment="1">
      <alignment horizontal="center" vertical="center" wrapText="1"/>
    </xf>
    <xf numFmtId="14" fontId="20" fillId="11" borderId="20" xfId="0" applyNumberFormat="1" applyFont="1" applyFill="1" applyBorder="1" applyAlignment="1">
      <alignment horizontal="center" vertical="center" wrapText="1"/>
    </xf>
    <xf numFmtId="16" fontId="19" fillId="17" borderId="43" xfId="0" applyNumberFormat="1" applyFont="1" applyFill="1" applyBorder="1" applyAlignment="1">
      <alignment horizontal="center" vertical="center" wrapText="1"/>
    </xf>
    <xf numFmtId="16" fontId="19" fillId="17" borderId="50" xfId="0" applyNumberFormat="1" applyFont="1" applyFill="1" applyBorder="1" applyAlignment="1">
      <alignment horizontal="center" vertical="center" wrapText="1"/>
    </xf>
    <xf numFmtId="16" fontId="19" fillId="17" borderId="6" xfId="0" applyNumberFormat="1" applyFont="1" applyFill="1" applyBorder="1" applyAlignment="1">
      <alignment horizontal="center" vertical="center" wrapText="1"/>
    </xf>
    <xf numFmtId="16" fontId="19" fillId="17" borderId="42" xfId="0" applyNumberFormat="1" applyFont="1" applyFill="1" applyBorder="1" applyAlignment="1">
      <alignment horizontal="center" vertical="center" wrapText="1"/>
    </xf>
    <xf numFmtId="16" fontId="19" fillId="17" borderId="10" xfId="0" applyNumberFormat="1" applyFont="1" applyFill="1" applyBorder="1" applyAlignment="1">
      <alignment horizontal="center" vertical="center" wrapText="1"/>
    </xf>
    <xf numFmtId="166" fontId="25" fillId="15" borderId="21" xfId="0" applyNumberFormat="1" applyFont="1" applyFill="1" applyBorder="1" applyAlignment="1">
      <alignment horizontal="center" vertical="center" wrapText="1"/>
    </xf>
    <xf numFmtId="16" fontId="19" fillId="17" borderId="4" xfId="0" applyNumberFormat="1" applyFont="1" applyFill="1" applyBorder="1" applyAlignment="1">
      <alignment horizontal="left" vertical="center" wrapText="1"/>
    </xf>
    <xf numFmtId="16" fontId="19" fillId="17" borderId="26" xfId="0" applyNumberFormat="1" applyFont="1" applyFill="1" applyBorder="1" applyAlignment="1">
      <alignment horizontal="left" vertical="center" wrapText="1"/>
    </xf>
    <xf numFmtId="16" fontId="19" fillId="17" borderId="32" xfId="0" applyNumberFormat="1" applyFont="1" applyFill="1" applyBorder="1" applyAlignment="1">
      <alignment horizontal="center" vertical="center" wrapText="1"/>
    </xf>
    <xf numFmtId="16" fontId="19" fillId="17" borderId="47" xfId="0" applyNumberFormat="1" applyFont="1" applyFill="1" applyBorder="1" applyAlignment="1">
      <alignment horizontal="center" vertical="center" wrapText="1"/>
    </xf>
    <xf numFmtId="16" fontId="19" fillId="17" borderId="17" xfId="0" applyNumberFormat="1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16" fontId="14" fillId="11" borderId="0" xfId="0" applyNumberFormat="1" applyFont="1" applyFill="1" applyBorder="1" applyAlignment="1">
      <alignment horizontal="center"/>
    </xf>
    <xf numFmtId="0" fontId="20" fillId="11" borderId="26" xfId="0" applyFont="1" applyFill="1" applyBorder="1" applyAlignment="1">
      <alignment horizontal="center" vertical="center" wrapText="1"/>
    </xf>
    <xf numFmtId="0" fontId="20" fillId="11" borderId="32" xfId="0" applyFont="1" applyFill="1" applyBorder="1" applyAlignment="1">
      <alignment horizontal="center" vertical="center"/>
    </xf>
    <xf numFmtId="0" fontId="20" fillId="11" borderId="49" xfId="0" applyFont="1" applyFill="1" applyBorder="1" applyAlignment="1">
      <alignment horizontal="center" vertical="center"/>
    </xf>
    <xf numFmtId="0" fontId="20" fillId="11" borderId="35" xfId="0" applyFont="1" applyFill="1" applyBorder="1" applyAlignment="1">
      <alignment horizontal="center"/>
    </xf>
    <xf numFmtId="0" fontId="19" fillId="0" borderId="6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11" borderId="61" xfId="0" applyFont="1" applyFill="1" applyBorder="1" applyAlignment="1">
      <alignment horizontal="center" wrapText="1"/>
    </xf>
    <xf numFmtId="0" fontId="20" fillId="11" borderId="36" xfId="0" applyFont="1" applyFill="1" applyBorder="1" applyAlignment="1">
      <alignment horizontal="center" wrapText="1"/>
    </xf>
    <xf numFmtId="0" fontId="20" fillId="11" borderId="58" xfId="0" applyFont="1" applyFill="1" applyBorder="1" applyAlignment="1">
      <alignment horizontal="center" vertical="center"/>
    </xf>
    <xf numFmtId="0" fontId="20" fillId="11" borderId="8" xfId="0" applyFont="1" applyFill="1" applyBorder="1" applyAlignment="1">
      <alignment horizontal="center" vertical="center"/>
    </xf>
    <xf numFmtId="3" fontId="10" fillId="14" borderId="5" xfId="0" applyNumberFormat="1" applyFont="1" applyFill="1" applyBorder="1" applyAlignment="1">
      <alignment horizontal="center"/>
    </xf>
    <xf numFmtId="3" fontId="10" fillId="14" borderId="21" xfId="0" applyNumberFormat="1" applyFont="1" applyFill="1" applyBorder="1" applyAlignment="1">
      <alignment horizontal="center"/>
    </xf>
    <xf numFmtId="3" fontId="10" fillId="14" borderId="20" xfId="0" applyNumberFormat="1" applyFont="1" applyFill="1" applyBorder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32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4" fillId="7" borderId="17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164" fontId="9" fillId="16" borderId="3" xfId="0" applyNumberFormat="1" applyFont="1" applyFill="1" applyBorder="1" applyAlignment="1">
      <alignment horizontal="center"/>
    </xf>
    <xf numFmtId="164" fontId="9" fillId="16" borderId="25" xfId="0" applyNumberFormat="1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33" xfId="0" applyFont="1" applyFill="1" applyBorder="1" applyAlignment="1">
      <alignment horizontal="center" vertical="center"/>
    </xf>
    <xf numFmtId="0" fontId="6" fillId="14" borderId="29" xfId="0" applyFont="1" applyFill="1" applyBorder="1" applyAlignment="1">
      <alignment horizontal="center" vertical="center"/>
    </xf>
    <xf numFmtId="0" fontId="4" fillId="7" borderId="22" xfId="0" applyNumberFormat="1" applyFont="1" applyFill="1" applyBorder="1" applyAlignment="1">
      <alignment horizontal="center" vertical="center"/>
    </xf>
    <xf numFmtId="0" fontId="4" fillId="7" borderId="13" xfId="0" applyNumberFormat="1" applyFont="1" applyFill="1" applyBorder="1" applyAlignment="1">
      <alignment horizontal="center" vertical="center"/>
    </xf>
    <xf numFmtId="0" fontId="4" fillId="7" borderId="33" xfId="0" applyNumberFormat="1" applyFont="1" applyFill="1" applyBorder="1" applyAlignment="1">
      <alignment horizontal="center" vertical="center"/>
    </xf>
    <xf numFmtId="0" fontId="4" fillId="7" borderId="14" xfId="0" applyNumberFormat="1" applyFont="1" applyFill="1" applyBorder="1" applyAlignment="1">
      <alignment horizontal="center" vertical="center"/>
    </xf>
    <xf numFmtId="164" fontId="9" fillId="16" borderId="13" xfId="0" applyNumberFormat="1" applyFont="1" applyFill="1" applyBorder="1" applyAlignment="1">
      <alignment horizontal="center"/>
    </xf>
    <xf numFmtId="164" fontId="9" fillId="16" borderId="14" xfId="0" applyNumberFormat="1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/>
    </xf>
    <xf numFmtId="0" fontId="6" fillId="14" borderId="23" xfId="0" applyFont="1" applyFill="1" applyBorder="1" applyAlignment="1">
      <alignment horizontal="center"/>
    </xf>
    <xf numFmtId="0" fontId="6" fillId="14" borderId="33" xfId="0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3" xfId="2"/>
    <cellStyle name="Pourcentage" xfId="5" builtinId="5"/>
    <cellStyle name="Standard 3" xfId="3"/>
    <cellStyle name="Standard 3 2" xfId="4"/>
  </cellStyles>
  <dxfs count="141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40"/>
      <tableStyleElement type="headerRow" dxfId="139"/>
    </tableStyle>
  </tableStyles>
  <colors>
    <mruColors>
      <color rgb="FF00FFCC"/>
      <color rgb="FFFFCCFF"/>
      <color rgb="FF28F8E9"/>
      <color rgb="FF00FF00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2</xdr:row>
          <xdr:rowOff>76200</xdr:rowOff>
        </xdr:from>
        <xdr:to>
          <xdr:col>1</xdr:col>
          <xdr:colOff>438150</xdr:colOff>
          <xdr:row>2</xdr:row>
          <xdr:rowOff>552450</xdr:rowOff>
        </xdr:to>
        <xdr:sp macro="" textlink="">
          <xdr:nvSpPr>
            <xdr:cNvPr id="30875653" name="Entrees103" hidden="1">
              <a:extLst>
                <a:ext uri="{63B3BB69-23CF-44E3-9099-C40C66FF867C}">
                  <a14:compatExt spid="_x0000_s30875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552450</xdr:colOff>
          <xdr:row>2</xdr:row>
          <xdr:rowOff>76200</xdr:rowOff>
        </xdr:from>
        <xdr:to>
          <xdr:col>2</xdr:col>
          <xdr:colOff>876300</xdr:colOff>
          <xdr:row>2</xdr:row>
          <xdr:rowOff>552450</xdr:rowOff>
        </xdr:to>
        <xdr:sp macro="" textlink="">
          <xdr:nvSpPr>
            <xdr:cNvPr id="30875656" name="Sorties203" hidden="1">
              <a:extLst>
                <a:ext uri="{63B3BB69-23CF-44E3-9099-C40C66FF867C}">
                  <a14:compatExt spid="_x0000_s30875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3</xdr:row>
          <xdr:rowOff>57150</xdr:rowOff>
        </xdr:from>
        <xdr:to>
          <xdr:col>1</xdr:col>
          <xdr:colOff>438150</xdr:colOff>
          <xdr:row>3</xdr:row>
          <xdr:rowOff>533400</xdr:rowOff>
        </xdr:to>
        <xdr:sp macro="" textlink="">
          <xdr:nvSpPr>
            <xdr:cNvPr id="30875658" name="Extrusion104" hidden="1">
              <a:extLst>
                <a:ext uri="{63B3BB69-23CF-44E3-9099-C40C66FF867C}">
                  <a14:compatExt spid="_x0000_s30875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561975</xdr:colOff>
          <xdr:row>3</xdr:row>
          <xdr:rowOff>66675</xdr:rowOff>
        </xdr:from>
        <xdr:to>
          <xdr:col>2</xdr:col>
          <xdr:colOff>885825</xdr:colOff>
          <xdr:row>3</xdr:row>
          <xdr:rowOff>542925</xdr:rowOff>
        </xdr:to>
        <xdr:sp macro="" textlink="">
          <xdr:nvSpPr>
            <xdr:cNvPr id="30875659" name="CommandButton1" hidden="1">
              <a:extLst>
                <a:ext uri="{63B3BB69-23CF-44E3-9099-C40C66FF867C}">
                  <a14:compatExt spid="_x0000_s30875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9</xdr:col>
          <xdr:colOff>1228725</xdr:colOff>
          <xdr:row>0</xdr:row>
          <xdr:rowOff>219075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381000</xdr:colOff>
          <xdr:row>0</xdr:row>
          <xdr:rowOff>9525</xdr:rowOff>
        </xdr:from>
        <xdr:to>
          <xdr:col>16</xdr:col>
          <xdr:colOff>285750</xdr:colOff>
          <xdr:row>1</xdr:row>
          <xdr:rowOff>200025</xdr:rowOff>
        </xdr:to>
        <xdr:sp macro="" textlink="">
          <xdr:nvSpPr>
            <xdr:cNvPr id="3097" name="CommandButton2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137</xdr:col>
          <xdr:colOff>9525</xdr:colOff>
          <xdr:row>0</xdr:row>
          <xdr:rowOff>190500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19050</xdr:rowOff>
        </xdr:from>
        <xdr:to>
          <xdr:col>150</xdr:col>
          <xdr:colOff>342900</xdr:colOff>
          <xdr:row>1</xdr:row>
          <xdr:rowOff>19050</xdr:rowOff>
        </xdr:to>
        <xdr:sp macro="" textlink="">
          <xdr:nvSpPr>
            <xdr:cNvPr id="30894090" name="CommandButton1" hidden="1">
              <a:extLst>
                <a:ext uri="{63B3BB69-23CF-44E3-9099-C40C66FF867C}">
                  <a14:compatExt spid="_x0000_s3089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orai/Downloads/gestion_de_stoc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>
        <row r="1">
          <cell r="A1" t="str">
            <v>Inventaire du stock</v>
          </cell>
        </row>
        <row r="2">
          <cell r="A2"/>
        </row>
        <row r="3">
          <cell r="A3" t="str">
            <v>Pièce</v>
          </cell>
        </row>
        <row r="4">
          <cell r="A4" t="str">
            <v>OD</v>
          </cell>
        </row>
        <row r="5">
          <cell r="A5" t="str">
            <v>Carte-mère HP 12345</v>
          </cell>
        </row>
        <row r="6">
          <cell r="A6" t="str">
            <v>Cartouche Ultrium 2 To</v>
          </cell>
        </row>
        <row r="7">
          <cell r="A7" t="str">
            <v>Cartouche Ultrium 4 To</v>
          </cell>
        </row>
        <row r="8">
          <cell r="A8" t="str">
            <v>Imprimante HP LJ 1220</v>
          </cell>
        </row>
        <row r="9">
          <cell r="A9" t="str">
            <v>Imprimante HP LJ 2020</v>
          </cell>
        </row>
        <row r="10">
          <cell r="A10" t="str">
            <v>Onduleur 1 Kva</v>
          </cell>
        </row>
        <row r="11">
          <cell r="A11" t="str">
            <v>RAM 8 Go</v>
          </cell>
        </row>
        <row r="12">
          <cell r="A12" t="str">
            <v>Tapis de souris bleu</v>
          </cell>
        </row>
        <row r="13">
          <cell r="A13" t="str">
            <v>Toner HP 1220 6000 copies</v>
          </cell>
        </row>
        <row r="14">
          <cell r="A14"/>
        </row>
        <row r="15">
          <cell r="A15"/>
        </row>
        <row r="19">
          <cell r="A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</sheetData>
      <sheetData sheetId="2"/>
      <sheetData sheetId="3"/>
      <sheetData sheetId="4">
        <row r="1">
          <cell r="A1" t="str">
            <v>Fichier des techniciens</v>
          </cell>
        </row>
        <row r="2">
          <cell r="A2"/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essai</v>
          </cell>
        </row>
        <row r="6">
          <cell r="A6" t="str">
            <v>Claude</v>
          </cell>
        </row>
        <row r="7">
          <cell r="A7" t="str">
            <v>Dominique</v>
          </cell>
        </row>
        <row r="8">
          <cell r="A8" t="str">
            <v>Gérard</v>
          </cell>
        </row>
        <row r="9">
          <cell r="A9" t="str">
            <v>Louis</v>
          </cell>
        </row>
        <row r="10">
          <cell r="A10" t="str">
            <v>Michel</v>
          </cell>
        </row>
        <row r="11">
          <cell r="A11" t="str">
            <v>Philippe</v>
          </cell>
        </row>
        <row r="12">
          <cell r="A12" t="str">
            <v>Pierre</v>
          </cell>
        </row>
        <row r="13">
          <cell r="A13" t="str">
            <v>Raymond</v>
          </cell>
        </row>
        <row r="14">
          <cell r="A14" t="str">
            <v>Rose</v>
          </cell>
        </row>
        <row r="15">
          <cell r="A15" t="str">
            <v>Simon</v>
          </cell>
        </row>
        <row r="16">
          <cell r="A16" t="str">
            <v>Sylvie</v>
          </cell>
        </row>
        <row r="17">
          <cell r="A17"/>
        </row>
      </sheetData>
      <sheetData sheetId="5">
        <row r="1">
          <cell r="A1" t="str">
            <v>Fichier des fournisseurs</v>
          </cell>
        </row>
        <row r="2">
          <cell r="A2"/>
        </row>
        <row r="3">
          <cell r="A3" t="str">
            <v>Libellé</v>
          </cell>
        </row>
        <row r="4">
          <cell r="A4" t="str">
            <v>Acer</v>
          </cell>
        </row>
        <row r="5">
          <cell r="A5" t="str">
            <v>Belkin</v>
          </cell>
        </row>
        <row r="6">
          <cell r="A6" t="str">
            <v>Canon</v>
          </cell>
        </row>
        <row r="7">
          <cell r="A7" t="str">
            <v>Eaton</v>
          </cell>
        </row>
        <row r="8">
          <cell r="A8" t="str">
            <v>Hewlett-Packard</v>
          </cell>
        </row>
        <row r="9">
          <cell r="A9" t="str">
            <v>IBM</v>
          </cell>
        </row>
        <row r="10">
          <cell r="A10" t="str">
            <v>Kyocera</v>
          </cell>
        </row>
        <row r="11">
          <cell r="A11" t="str">
            <v>Lenovo</v>
          </cell>
        </row>
        <row r="12">
          <cell r="A12"/>
        </row>
      </sheetData>
      <sheetData sheetId="6">
        <row r="1">
          <cell r="A1" t="str">
            <v>Fichier des catégories</v>
          </cell>
        </row>
        <row r="2">
          <cell r="A2"/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Accessoires</v>
          </cell>
        </row>
        <row r="6">
          <cell r="A6" t="str">
            <v>Assemblage</v>
          </cell>
        </row>
        <row r="7">
          <cell r="A7" t="str">
            <v>Consommables</v>
          </cell>
        </row>
        <row r="8">
          <cell r="A8" t="str">
            <v>Environnement électrique</v>
          </cell>
        </row>
        <row r="9">
          <cell r="A9" t="str">
            <v>Imprimantes</v>
          </cell>
        </row>
        <row r="10">
          <cell r="A10"/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>
        <row r="2">
          <cell r="B2" t="str">
            <v>VEKA Umwelttechnik GmbH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omments" Target="../comments2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zoomScaleNormal="100" workbookViewId="0">
      <selection sqref="A1:XFD1048576"/>
    </sheetView>
  </sheetViews>
  <sheetFormatPr baseColWidth="10" defaultColWidth="27.140625" defaultRowHeight="48.6" customHeight="1" x14ac:dyDescent="0.2"/>
  <cols>
    <col min="1" max="16384" width="27.140625" style="331"/>
  </cols>
  <sheetData/>
  <sheetProtection selectLockedCells="1"/>
  <mergeCells count="1">
    <mergeCell ref="A1:XFD104857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75658" r:id="rId3" name="Extrusion104">
          <controlPr defaultSize="0" autoFill="0" autoLine="0" r:id="rId4">
            <anchor>
              <from>
                <xdr:col>0</xdr:col>
                <xdr:colOff>114300</xdr:colOff>
                <xdr:row>3</xdr:row>
                <xdr:rowOff>57150</xdr:rowOff>
              </from>
              <to>
                <xdr:col>1</xdr:col>
                <xdr:colOff>438150</xdr:colOff>
                <xdr:row>3</xdr:row>
                <xdr:rowOff>533400</xdr:rowOff>
              </to>
            </anchor>
          </controlPr>
        </control>
      </mc:Choice>
      <mc:Fallback>
        <control shapeId="30875658" r:id="rId3" name="Extrusion104"/>
      </mc:Fallback>
    </mc:AlternateContent>
    <mc:AlternateContent xmlns:mc="http://schemas.openxmlformats.org/markup-compatibility/2006">
      <mc:Choice Requires="x14">
        <control shapeId="30875656" r:id="rId5" name="Sorties203">
          <controlPr defaultSize="0" autoFill="0" autoLine="0" r:id="rId6">
            <anchor>
              <from>
                <xdr:col>1</xdr:col>
                <xdr:colOff>552450</xdr:colOff>
                <xdr:row>2</xdr:row>
                <xdr:rowOff>76200</xdr:rowOff>
              </from>
              <to>
                <xdr:col>2</xdr:col>
                <xdr:colOff>876300</xdr:colOff>
                <xdr:row>2</xdr:row>
                <xdr:rowOff>552450</xdr:rowOff>
              </to>
            </anchor>
          </controlPr>
        </control>
      </mc:Choice>
      <mc:Fallback>
        <control shapeId="30875656" r:id="rId5" name="Sorties203"/>
      </mc:Fallback>
    </mc:AlternateContent>
    <mc:AlternateContent xmlns:mc="http://schemas.openxmlformats.org/markup-compatibility/2006">
      <mc:Choice Requires="x14">
        <control shapeId="30875653" r:id="rId7" name="Entrees103">
          <controlPr defaultSize="0" autoFill="0" autoLine="0" r:id="rId8">
            <anchor>
              <from>
                <xdr:col>0</xdr:col>
                <xdr:colOff>114300</xdr:colOff>
                <xdr:row>2</xdr:row>
                <xdr:rowOff>76200</xdr:rowOff>
              </from>
              <to>
                <xdr:col>1</xdr:col>
                <xdr:colOff>438150</xdr:colOff>
                <xdr:row>2</xdr:row>
                <xdr:rowOff>552450</xdr:rowOff>
              </to>
            </anchor>
          </controlPr>
        </control>
      </mc:Choice>
      <mc:Fallback>
        <control shapeId="30875653" r:id="rId7" name="Entrees103"/>
      </mc:Fallback>
    </mc:AlternateContent>
    <mc:AlternateContent xmlns:mc="http://schemas.openxmlformats.org/markup-compatibility/2006">
      <mc:Choice Requires="x14">
        <control shapeId="30875659" r:id="rId9" name="CommandButton1">
          <controlPr defaultSize="0" autoFill="0" autoLine="0" r:id="rId10">
            <anchor>
              <from>
                <xdr:col>1</xdr:col>
                <xdr:colOff>561975</xdr:colOff>
                <xdr:row>3</xdr:row>
                <xdr:rowOff>66675</xdr:rowOff>
              </from>
              <to>
                <xdr:col>2</xdr:col>
                <xdr:colOff>885825</xdr:colOff>
                <xdr:row>3</xdr:row>
                <xdr:rowOff>542925</xdr:rowOff>
              </to>
            </anchor>
          </controlPr>
        </control>
      </mc:Choice>
      <mc:Fallback>
        <control shapeId="30875659" r:id="rId9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N76"/>
  <sheetViews>
    <sheetView tabSelected="1" zoomScale="83" zoomScaleNormal="85" workbookViewId="0">
      <pane ySplit="2" topLeftCell="A15" activePane="bottomLeft" state="frozen"/>
      <selection pane="bottomLeft" activeCell="A30" sqref="A30"/>
    </sheetView>
  </sheetViews>
  <sheetFormatPr baseColWidth="10" defaultRowHeight="12.75" x14ac:dyDescent="0.2"/>
  <cols>
    <col min="1" max="1" width="33" customWidth="1"/>
    <col min="2" max="2" width="15.7109375" customWidth="1"/>
    <col min="3" max="3" width="51.28515625" style="242" customWidth="1"/>
    <col min="4" max="4" width="15.5703125" bestFit="1" customWidth="1"/>
    <col min="5" max="5" width="13.7109375" bestFit="1" customWidth="1"/>
    <col min="6" max="6" width="20.5703125" customWidth="1"/>
    <col min="7" max="7" width="27.85546875" style="242" bestFit="1" customWidth="1"/>
    <col min="8" max="8" width="19.42578125" bestFit="1" customWidth="1"/>
    <col min="9" max="9" width="19.42578125" customWidth="1"/>
    <col min="10" max="10" width="19.42578125" style="265" customWidth="1"/>
    <col min="11" max="11" width="15.5703125" customWidth="1"/>
    <col min="12" max="12" width="15.42578125" bestFit="1" customWidth="1"/>
    <col min="13" max="13" width="14.7109375" customWidth="1"/>
    <col min="14" max="14" width="10.7109375" customWidth="1"/>
    <col min="15" max="15" width="7.7109375" bestFit="1" customWidth="1"/>
    <col min="16" max="16" width="1.85546875" style="154" customWidth="1"/>
    <col min="17" max="17" width="7.28515625" style="67" bestFit="1" customWidth="1"/>
    <col min="18" max="34" width="11.5703125" style="67"/>
    <col min="234" max="234" width="31.28515625" bestFit="1" customWidth="1"/>
    <col min="235" max="235" width="14.140625" customWidth="1"/>
    <col min="236" max="236" width="18.28515625" customWidth="1"/>
    <col min="237" max="237" width="19.5703125" bestFit="1" customWidth="1"/>
    <col min="238" max="238" width="14.5703125" bestFit="1" customWidth="1"/>
    <col min="239" max="239" width="15.85546875" customWidth="1"/>
    <col min="240" max="240" width="1.140625" customWidth="1"/>
    <col min="241" max="241" width="3.28515625" customWidth="1"/>
    <col min="242" max="242" width="25" customWidth="1"/>
    <col min="248" max="248" width="4.28515625" customWidth="1"/>
    <col min="490" max="490" width="31.28515625" bestFit="1" customWidth="1"/>
    <col min="491" max="491" width="14.140625" customWidth="1"/>
    <col min="492" max="492" width="18.28515625" customWidth="1"/>
    <col min="493" max="493" width="19.5703125" bestFit="1" customWidth="1"/>
    <col min="494" max="494" width="14.5703125" bestFit="1" customWidth="1"/>
    <col min="495" max="495" width="15.85546875" customWidth="1"/>
    <col min="496" max="496" width="1.140625" customWidth="1"/>
    <col min="497" max="497" width="3.28515625" customWidth="1"/>
    <col min="498" max="498" width="25" customWidth="1"/>
    <col min="504" max="504" width="4.28515625" customWidth="1"/>
    <col min="746" max="746" width="31.28515625" bestFit="1" customWidth="1"/>
    <col min="747" max="747" width="14.140625" customWidth="1"/>
    <col min="748" max="748" width="18.28515625" customWidth="1"/>
    <col min="749" max="749" width="19.5703125" bestFit="1" customWidth="1"/>
    <col min="750" max="750" width="14.5703125" bestFit="1" customWidth="1"/>
    <col min="751" max="751" width="15.85546875" customWidth="1"/>
    <col min="752" max="752" width="1.140625" customWidth="1"/>
    <col min="753" max="753" width="3.28515625" customWidth="1"/>
    <col min="754" max="754" width="25" customWidth="1"/>
    <col min="760" max="760" width="4.28515625" customWidth="1"/>
    <col min="1002" max="1002" width="31.28515625" bestFit="1" customWidth="1"/>
    <col min="1003" max="1003" width="14.140625" customWidth="1"/>
    <col min="1004" max="1004" width="18.28515625" customWidth="1"/>
    <col min="1005" max="1005" width="19.5703125" bestFit="1" customWidth="1"/>
    <col min="1006" max="1006" width="14.5703125" bestFit="1" customWidth="1"/>
    <col min="1007" max="1007" width="15.85546875" customWidth="1"/>
    <col min="1008" max="1008" width="1.140625" customWidth="1"/>
    <col min="1009" max="1009" width="3.28515625" customWidth="1"/>
    <col min="1010" max="1010" width="25" customWidth="1"/>
    <col min="1016" max="1016" width="4.28515625" customWidth="1"/>
    <col min="1258" max="1258" width="31.28515625" bestFit="1" customWidth="1"/>
    <col min="1259" max="1259" width="14.140625" customWidth="1"/>
    <col min="1260" max="1260" width="18.28515625" customWidth="1"/>
    <col min="1261" max="1261" width="19.5703125" bestFit="1" customWidth="1"/>
    <col min="1262" max="1262" width="14.5703125" bestFit="1" customWidth="1"/>
    <col min="1263" max="1263" width="15.85546875" customWidth="1"/>
    <col min="1264" max="1264" width="1.140625" customWidth="1"/>
    <col min="1265" max="1265" width="3.28515625" customWidth="1"/>
    <col min="1266" max="1266" width="25" customWidth="1"/>
    <col min="1272" max="1272" width="4.28515625" customWidth="1"/>
    <col min="1514" max="1514" width="31.28515625" bestFit="1" customWidth="1"/>
    <col min="1515" max="1515" width="14.140625" customWidth="1"/>
    <col min="1516" max="1516" width="18.28515625" customWidth="1"/>
    <col min="1517" max="1517" width="19.5703125" bestFit="1" customWidth="1"/>
    <col min="1518" max="1518" width="14.5703125" bestFit="1" customWidth="1"/>
    <col min="1519" max="1519" width="15.85546875" customWidth="1"/>
    <col min="1520" max="1520" width="1.140625" customWidth="1"/>
    <col min="1521" max="1521" width="3.28515625" customWidth="1"/>
    <col min="1522" max="1522" width="25" customWidth="1"/>
    <col min="1528" max="1528" width="4.28515625" customWidth="1"/>
    <col min="1770" max="1770" width="31.28515625" bestFit="1" customWidth="1"/>
    <col min="1771" max="1771" width="14.140625" customWidth="1"/>
    <col min="1772" max="1772" width="18.28515625" customWidth="1"/>
    <col min="1773" max="1773" width="19.5703125" bestFit="1" customWidth="1"/>
    <col min="1774" max="1774" width="14.5703125" bestFit="1" customWidth="1"/>
    <col min="1775" max="1775" width="15.85546875" customWidth="1"/>
    <col min="1776" max="1776" width="1.140625" customWidth="1"/>
    <col min="1777" max="1777" width="3.28515625" customWidth="1"/>
    <col min="1778" max="1778" width="25" customWidth="1"/>
    <col min="1784" max="1784" width="4.28515625" customWidth="1"/>
    <col min="2026" max="2026" width="31.28515625" bestFit="1" customWidth="1"/>
    <col min="2027" max="2027" width="14.140625" customWidth="1"/>
    <col min="2028" max="2028" width="18.28515625" customWidth="1"/>
    <col min="2029" max="2029" width="19.5703125" bestFit="1" customWidth="1"/>
    <col min="2030" max="2030" width="14.5703125" bestFit="1" customWidth="1"/>
    <col min="2031" max="2031" width="15.85546875" customWidth="1"/>
    <col min="2032" max="2032" width="1.140625" customWidth="1"/>
    <col min="2033" max="2033" width="3.28515625" customWidth="1"/>
    <col min="2034" max="2034" width="25" customWidth="1"/>
    <col min="2040" max="2040" width="4.28515625" customWidth="1"/>
    <col min="2282" max="2282" width="31.28515625" bestFit="1" customWidth="1"/>
    <col min="2283" max="2283" width="14.140625" customWidth="1"/>
    <col min="2284" max="2284" width="18.28515625" customWidth="1"/>
    <col min="2285" max="2285" width="19.5703125" bestFit="1" customWidth="1"/>
    <col min="2286" max="2286" width="14.5703125" bestFit="1" customWidth="1"/>
    <col min="2287" max="2287" width="15.85546875" customWidth="1"/>
    <col min="2288" max="2288" width="1.140625" customWidth="1"/>
    <col min="2289" max="2289" width="3.28515625" customWidth="1"/>
    <col min="2290" max="2290" width="25" customWidth="1"/>
    <col min="2296" max="2296" width="4.28515625" customWidth="1"/>
    <col min="2538" max="2538" width="31.28515625" bestFit="1" customWidth="1"/>
    <col min="2539" max="2539" width="14.140625" customWidth="1"/>
    <col min="2540" max="2540" width="18.28515625" customWidth="1"/>
    <col min="2541" max="2541" width="19.5703125" bestFit="1" customWidth="1"/>
    <col min="2542" max="2542" width="14.5703125" bestFit="1" customWidth="1"/>
    <col min="2543" max="2543" width="15.85546875" customWidth="1"/>
    <col min="2544" max="2544" width="1.140625" customWidth="1"/>
    <col min="2545" max="2545" width="3.28515625" customWidth="1"/>
    <col min="2546" max="2546" width="25" customWidth="1"/>
    <col min="2552" max="2552" width="4.28515625" customWidth="1"/>
    <col min="2794" max="2794" width="31.28515625" bestFit="1" customWidth="1"/>
    <col min="2795" max="2795" width="14.140625" customWidth="1"/>
    <col min="2796" max="2796" width="18.28515625" customWidth="1"/>
    <col min="2797" max="2797" width="19.5703125" bestFit="1" customWidth="1"/>
    <col min="2798" max="2798" width="14.5703125" bestFit="1" customWidth="1"/>
    <col min="2799" max="2799" width="15.85546875" customWidth="1"/>
    <col min="2800" max="2800" width="1.140625" customWidth="1"/>
    <col min="2801" max="2801" width="3.28515625" customWidth="1"/>
    <col min="2802" max="2802" width="25" customWidth="1"/>
    <col min="2808" max="2808" width="4.28515625" customWidth="1"/>
    <col min="3050" max="3050" width="31.28515625" bestFit="1" customWidth="1"/>
    <col min="3051" max="3051" width="14.140625" customWidth="1"/>
    <col min="3052" max="3052" width="18.28515625" customWidth="1"/>
    <col min="3053" max="3053" width="19.5703125" bestFit="1" customWidth="1"/>
    <col min="3054" max="3054" width="14.5703125" bestFit="1" customWidth="1"/>
    <col min="3055" max="3055" width="15.85546875" customWidth="1"/>
    <col min="3056" max="3056" width="1.140625" customWidth="1"/>
    <col min="3057" max="3057" width="3.28515625" customWidth="1"/>
    <col min="3058" max="3058" width="25" customWidth="1"/>
    <col min="3064" max="3064" width="4.28515625" customWidth="1"/>
    <col min="3306" max="3306" width="31.28515625" bestFit="1" customWidth="1"/>
    <col min="3307" max="3307" width="14.140625" customWidth="1"/>
    <col min="3308" max="3308" width="18.28515625" customWidth="1"/>
    <col min="3309" max="3309" width="19.5703125" bestFit="1" customWidth="1"/>
    <col min="3310" max="3310" width="14.5703125" bestFit="1" customWidth="1"/>
    <col min="3311" max="3311" width="15.85546875" customWidth="1"/>
    <col min="3312" max="3312" width="1.140625" customWidth="1"/>
    <col min="3313" max="3313" width="3.28515625" customWidth="1"/>
    <col min="3314" max="3314" width="25" customWidth="1"/>
    <col min="3320" max="3320" width="4.28515625" customWidth="1"/>
    <col min="3562" max="3562" width="31.28515625" bestFit="1" customWidth="1"/>
    <col min="3563" max="3563" width="14.140625" customWidth="1"/>
    <col min="3564" max="3564" width="18.28515625" customWidth="1"/>
    <col min="3565" max="3565" width="19.5703125" bestFit="1" customWidth="1"/>
    <col min="3566" max="3566" width="14.5703125" bestFit="1" customWidth="1"/>
    <col min="3567" max="3567" width="15.85546875" customWidth="1"/>
    <col min="3568" max="3568" width="1.140625" customWidth="1"/>
    <col min="3569" max="3569" width="3.28515625" customWidth="1"/>
    <col min="3570" max="3570" width="25" customWidth="1"/>
    <col min="3576" max="3576" width="4.28515625" customWidth="1"/>
    <col min="3818" max="3818" width="31.28515625" bestFit="1" customWidth="1"/>
    <col min="3819" max="3819" width="14.140625" customWidth="1"/>
    <col min="3820" max="3820" width="18.28515625" customWidth="1"/>
    <col min="3821" max="3821" width="19.5703125" bestFit="1" customWidth="1"/>
    <col min="3822" max="3822" width="14.5703125" bestFit="1" customWidth="1"/>
    <col min="3823" max="3823" width="15.85546875" customWidth="1"/>
    <col min="3824" max="3824" width="1.140625" customWidth="1"/>
    <col min="3825" max="3825" width="3.28515625" customWidth="1"/>
    <col min="3826" max="3826" width="25" customWidth="1"/>
    <col min="3832" max="3832" width="4.28515625" customWidth="1"/>
    <col min="4074" max="4074" width="31.28515625" bestFit="1" customWidth="1"/>
    <col min="4075" max="4075" width="14.140625" customWidth="1"/>
    <col min="4076" max="4076" width="18.28515625" customWidth="1"/>
    <col min="4077" max="4077" width="19.5703125" bestFit="1" customWidth="1"/>
    <col min="4078" max="4078" width="14.5703125" bestFit="1" customWidth="1"/>
    <col min="4079" max="4079" width="15.85546875" customWidth="1"/>
    <col min="4080" max="4080" width="1.140625" customWidth="1"/>
    <col min="4081" max="4081" width="3.28515625" customWidth="1"/>
    <col min="4082" max="4082" width="25" customWidth="1"/>
    <col min="4088" max="4088" width="4.28515625" customWidth="1"/>
    <col min="4330" max="4330" width="31.28515625" bestFit="1" customWidth="1"/>
    <col min="4331" max="4331" width="14.140625" customWidth="1"/>
    <col min="4332" max="4332" width="18.28515625" customWidth="1"/>
    <col min="4333" max="4333" width="19.5703125" bestFit="1" customWidth="1"/>
    <col min="4334" max="4334" width="14.5703125" bestFit="1" customWidth="1"/>
    <col min="4335" max="4335" width="15.85546875" customWidth="1"/>
    <col min="4336" max="4336" width="1.140625" customWidth="1"/>
    <col min="4337" max="4337" width="3.28515625" customWidth="1"/>
    <col min="4338" max="4338" width="25" customWidth="1"/>
    <col min="4344" max="4344" width="4.28515625" customWidth="1"/>
    <col min="4586" max="4586" width="31.28515625" bestFit="1" customWidth="1"/>
    <col min="4587" max="4587" width="14.140625" customWidth="1"/>
    <col min="4588" max="4588" width="18.28515625" customWidth="1"/>
    <col min="4589" max="4589" width="19.5703125" bestFit="1" customWidth="1"/>
    <col min="4590" max="4590" width="14.5703125" bestFit="1" customWidth="1"/>
    <col min="4591" max="4591" width="15.85546875" customWidth="1"/>
    <col min="4592" max="4592" width="1.140625" customWidth="1"/>
    <col min="4593" max="4593" width="3.28515625" customWidth="1"/>
    <col min="4594" max="4594" width="25" customWidth="1"/>
    <col min="4600" max="4600" width="4.28515625" customWidth="1"/>
    <col min="4842" max="4842" width="31.28515625" bestFit="1" customWidth="1"/>
    <col min="4843" max="4843" width="14.140625" customWidth="1"/>
    <col min="4844" max="4844" width="18.28515625" customWidth="1"/>
    <col min="4845" max="4845" width="19.5703125" bestFit="1" customWidth="1"/>
    <col min="4846" max="4846" width="14.5703125" bestFit="1" customWidth="1"/>
    <col min="4847" max="4847" width="15.85546875" customWidth="1"/>
    <col min="4848" max="4848" width="1.140625" customWidth="1"/>
    <col min="4849" max="4849" width="3.28515625" customWidth="1"/>
    <col min="4850" max="4850" width="25" customWidth="1"/>
    <col min="4856" max="4856" width="4.28515625" customWidth="1"/>
    <col min="5098" max="5098" width="31.28515625" bestFit="1" customWidth="1"/>
    <col min="5099" max="5099" width="14.140625" customWidth="1"/>
    <col min="5100" max="5100" width="18.28515625" customWidth="1"/>
    <col min="5101" max="5101" width="19.5703125" bestFit="1" customWidth="1"/>
    <col min="5102" max="5102" width="14.5703125" bestFit="1" customWidth="1"/>
    <col min="5103" max="5103" width="15.85546875" customWidth="1"/>
    <col min="5104" max="5104" width="1.140625" customWidth="1"/>
    <col min="5105" max="5105" width="3.28515625" customWidth="1"/>
    <col min="5106" max="5106" width="25" customWidth="1"/>
    <col min="5112" max="5112" width="4.28515625" customWidth="1"/>
    <col min="5354" max="5354" width="31.28515625" bestFit="1" customWidth="1"/>
    <col min="5355" max="5355" width="14.140625" customWidth="1"/>
    <col min="5356" max="5356" width="18.28515625" customWidth="1"/>
    <col min="5357" max="5357" width="19.5703125" bestFit="1" customWidth="1"/>
    <col min="5358" max="5358" width="14.5703125" bestFit="1" customWidth="1"/>
    <col min="5359" max="5359" width="15.85546875" customWidth="1"/>
    <col min="5360" max="5360" width="1.140625" customWidth="1"/>
    <col min="5361" max="5361" width="3.28515625" customWidth="1"/>
    <col min="5362" max="5362" width="25" customWidth="1"/>
    <col min="5368" max="5368" width="4.28515625" customWidth="1"/>
    <col min="5610" max="5610" width="31.28515625" bestFit="1" customWidth="1"/>
    <col min="5611" max="5611" width="14.140625" customWidth="1"/>
    <col min="5612" max="5612" width="18.28515625" customWidth="1"/>
    <col min="5613" max="5613" width="19.5703125" bestFit="1" customWidth="1"/>
    <col min="5614" max="5614" width="14.5703125" bestFit="1" customWidth="1"/>
    <col min="5615" max="5615" width="15.85546875" customWidth="1"/>
    <col min="5616" max="5616" width="1.140625" customWidth="1"/>
    <col min="5617" max="5617" width="3.28515625" customWidth="1"/>
    <col min="5618" max="5618" width="25" customWidth="1"/>
    <col min="5624" max="5624" width="4.28515625" customWidth="1"/>
    <col min="5866" max="5866" width="31.28515625" bestFit="1" customWidth="1"/>
    <col min="5867" max="5867" width="14.140625" customWidth="1"/>
    <col min="5868" max="5868" width="18.28515625" customWidth="1"/>
    <col min="5869" max="5869" width="19.5703125" bestFit="1" customWidth="1"/>
    <col min="5870" max="5870" width="14.5703125" bestFit="1" customWidth="1"/>
    <col min="5871" max="5871" width="15.85546875" customWidth="1"/>
    <col min="5872" max="5872" width="1.140625" customWidth="1"/>
    <col min="5873" max="5873" width="3.28515625" customWidth="1"/>
    <col min="5874" max="5874" width="25" customWidth="1"/>
    <col min="5880" max="5880" width="4.28515625" customWidth="1"/>
    <col min="6122" max="6122" width="31.28515625" bestFit="1" customWidth="1"/>
    <col min="6123" max="6123" width="14.140625" customWidth="1"/>
    <col min="6124" max="6124" width="18.28515625" customWidth="1"/>
    <col min="6125" max="6125" width="19.5703125" bestFit="1" customWidth="1"/>
    <col min="6126" max="6126" width="14.5703125" bestFit="1" customWidth="1"/>
    <col min="6127" max="6127" width="15.85546875" customWidth="1"/>
    <col min="6128" max="6128" width="1.140625" customWidth="1"/>
    <col min="6129" max="6129" width="3.28515625" customWidth="1"/>
    <col min="6130" max="6130" width="25" customWidth="1"/>
    <col min="6136" max="6136" width="4.28515625" customWidth="1"/>
    <col min="6378" max="6378" width="31.28515625" bestFit="1" customWidth="1"/>
    <col min="6379" max="6379" width="14.140625" customWidth="1"/>
    <col min="6380" max="6380" width="18.28515625" customWidth="1"/>
    <col min="6381" max="6381" width="19.5703125" bestFit="1" customWidth="1"/>
    <col min="6382" max="6382" width="14.5703125" bestFit="1" customWidth="1"/>
    <col min="6383" max="6383" width="15.85546875" customWidth="1"/>
    <col min="6384" max="6384" width="1.140625" customWidth="1"/>
    <col min="6385" max="6385" width="3.28515625" customWidth="1"/>
    <col min="6386" max="6386" width="25" customWidth="1"/>
    <col min="6392" max="6392" width="4.28515625" customWidth="1"/>
    <col min="6634" max="6634" width="31.28515625" bestFit="1" customWidth="1"/>
    <col min="6635" max="6635" width="14.140625" customWidth="1"/>
    <col min="6636" max="6636" width="18.28515625" customWidth="1"/>
    <col min="6637" max="6637" width="19.5703125" bestFit="1" customWidth="1"/>
    <col min="6638" max="6638" width="14.5703125" bestFit="1" customWidth="1"/>
    <col min="6639" max="6639" width="15.85546875" customWidth="1"/>
    <col min="6640" max="6640" width="1.140625" customWidth="1"/>
    <col min="6641" max="6641" width="3.28515625" customWidth="1"/>
    <col min="6642" max="6642" width="25" customWidth="1"/>
    <col min="6648" max="6648" width="4.28515625" customWidth="1"/>
    <col min="6890" max="6890" width="31.28515625" bestFit="1" customWidth="1"/>
    <col min="6891" max="6891" width="14.140625" customWidth="1"/>
    <col min="6892" max="6892" width="18.28515625" customWidth="1"/>
    <col min="6893" max="6893" width="19.5703125" bestFit="1" customWidth="1"/>
    <col min="6894" max="6894" width="14.5703125" bestFit="1" customWidth="1"/>
    <col min="6895" max="6895" width="15.85546875" customWidth="1"/>
    <col min="6896" max="6896" width="1.140625" customWidth="1"/>
    <col min="6897" max="6897" width="3.28515625" customWidth="1"/>
    <col min="6898" max="6898" width="25" customWidth="1"/>
    <col min="6904" max="6904" width="4.28515625" customWidth="1"/>
    <col min="7146" max="7146" width="31.28515625" bestFit="1" customWidth="1"/>
    <col min="7147" max="7147" width="14.140625" customWidth="1"/>
    <col min="7148" max="7148" width="18.28515625" customWidth="1"/>
    <col min="7149" max="7149" width="19.5703125" bestFit="1" customWidth="1"/>
    <col min="7150" max="7150" width="14.5703125" bestFit="1" customWidth="1"/>
    <col min="7151" max="7151" width="15.85546875" customWidth="1"/>
    <col min="7152" max="7152" width="1.140625" customWidth="1"/>
    <col min="7153" max="7153" width="3.28515625" customWidth="1"/>
    <col min="7154" max="7154" width="25" customWidth="1"/>
    <col min="7160" max="7160" width="4.28515625" customWidth="1"/>
    <col min="7402" max="7402" width="31.28515625" bestFit="1" customWidth="1"/>
    <col min="7403" max="7403" width="14.140625" customWidth="1"/>
    <col min="7404" max="7404" width="18.28515625" customWidth="1"/>
    <col min="7405" max="7405" width="19.5703125" bestFit="1" customWidth="1"/>
    <col min="7406" max="7406" width="14.5703125" bestFit="1" customWidth="1"/>
    <col min="7407" max="7407" width="15.85546875" customWidth="1"/>
    <col min="7408" max="7408" width="1.140625" customWidth="1"/>
    <col min="7409" max="7409" width="3.28515625" customWidth="1"/>
    <col min="7410" max="7410" width="25" customWidth="1"/>
    <col min="7416" max="7416" width="4.28515625" customWidth="1"/>
    <col min="7658" max="7658" width="31.28515625" bestFit="1" customWidth="1"/>
    <col min="7659" max="7659" width="14.140625" customWidth="1"/>
    <col min="7660" max="7660" width="18.28515625" customWidth="1"/>
    <col min="7661" max="7661" width="19.5703125" bestFit="1" customWidth="1"/>
    <col min="7662" max="7662" width="14.5703125" bestFit="1" customWidth="1"/>
    <col min="7663" max="7663" width="15.85546875" customWidth="1"/>
    <col min="7664" max="7664" width="1.140625" customWidth="1"/>
    <col min="7665" max="7665" width="3.28515625" customWidth="1"/>
    <col min="7666" max="7666" width="25" customWidth="1"/>
    <col min="7672" max="7672" width="4.28515625" customWidth="1"/>
    <col min="7914" max="7914" width="31.28515625" bestFit="1" customWidth="1"/>
    <col min="7915" max="7915" width="14.140625" customWidth="1"/>
    <col min="7916" max="7916" width="18.28515625" customWidth="1"/>
    <col min="7917" max="7917" width="19.5703125" bestFit="1" customWidth="1"/>
    <col min="7918" max="7918" width="14.5703125" bestFit="1" customWidth="1"/>
    <col min="7919" max="7919" width="15.85546875" customWidth="1"/>
    <col min="7920" max="7920" width="1.140625" customWidth="1"/>
    <col min="7921" max="7921" width="3.28515625" customWidth="1"/>
    <col min="7922" max="7922" width="25" customWidth="1"/>
    <col min="7928" max="7928" width="4.28515625" customWidth="1"/>
    <col min="8170" max="8170" width="31.28515625" bestFit="1" customWidth="1"/>
    <col min="8171" max="8171" width="14.140625" customWidth="1"/>
    <col min="8172" max="8172" width="18.28515625" customWidth="1"/>
    <col min="8173" max="8173" width="19.5703125" bestFit="1" customWidth="1"/>
    <col min="8174" max="8174" width="14.5703125" bestFit="1" customWidth="1"/>
    <col min="8175" max="8175" width="15.85546875" customWidth="1"/>
    <col min="8176" max="8176" width="1.140625" customWidth="1"/>
    <col min="8177" max="8177" width="3.28515625" customWidth="1"/>
    <col min="8178" max="8178" width="25" customWidth="1"/>
    <col min="8184" max="8184" width="4.28515625" customWidth="1"/>
    <col min="8426" max="8426" width="31.28515625" bestFit="1" customWidth="1"/>
    <col min="8427" max="8427" width="14.140625" customWidth="1"/>
    <col min="8428" max="8428" width="18.28515625" customWidth="1"/>
    <col min="8429" max="8429" width="19.5703125" bestFit="1" customWidth="1"/>
    <col min="8430" max="8430" width="14.5703125" bestFit="1" customWidth="1"/>
    <col min="8431" max="8431" width="15.85546875" customWidth="1"/>
    <col min="8432" max="8432" width="1.140625" customWidth="1"/>
    <col min="8433" max="8433" width="3.28515625" customWidth="1"/>
    <col min="8434" max="8434" width="25" customWidth="1"/>
    <col min="8440" max="8440" width="4.28515625" customWidth="1"/>
    <col min="8682" max="8682" width="31.28515625" bestFit="1" customWidth="1"/>
    <col min="8683" max="8683" width="14.140625" customWidth="1"/>
    <col min="8684" max="8684" width="18.28515625" customWidth="1"/>
    <col min="8685" max="8685" width="19.5703125" bestFit="1" customWidth="1"/>
    <col min="8686" max="8686" width="14.5703125" bestFit="1" customWidth="1"/>
    <col min="8687" max="8687" width="15.85546875" customWidth="1"/>
    <col min="8688" max="8688" width="1.140625" customWidth="1"/>
    <col min="8689" max="8689" width="3.28515625" customWidth="1"/>
    <col min="8690" max="8690" width="25" customWidth="1"/>
    <col min="8696" max="8696" width="4.28515625" customWidth="1"/>
    <col min="8938" max="8938" width="31.28515625" bestFit="1" customWidth="1"/>
    <col min="8939" max="8939" width="14.140625" customWidth="1"/>
    <col min="8940" max="8940" width="18.28515625" customWidth="1"/>
    <col min="8941" max="8941" width="19.5703125" bestFit="1" customWidth="1"/>
    <col min="8942" max="8942" width="14.5703125" bestFit="1" customWidth="1"/>
    <col min="8943" max="8943" width="15.85546875" customWidth="1"/>
    <col min="8944" max="8944" width="1.140625" customWidth="1"/>
    <col min="8945" max="8945" width="3.28515625" customWidth="1"/>
    <col min="8946" max="8946" width="25" customWidth="1"/>
    <col min="8952" max="8952" width="4.28515625" customWidth="1"/>
    <col min="9194" max="9194" width="31.28515625" bestFit="1" customWidth="1"/>
    <col min="9195" max="9195" width="14.140625" customWidth="1"/>
    <col min="9196" max="9196" width="18.28515625" customWidth="1"/>
    <col min="9197" max="9197" width="19.5703125" bestFit="1" customWidth="1"/>
    <col min="9198" max="9198" width="14.5703125" bestFit="1" customWidth="1"/>
    <col min="9199" max="9199" width="15.85546875" customWidth="1"/>
    <col min="9200" max="9200" width="1.140625" customWidth="1"/>
    <col min="9201" max="9201" width="3.28515625" customWidth="1"/>
    <col min="9202" max="9202" width="25" customWidth="1"/>
    <col min="9208" max="9208" width="4.28515625" customWidth="1"/>
    <col min="9450" max="9450" width="31.28515625" bestFit="1" customWidth="1"/>
    <col min="9451" max="9451" width="14.140625" customWidth="1"/>
    <col min="9452" max="9452" width="18.28515625" customWidth="1"/>
    <col min="9453" max="9453" width="19.5703125" bestFit="1" customWidth="1"/>
    <col min="9454" max="9454" width="14.5703125" bestFit="1" customWidth="1"/>
    <col min="9455" max="9455" width="15.85546875" customWidth="1"/>
    <col min="9456" max="9456" width="1.140625" customWidth="1"/>
    <col min="9457" max="9457" width="3.28515625" customWidth="1"/>
    <col min="9458" max="9458" width="25" customWidth="1"/>
    <col min="9464" max="9464" width="4.28515625" customWidth="1"/>
    <col min="9706" max="9706" width="31.28515625" bestFit="1" customWidth="1"/>
    <col min="9707" max="9707" width="14.140625" customWidth="1"/>
    <col min="9708" max="9708" width="18.28515625" customWidth="1"/>
    <col min="9709" max="9709" width="19.5703125" bestFit="1" customWidth="1"/>
    <col min="9710" max="9710" width="14.5703125" bestFit="1" customWidth="1"/>
    <col min="9711" max="9711" width="15.85546875" customWidth="1"/>
    <col min="9712" max="9712" width="1.140625" customWidth="1"/>
    <col min="9713" max="9713" width="3.28515625" customWidth="1"/>
    <col min="9714" max="9714" width="25" customWidth="1"/>
    <col min="9720" max="9720" width="4.28515625" customWidth="1"/>
    <col min="9962" max="9962" width="31.28515625" bestFit="1" customWidth="1"/>
    <col min="9963" max="9963" width="14.140625" customWidth="1"/>
    <col min="9964" max="9964" width="18.28515625" customWidth="1"/>
    <col min="9965" max="9965" width="19.5703125" bestFit="1" customWidth="1"/>
    <col min="9966" max="9966" width="14.5703125" bestFit="1" customWidth="1"/>
    <col min="9967" max="9967" width="15.85546875" customWidth="1"/>
    <col min="9968" max="9968" width="1.140625" customWidth="1"/>
    <col min="9969" max="9969" width="3.28515625" customWidth="1"/>
    <col min="9970" max="9970" width="25" customWidth="1"/>
    <col min="9976" max="9976" width="4.28515625" customWidth="1"/>
    <col min="10218" max="10218" width="31.28515625" bestFit="1" customWidth="1"/>
    <col min="10219" max="10219" width="14.140625" customWidth="1"/>
    <col min="10220" max="10220" width="18.28515625" customWidth="1"/>
    <col min="10221" max="10221" width="19.5703125" bestFit="1" customWidth="1"/>
    <col min="10222" max="10222" width="14.5703125" bestFit="1" customWidth="1"/>
    <col min="10223" max="10223" width="15.85546875" customWidth="1"/>
    <col min="10224" max="10224" width="1.140625" customWidth="1"/>
    <col min="10225" max="10225" width="3.28515625" customWidth="1"/>
    <col min="10226" max="10226" width="25" customWidth="1"/>
    <col min="10232" max="10232" width="4.28515625" customWidth="1"/>
    <col min="10474" max="10474" width="31.28515625" bestFit="1" customWidth="1"/>
    <col min="10475" max="10475" width="14.140625" customWidth="1"/>
    <col min="10476" max="10476" width="18.28515625" customWidth="1"/>
    <col min="10477" max="10477" width="19.5703125" bestFit="1" customWidth="1"/>
    <col min="10478" max="10478" width="14.5703125" bestFit="1" customWidth="1"/>
    <col min="10479" max="10479" width="15.85546875" customWidth="1"/>
    <col min="10480" max="10480" width="1.140625" customWidth="1"/>
    <col min="10481" max="10481" width="3.28515625" customWidth="1"/>
    <col min="10482" max="10482" width="25" customWidth="1"/>
    <col min="10488" max="10488" width="4.28515625" customWidth="1"/>
    <col min="10730" max="10730" width="31.28515625" bestFit="1" customWidth="1"/>
    <col min="10731" max="10731" width="14.140625" customWidth="1"/>
    <col min="10732" max="10732" width="18.28515625" customWidth="1"/>
    <col min="10733" max="10733" width="19.5703125" bestFit="1" customWidth="1"/>
    <col min="10734" max="10734" width="14.5703125" bestFit="1" customWidth="1"/>
    <col min="10735" max="10735" width="15.85546875" customWidth="1"/>
    <col min="10736" max="10736" width="1.140625" customWidth="1"/>
    <col min="10737" max="10737" width="3.28515625" customWidth="1"/>
    <col min="10738" max="10738" width="25" customWidth="1"/>
    <col min="10744" max="10744" width="4.28515625" customWidth="1"/>
    <col min="10986" max="10986" width="31.28515625" bestFit="1" customWidth="1"/>
    <col min="10987" max="10987" width="14.140625" customWidth="1"/>
    <col min="10988" max="10988" width="18.28515625" customWidth="1"/>
    <col min="10989" max="10989" width="19.5703125" bestFit="1" customWidth="1"/>
    <col min="10990" max="10990" width="14.5703125" bestFit="1" customWidth="1"/>
    <col min="10991" max="10991" width="15.85546875" customWidth="1"/>
    <col min="10992" max="10992" width="1.140625" customWidth="1"/>
    <col min="10993" max="10993" width="3.28515625" customWidth="1"/>
    <col min="10994" max="10994" width="25" customWidth="1"/>
    <col min="11000" max="11000" width="4.28515625" customWidth="1"/>
    <col min="11242" max="11242" width="31.28515625" bestFit="1" customWidth="1"/>
    <col min="11243" max="11243" width="14.140625" customWidth="1"/>
    <col min="11244" max="11244" width="18.28515625" customWidth="1"/>
    <col min="11245" max="11245" width="19.5703125" bestFit="1" customWidth="1"/>
    <col min="11246" max="11246" width="14.5703125" bestFit="1" customWidth="1"/>
    <col min="11247" max="11247" width="15.85546875" customWidth="1"/>
    <col min="11248" max="11248" width="1.140625" customWidth="1"/>
    <col min="11249" max="11249" width="3.28515625" customWidth="1"/>
    <col min="11250" max="11250" width="25" customWidth="1"/>
    <col min="11256" max="11256" width="4.28515625" customWidth="1"/>
    <col min="11498" max="11498" width="31.28515625" bestFit="1" customWidth="1"/>
    <col min="11499" max="11499" width="14.140625" customWidth="1"/>
    <col min="11500" max="11500" width="18.28515625" customWidth="1"/>
    <col min="11501" max="11501" width="19.5703125" bestFit="1" customWidth="1"/>
    <col min="11502" max="11502" width="14.5703125" bestFit="1" customWidth="1"/>
    <col min="11503" max="11503" width="15.85546875" customWidth="1"/>
    <col min="11504" max="11504" width="1.140625" customWidth="1"/>
    <col min="11505" max="11505" width="3.28515625" customWidth="1"/>
    <col min="11506" max="11506" width="25" customWidth="1"/>
    <col min="11512" max="11512" width="4.28515625" customWidth="1"/>
    <col min="11754" max="11754" width="31.28515625" bestFit="1" customWidth="1"/>
    <col min="11755" max="11755" width="14.140625" customWidth="1"/>
    <col min="11756" max="11756" width="18.28515625" customWidth="1"/>
    <col min="11757" max="11757" width="19.5703125" bestFit="1" customWidth="1"/>
    <col min="11758" max="11758" width="14.5703125" bestFit="1" customWidth="1"/>
    <col min="11759" max="11759" width="15.85546875" customWidth="1"/>
    <col min="11760" max="11760" width="1.140625" customWidth="1"/>
    <col min="11761" max="11761" width="3.28515625" customWidth="1"/>
    <col min="11762" max="11762" width="25" customWidth="1"/>
    <col min="11768" max="11768" width="4.28515625" customWidth="1"/>
    <col min="12010" max="12010" width="31.28515625" bestFit="1" customWidth="1"/>
    <col min="12011" max="12011" width="14.140625" customWidth="1"/>
    <col min="12012" max="12012" width="18.28515625" customWidth="1"/>
    <col min="12013" max="12013" width="19.5703125" bestFit="1" customWidth="1"/>
    <col min="12014" max="12014" width="14.5703125" bestFit="1" customWidth="1"/>
    <col min="12015" max="12015" width="15.85546875" customWidth="1"/>
    <col min="12016" max="12016" width="1.140625" customWidth="1"/>
    <col min="12017" max="12017" width="3.28515625" customWidth="1"/>
    <col min="12018" max="12018" width="25" customWidth="1"/>
    <col min="12024" max="12024" width="4.28515625" customWidth="1"/>
    <col min="12266" max="12266" width="31.28515625" bestFit="1" customWidth="1"/>
    <col min="12267" max="12267" width="14.140625" customWidth="1"/>
    <col min="12268" max="12268" width="18.28515625" customWidth="1"/>
    <col min="12269" max="12269" width="19.5703125" bestFit="1" customWidth="1"/>
    <col min="12270" max="12270" width="14.5703125" bestFit="1" customWidth="1"/>
    <col min="12271" max="12271" width="15.85546875" customWidth="1"/>
    <col min="12272" max="12272" width="1.140625" customWidth="1"/>
    <col min="12273" max="12273" width="3.28515625" customWidth="1"/>
    <col min="12274" max="12274" width="25" customWidth="1"/>
    <col min="12280" max="12280" width="4.28515625" customWidth="1"/>
    <col min="12522" max="12522" width="31.28515625" bestFit="1" customWidth="1"/>
    <col min="12523" max="12523" width="14.140625" customWidth="1"/>
    <col min="12524" max="12524" width="18.28515625" customWidth="1"/>
    <col min="12525" max="12525" width="19.5703125" bestFit="1" customWidth="1"/>
    <col min="12526" max="12526" width="14.5703125" bestFit="1" customWidth="1"/>
    <col min="12527" max="12527" width="15.85546875" customWidth="1"/>
    <col min="12528" max="12528" width="1.140625" customWidth="1"/>
    <col min="12529" max="12529" width="3.28515625" customWidth="1"/>
    <col min="12530" max="12530" width="25" customWidth="1"/>
    <col min="12536" max="12536" width="4.28515625" customWidth="1"/>
    <col min="12778" max="12778" width="31.28515625" bestFit="1" customWidth="1"/>
    <col min="12779" max="12779" width="14.140625" customWidth="1"/>
    <col min="12780" max="12780" width="18.28515625" customWidth="1"/>
    <col min="12781" max="12781" width="19.5703125" bestFit="1" customWidth="1"/>
    <col min="12782" max="12782" width="14.5703125" bestFit="1" customWidth="1"/>
    <col min="12783" max="12783" width="15.85546875" customWidth="1"/>
    <col min="12784" max="12784" width="1.140625" customWidth="1"/>
    <col min="12785" max="12785" width="3.28515625" customWidth="1"/>
    <col min="12786" max="12786" width="25" customWidth="1"/>
    <col min="12792" max="12792" width="4.28515625" customWidth="1"/>
    <col min="13034" max="13034" width="31.28515625" bestFit="1" customWidth="1"/>
    <col min="13035" max="13035" width="14.140625" customWidth="1"/>
    <col min="13036" max="13036" width="18.28515625" customWidth="1"/>
    <col min="13037" max="13037" width="19.5703125" bestFit="1" customWidth="1"/>
    <col min="13038" max="13038" width="14.5703125" bestFit="1" customWidth="1"/>
    <col min="13039" max="13039" width="15.85546875" customWidth="1"/>
    <col min="13040" max="13040" width="1.140625" customWidth="1"/>
    <col min="13041" max="13041" width="3.28515625" customWidth="1"/>
    <col min="13042" max="13042" width="25" customWidth="1"/>
    <col min="13048" max="13048" width="4.28515625" customWidth="1"/>
    <col min="13290" max="13290" width="31.28515625" bestFit="1" customWidth="1"/>
    <col min="13291" max="13291" width="14.140625" customWidth="1"/>
    <col min="13292" max="13292" width="18.28515625" customWidth="1"/>
    <col min="13293" max="13293" width="19.5703125" bestFit="1" customWidth="1"/>
    <col min="13294" max="13294" width="14.5703125" bestFit="1" customWidth="1"/>
    <col min="13295" max="13295" width="15.85546875" customWidth="1"/>
    <col min="13296" max="13296" width="1.140625" customWidth="1"/>
    <col min="13297" max="13297" width="3.28515625" customWidth="1"/>
    <col min="13298" max="13298" width="25" customWidth="1"/>
    <col min="13304" max="13304" width="4.28515625" customWidth="1"/>
    <col min="13546" max="13546" width="31.28515625" bestFit="1" customWidth="1"/>
    <col min="13547" max="13547" width="14.140625" customWidth="1"/>
    <col min="13548" max="13548" width="18.28515625" customWidth="1"/>
    <col min="13549" max="13549" width="19.5703125" bestFit="1" customWidth="1"/>
    <col min="13550" max="13550" width="14.5703125" bestFit="1" customWidth="1"/>
    <col min="13551" max="13551" width="15.85546875" customWidth="1"/>
    <col min="13552" max="13552" width="1.140625" customWidth="1"/>
    <col min="13553" max="13553" width="3.28515625" customWidth="1"/>
    <col min="13554" max="13554" width="25" customWidth="1"/>
    <col min="13560" max="13560" width="4.28515625" customWidth="1"/>
    <col min="13802" max="13802" width="31.28515625" bestFit="1" customWidth="1"/>
    <col min="13803" max="13803" width="14.140625" customWidth="1"/>
    <col min="13804" max="13804" width="18.28515625" customWidth="1"/>
    <col min="13805" max="13805" width="19.5703125" bestFit="1" customWidth="1"/>
    <col min="13806" max="13806" width="14.5703125" bestFit="1" customWidth="1"/>
    <col min="13807" max="13807" width="15.85546875" customWidth="1"/>
    <col min="13808" max="13808" width="1.140625" customWidth="1"/>
    <col min="13809" max="13809" width="3.28515625" customWidth="1"/>
    <col min="13810" max="13810" width="25" customWidth="1"/>
    <col min="13816" max="13816" width="4.28515625" customWidth="1"/>
    <col min="14058" max="14058" width="31.28515625" bestFit="1" customWidth="1"/>
    <col min="14059" max="14059" width="14.140625" customWidth="1"/>
    <col min="14060" max="14060" width="18.28515625" customWidth="1"/>
    <col min="14061" max="14061" width="19.5703125" bestFit="1" customWidth="1"/>
    <col min="14062" max="14062" width="14.5703125" bestFit="1" customWidth="1"/>
    <col min="14063" max="14063" width="15.85546875" customWidth="1"/>
    <col min="14064" max="14064" width="1.140625" customWidth="1"/>
    <col min="14065" max="14065" width="3.28515625" customWidth="1"/>
    <col min="14066" max="14066" width="25" customWidth="1"/>
    <col min="14072" max="14072" width="4.28515625" customWidth="1"/>
    <col min="14314" max="14314" width="31.28515625" bestFit="1" customWidth="1"/>
    <col min="14315" max="14315" width="14.140625" customWidth="1"/>
    <col min="14316" max="14316" width="18.28515625" customWidth="1"/>
    <col min="14317" max="14317" width="19.5703125" bestFit="1" customWidth="1"/>
    <col min="14318" max="14318" width="14.5703125" bestFit="1" customWidth="1"/>
    <col min="14319" max="14319" width="15.85546875" customWidth="1"/>
    <col min="14320" max="14320" width="1.140625" customWidth="1"/>
    <col min="14321" max="14321" width="3.28515625" customWidth="1"/>
    <col min="14322" max="14322" width="25" customWidth="1"/>
    <col min="14328" max="14328" width="4.28515625" customWidth="1"/>
    <col min="14570" max="14570" width="31.28515625" bestFit="1" customWidth="1"/>
    <col min="14571" max="14571" width="14.140625" customWidth="1"/>
    <col min="14572" max="14572" width="18.28515625" customWidth="1"/>
    <col min="14573" max="14573" width="19.5703125" bestFit="1" customWidth="1"/>
    <col min="14574" max="14574" width="14.5703125" bestFit="1" customWidth="1"/>
    <col min="14575" max="14575" width="15.85546875" customWidth="1"/>
    <col min="14576" max="14576" width="1.140625" customWidth="1"/>
    <col min="14577" max="14577" width="3.28515625" customWidth="1"/>
    <col min="14578" max="14578" width="25" customWidth="1"/>
    <col min="14584" max="14584" width="4.28515625" customWidth="1"/>
    <col min="14826" max="14826" width="31.28515625" bestFit="1" customWidth="1"/>
    <col min="14827" max="14827" width="14.140625" customWidth="1"/>
    <col min="14828" max="14828" width="18.28515625" customWidth="1"/>
    <col min="14829" max="14829" width="19.5703125" bestFit="1" customWidth="1"/>
    <col min="14830" max="14830" width="14.5703125" bestFit="1" customWidth="1"/>
    <col min="14831" max="14831" width="15.85546875" customWidth="1"/>
    <col min="14832" max="14832" width="1.140625" customWidth="1"/>
    <col min="14833" max="14833" width="3.28515625" customWidth="1"/>
    <col min="14834" max="14834" width="25" customWidth="1"/>
    <col min="14840" max="14840" width="4.28515625" customWidth="1"/>
    <col min="15082" max="15082" width="31.28515625" bestFit="1" customWidth="1"/>
    <col min="15083" max="15083" width="14.140625" customWidth="1"/>
    <col min="15084" max="15084" width="18.28515625" customWidth="1"/>
    <col min="15085" max="15085" width="19.5703125" bestFit="1" customWidth="1"/>
    <col min="15086" max="15086" width="14.5703125" bestFit="1" customWidth="1"/>
    <col min="15087" max="15087" width="15.85546875" customWidth="1"/>
    <col min="15088" max="15088" width="1.140625" customWidth="1"/>
    <col min="15089" max="15089" width="3.28515625" customWidth="1"/>
    <col min="15090" max="15090" width="25" customWidth="1"/>
    <col min="15096" max="15096" width="4.28515625" customWidth="1"/>
    <col min="15338" max="15338" width="31.28515625" bestFit="1" customWidth="1"/>
    <col min="15339" max="15339" width="14.140625" customWidth="1"/>
    <col min="15340" max="15340" width="18.28515625" customWidth="1"/>
    <col min="15341" max="15341" width="19.5703125" bestFit="1" customWidth="1"/>
    <col min="15342" max="15342" width="14.5703125" bestFit="1" customWidth="1"/>
    <col min="15343" max="15343" width="15.85546875" customWidth="1"/>
    <col min="15344" max="15344" width="1.140625" customWidth="1"/>
    <col min="15345" max="15345" width="3.28515625" customWidth="1"/>
    <col min="15346" max="15346" width="25" customWidth="1"/>
    <col min="15352" max="15352" width="4.28515625" customWidth="1"/>
    <col min="15594" max="15594" width="31.28515625" bestFit="1" customWidth="1"/>
    <col min="15595" max="15595" width="14.140625" customWidth="1"/>
    <col min="15596" max="15596" width="18.28515625" customWidth="1"/>
    <col min="15597" max="15597" width="19.5703125" bestFit="1" customWidth="1"/>
    <col min="15598" max="15598" width="14.5703125" bestFit="1" customWidth="1"/>
    <col min="15599" max="15599" width="15.85546875" customWidth="1"/>
    <col min="15600" max="15600" width="1.140625" customWidth="1"/>
    <col min="15601" max="15601" width="3.28515625" customWidth="1"/>
    <col min="15602" max="15602" width="25" customWidth="1"/>
    <col min="15608" max="15608" width="4.28515625" customWidth="1"/>
    <col min="15850" max="15850" width="31.28515625" bestFit="1" customWidth="1"/>
    <col min="15851" max="15851" width="14.140625" customWidth="1"/>
    <col min="15852" max="15852" width="18.28515625" customWidth="1"/>
    <col min="15853" max="15853" width="19.5703125" bestFit="1" customWidth="1"/>
    <col min="15854" max="15854" width="14.5703125" bestFit="1" customWidth="1"/>
    <col min="15855" max="15855" width="15.85546875" customWidth="1"/>
    <col min="15856" max="15856" width="1.140625" customWidth="1"/>
    <col min="15857" max="15857" width="3.28515625" customWidth="1"/>
    <col min="15858" max="15858" width="25" customWidth="1"/>
    <col min="15864" max="15864" width="4.28515625" customWidth="1"/>
    <col min="16106" max="16106" width="31.28515625" bestFit="1" customWidth="1"/>
    <col min="16107" max="16107" width="14.140625" customWidth="1"/>
    <col min="16108" max="16108" width="18.28515625" customWidth="1"/>
    <col min="16109" max="16109" width="19.5703125" bestFit="1" customWidth="1"/>
    <col min="16110" max="16110" width="14.5703125" bestFit="1" customWidth="1"/>
    <col min="16111" max="16111" width="15.85546875" customWidth="1"/>
    <col min="16112" max="16112" width="1.140625" customWidth="1"/>
    <col min="16113" max="16113" width="3.28515625" customWidth="1"/>
    <col min="16114" max="16114" width="25" customWidth="1"/>
    <col min="16120" max="16120" width="4.28515625" customWidth="1"/>
  </cols>
  <sheetData>
    <row r="1" spans="1:40" ht="18.75" x14ac:dyDescent="0.3">
      <c r="A1" s="374" t="s">
        <v>102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</row>
    <row r="2" spans="1:40" ht="18" customHeight="1" x14ac:dyDescent="0.3">
      <c r="A2" s="160"/>
      <c r="B2" s="160"/>
      <c r="C2" s="160"/>
      <c r="D2" s="160"/>
      <c r="E2" s="160"/>
      <c r="F2" s="160" t="s">
        <v>103</v>
      </c>
      <c r="G2" s="376">
        <v>43500</v>
      </c>
      <c r="H2" s="376"/>
      <c r="I2" s="376"/>
      <c r="J2" s="376"/>
      <c r="K2" s="376"/>
      <c r="L2" s="83"/>
      <c r="M2" s="83"/>
      <c r="N2" s="83"/>
      <c r="O2" s="83"/>
      <c r="P2" s="189"/>
    </row>
    <row r="3" spans="1:40" ht="25.5" x14ac:dyDescent="0.2">
      <c r="A3" s="191" t="s">
        <v>104</v>
      </c>
      <c r="B3" s="191" t="s">
        <v>121</v>
      </c>
      <c r="C3" s="191" t="s">
        <v>110</v>
      </c>
      <c r="D3" s="191" t="s">
        <v>122</v>
      </c>
      <c r="E3" s="191" t="s">
        <v>123</v>
      </c>
      <c r="F3" s="191" t="s">
        <v>124</v>
      </c>
      <c r="G3" s="257" t="s">
        <v>120</v>
      </c>
      <c r="H3" s="268" t="s">
        <v>140</v>
      </c>
      <c r="I3" s="326" t="s">
        <v>149</v>
      </c>
      <c r="J3" s="262" t="s">
        <v>135</v>
      </c>
      <c r="K3" s="191" t="s">
        <v>93</v>
      </c>
      <c r="L3" s="192" t="s">
        <v>105</v>
      </c>
      <c r="M3" s="226" t="s">
        <v>143</v>
      </c>
      <c r="N3" s="226" t="s">
        <v>146</v>
      </c>
      <c r="O3" s="226" t="s">
        <v>150</v>
      </c>
      <c r="P3" s="193"/>
      <c r="Q3" s="192" t="s">
        <v>109</v>
      </c>
      <c r="AI3" s="67"/>
      <c r="AJ3" s="67"/>
      <c r="AK3" s="67"/>
      <c r="AL3" s="67"/>
      <c r="AM3" s="67"/>
      <c r="AN3" s="67"/>
    </row>
    <row r="4" spans="1:40" ht="25.9" customHeight="1" thickBot="1" x14ac:dyDescent="0.25">
      <c r="A4" s="243"/>
      <c r="B4" s="244"/>
      <c r="C4" s="253"/>
      <c r="D4" s="244"/>
      <c r="E4" s="244"/>
      <c r="F4" s="244" t="s">
        <v>111</v>
      </c>
      <c r="G4" s="258"/>
      <c r="H4" s="244"/>
      <c r="I4" s="244"/>
      <c r="J4" s="261"/>
      <c r="K4" s="244"/>
      <c r="L4" s="244"/>
      <c r="M4" s="244"/>
      <c r="N4" s="244"/>
      <c r="O4" s="244"/>
      <c r="P4" s="244"/>
      <c r="Q4" s="244"/>
      <c r="AI4" s="67"/>
      <c r="AJ4" s="67"/>
      <c r="AK4" s="67"/>
      <c r="AL4" s="67"/>
      <c r="AM4" s="67"/>
      <c r="AN4" s="67"/>
    </row>
    <row r="5" spans="1:40" ht="25.9" customHeight="1" x14ac:dyDescent="0.2">
      <c r="A5" s="247"/>
      <c r="B5" s="273"/>
      <c r="C5" s="274" t="s">
        <v>138</v>
      </c>
      <c r="D5" s="275">
        <v>2</v>
      </c>
      <c r="E5" s="275">
        <v>1000</v>
      </c>
      <c r="F5" s="276">
        <f t="shared" ref="F5:F55" si="0">E5*D5</f>
        <v>2000</v>
      </c>
      <c r="G5" s="277">
        <v>43501</v>
      </c>
      <c r="H5" s="184" t="s">
        <v>106</v>
      </c>
      <c r="I5" s="290" t="str">
        <f>IF(G5&lt;&gt;"","FERME","PREVI")</f>
        <v>FERME</v>
      </c>
      <c r="J5" s="278" t="s">
        <v>136</v>
      </c>
      <c r="K5" s="276" t="s">
        <v>117</v>
      </c>
      <c r="L5" s="279">
        <v>43497</v>
      </c>
      <c r="M5" s="280">
        <f>F5/1000</f>
        <v>2</v>
      </c>
      <c r="N5" s="280"/>
      <c r="O5" s="281">
        <f>N5</f>
        <v>0</v>
      </c>
      <c r="P5" s="165"/>
      <c r="Q5" s="218"/>
      <c r="AI5" s="67"/>
      <c r="AJ5" s="67"/>
      <c r="AK5" s="67"/>
      <c r="AL5" s="67"/>
      <c r="AM5" s="67"/>
      <c r="AN5" s="67"/>
    </row>
    <row r="6" spans="1:40" ht="25.9" customHeight="1" x14ac:dyDescent="0.2">
      <c r="A6" s="247"/>
      <c r="B6" s="216"/>
      <c r="C6" s="223"/>
      <c r="D6" s="254">
        <v>1</v>
      </c>
      <c r="E6" s="254">
        <v>1000</v>
      </c>
      <c r="F6" s="183">
        <f t="shared" si="0"/>
        <v>1000</v>
      </c>
      <c r="G6" s="187">
        <v>43501</v>
      </c>
      <c r="H6" s="184" t="s">
        <v>106</v>
      </c>
      <c r="I6" s="219" t="str">
        <f t="shared" ref="I6:I55" si="1">IF(G6&lt;&gt;"","FERME","PREVI")</f>
        <v>FERME</v>
      </c>
      <c r="J6" s="184" t="s">
        <v>136</v>
      </c>
      <c r="K6" s="183" t="s">
        <v>117</v>
      </c>
      <c r="L6" s="185">
        <v>43497</v>
      </c>
      <c r="M6" s="186">
        <f t="shared" ref="M6:M55" si="2">F6/1000</f>
        <v>1</v>
      </c>
      <c r="N6" s="186"/>
      <c r="O6" s="282">
        <f>O5+N6</f>
        <v>0</v>
      </c>
      <c r="P6" s="165"/>
      <c r="Q6" s="218"/>
      <c r="AI6" s="67"/>
      <c r="AJ6" s="67"/>
      <c r="AK6" s="67"/>
      <c r="AL6" s="67"/>
      <c r="AM6" s="67"/>
      <c r="AN6" s="67"/>
    </row>
    <row r="7" spans="1:40" ht="25.9" customHeight="1" x14ac:dyDescent="0.2">
      <c r="A7" s="247"/>
      <c r="B7" s="216"/>
      <c r="C7" s="223"/>
      <c r="D7" s="254">
        <v>4</v>
      </c>
      <c r="E7" s="254">
        <v>1200</v>
      </c>
      <c r="F7" s="183">
        <f t="shared" si="0"/>
        <v>4800</v>
      </c>
      <c r="G7" s="184"/>
      <c r="H7" s="184" t="s">
        <v>140</v>
      </c>
      <c r="I7" s="219" t="str">
        <f t="shared" si="1"/>
        <v>PREVI</v>
      </c>
      <c r="J7" s="184" t="s">
        <v>136</v>
      </c>
      <c r="K7" s="183" t="s">
        <v>117</v>
      </c>
      <c r="L7" s="185">
        <v>43497</v>
      </c>
      <c r="M7" s="186">
        <f t="shared" si="2"/>
        <v>4.8</v>
      </c>
      <c r="N7" s="186"/>
      <c r="O7" s="282">
        <f t="shared" ref="O7:O55" si="3">O6+N7</f>
        <v>0</v>
      </c>
      <c r="P7" s="165"/>
      <c r="Q7" s="218"/>
      <c r="AI7" s="67"/>
      <c r="AJ7" s="67"/>
      <c r="AK7" s="67"/>
      <c r="AL7" s="67"/>
      <c r="AM7" s="67"/>
      <c r="AN7" s="67"/>
    </row>
    <row r="8" spans="1:40" ht="25.15" customHeight="1" x14ac:dyDescent="0.2">
      <c r="A8" s="247"/>
      <c r="B8" s="223">
        <v>8</v>
      </c>
      <c r="C8" s="219" t="s">
        <v>125</v>
      </c>
      <c r="D8" s="254">
        <v>20</v>
      </c>
      <c r="E8" s="254">
        <v>1200</v>
      </c>
      <c r="F8" s="183">
        <f t="shared" si="0"/>
        <v>24000</v>
      </c>
      <c r="G8" s="184">
        <v>43511</v>
      </c>
      <c r="H8" s="184" t="s">
        <v>140</v>
      </c>
      <c r="I8" s="219" t="str">
        <f t="shared" si="1"/>
        <v>FERME</v>
      </c>
      <c r="J8" s="183" t="s">
        <v>136</v>
      </c>
      <c r="K8" s="183" t="s">
        <v>118</v>
      </c>
      <c r="L8" s="185">
        <v>43498</v>
      </c>
      <c r="M8" s="186">
        <f t="shared" si="2"/>
        <v>24</v>
      </c>
      <c r="N8" s="186"/>
      <c r="O8" s="282">
        <f t="shared" si="3"/>
        <v>0</v>
      </c>
      <c r="P8" s="165"/>
      <c r="Q8" s="190"/>
      <c r="AI8" s="67"/>
      <c r="AJ8" s="67"/>
      <c r="AK8" s="67"/>
      <c r="AL8" s="67"/>
      <c r="AM8" s="67"/>
      <c r="AN8" s="67"/>
    </row>
    <row r="9" spans="1:40" ht="25.15" customHeight="1" x14ac:dyDescent="0.2">
      <c r="A9" s="247"/>
      <c r="B9" s="223">
        <v>8</v>
      </c>
      <c r="C9" s="219" t="s">
        <v>126</v>
      </c>
      <c r="D9" s="254">
        <v>20</v>
      </c>
      <c r="E9" s="254">
        <v>1200</v>
      </c>
      <c r="F9" s="183">
        <f t="shared" si="0"/>
        <v>24000</v>
      </c>
      <c r="G9" s="184">
        <v>43518</v>
      </c>
      <c r="H9" s="184" t="s">
        <v>140</v>
      </c>
      <c r="I9" s="219" t="str">
        <f t="shared" si="1"/>
        <v>FERME</v>
      </c>
      <c r="J9" s="183" t="s">
        <v>136</v>
      </c>
      <c r="K9" s="183" t="s">
        <v>118</v>
      </c>
      <c r="L9" s="185">
        <v>43499</v>
      </c>
      <c r="M9" s="186">
        <f t="shared" si="2"/>
        <v>24</v>
      </c>
      <c r="N9" s="186"/>
      <c r="O9" s="282">
        <f t="shared" si="3"/>
        <v>0</v>
      </c>
      <c r="P9" s="165"/>
      <c r="Q9" s="190"/>
      <c r="AI9" s="67"/>
      <c r="AJ9" s="67"/>
      <c r="AK9" s="67"/>
      <c r="AL9" s="67"/>
      <c r="AM9" s="67"/>
      <c r="AN9" s="67"/>
    </row>
    <row r="10" spans="1:40" ht="25.15" customHeight="1" x14ac:dyDescent="0.2">
      <c r="A10" s="247"/>
      <c r="B10" s="259"/>
      <c r="C10" s="224" t="s">
        <v>139</v>
      </c>
      <c r="D10" s="254">
        <v>1</v>
      </c>
      <c r="E10" s="254">
        <v>300</v>
      </c>
      <c r="F10" s="183">
        <f t="shared" si="0"/>
        <v>300</v>
      </c>
      <c r="G10" s="184">
        <v>43501</v>
      </c>
      <c r="H10" s="184" t="s">
        <v>106</v>
      </c>
      <c r="I10" s="219" t="str">
        <f t="shared" si="1"/>
        <v>FERME</v>
      </c>
      <c r="J10" s="183" t="s">
        <v>136</v>
      </c>
      <c r="K10" s="183" t="s">
        <v>118</v>
      </c>
      <c r="L10" s="185">
        <v>43500</v>
      </c>
      <c r="M10" s="186">
        <f t="shared" si="2"/>
        <v>0.3</v>
      </c>
      <c r="N10" s="186"/>
      <c r="O10" s="282">
        <f t="shared" si="3"/>
        <v>0</v>
      </c>
      <c r="P10" s="165"/>
      <c r="Q10" s="190"/>
      <c r="AI10" s="67"/>
      <c r="AJ10" s="67"/>
      <c r="AK10" s="67"/>
      <c r="AL10" s="67"/>
      <c r="AM10" s="67"/>
      <c r="AN10" s="67"/>
    </row>
    <row r="11" spans="1:40" ht="25.15" customHeight="1" x14ac:dyDescent="0.2">
      <c r="A11" s="247"/>
      <c r="B11" s="224"/>
      <c r="C11" s="219"/>
      <c r="D11" s="254">
        <v>2</v>
      </c>
      <c r="E11" s="254">
        <v>1000</v>
      </c>
      <c r="F11" s="183">
        <f t="shared" si="0"/>
        <v>2000</v>
      </c>
      <c r="G11" s="184">
        <v>43503</v>
      </c>
      <c r="H11" s="184" t="s">
        <v>106</v>
      </c>
      <c r="I11" s="219" t="str">
        <f t="shared" si="1"/>
        <v>FERME</v>
      </c>
      <c r="J11" s="183" t="s">
        <v>136</v>
      </c>
      <c r="K11" s="183" t="s">
        <v>108</v>
      </c>
      <c r="L11" s="185">
        <v>43501</v>
      </c>
      <c r="M11" s="186">
        <f t="shared" si="2"/>
        <v>2</v>
      </c>
      <c r="N11" s="186"/>
      <c r="O11" s="282">
        <f t="shared" si="3"/>
        <v>0</v>
      </c>
      <c r="P11" s="165"/>
      <c r="Q11" s="190"/>
      <c r="AI11" s="67"/>
      <c r="AJ11" s="67"/>
      <c r="AK11" s="67"/>
      <c r="AL11" s="67"/>
      <c r="AM11" s="67"/>
      <c r="AN11" s="67"/>
    </row>
    <row r="12" spans="1:40" ht="25.15" customHeight="1" x14ac:dyDescent="0.2">
      <c r="A12" s="247"/>
      <c r="B12" s="216">
        <v>9</v>
      </c>
      <c r="C12" s="223"/>
      <c r="D12" s="254">
        <v>20</v>
      </c>
      <c r="E12" s="254">
        <v>1200</v>
      </c>
      <c r="F12" s="183">
        <f t="shared" si="0"/>
        <v>24000</v>
      </c>
      <c r="G12" s="184">
        <v>43503</v>
      </c>
      <c r="H12" s="184" t="s">
        <v>106</v>
      </c>
      <c r="I12" s="219" t="str">
        <f t="shared" si="1"/>
        <v>FERME</v>
      </c>
      <c r="J12" s="184" t="s">
        <v>136</v>
      </c>
      <c r="K12" s="183" t="s">
        <v>115</v>
      </c>
      <c r="L12" s="185">
        <v>43501</v>
      </c>
      <c r="M12" s="186">
        <f t="shared" si="2"/>
        <v>24</v>
      </c>
      <c r="N12" s="186"/>
      <c r="O12" s="282">
        <f t="shared" si="3"/>
        <v>0</v>
      </c>
      <c r="P12" s="165"/>
      <c r="Q12" s="190"/>
      <c r="AI12" s="67"/>
      <c r="AJ12" s="67"/>
      <c r="AK12" s="67"/>
      <c r="AL12" s="67"/>
      <c r="AM12" s="67"/>
      <c r="AN12" s="67"/>
    </row>
    <row r="13" spans="1:40" ht="25.15" customHeight="1" x14ac:dyDescent="0.2">
      <c r="A13" s="247"/>
      <c r="B13" s="216">
        <v>10</v>
      </c>
      <c r="C13" s="223" t="s">
        <v>128</v>
      </c>
      <c r="D13" s="254">
        <v>20</v>
      </c>
      <c r="E13" s="254">
        <v>1200</v>
      </c>
      <c r="F13" s="183">
        <f t="shared" si="0"/>
        <v>24000</v>
      </c>
      <c r="G13" s="184">
        <v>43146</v>
      </c>
      <c r="H13" s="184" t="s">
        <v>140</v>
      </c>
      <c r="I13" s="219" t="str">
        <f t="shared" si="1"/>
        <v>FERME</v>
      </c>
      <c r="J13" s="184" t="s">
        <v>136</v>
      </c>
      <c r="K13" s="183" t="s">
        <v>115</v>
      </c>
      <c r="L13" s="185">
        <v>43501</v>
      </c>
      <c r="M13" s="186">
        <f t="shared" si="2"/>
        <v>24</v>
      </c>
      <c r="N13" s="186"/>
      <c r="O13" s="282">
        <f t="shared" si="3"/>
        <v>0</v>
      </c>
      <c r="P13" s="165"/>
      <c r="Q13" s="190"/>
      <c r="AI13" s="67"/>
      <c r="AJ13" s="67"/>
      <c r="AK13" s="67"/>
      <c r="AL13" s="67"/>
      <c r="AM13" s="67"/>
      <c r="AN13" s="67"/>
    </row>
    <row r="14" spans="1:40" ht="25.15" customHeight="1" x14ac:dyDescent="0.2">
      <c r="A14" s="247"/>
      <c r="B14" s="216">
        <v>10</v>
      </c>
      <c r="C14" s="223" t="s">
        <v>127</v>
      </c>
      <c r="D14" s="254">
        <v>20</v>
      </c>
      <c r="E14" s="254">
        <v>1200</v>
      </c>
      <c r="F14" s="183">
        <f t="shared" si="0"/>
        <v>24000</v>
      </c>
      <c r="G14" s="184">
        <v>43164</v>
      </c>
      <c r="H14" s="184" t="s">
        <v>140</v>
      </c>
      <c r="I14" s="219" t="str">
        <f t="shared" si="1"/>
        <v>FERME</v>
      </c>
      <c r="J14" s="184" t="s">
        <v>113</v>
      </c>
      <c r="K14" s="183" t="s">
        <v>115</v>
      </c>
      <c r="L14" s="185">
        <v>43501</v>
      </c>
      <c r="M14" s="186">
        <f t="shared" si="2"/>
        <v>24</v>
      </c>
      <c r="N14" s="186"/>
      <c r="O14" s="282">
        <f t="shared" si="3"/>
        <v>0</v>
      </c>
      <c r="P14" s="165"/>
      <c r="Q14" s="190"/>
      <c r="AI14" s="67"/>
      <c r="AJ14" s="67"/>
      <c r="AK14" s="67"/>
      <c r="AL14" s="67"/>
      <c r="AM14" s="67"/>
      <c r="AN14" s="67"/>
    </row>
    <row r="15" spans="1:40" ht="25.15" customHeight="1" x14ac:dyDescent="0.2">
      <c r="A15" s="247"/>
      <c r="B15" s="216"/>
      <c r="C15" s="223"/>
      <c r="D15" s="254">
        <v>22</v>
      </c>
      <c r="E15" s="254">
        <v>1100</v>
      </c>
      <c r="F15" s="183">
        <f t="shared" si="0"/>
        <v>24200</v>
      </c>
      <c r="G15" s="184">
        <v>43508</v>
      </c>
      <c r="H15" s="184" t="s">
        <v>140</v>
      </c>
      <c r="I15" s="219" t="str">
        <f t="shared" si="1"/>
        <v>FERME</v>
      </c>
      <c r="J15" s="184" t="s">
        <v>136</v>
      </c>
      <c r="K15" s="183" t="s">
        <v>114</v>
      </c>
      <c r="L15" s="185">
        <v>43501</v>
      </c>
      <c r="M15" s="186">
        <f t="shared" si="2"/>
        <v>24.2</v>
      </c>
      <c r="N15" s="186"/>
      <c r="O15" s="282">
        <f t="shared" si="3"/>
        <v>0</v>
      </c>
      <c r="P15" s="165"/>
      <c r="Q15" s="190"/>
      <c r="AI15" s="67"/>
      <c r="AJ15" s="67"/>
      <c r="AK15" s="67"/>
      <c r="AL15" s="67"/>
      <c r="AM15" s="67"/>
      <c r="AN15" s="67"/>
    </row>
    <row r="16" spans="1:40" ht="25.15" customHeight="1" x14ac:dyDescent="0.2">
      <c r="A16" s="247"/>
      <c r="B16" s="216"/>
      <c r="C16" s="223"/>
      <c r="D16" s="254">
        <v>20</v>
      </c>
      <c r="E16" s="254">
        <v>1200</v>
      </c>
      <c r="F16" s="183">
        <f t="shared" si="0"/>
        <v>24000</v>
      </c>
      <c r="G16" s="184">
        <v>43146</v>
      </c>
      <c r="H16" s="184" t="s">
        <v>140</v>
      </c>
      <c r="I16" s="219" t="str">
        <f t="shared" si="1"/>
        <v>FERME</v>
      </c>
      <c r="J16" s="184" t="s">
        <v>136</v>
      </c>
      <c r="K16" s="183" t="s">
        <v>114</v>
      </c>
      <c r="L16" s="185">
        <v>43501</v>
      </c>
      <c r="M16" s="186">
        <f t="shared" si="2"/>
        <v>24</v>
      </c>
      <c r="N16" s="186"/>
      <c r="O16" s="282">
        <f t="shared" si="3"/>
        <v>0</v>
      </c>
      <c r="P16" s="165"/>
      <c r="Q16" s="218" t="s">
        <v>137</v>
      </c>
      <c r="AI16" s="67"/>
      <c r="AJ16" s="67"/>
      <c r="AK16" s="67"/>
      <c r="AL16" s="67"/>
      <c r="AM16" s="67"/>
      <c r="AN16" s="67"/>
    </row>
    <row r="17" spans="1:40" ht="25.15" customHeight="1" x14ac:dyDescent="0.2">
      <c r="A17" s="247"/>
      <c r="B17" s="216"/>
      <c r="C17" s="183" t="s">
        <v>151</v>
      </c>
      <c r="D17" s="254">
        <v>20</v>
      </c>
      <c r="E17" s="254">
        <v>1200</v>
      </c>
      <c r="F17" s="183">
        <f t="shared" ref="F17:F36" si="4">E17*D17</f>
        <v>24000</v>
      </c>
      <c r="G17" s="184"/>
      <c r="H17" s="184" t="s">
        <v>140</v>
      </c>
      <c r="I17" s="219" t="str">
        <f t="shared" si="1"/>
        <v>PREVI</v>
      </c>
      <c r="J17" s="184" t="s">
        <v>136</v>
      </c>
      <c r="K17" s="183" t="s">
        <v>108</v>
      </c>
      <c r="L17" s="185">
        <v>43501</v>
      </c>
      <c r="M17" s="186">
        <f t="shared" si="2"/>
        <v>24</v>
      </c>
      <c r="N17" s="186"/>
      <c r="O17" s="282">
        <f t="shared" si="3"/>
        <v>0</v>
      </c>
      <c r="P17" s="164"/>
      <c r="Q17" s="190"/>
      <c r="AI17" s="67"/>
      <c r="AJ17" s="67"/>
      <c r="AK17" s="67"/>
      <c r="AL17" s="67"/>
      <c r="AM17" s="67"/>
      <c r="AN17" s="67"/>
    </row>
    <row r="18" spans="1:40" ht="25.15" customHeight="1" x14ac:dyDescent="0.2">
      <c r="A18" s="247"/>
      <c r="B18" s="216">
        <v>11</v>
      </c>
      <c r="C18" s="223">
        <v>5</v>
      </c>
      <c r="D18" s="254">
        <v>24</v>
      </c>
      <c r="E18" s="254">
        <v>1200</v>
      </c>
      <c r="F18" s="183">
        <f t="shared" si="4"/>
        <v>28800</v>
      </c>
      <c r="G18" s="184">
        <v>43522</v>
      </c>
      <c r="H18" s="184" t="s">
        <v>140</v>
      </c>
      <c r="I18" s="219" t="str">
        <f t="shared" ref="I18:I22" si="5">IF(G18&lt;&gt;"","FERME","PREVI")</f>
        <v>FERME</v>
      </c>
      <c r="J18" s="184" t="s">
        <v>136</v>
      </c>
      <c r="K18" s="183" t="s">
        <v>118</v>
      </c>
      <c r="L18" s="185">
        <v>43502</v>
      </c>
      <c r="M18" s="186">
        <f t="shared" ref="M18:M22" si="6">F18/1000</f>
        <v>28.8</v>
      </c>
      <c r="N18" s="186"/>
      <c r="O18" s="282">
        <f t="shared" si="3"/>
        <v>0</v>
      </c>
      <c r="P18" s="165"/>
      <c r="Q18" s="190"/>
      <c r="AI18" s="67"/>
      <c r="AJ18" s="67"/>
      <c r="AK18" s="67"/>
      <c r="AL18" s="67"/>
      <c r="AM18" s="67"/>
      <c r="AN18" s="67"/>
    </row>
    <row r="19" spans="1:40" ht="25.15" customHeight="1" x14ac:dyDescent="0.2">
      <c r="A19" s="247"/>
      <c r="B19" s="216">
        <v>11</v>
      </c>
      <c r="C19" s="223">
        <v>6</v>
      </c>
      <c r="D19" s="254">
        <v>24</v>
      </c>
      <c r="E19" s="254">
        <v>1200</v>
      </c>
      <c r="F19" s="183">
        <f t="shared" si="4"/>
        <v>28800</v>
      </c>
      <c r="G19" s="184">
        <v>43523</v>
      </c>
      <c r="H19" s="184" t="s">
        <v>140</v>
      </c>
      <c r="I19" s="219" t="str">
        <f t="shared" si="5"/>
        <v>FERME</v>
      </c>
      <c r="J19" s="184" t="s">
        <v>136</v>
      </c>
      <c r="K19" s="183" t="s">
        <v>118</v>
      </c>
      <c r="L19" s="185">
        <v>43503</v>
      </c>
      <c r="M19" s="186">
        <f t="shared" si="6"/>
        <v>28.8</v>
      </c>
      <c r="N19" s="186"/>
      <c r="O19" s="282">
        <f t="shared" si="3"/>
        <v>0</v>
      </c>
      <c r="P19" s="165"/>
      <c r="Q19" s="190"/>
      <c r="AI19" s="67"/>
      <c r="AJ19" s="67"/>
      <c r="AK19" s="67"/>
      <c r="AL19" s="67"/>
      <c r="AM19" s="67"/>
      <c r="AN19" s="67"/>
    </row>
    <row r="20" spans="1:40" ht="25.15" customHeight="1" x14ac:dyDescent="0.2">
      <c r="A20" s="247"/>
      <c r="B20" s="227">
        <v>11</v>
      </c>
      <c r="C20" s="201">
        <v>7</v>
      </c>
      <c r="D20" s="254">
        <v>24</v>
      </c>
      <c r="E20" s="254">
        <v>1200</v>
      </c>
      <c r="F20" s="183">
        <f t="shared" si="4"/>
        <v>28800</v>
      </c>
      <c r="G20" s="231">
        <v>43524</v>
      </c>
      <c r="H20" s="231"/>
      <c r="I20" s="219" t="str">
        <f t="shared" si="5"/>
        <v>FERME</v>
      </c>
      <c r="J20" s="184" t="s">
        <v>136</v>
      </c>
      <c r="K20" s="183" t="s">
        <v>118</v>
      </c>
      <c r="L20" s="162">
        <v>43504</v>
      </c>
      <c r="M20" s="186">
        <f t="shared" si="6"/>
        <v>28.8</v>
      </c>
      <c r="N20" s="167">
        <f t="shared" ref="N20:N22" si="7">M20</f>
        <v>28.8</v>
      </c>
      <c r="O20" s="282">
        <f t="shared" si="3"/>
        <v>28.8</v>
      </c>
      <c r="P20" s="165"/>
      <c r="Q20" s="190"/>
      <c r="AI20" s="67"/>
      <c r="AJ20" s="67"/>
      <c r="AK20" s="67"/>
      <c r="AL20" s="67"/>
      <c r="AM20" s="67"/>
      <c r="AN20" s="67"/>
    </row>
    <row r="21" spans="1:40" ht="25.15" customHeight="1" x14ac:dyDescent="0.2">
      <c r="A21" s="414"/>
      <c r="B21" s="227">
        <v>11</v>
      </c>
      <c r="C21" s="201">
        <v>8</v>
      </c>
      <c r="D21" s="254">
        <v>1</v>
      </c>
      <c r="E21" s="324">
        <v>1000</v>
      </c>
      <c r="F21" s="183">
        <f t="shared" si="4"/>
        <v>1000</v>
      </c>
      <c r="G21" s="231">
        <v>43508</v>
      </c>
      <c r="H21" s="240"/>
      <c r="I21" s="219" t="str">
        <f t="shared" si="5"/>
        <v>FERME</v>
      </c>
      <c r="J21" s="184" t="s">
        <v>136</v>
      </c>
      <c r="K21" s="183" t="s">
        <v>118</v>
      </c>
      <c r="L21" s="162">
        <v>43504</v>
      </c>
      <c r="M21" s="186">
        <f t="shared" si="6"/>
        <v>1</v>
      </c>
      <c r="N21" s="167">
        <f t="shared" si="7"/>
        <v>1</v>
      </c>
      <c r="O21" s="282">
        <f t="shared" si="3"/>
        <v>29.8</v>
      </c>
      <c r="P21" s="165"/>
      <c r="Q21" s="190"/>
      <c r="AI21" s="67"/>
      <c r="AJ21" s="67"/>
      <c r="AK21" s="67"/>
      <c r="AL21" s="67"/>
      <c r="AM21" s="67"/>
      <c r="AN21" s="67"/>
    </row>
    <row r="22" spans="1:40" ht="25.15" customHeight="1" x14ac:dyDescent="0.2">
      <c r="A22" s="414"/>
      <c r="B22" s="202">
        <v>12</v>
      </c>
      <c r="C22" s="203"/>
      <c r="D22" s="254">
        <v>20</v>
      </c>
      <c r="E22" s="254">
        <v>1200</v>
      </c>
      <c r="F22" s="183">
        <f t="shared" ref="F22" si="8">E22*D22</f>
        <v>24000</v>
      </c>
      <c r="G22" s="220">
        <v>43510</v>
      </c>
      <c r="H22" s="220"/>
      <c r="I22" s="219" t="str">
        <f t="shared" si="5"/>
        <v>FERME</v>
      </c>
      <c r="J22" s="220" t="s">
        <v>136</v>
      </c>
      <c r="K22" s="183" t="s">
        <v>115</v>
      </c>
      <c r="L22" s="162">
        <v>43513</v>
      </c>
      <c r="M22" s="186">
        <f t="shared" si="6"/>
        <v>24</v>
      </c>
      <c r="N22" s="167">
        <f t="shared" si="7"/>
        <v>24</v>
      </c>
      <c r="O22" s="282">
        <f t="shared" si="3"/>
        <v>53.8</v>
      </c>
      <c r="P22" s="165"/>
      <c r="Q22" s="218" t="s">
        <v>137</v>
      </c>
      <c r="AI22" s="67"/>
      <c r="AJ22" s="67"/>
      <c r="AK22" s="67"/>
      <c r="AL22" s="67"/>
      <c r="AM22" s="67"/>
      <c r="AN22" s="67"/>
    </row>
    <row r="23" spans="1:40" ht="25.15" customHeight="1" x14ac:dyDescent="0.2">
      <c r="A23" s="414"/>
      <c r="B23" s="222"/>
      <c r="C23" s="215" t="s">
        <v>107</v>
      </c>
      <c r="D23" s="254">
        <v>20</v>
      </c>
      <c r="E23" s="254">
        <v>1200</v>
      </c>
      <c r="F23" s="183">
        <f t="shared" si="4"/>
        <v>24000</v>
      </c>
      <c r="G23" s="229">
        <v>43507</v>
      </c>
      <c r="H23" s="217"/>
      <c r="I23" s="219" t="str">
        <f t="shared" si="1"/>
        <v>FERME</v>
      </c>
      <c r="J23" s="229" t="s">
        <v>136</v>
      </c>
      <c r="K23" s="183" t="s">
        <v>108</v>
      </c>
      <c r="L23" s="162">
        <v>43504</v>
      </c>
      <c r="M23" s="186">
        <f t="shared" si="2"/>
        <v>24</v>
      </c>
      <c r="N23" s="167">
        <f t="shared" ref="N23:N36" si="9">M23</f>
        <v>24</v>
      </c>
      <c r="O23" s="282">
        <f t="shared" si="3"/>
        <v>77.8</v>
      </c>
      <c r="P23" s="165"/>
      <c r="Q23" s="190"/>
      <c r="AI23" s="67"/>
      <c r="AJ23" s="67"/>
      <c r="AK23" s="67"/>
      <c r="AL23" s="67"/>
      <c r="AM23" s="67"/>
      <c r="AN23" s="67"/>
    </row>
    <row r="24" spans="1:40" ht="25.15" customHeight="1" x14ac:dyDescent="0.2">
      <c r="A24" s="329" t="s">
        <v>153</v>
      </c>
      <c r="B24" s="268">
        <v>13</v>
      </c>
      <c r="C24" s="268" t="s">
        <v>129</v>
      </c>
      <c r="D24" s="254">
        <v>24</v>
      </c>
      <c r="E24" s="254">
        <v>1200</v>
      </c>
      <c r="F24" s="183">
        <f t="shared" si="4"/>
        <v>28800</v>
      </c>
      <c r="G24" s="260">
        <v>43524</v>
      </c>
      <c r="H24" s="238"/>
      <c r="I24" s="219" t="str">
        <f t="shared" ref="I24:I34" si="10">IF(G24&lt;&gt;"","FERME","PREVI")</f>
        <v>FERME</v>
      </c>
      <c r="J24" s="239" t="s">
        <v>136</v>
      </c>
      <c r="K24" s="183" t="s">
        <v>118</v>
      </c>
      <c r="L24" s="162">
        <v>43506</v>
      </c>
      <c r="M24" s="186">
        <f t="shared" ref="M24:M34" si="11">F24/1000</f>
        <v>28.8</v>
      </c>
      <c r="N24" s="167">
        <f t="shared" si="9"/>
        <v>28.8</v>
      </c>
      <c r="O24" s="282">
        <f t="shared" si="3"/>
        <v>106.6</v>
      </c>
      <c r="P24" s="165"/>
      <c r="Q24" s="190"/>
      <c r="AI24" s="67"/>
      <c r="AJ24" s="67"/>
      <c r="AK24" s="67"/>
      <c r="AL24" s="67"/>
      <c r="AM24" s="67"/>
      <c r="AN24" s="67"/>
    </row>
    <row r="25" spans="1:40" ht="25.15" customHeight="1" x14ac:dyDescent="0.2">
      <c r="A25" s="414"/>
      <c r="B25" s="268">
        <v>13</v>
      </c>
      <c r="C25" s="268" t="s">
        <v>130</v>
      </c>
      <c r="D25" s="254">
        <v>24</v>
      </c>
      <c r="E25" s="254">
        <v>1200</v>
      </c>
      <c r="F25" s="183">
        <f t="shared" si="4"/>
        <v>28800</v>
      </c>
      <c r="G25" s="260">
        <v>43528</v>
      </c>
      <c r="H25" s="238"/>
      <c r="I25" s="219" t="str">
        <f t="shared" si="10"/>
        <v>FERME</v>
      </c>
      <c r="J25" s="239" t="s">
        <v>113</v>
      </c>
      <c r="K25" s="183" t="s">
        <v>118</v>
      </c>
      <c r="L25" s="162">
        <v>43506</v>
      </c>
      <c r="M25" s="186">
        <f t="shared" si="11"/>
        <v>28.8</v>
      </c>
      <c r="N25" s="167">
        <f t="shared" si="9"/>
        <v>28.8</v>
      </c>
      <c r="O25" s="282">
        <f t="shared" si="3"/>
        <v>135.4</v>
      </c>
      <c r="P25" s="165"/>
      <c r="Q25" s="190"/>
      <c r="AI25" s="67"/>
      <c r="AJ25" s="67"/>
      <c r="AK25" s="67"/>
      <c r="AL25" s="67"/>
      <c r="AM25" s="67"/>
      <c r="AN25" s="67"/>
    </row>
    <row r="26" spans="1:40" ht="25.15" customHeight="1" x14ac:dyDescent="0.2">
      <c r="A26" s="414"/>
      <c r="B26" s="268">
        <v>13</v>
      </c>
      <c r="C26" s="268" t="s">
        <v>131</v>
      </c>
      <c r="D26" s="254">
        <v>24</v>
      </c>
      <c r="E26" s="254">
        <v>1200</v>
      </c>
      <c r="F26" s="183">
        <f t="shared" si="4"/>
        <v>28800</v>
      </c>
      <c r="G26" s="260">
        <v>43530</v>
      </c>
      <c r="H26" s="238"/>
      <c r="I26" s="219" t="str">
        <f t="shared" si="10"/>
        <v>FERME</v>
      </c>
      <c r="J26" s="239" t="s">
        <v>113</v>
      </c>
      <c r="K26" s="183" t="s">
        <v>118</v>
      </c>
      <c r="L26" s="162">
        <v>43507</v>
      </c>
      <c r="M26" s="186">
        <f t="shared" si="11"/>
        <v>28.8</v>
      </c>
      <c r="N26" s="167">
        <f t="shared" si="9"/>
        <v>28.8</v>
      </c>
      <c r="O26" s="282">
        <f t="shared" si="3"/>
        <v>164.20000000000002</v>
      </c>
      <c r="P26" s="165"/>
      <c r="Q26" s="190"/>
      <c r="AI26" s="67"/>
      <c r="AJ26" s="67"/>
      <c r="AK26" s="67"/>
      <c r="AL26" s="67"/>
      <c r="AM26" s="67"/>
      <c r="AN26" s="67"/>
    </row>
    <row r="27" spans="1:40" ht="25.15" customHeight="1" x14ac:dyDescent="0.2">
      <c r="A27" s="414"/>
      <c r="B27" s="268">
        <v>13</v>
      </c>
      <c r="C27" s="268" t="s">
        <v>132</v>
      </c>
      <c r="D27" s="254">
        <v>24</v>
      </c>
      <c r="E27" s="254">
        <v>1200</v>
      </c>
      <c r="F27" s="183">
        <f t="shared" si="4"/>
        <v>28800</v>
      </c>
      <c r="G27" s="260">
        <v>43531</v>
      </c>
      <c r="H27" s="238"/>
      <c r="I27" s="219" t="str">
        <f t="shared" si="10"/>
        <v>FERME</v>
      </c>
      <c r="J27" s="239" t="s">
        <v>113</v>
      </c>
      <c r="K27" s="183" t="s">
        <v>118</v>
      </c>
      <c r="L27" s="162">
        <v>43508</v>
      </c>
      <c r="M27" s="186">
        <f t="shared" si="11"/>
        <v>28.8</v>
      </c>
      <c r="N27" s="167">
        <f t="shared" si="9"/>
        <v>28.8</v>
      </c>
      <c r="O27" s="282">
        <f t="shared" si="3"/>
        <v>193.00000000000003</v>
      </c>
      <c r="P27" s="165"/>
      <c r="Q27" s="190"/>
      <c r="AI27" s="67"/>
      <c r="AJ27" s="67"/>
      <c r="AK27" s="67"/>
      <c r="AL27" s="67"/>
      <c r="AM27" s="67"/>
      <c r="AN27" s="67"/>
    </row>
    <row r="28" spans="1:40" ht="25.15" customHeight="1" x14ac:dyDescent="0.2">
      <c r="A28" s="330" t="s">
        <v>154</v>
      </c>
      <c r="B28" s="267">
        <v>13</v>
      </c>
      <c r="C28" s="188" t="s">
        <v>133</v>
      </c>
      <c r="D28" s="254">
        <v>20</v>
      </c>
      <c r="E28" s="254">
        <v>1200</v>
      </c>
      <c r="F28" s="183">
        <f t="shared" si="4"/>
        <v>24000</v>
      </c>
      <c r="G28" s="221">
        <v>43525</v>
      </c>
      <c r="H28" s="228"/>
      <c r="I28" s="219" t="str">
        <f t="shared" si="10"/>
        <v>FERME</v>
      </c>
      <c r="J28" s="241" t="s">
        <v>113</v>
      </c>
      <c r="K28" s="183" t="s">
        <v>118</v>
      </c>
      <c r="L28" s="162">
        <v>43509</v>
      </c>
      <c r="M28" s="186">
        <f t="shared" si="11"/>
        <v>24</v>
      </c>
      <c r="N28" s="167">
        <f t="shared" si="9"/>
        <v>24</v>
      </c>
      <c r="O28" s="282">
        <f t="shared" si="3"/>
        <v>217.00000000000003</v>
      </c>
      <c r="P28" s="165"/>
      <c r="Q28" s="190"/>
      <c r="AI28" s="67"/>
      <c r="AJ28" s="67"/>
      <c r="AK28" s="67"/>
      <c r="AL28" s="67"/>
      <c r="AM28" s="67"/>
      <c r="AN28" s="67"/>
    </row>
    <row r="29" spans="1:40" ht="25.15" customHeight="1" x14ac:dyDescent="0.2">
      <c r="A29" s="414"/>
      <c r="B29" s="267">
        <v>13</v>
      </c>
      <c r="C29" s="188" t="s">
        <v>134</v>
      </c>
      <c r="D29" s="254">
        <v>20</v>
      </c>
      <c r="E29" s="254">
        <v>1200</v>
      </c>
      <c r="F29" s="183">
        <f t="shared" si="4"/>
        <v>24000</v>
      </c>
      <c r="G29" s="221">
        <v>43529</v>
      </c>
      <c r="H29" s="228"/>
      <c r="I29" s="219" t="str">
        <f t="shared" si="10"/>
        <v>FERME</v>
      </c>
      <c r="J29" s="241" t="s">
        <v>113</v>
      </c>
      <c r="K29" s="183" t="s">
        <v>118</v>
      </c>
      <c r="L29" s="162">
        <v>43510</v>
      </c>
      <c r="M29" s="186">
        <f t="shared" si="11"/>
        <v>24</v>
      </c>
      <c r="N29" s="167">
        <f t="shared" si="9"/>
        <v>24</v>
      </c>
      <c r="O29" s="282">
        <f t="shared" si="3"/>
        <v>241.00000000000003</v>
      </c>
      <c r="P29" s="165"/>
      <c r="Q29" s="190"/>
      <c r="AI29" s="67"/>
      <c r="AJ29" s="67"/>
      <c r="AK29" s="67"/>
      <c r="AL29" s="67"/>
      <c r="AM29" s="67"/>
      <c r="AN29" s="67"/>
    </row>
    <row r="30" spans="1:40" ht="25.15" customHeight="1" x14ac:dyDescent="0.2">
      <c r="A30" s="414"/>
      <c r="B30" s="267">
        <v>13</v>
      </c>
      <c r="C30" s="188" t="s">
        <v>144</v>
      </c>
      <c r="D30" s="254">
        <v>20</v>
      </c>
      <c r="E30" s="254">
        <v>1200</v>
      </c>
      <c r="F30" s="183">
        <f t="shared" si="4"/>
        <v>24000</v>
      </c>
      <c r="G30" s="221">
        <v>43532</v>
      </c>
      <c r="H30" s="228"/>
      <c r="I30" s="219" t="str">
        <f t="shared" si="10"/>
        <v>FERME</v>
      </c>
      <c r="J30" s="241" t="s">
        <v>113</v>
      </c>
      <c r="K30" s="183" t="s">
        <v>118</v>
      </c>
      <c r="L30" s="162">
        <v>43511</v>
      </c>
      <c r="M30" s="186">
        <f t="shared" si="11"/>
        <v>24</v>
      </c>
      <c r="N30" s="167">
        <f t="shared" si="9"/>
        <v>24</v>
      </c>
      <c r="O30" s="282">
        <f t="shared" si="3"/>
        <v>265</v>
      </c>
      <c r="P30" s="165"/>
      <c r="Q30" s="190"/>
      <c r="AI30" s="67"/>
      <c r="AJ30" s="67"/>
      <c r="AK30" s="67"/>
      <c r="AL30" s="67"/>
      <c r="AM30" s="67"/>
      <c r="AN30" s="67"/>
    </row>
    <row r="31" spans="1:40" ht="25.15" customHeight="1" x14ac:dyDescent="0.2">
      <c r="A31" s="414"/>
      <c r="B31" s="268">
        <v>13</v>
      </c>
      <c r="C31" s="237" t="s">
        <v>147</v>
      </c>
      <c r="D31" s="254">
        <v>1</v>
      </c>
      <c r="E31" s="254">
        <v>300</v>
      </c>
      <c r="F31" s="183">
        <f t="shared" si="4"/>
        <v>300</v>
      </c>
      <c r="G31" s="221">
        <v>43518</v>
      </c>
      <c r="H31" s="228"/>
      <c r="I31" s="219" t="str">
        <f t="shared" si="10"/>
        <v>FERME</v>
      </c>
      <c r="J31" s="241" t="s">
        <v>136</v>
      </c>
      <c r="K31" s="183" t="s">
        <v>118</v>
      </c>
      <c r="L31" s="162">
        <v>43511</v>
      </c>
      <c r="M31" s="186">
        <f t="shared" si="11"/>
        <v>0.3</v>
      </c>
      <c r="N31" s="167">
        <f t="shared" si="9"/>
        <v>0.3</v>
      </c>
      <c r="O31" s="282">
        <f t="shared" si="3"/>
        <v>265.3</v>
      </c>
      <c r="P31" s="165"/>
      <c r="Q31" s="190"/>
      <c r="AI31" s="67"/>
      <c r="AJ31" s="67"/>
      <c r="AK31" s="67"/>
      <c r="AL31" s="67"/>
      <c r="AM31" s="67"/>
      <c r="AN31" s="67"/>
    </row>
    <row r="32" spans="1:40" ht="25.15" customHeight="1" x14ac:dyDescent="0.2">
      <c r="A32" s="414"/>
      <c r="B32" s="199"/>
      <c r="C32" s="200"/>
      <c r="D32" s="254">
        <v>20</v>
      </c>
      <c r="E32" s="254">
        <v>1200</v>
      </c>
      <c r="F32" s="183">
        <f t="shared" si="4"/>
        <v>24000</v>
      </c>
      <c r="G32" s="232">
        <v>43516</v>
      </c>
      <c r="H32" s="232"/>
      <c r="I32" s="219" t="str">
        <f t="shared" si="10"/>
        <v>FERME</v>
      </c>
      <c r="J32" s="232" t="s">
        <v>136</v>
      </c>
      <c r="K32" s="183" t="s">
        <v>114</v>
      </c>
      <c r="L32" s="162">
        <v>43512</v>
      </c>
      <c r="M32" s="186">
        <f t="shared" si="11"/>
        <v>24</v>
      </c>
      <c r="N32" s="167">
        <f t="shared" ref="N32:N34" si="12">M32</f>
        <v>24</v>
      </c>
      <c r="O32" s="282">
        <f t="shared" si="3"/>
        <v>289.3</v>
      </c>
      <c r="P32" s="165"/>
      <c r="Q32" s="190"/>
      <c r="AI32" s="67"/>
      <c r="AJ32" s="67"/>
      <c r="AK32" s="67"/>
      <c r="AL32" s="67"/>
      <c r="AM32" s="67"/>
      <c r="AN32" s="67"/>
    </row>
    <row r="33" spans="1:40" ht="25.15" customHeight="1" x14ac:dyDescent="0.2">
      <c r="A33" s="414"/>
      <c r="B33" s="197"/>
      <c r="C33" s="198"/>
      <c r="D33" s="254">
        <v>22</v>
      </c>
      <c r="E33" s="254">
        <v>1100</v>
      </c>
      <c r="F33" s="183">
        <f t="shared" si="4"/>
        <v>24200</v>
      </c>
      <c r="G33" s="230">
        <v>43150</v>
      </c>
      <c r="H33" s="230"/>
      <c r="I33" s="219" t="str">
        <f t="shared" si="10"/>
        <v>FERME</v>
      </c>
      <c r="J33" s="230" t="s">
        <v>136</v>
      </c>
      <c r="K33" s="183" t="s">
        <v>114</v>
      </c>
      <c r="L33" s="162">
        <v>43513</v>
      </c>
      <c r="M33" s="186">
        <f t="shared" si="11"/>
        <v>24.2</v>
      </c>
      <c r="N33" s="167">
        <f t="shared" si="12"/>
        <v>24.2</v>
      </c>
      <c r="O33" s="282">
        <f t="shared" si="3"/>
        <v>313.5</v>
      </c>
      <c r="P33" s="165"/>
      <c r="Q33" s="190"/>
      <c r="AI33" s="67"/>
      <c r="AJ33" s="67"/>
      <c r="AK33" s="67"/>
      <c r="AL33" s="67"/>
      <c r="AM33" s="67"/>
      <c r="AN33" s="67"/>
    </row>
    <row r="34" spans="1:40" ht="25.15" customHeight="1" x14ac:dyDescent="0.2">
      <c r="A34" s="414"/>
      <c r="B34" s="43"/>
      <c r="C34" s="161"/>
      <c r="D34" s="254">
        <v>20</v>
      </c>
      <c r="E34" s="254">
        <v>1200</v>
      </c>
      <c r="F34" s="183">
        <f t="shared" ref="F34" si="13">E34*D34</f>
        <v>24000</v>
      </c>
      <c r="G34" s="229"/>
      <c r="H34" s="229"/>
      <c r="I34" s="219" t="str">
        <f t="shared" si="10"/>
        <v>PREVI</v>
      </c>
      <c r="J34" s="229" t="s">
        <v>136</v>
      </c>
      <c r="K34" s="183" t="s">
        <v>114</v>
      </c>
      <c r="L34" s="162">
        <v>43514</v>
      </c>
      <c r="M34" s="186">
        <f t="shared" si="11"/>
        <v>24</v>
      </c>
      <c r="N34" s="167">
        <f t="shared" si="12"/>
        <v>24</v>
      </c>
      <c r="O34" s="282">
        <f t="shared" si="3"/>
        <v>337.5</v>
      </c>
      <c r="P34" s="165"/>
      <c r="Q34" s="190"/>
      <c r="AI34" s="67"/>
      <c r="AJ34" s="67"/>
      <c r="AK34" s="67"/>
      <c r="AL34" s="67"/>
      <c r="AM34" s="67"/>
      <c r="AN34" s="67"/>
    </row>
    <row r="35" spans="1:40" ht="25.15" customHeight="1" x14ac:dyDescent="0.2">
      <c r="A35" s="414"/>
      <c r="B35" s="43"/>
      <c r="C35" s="161"/>
      <c r="D35" s="254">
        <v>20</v>
      </c>
      <c r="E35" s="254">
        <v>1200</v>
      </c>
      <c r="F35" s="183">
        <f t="shared" ref="F35" si="14">E35*D35</f>
        <v>24000</v>
      </c>
      <c r="G35" s="229"/>
      <c r="H35" s="229"/>
      <c r="I35" s="219" t="str">
        <f t="shared" si="1"/>
        <v>PREVI</v>
      </c>
      <c r="J35" s="229" t="s">
        <v>136</v>
      </c>
      <c r="K35" s="183" t="s">
        <v>114</v>
      </c>
      <c r="L35" s="162">
        <v>43515</v>
      </c>
      <c r="M35" s="186">
        <f t="shared" si="2"/>
        <v>24</v>
      </c>
      <c r="N35" s="167">
        <f t="shared" si="9"/>
        <v>24</v>
      </c>
      <c r="O35" s="282">
        <f t="shared" si="3"/>
        <v>361.5</v>
      </c>
      <c r="P35" s="165"/>
      <c r="Q35" s="190"/>
      <c r="AI35" s="67"/>
      <c r="AJ35" s="67"/>
      <c r="AK35" s="67"/>
      <c r="AL35" s="67"/>
      <c r="AM35" s="67"/>
      <c r="AN35" s="67"/>
    </row>
    <row r="36" spans="1:40" ht="25.15" customHeight="1" x14ac:dyDescent="0.2">
      <c r="A36" s="414"/>
      <c r="B36" s="43"/>
      <c r="C36" s="161"/>
      <c r="D36" s="254">
        <v>20</v>
      </c>
      <c r="E36" s="254">
        <v>1200</v>
      </c>
      <c r="F36" s="183">
        <f t="shared" si="4"/>
        <v>24000</v>
      </c>
      <c r="G36" s="229"/>
      <c r="H36" s="229"/>
      <c r="I36" s="219" t="str">
        <f t="shared" si="1"/>
        <v>PREVI</v>
      </c>
      <c r="J36" s="229" t="s">
        <v>136</v>
      </c>
      <c r="K36" s="183" t="s">
        <v>114</v>
      </c>
      <c r="L36" s="162">
        <v>43516</v>
      </c>
      <c r="M36" s="186">
        <f t="shared" si="2"/>
        <v>24</v>
      </c>
      <c r="N36" s="167">
        <f t="shared" si="9"/>
        <v>24</v>
      </c>
      <c r="O36" s="282">
        <f t="shared" si="3"/>
        <v>385.5</v>
      </c>
      <c r="P36" s="165"/>
      <c r="Q36" s="190"/>
      <c r="AI36" s="67"/>
      <c r="AJ36" s="67"/>
      <c r="AK36" s="67"/>
      <c r="AL36" s="67"/>
      <c r="AM36" s="67"/>
      <c r="AN36" s="67"/>
    </row>
    <row r="37" spans="1:40" ht="25.15" customHeight="1" x14ac:dyDescent="0.2">
      <c r="A37" s="414"/>
      <c r="B37" s="43"/>
      <c r="C37" s="161"/>
      <c r="D37" s="254">
        <v>20</v>
      </c>
      <c r="E37" s="254">
        <v>1200</v>
      </c>
      <c r="F37" s="183">
        <f t="shared" ref="F37" si="15">E37*D37</f>
        <v>24000</v>
      </c>
      <c r="G37" s="229"/>
      <c r="H37" s="229"/>
      <c r="I37" s="219" t="str">
        <f t="shared" si="1"/>
        <v>PREVI</v>
      </c>
      <c r="J37" s="229" t="s">
        <v>136</v>
      </c>
      <c r="K37" s="183" t="s">
        <v>114</v>
      </c>
      <c r="L37" s="162">
        <v>43517</v>
      </c>
      <c r="M37" s="186">
        <f t="shared" si="2"/>
        <v>24</v>
      </c>
      <c r="N37" s="167">
        <f t="shared" ref="N37" si="16">M37</f>
        <v>24</v>
      </c>
      <c r="O37" s="282">
        <f t="shared" si="3"/>
        <v>409.5</v>
      </c>
      <c r="P37" s="165"/>
      <c r="Q37" s="190"/>
      <c r="AI37" s="67"/>
      <c r="AJ37" s="67"/>
      <c r="AK37" s="67"/>
      <c r="AL37" s="67"/>
      <c r="AM37" s="67"/>
      <c r="AN37" s="67"/>
    </row>
    <row r="38" spans="1:40" ht="25.15" customHeight="1" x14ac:dyDescent="0.2">
      <c r="A38" s="414"/>
      <c r="B38" s="197"/>
      <c r="C38" s="198"/>
      <c r="D38" s="254">
        <v>22</v>
      </c>
      <c r="E38" s="254">
        <v>1100</v>
      </c>
      <c r="F38" s="183">
        <f t="shared" si="0"/>
        <v>24200</v>
      </c>
      <c r="G38" s="230">
        <v>43157</v>
      </c>
      <c r="H38" s="230"/>
      <c r="I38" s="219" t="str">
        <f t="shared" si="1"/>
        <v>FERME</v>
      </c>
      <c r="J38" s="230" t="s">
        <v>136</v>
      </c>
      <c r="K38" s="183" t="s">
        <v>114</v>
      </c>
      <c r="L38" s="162">
        <v>43518</v>
      </c>
      <c r="M38" s="186">
        <f t="shared" si="2"/>
        <v>24.2</v>
      </c>
      <c r="N38" s="167">
        <f t="shared" ref="N38:N55" si="17">M38</f>
        <v>24.2</v>
      </c>
      <c r="O38" s="282">
        <f t="shared" si="3"/>
        <v>433.7</v>
      </c>
      <c r="P38" s="165"/>
      <c r="Q38" s="190"/>
      <c r="AI38" s="67"/>
      <c r="AJ38" s="67"/>
      <c r="AK38" s="67"/>
      <c r="AL38" s="67"/>
      <c r="AM38" s="67"/>
      <c r="AN38" s="67"/>
    </row>
    <row r="39" spans="1:40" ht="25.15" customHeight="1" x14ac:dyDescent="0.2">
      <c r="A39" s="414"/>
      <c r="B39" s="227">
        <v>14</v>
      </c>
      <c r="C39" s="201" t="s">
        <v>113</v>
      </c>
      <c r="D39" s="254">
        <v>24</v>
      </c>
      <c r="E39" s="254">
        <v>1200</v>
      </c>
      <c r="F39" s="183">
        <f t="shared" si="0"/>
        <v>28800</v>
      </c>
      <c r="G39" s="231">
        <v>43529</v>
      </c>
      <c r="H39" s="231"/>
      <c r="I39" s="219" t="str">
        <f t="shared" si="1"/>
        <v>FERME</v>
      </c>
      <c r="J39" s="231" t="s">
        <v>113</v>
      </c>
      <c r="K39" s="183" t="s">
        <v>118</v>
      </c>
      <c r="L39" s="162">
        <v>43519</v>
      </c>
      <c r="M39" s="186">
        <f t="shared" si="2"/>
        <v>28.8</v>
      </c>
      <c r="N39" s="167">
        <f t="shared" si="17"/>
        <v>28.8</v>
      </c>
      <c r="O39" s="282">
        <f t="shared" si="3"/>
        <v>462.5</v>
      </c>
      <c r="P39" s="165"/>
      <c r="Q39" s="190"/>
      <c r="AI39" s="67"/>
      <c r="AJ39" s="67"/>
      <c r="AK39" s="67"/>
      <c r="AL39" s="67"/>
      <c r="AM39" s="67"/>
      <c r="AN39" s="67"/>
    </row>
    <row r="40" spans="1:40" ht="25.15" customHeight="1" x14ac:dyDescent="0.2">
      <c r="A40" s="414"/>
      <c r="B40" s="227">
        <v>14</v>
      </c>
      <c r="C40" s="201" t="s">
        <v>113</v>
      </c>
      <c r="D40" s="254">
        <v>24</v>
      </c>
      <c r="E40" s="254">
        <v>1200</v>
      </c>
      <c r="F40" s="183">
        <f t="shared" si="0"/>
        <v>28800</v>
      </c>
      <c r="G40" s="231">
        <v>43530</v>
      </c>
      <c r="H40" s="231"/>
      <c r="I40" s="219" t="str">
        <f t="shared" si="1"/>
        <v>FERME</v>
      </c>
      <c r="J40" s="231" t="s">
        <v>113</v>
      </c>
      <c r="K40" s="183" t="s">
        <v>118</v>
      </c>
      <c r="L40" s="162">
        <v>43520</v>
      </c>
      <c r="M40" s="186">
        <f t="shared" si="2"/>
        <v>28.8</v>
      </c>
      <c r="N40" s="167">
        <f t="shared" si="17"/>
        <v>28.8</v>
      </c>
      <c r="O40" s="282">
        <f t="shared" si="3"/>
        <v>491.3</v>
      </c>
      <c r="P40" s="165"/>
      <c r="Q40" s="190"/>
      <c r="AI40" s="67"/>
      <c r="AJ40" s="67"/>
      <c r="AK40" s="67"/>
      <c r="AL40" s="67"/>
      <c r="AM40" s="67"/>
      <c r="AN40" s="67"/>
    </row>
    <row r="41" spans="1:40" ht="25.15" customHeight="1" x14ac:dyDescent="0.2">
      <c r="A41" s="414"/>
      <c r="B41" s="227">
        <v>14</v>
      </c>
      <c r="C41" s="201" t="s">
        <v>113</v>
      </c>
      <c r="D41" s="254">
        <v>24</v>
      </c>
      <c r="E41" s="254">
        <v>1200</v>
      </c>
      <c r="F41" s="183">
        <f t="shared" si="0"/>
        <v>28800</v>
      </c>
      <c r="G41" s="231">
        <v>43534</v>
      </c>
      <c r="H41" s="231"/>
      <c r="I41" s="219" t="str">
        <f t="shared" si="1"/>
        <v>FERME</v>
      </c>
      <c r="J41" s="231" t="s">
        <v>113</v>
      </c>
      <c r="K41" s="183" t="s">
        <v>118</v>
      </c>
      <c r="L41" s="162">
        <v>43521</v>
      </c>
      <c r="M41" s="186">
        <f t="shared" si="2"/>
        <v>28.8</v>
      </c>
      <c r="N41" s="167">
        <f t="shared" si="17"/>
        <v>28.8</v>
      </c>
      <c r="O41" s="282">
        <f t="shared" si="3"/>
        <v>520.1</v>
      </c>
      <c r="P41" s="165"/>
      <c r="Q41" s="190"/>
      <c r="AI41" s="67"/>
      <c r="AJ41" s="67"/>
      <c r="AK41" s="67"/>
      <c r="AL41" s="67"/>
      <c r="AM41" s="67"/>
      <c r="AN41" s="67"/>
    </row>
    <row r="42" spans="1:40" ht="25.15" customHeight="1" x14ac:dyDescent="0.2">
      <c r="A42" s="414"/>
      <c r="B42" s="227">
        <v>14</v>
      </c>
      <c r="C42" s="201" t="s">
        <v>113</v>
      </c>
      <c r="D42" s="254">
        <v>24</v>
      </c>
      <c r="E42" s="254">
        <v>1200</v>
      </c>
      <c r="F42" s="183">
        <f t="shared" si="0"/>
        <v>28800</v>
      </c>
      <c r="G42" s="231">
        <v>43535</v>
      </c>
      <c r="H42" s="231"/>
      <c r="I42" s="219" t="str">
        <f t="shared" si="1"/>
        <v>FERME</v>
      </c>
      <c r="J42" s="231" t="s">
        <v>113</v>
      </c>
      <c r="K42" s="183" t="s">
        <v>118</v>
      </c>
      <c r="L42" s="162">
        <v>43521</v>
      </c>
      <c r="M42" s="186">
        <f t="shared" si="2"/>
        <v>28.8</v>
      </c>
      <c r="N42" s="167">
        <f t="shared" si="17"/>
        <v>28.8</v>
      </c>
      <c r="O42" s="282">
        <f t="shared" si="3"/>
        <v>548.9</v>
      </c>
      <c r="P42" s="165"/>
      <c r="Q42" s="190"/>
      <c r="AI42" s="67"/>
      <c r="AJ42" s="67"/>
      <c r="AK42" s="67"/>
      <c r="AL42" s="67"/>
      <c r="AM42" s="67"/>
      <c r="AN42" s="67"/>
    </row>
    <row r="43" spans="1:40" ht="25.15" customHeight="1" x14ac:dyDescent="0.2">
      <c r="A43" s="414"/>
      <c r="B43" s="227">
        <v>14</v>
      </c>
      <c r="C43" s="323" t="s">
        <v>145</v>
      </c>
      <c r="D43" s="254">
        <v>24</v>
      </c>
      <c r="E43" s="254">
        <v>1200</v>
      </c>
      <c r="F43" s="183">
        <f t="shared" si="0"/>
        <v>28800</v>
      </c>
      <c r="G43" s="260">
        <v>43534</v>
      </c>
      <c r="H43" s="238"/>
      <c r="I43" s="219" t="str">
        <f t="shared" si="1"/>
        <v>FERME</v>
      </c>
      <c r="J43" s="239" t="s">
        <v>113</v>
      </c>
      <c r="K43" s="183" t="s">
        <v>118</v>
      </c>
      <c r="L43" s="162">
        <v>43515</v>
      </c>
      <c r="M43" s="186">
        <f t="shared" si="2"/>
        <v>28.8</v>
      </c>
      <c r="N43" s="167">
        <f t="shared" si="17"/>
        <v>28.8</v>
      </c>
      <c r="O43" s="282">
        <f t="shared" si="3"/>
        <v>577.69999999999993</v>
      </c>
      <c r="P43" s="165"/>
      <c r="Q43" s="190"/>
      <c r="AI43" s="67"/>
      <c r="AJ43" s="67"/>
      <c r="AK43" s="67"/>
      <c r="AL43" s="67"/>
      <c r="AM43" s="67"/>
      <c r="AN43" s="67"/>
    </row>
    <row r="44" spans="1:40" ht="25.15" customHeight="1" x14ac:dyDescent="0.2">
      <c r="A44" s="414"/>
      <c r="B44" s="227">
        <v>14</v>
      </c>
      <c r="C44" s="255" t="s">
        <v>148</v>
      </c>
      <c r="D44" s="254">
        <v>1</v>
      </c>
      <c r="E44" s="324">
        <v>1000</v>
      </c>
      <c r="F44" s="183">
        <f t="shared" si="0"/>
        <v>1000</v>
      </c>
      <c r="G44" s="231">
        <v>43540</v>
      </c>
      <c r="H44" s="240"/>
      <c r="I44" s="219" t="str">
        <f t="shared" si="1"/>
        <v>FERME</v>
      </c>
      <c r="J44" s="231" t="s">
        <v>136</v>
      </c>
      <c r="K44" s="183" t="s">
        <v>118</v>
      </c>
      <c r="L44" s="162">
        <v>43521</v>
      </c>
      <c r="M44" s="186">
        <f t="shared" si="2"/>
        <v>1</v>
      </c>
      <c r="N44" s="167">
        <f t="shared" si="17"/>
        <v>1</v>
      </c>
      <c r="O44" s="282">
        <f t="shared" si="3"/>
        <v>578.69999999999993</v>
      </c>
      <c r="P44" s="165"/>
      <c r="Q44" s="190"/>
      <c r="AI44" s="67"/>
      <c r="AJ44" s="67"/>
      <c r="AK44" s="67"/>
      <c r="AL44" s="67"/>
      <c r="AM44" s="67"/>
      <c r="AN44" s="67"/>
    </row>
    <row r="45" spans="1:40" ht="25.15" customHeight="1" x14ac:dyDescent="0.2">
      <c r="A45" s="414"/>
      <c r="B45" s="207"/>
      <c r="C45" s="208"/>
      <c r="D45" s="254">
        <v>20</v>
      </c>
      <c r="E45" s="254">
        <v>1200</v>
      </c>
      <c r="F45" s="183">
        <f t="shared" si="0"/>
        <v>24000</v>
      </c>
      <c r="G45" s="233">
        <v>43159</v>
      </c>
      <c r="H45" s="233"/>
      <c r="I45" s="219" t="str">
        <f t="shared" si="1"/>
        <v>FERME</v>
      </c>
      <c r="J45" s="233" t="s">
        <v>136</v>
      </c>
      <c r="K45" s="183" t="s">
        <v>114</v>
      </c>
      <c r="L45" s="162">
        <v>43518</v>
      </c>
      <c r="M45" s="186">
        <f t="shared" si="2"/>
        <v>24</v>
      </c>
      <c r="N45" s="167">
        <f t="shared" si="17"/>
        <v>24</v>
      </c>
      <c r="O45" s="282">
        <f t="shared" si="3"/>
        <v>602.69999999999993</v>
      </c>
      <c r="P45" s="164"/>
      <c r="Q45" s="190"/>
    </row>
    <row r="46" spans="1:40" ht="25.15" customHeight="1" x14ac:dyDescent="0.2">
      <c r="A46" s="414"/>
      <c r="B46" s="43"/>
      <c r="C46" s="161"/>
      <c r="D46" s="254">
        <v>20</v>
      </c>
      <c r="E46" s="254">
        <v>1200</v>
      </c>
      <c r="F46" s="183">
        <f t="shared" si="0"/>
        <v>24000</v>
      </c>
      <c r="G46" s="229"/>
      <c r="H46" s="229"/>
      <c r="I46" s="219" t="str">
        <f t="shared" ref="I46:I49" si="18">IF(G46&lt;&gt;"","FERME","PREVI")</f>
        <v>PREVI</v>
      </c>
      <c r="J46" s="229" t="s">
        <v>136</v>
      </c>
      <c r="K46" s="183" t="s">
        <v>114</v>
      </c>
      <c r="L46" s="162">
        <v>43522</v>
      </c>
      <c r="M46" s="186">
        <f t="shared" ref="M46:M49" si="19">F46/1000</f>
        <v>24</v>
      </c>
      <c r="N46" s="167">
        <f t="shared" si="17"/>
        <v>24</v>
      </c>
      <c r="O46" s="282">
        <f t="shared" si="3"/>
        <v>626.69999999999993</v>
      </c>
      <c r="P46" s="165"/>
      <c r="Q46" s="190"/>
    </row>
    <row r="47" spans="1:40" ht="25.15" customHeight="1" x14ac:dyDescent="0.2">
      <c r="A47" s="414"/>
      <c r="B47" s="43"/>
      <c r="C47" s="161"/>
      <c r="D47" s="254">
        <v>20</v>
      </c>
      <c r="E47" s="254">
        <v>1200</v>
      </c>
      <c r="F47" s="183">
        <f t="shared" ref="F47" si="20">E47*D47</f>
        <v>24000</v>
      </c>
      <c r="G47" s="229"/>
      <c r="H47" s="229"/>
      <c r="I47" s="219" t="str">
        <f t="shared" ref="I47" si="21">IF(G47&lt;&gt;"","FERME","PREVI")</f>
        <v>PREVI</v>
      </c>
      <c r="J47" s="229" t="s">
        <v>136</v>
      </c>
      <c r="K47" s="183" t="s">
        <v>114</v>
      </c>
      <c r="L47" s="162">
        <v>43522</v>
      </c>
      <c r="M47" s="186">
        <f t="shared" ref="M47" si="22">F47/1000</f>
        <v>24</v>
      </c>
      <c r="N47" s="167">
        <f t="shared" ref="N47" si="23">M47</f>
        <v>24</v>
      </c>
      <c r="O47" s="282">
        <f t="shared" si="3"/>
        <v>650.69999999999993</v>
      </c>
      <c r="P47" s="165"/>
      <c r="Q47" s="190"/>
    </row>
    <row r="48" spans="1:40" ht="25.15" customHeight="1" x14ac:dyDescent="0.2">
      <c r="A48" s="414"/>
      <c r="B48" s="43"/>
      <c r="C48" s="161"/>
      <c r="D48" s="254">
        <v>20</v>
      </c>
      <c r="E48" s="254">
        <v>1200</v>
      </c>
      <c r="F48" s="183">
        <f t="shared" si="0"/>
        <v>24000</v>
      </c>
      <c r="G48" s="229"/>
      <c r="H48" s="229"/>
      <c r="I48" s="219" t="str">
        <f t="shared" si="18"/>
        <v>PREVI</v>
      </c>
      <c r="J48" s="229" t="s">
        <v>136</v>
      </c>
      <c r="K48" s="183" t="s">
        <v>114</v>
      </c>
      <c r="L48" s="162">
        <v>43523</v>
      </c>
      <c r="M48" s="186">
        <f t="shared" si="19"/>
        <v>24</v>
      </c>
      <c r="N48" s="167">
        <f t="shared" si="17"/>
        <v>24</v>
      </c>
      <c r="O48" s="282">
        <f t="shared" si="3"/>
        <v>674.69999999999993</v>
      </c>
      <c r="P48" s="165"/>
      <c r="Q48" s="190"/>
    </row>
    <row r="49" spans="1:34" ht="25.15" customHeight="1" x14ac:dyDescent="0.2">
      <c r="A49" s="414"/>
      <c r="B49" s="202">
        <v>15</v>
      </c>
      <c r="C49" s="203"/>
      <c r="D49" s="254">
        <v>20</v>
      </c>
      <c r="E49" s="254">
        <v>1200</v>
      </c>
      <c r="F49" s="183">
        <f t="shared" ref="F49" si="24">E49*D49</f>
        <v>24000</v>
      </c>
      <c r="G49" s="205"/>
      <c r="H49" s="206"/>
      <c r="I49" s="219" t="str">
        <f t="shared" si="18"/>
        <v>PREVI</v>
      </c>
      <c r="J49" s="222" t="s">
        <v>113</v>
      </c>
      <c r="K49" s="204" t="s">
        <v>114</v>
      </c>
      <c r="L49" s="162">
        <v>43544</v>
      </c>
      <c r="M49" s="186">
        <f t="shared" si="19"/>
        <v>24</v>
      </c>
      <c r="N49" s="167">
        <f t="shared" si="17"/>
        <v>24</v>
      </c>
      <c r="O49" s="282">
        <f t="shared" si="3"/>
        <v>698.69999999999993</v>
      </c>
      <c r="P49" s="165"/>
      <c r="Q49" s="190"/>
    </row>
    <row r="50" spans="1:34" ht="25.15" customHeight="1" x14ac:dyDescent="0.2">
      <c r="A50" s="414"/>
      <c r="B50" s="213"/>
      <c r="C50" s="214" t="s">
        <v>152</v>
      </c>
      <c r="D50" s="254">
        <v>20</v>
      </c>
      <c r="E50" s="254">
        <v>1200</v>
      </c>
      <c r="F50" s="183">
        <f t="shared" si="0"/>
        <v>24000</v>
      </c>
      <c r="G50" s="234">
        <v>43529</v>
      </c>
      <c r="H50" s="234"/>
      <c r="I50" s="219" t="str">
        <f t="shared" si="1"/>
        <v>FERME</v>
      </c>
      <c r="J50" s="234" t="s">
        <v>113</v>
      </c>
      <c r="K50" s="183" t="s">
        <v>114</v>
      </c>
      <c r="L50" s="162">
        <v>43524</v>
      </c>
      <c r="M50" s="186">
        <f t="shared" si="2"/>
        <v>24</v>
      </c>
      <c r="N50" s="167">
        <f t="shared" si="17"/>
        <v>24</v>
      </c>
      <c r="O50" s="282">
        <f t="shared" si="3"/>
        <v>722.69999999999993</v>
      </c>
      <c r="P50" s="164"/>
      <c r="Q50" s="190"/>
      <c r="AD50"/>
      <c r="AE50"/>
      <c r="AF50"/>
      <c r="AG50"/>
      <c r="AH50"/>
    </row>
    <row r="51" spans="1:34" ht="25.15" customHeight="1" x14ac:dyDescent="0.2">
      <c r="A51" s="414"/>
      <c r="B51" s="211"/>
      <c r="C51" s="212" t="s">
        <v>152</v>
      </c>
      <c r="D51" s="254">
        <v>20</v>
      </c>
      <c r="E51" s="254">
        <v>1200</v>
      </c>
      <c r="F51" s="183">
        <f t="shared" si="0"/>
        <v>24000</v>
      </c>
      <c r="G51" s="235">
        <v>43531</v>
      </c>
      <c r="H51" s="235"/>
      <c r="I51" s="219" t="str">
        <f t="shared" si="1"/>
        <v>FERME</v>
      </c>
      <c r="J51" s="235" t="s">
        <v>113</v>
      </c>
      <c r="K51" s="183" t="s">
        <v>108</v>
      </c>
      <c r="L51" s="162">
        <v>43524</v>
      </c>
      <c r="M51" s="186">
        <f t="shared" si="2"/>
        <v>24</v>
      </c>
      <c r="N51" s="167">
        <f t="shared" si="17"/>
        <v>24</v>
      </c>
      <c r="O51" s="282">
        <f t="shared" si="3"/>
        <v>746.69999999999993</v>
      </c>
      <c r="P51" s="164"/>
      <c r="Q51" s="190"/>
      <c r="AD51"/>
      <c r="AE51"/>
      <c r="AF51"/>
      <c r="AG51"/>
      <c r="AH51"/>
    </row>
    <row r="52" spans="1:34" ht="25.15" customHeight="1" x14ac:dyDescent="0.2">
      <c r="A52" s="414"/>
      <c r="B52" s="209"/>
      <c r="C52" s="210" t="s">
        <v>119</v>
      </c>
      <c r="D52" s="254">
        <v>20</v>
      </c>
      <c r="E52" s="254">
        <v>1200</v>
      </c>
      <c r="F52" s="183">
        <f t="shared" si="0"/>
        <v>24000</v>
      </c>
      <c r="G52" s="236"/>
      <c r="H52" s="236"/>
      <c r="I52" s="219" t="str">
        <f t="shared" si="1"/>
        <v>PREVI</v>
      </c>
      <c r="J52" s="236" t="s">
        <v>113</v>
      </c>
      <c r="K52" s="183" t="s">
        <v>116</v>
      </c>
      <c r="L52" s="162">
        <v>43524</v>
      </c>
      <c r="M52" s="186">
        <f t="shared" si="2"/>
        <v>24</v>
      </c>
      <c r="N52" s="167">
        <f t="shared" si="17"/>
        <v>24</v>
      </c>
      <c r="O52" s="282">
        <f t="shared" si="3"/>
        <v>770.69999999999993</v>
      </c>
      <c r="P52" s="164"/>
      <c r="Q52" s="190"/>
      <c r="AD52"/>
      <c r="AE52"/>
      <c r="AF52"/>
      <c r="AG52"/>
      <c r="AH52"/>
    </row>
    <row r="53" spans="1:34" ht="25.15" customHeight="1" x14ac:dyDescent="0.2">
      <c r="A53" s="414"/>
      <c r="B53" s="209"/>
      <c r="C53" s="210"/>
      <c r="D53" s="254">
        <v>12</v>
      </c>
      <c r="E53" s="254">
        <v>1200</v>
      </c>
      <c r="F53" s="183">
        <f t="shared" si="0"/>
        <v>14400</v>
      </c>
      <c r="G53" s="236"/>
      <c r="H53" s="236"/>
      <c r="I53" s="219" t="str">
        <f t="shared" si="1"/>
        <v>PREVI</v>
      </c>
      <c r="J53" s="236" t="s">
        <v>113</v>
      </c>
      <c r="K53" s="183" t="s">
        <v>116</v>
      </c>
      <c r="L53" s="162">
        <v>43524</v>
      </c>
      <c r="M53" s="186">
        <f t="shared" si="2"/>
        <v>14.4</v>
      </c>
      <c r="N53" s="167">
        <f t="shared" si="17"/>
        <v>14.4</v>
      </c>
      <c r="O53" s="282">
        <f t="shared" si="3"/>
        <v>785.09999999999991</v>
      </c>
      <c r="P53" s="164"/>
      <c r="Q53" s="190"/>
    </row>
    <row r="54" spans="1:34" ht="25.15" customHeight="1" x14ac:dyDescent="0.2">
      <c r="A54" s="414"/>
      <c r="B54" s="209"/>
      <c r="C54" s="210"/>
      <c r="D54" s="254">
        <v>4</v>
      </c>
      <c r="E54" s="254">
        <v>1000</v>
      </c>
      <c r="F54" s="183">
        <f t="shared" si="0"/>
        <v>4000</v>
      </c>
      <c r="G54" s="236"/>
      <c r="H54" s="236"/>
      <c r="I54" s="219" t="str">
        <f t="shared" si="1"/>
        <v>PREVI</v>
      </c>
      <c r="J54" s="236" t="s">
        <v>113</v>
      </c>
      <c r="K54" s="183" t="s">
        <v>117</v>
      </c>
      <c r="L54" s="162">
        <v>43524</v>
      </c>
      <c r="M54" s="186">
        <f t="shared" si="2"/>
        <v>4</v>
      </c>
      <c r="N54" s="167">
        <f t="shared" si="17"/>
        <v>4</v>
      </c>
      <c r="O54" s="282">
        <f t="shared" si="3"/>
        <v>789.09999999999991</v>
      </c>
      <c r="P54" s="164"/>
      <c r="Q54" s="190"/>
    </row>
    <row r="55" spans="1:34" ht="25.15" customHeight="1" thickBot="1" x14ac:dyDescent="0.25">
      <c r="A55" s="414"/>
      <c r="B55" s="283"/>
      <c r="C55" s="284"/>
      <c r="D55" s="325">
        <v>4</v>
      </c>
      <c r="E55" s="325">
        <v>1000</v>
      </c>
      <c r="F55" s="285">
        <f t="shared" si="0"/>
        <v>4000</v>
      </c>
      <c r="G55" s="286"/>
      <c r="H55" s="286"/>
      <c r="I55" s="302" t="str">
        <f t="shared" si="1"/>
        <v>PREVI</v>
      </c>
      <c r="J55" s="286" t="s">
        <v>113</v>
      </c>
      <c r="K55" s="285" t="s">
        <v>117</v>
      </c>
      <c r="L55" s="287">
        <v>43524</v>
      </c>
      <c r="M55" s="288">
        <f t="shared" si="2"/>
        <v>4</v>
      </c>
      <c r="N55" s="289">
        <f t="shared" si="17"/>
        <v>4</v>
      </c>
      <c r="O55" s="282">
        <f t="shared" si="3"/>
        <v>793.09999999999991</v>
      </c>
      <c r="P55" s="164"/>
      <c r="Q55" s="190"/>
    </row>
    <row r="56" spans="1:34" ht="25.15" customHeight="1" thickBot="1" x14ac:dyDescent="0.25">
      <c r="A56" s="246"/>
      <c r="B56" s="247"/>
      <c r="C56" s="166"/>
      <c r="D56" s="378" t="s">
        <v>141</v>
      </c>
      <c r="E56" s="379"/>
      <c r="F56" s="269">
        <f>SUM(F5:F55)</f>
        <v>1053000</v>
      </c>
      <c r="G56" s="182"/>
      <c r="H56" s="182"/>
      <c r="I56" s="182"/>
      <c r="J56" s="182"/>
      <c r="L56" s="270" t="s">
        <v>1</v>
      </c>
      <c r="M56" s="271">
        <f>SUM(M5:M55)</f>
        <v>1053</v>
      </c>
      <c r="N56" s="272"/>
      <c r="O56" s="177"/>
      <c r="P56" s="164"/>
      <c r="Q56" s="196"/>
    </row>
    <row r="57" spans="1:34" ht="25.15" customHeight="1" thickBot="1" x14ac:dyDescent="0.25">
      <c r="A57" s="247"/>
      <c r="B57" s="247"/>
      <c r="C57" s="166"/>
      <c r="D57" s="166"/>
      <c r="E57" s="166"/>
      <c r="F57" s="166"/>
      <c r="G57" s="182"/>
      <c r="H57" s="182"/>
      <c r="I57" s="182"/>
      <c r="J57" s="182"/>
      <c r="K57" s="182"/>
      <c r="L57" s="361" t="s">
        <v>142</v>
      </c>
      <c r="M57" s="362"/>
      <c r="N57" s="263">
        <f>SUM(N5:N55)</f>
        <v>793.09999999999991</v>
      </c>
      <c r="O57" s="177"/>
      <c r="P57" s="164"/>
      <c r="Q57" s="196"/>
    </row>
    <row r="58" spans="1:34" ht="39" customHeight="1" thickBot="1" x14ac:dyDescent="0.25">
      <c r="A58" s="381" t="s">
        <v>112</v>
      </c>
      <c r="B58" s="382"/>
      <c r="C58" s="382"/>
      <c r="D58" s="382"/>
      <c r="E58" s="382"/>
      <c r="F58" s="382"/>
      <c r="G58" s="383"/>
      <c r="H58" s="182"/>
      <c r="I58" s="182"/>
      <c r="J58" s="182"/>
      <c r="K58" s="182"/>
      <c r="L58" s="182"/>
      <c r="M58" s="177"/>
      <c r="N58" s="177"/>
      <c r="O58" s="177"/>
      <c r="P58" s="164"/>
      <c r="Q58" s="196"/>
    </row>
    <row r="59" spans="1:34" ht="25.15" customHeight="1" x14ac:dyDescent="0.2">
      <c r="A59" s="332"/>
      <c r="B59" s="297"/>
      <c r="C59" s="298"/>
      <c r="D59" s="344"/>
      <c r="E59" s="345"/>
      <c r="F59" s="346"/>
      <c r="G59" s="299"/>
      <c r="H59" s="182"/>
      <c r="I59" s="182"/>
      <c r="J59" s="182"/>
      <c r="K59" s="182"/>
      <c r="L59" s="182"/>
      <c r="M59" s="177"/>
      <c r="N59" s="177"/>
      <c r="O59" s="177"/>
      <c r="P59" s="164"/>
      <c r="Q59" s="196"/>
    </row>
    <row r="60" spans="1:34" ht="25.15" customHeight="1" x14ac:dyDescent="0.2">
      <c r="A60" s="333"/>
      <c r="B60" s="225"/>
      <c r="C60" s="170"/>
      <c r="D60" s="347"/>
      <c r="E60" s="348"/>
      <c r="F60" s="349"/>
      <c r="G60" s="171"/>
      <c r="H60" s="182"/>
      <c r="I60" s="182"/>
      <c r="J60" s="182"/>
      <c r="K60" s="182"/>
      <c r="L60" s="182"/>
      <c r="M60" s="177"/>
      <c r="N60" s="177"/>
      <c r="O60" s="177"/>
      <c r="P60" s="164"/>
      <c r="Q60" s="196"/>
    </row>
    <row r="61" spans="1:34" ht="25.15" customHeight="1" x14ac:dyDescent="0.2">
      <c r="A61" s="333"/>
      <c r="B61" s="225"/>
      <c r="C61" s="170"/>
      <c r="D61" s="347"/>
      <c r="E61" s="348"/>
      <c r="F61" s="349"/>
      <c r="G61" s="172"/>
      <c r="H61" s="182"/>
      <c r="I61" s="182"/>
      <c r="J61" s="182"/>
      <c r="K61" s="182"/>
      <c r="L61" s="182"/>
      <c r="M61" s="177"/>
      <c r="N61" s="177"/>
      <c r="O61" s="177"/>
      <c r="P61" s="164"/>
      <c r="Q61" s="196"/>
    </row>
    <row r="62" spans="1:34" ht="25.15" customHeight="1" x14ac:dyDescent="0.2">
      <c r="A62" s="333"/>
      <c r="B62" s="225"/>
      <c r="C62" s="170"/>
      <c r="D62" s="347"/>
      <c r="E62" s="348"/>
      <c r="F62" s="349"/>
      <c r="G62" s="173"/>
      <c r="H62" s="182"/>
      <c r="I62" s="182"/>
      <c r="J62" s="182"/>
      <c r="K62" s="182"/>
      <c r="L62" s="182"/>
      <c r="M62" s="177"/>
      <c r="N62" s="177"/>
      <c r="O62" s="177"/>
      <c r="P62" s="164"/>
      <c r="Q62" s="196"/>
    </row>
    <row r="63" spans="1:34" ht="25.15" customHeight="1" x14ac:dyDescent="0.2">
      <c r="A63" s="333"/>
      <c r="B63" s="225"/>
      <c r="C63" s="170"/>
      <c r="D63" s="347"/>
      <c r="E63" s="348"/>
      <c r="F63" s="349"/>
      <c r="G63" s="174"/>
      <c r="H63" s="182"/>
      <c r="I63" s="182"/>
      <c r="J63" s="182"/>
      <c r="K63" s="182"/>
      <c r="L63" s="182"/>
      <c r="M63" s="177"/>
      <c r="N63" s="177"/>
      <c r="O63" s="177"/>
      <c r="Q63" s="196"/>
    </row>
    <row r="64" spans="1:34" ht="25.15" customHeight="1" x14ac:dyDescent="0.25">
      <c r="A64" s="333"/>
      <c r="B64" s="225"/>
      <c r="C64" s="170"/>
      <c r="D64" s="347"/>
      <c r="E64" s="348"/>
      <c r="F64" s="349"/>
      <c r="G64" s="178"/>
      <c r="H64" s="182"/>
      <c r="I64" s="182"/>
      <c r="J64" s="182"/>
      <c r="K64" s="166"/>
      <c r="L64" s="163"/>
      <c r="M64" s="177"/>
      <c r="N64" s="177"/>
      <c r="O64" s="177"/>
      <c r="Q64" s="196"/>
    </row>
    <row r="65" spans="1:17" ht="25.15" customHeight="1" x14ac:dyDescent="0.2">
      <c r="A65" s="333"/>
      <c r="B65" s="225"/>
      <c r="C65" s="176"/>
      <c r="D65" s="347"/>
      <c r="E65" s="348"/>
      <c r="F65" s="349"/>
      <c r="G65" s="172"/>
      <c r="H65" s="182"/>
      <c r="I65" s="182"/>
      <c r="J65" s="182"/>
      <c r="K65" s="166"/>
      <c r="L65" s="163"/>
      <c r="M65" s="177"/>
      <c r="N65" s="177"/>
      <c r="O65" s="177"/>
      <c r="Q65" s="196"/>
    </row>
    <row r="66" spans="1:17" ht="25.15" customHeight="1" thickBot="1" x14ac:dyDescent="0.3">
      <c r="A66" s="333"/>
      <c r="B66" s="225"/>
      <c r="C66" s="176"/>
      <c r="D66" s="347"/>
      <c r="E66" s="348"/>
      <c r="F66" s="349"/>
      <c r="G66" s="300"/>
      <c r="H66" s="245"/>
      <c r="I66" s="245"/>
      <c r="J66" s="245"/>
      <c r="K66" s="179"/>
      <c r="L66" s="180"/>
      <c r="M66" s="177"/>
      <c r="N66" s="177"/>
      <c r="O66" s="177"/>
      <c r="Q66" s="196"/>
    </row>
    <row r="67" spans="1:17" ht="25.5" customHeight="1" thickBot="1" x14ac:dyDescent="0.25">
      <c r="A67" s="363"/>
      <c r="B67" s="364"/>
      <c r="C67" s="301"/>
      <c r="D67" s="175"/>
      <c r="E67" s="175"/>
      <c r="F67" s="365"/>
      <c r="G67" s="366"/>
      <c r="H67" s="367"/>
      <c r="I67" s="169"/>
      <c r="J67" s="169"/>
      <c r="K67" s="334"/>
      <c r="L67" s="335"/>
      <c r="M67" s="256"/>
      <c r="N67" s="177"/>
      <c r="O67" s="177"/>
      <c r="Q67" s="196"/>
    </row>
    <row r="68" spans="1:17" ht="30.75" thickBot="1" x14ac:dyDescent="0.3">
      <c r="A68" s="312"/>
      <c r="B68" s="293"/>
      <c r="C68" s="295"/>
      <c r="D68" s="168"/>
      <c r="E68" s="168"/>
      <c r="F68" s="341"/>
      <c r="G68" s="368"/>
      <c r="H68" s="308"/>
      <c r="I68" s="169"/>
      <c r="J68" s="169"/>
      <c r="K68" s="336"/>
      <c r="L68" s="337"/>
      <c r="M68" s="181"/>
      <c r="N68" s="177"/>
      <c r="O68" s="177"/>
      <c r="Q68" s="196"/>
    </row>
    <row r="69" spans="1:17" ht="30" customHeight="1" thickBot="1" x14ac:dyDescent="0.3">
      <c r="A69" s="369"/>
      <c r="B69" s="370"/>
      <c r="C69" s="296"/>
      <c r="D69" s="168"/>
      <c r="E69" s="168"/>
      <c r="F69" s="371"/>
      <c r="G69" s="372"/>
      <c r="H69" s="373"/>
      <c r="I69" s="169"/>
      <c r="J69" s="169"/>
      <c r="K69" s="384"/>
      <c r="L69" s="385"/>
      <c r="M69" s="266"/>
      <c r="N69" s="177"/>
      <c r="O69" s="177"/>
      <c r="Q69" s="196"/>
    </row>
    <row r="70" spans="1:17" ht="30.75" thickBot="1" x14ac:dyDescent="0.45">
      <c r="A70" s="310"/>
      <c r="B70" s="303"/>
      <c r="C70" s="320"/>
      <c r="D70" s="291"/>
      <c r="E70" s="168"/>
      <c r="F70" s="341"/>
      <c r="G70" s="342"/>
      <c r="H70" s="309"/>
      <c r="I70" s="169"/>
      <c r="J70" s="169"/>
      <c r="K70" s="317"/>
      <c r="L70" s="318"/>
      <c r="M70" s="319"/>
      <c r="N70" s="177"/>
      <c r="O70" s="177"/>
      <c r="Q70" s="196"/>
    </row>
    <row r="71" spans="1:17" ht="30" customHeight="1" thickBot="1" x14ac:dyDescent="0.25">
      <c r="A71" s="350"/>
      <c r="B71" s="351"/>
      <c r="C71" s="292"/>
      <c r="D71" s="168"/>
      <c r="E71" s="168"/>
      <c r="F71" s="352"/>
      <c r="G71" s="353"/>
      <c r="H71" s="327"/>
      <c r="I71" s="169"/>
      <c r="J71" s="250"/>
      <c r="K71" s="386"/>
      <c r="L71" s="387"/>
      <c r="M71" s="316"/>
      <c r="N71" s="177"/>
      <c r="O71" s="177"/>
      <c r="Q71" s="196"/>
    </row>
    <row r="72" spans="1:17" ht="30.75" thickBot="1" x14ac:dyDescent="0.25">
      <c r="A72" s="322"/>
      <c r="B72" s="294"/>
      <c r="C72" s="168"/>
      <c r="D72" s="168"/>
      <c r="E72" s="168"/>
      <c r="F72" s="341"/>
      <c r="G72" s="342"/>
      <c r="H72" s="309"/>
      <c r="I72" s="169"/>
      <c r="J72" s="250"/>
      <c r="K72" s="343"/>
      <c r="L72" s="339"/>
      <c r="M72" s="248"/>
      <c r="N72" s="177"/>
      <c r="O72" s="177"/>
      <c r="Q72" s="196"/>
    </row>
    <row r="73" spans="1:17" ht="27" customHeight="1" x14ac:dyDescent="0.2">
      <c r="A73" s="354"/>
      <c r="B73" s="355"/>
      <c r="C73" s="356"/>
      <c r="D73" s="356"/>
      <c r="E73" s="328"/>
      <c r="F73" s="357"/>
      <c r="G73" s="358"/>
      <c r="H73" s="358"/>
      <c r="I73" s="169"/>
      <c r="J73" s="250"/>
      <c r="K73" s="343"/>
      <c r="L73" s="339"/>
      <c r="M73" s="249"/>
      <c r="N73" s="177"/>
      <c r="O73" s="177"/>
      <c r="Q73" s="196"/>
    </row>
    <row r="74" spans="1:17" ht="30.75" thickBot="1" x14ac:dyDescent="0.45">
      <c r="A74" s="313"/>
      <c r="B74" s="306"/>
      <c r="C74" s="321"/>
      <c r="D74" s="291"/>
      <c r="E74" s="168"/>
      <c r="F74" s="359"/>
      <c r="G74" s="360"/>
      <c r="H74" s="360"/>
      <c r="I74" s="169"/>
      <c r="J74" s="250"/>
      <c r="K74" s="377"/>
      <c r="L74" s="343"/>
      <c r="M74" s="264"/>
      <c r="N74" s="177"/>
      <c r="O74" s="177"/>
      <c r="Q74" s="196"/>
    </row>
    <row r="75" spans="1:17" ht="30" customHeight="1" thickBot="1" x14ac:dyDescent="0.3">
      <c r="A75" s="315"/>
      <c r="B75" s="305"/>
      <c r="C75" s="315"/>
      <c r="D75" s="305"/>
      <c r="E75" s="304"/>
      <c r="F75" s="341"/>
      <c r="G75" s="342"/>
      <c r="H75" s="309"/>
      <c r="I75" s="169"/>
      <c r="J75" s="250"/>
      <c r="K75" s="380"/>
      <c r="L75" s="340"/>
      <c r="M75" s="194"/>
      <c r="N75" s="177"/>
      <c r="O75" s="177"/>
      <c r="Q75" s="196"/>
    </row>
    <row r="76" spans="1:17" ht="30.75" thickBot="1" x14ac:dyDescent="0.3">
      <c r="A76" s="311"/>
      <c r="B76" s="294"/>
      <c r="C76" s="311"/>
      <c r="D76" s="291"/>
      <c r="E76" s="314"/>
      <c r="F76" s="307"/>
      <c r="G76" s="251"/>
      <c r="H76" s="251"/>
      <c r="I76" s="251"/>
      <c r="J76" s="252"/>
      <c r="K76" s="337"/>
      <c r="L76" s="338"/>
      <c r="M76" s="195"/>
      <c r="N76" s="177"/>
      <c r="O76" s="177"/>
      <c r="Q76" s="196"/>
    </row>
  </sheetData>
  <sheetProtection selectLockedCells="1"/>
  <mergeCells count="29">
    <mergeCell ref="C73:D73"/>
    <mergeCell ref="K75:L75"/>
    <mergeCell ref="K76:L76"/>
    <mergeCell ref="A58:G58"/>
    <mergeCell ref="A59:A66"/>
    <mergeCell ref="K67:L67"/>
    <mergeCell ref="K68:L68"/>
    <mergeCell ref="K69:L69"/>
    <mergeCell ref="K71:L71"/>
    <mergeCell ref="K73:L73"/>
    <mergeCell ref="K74:L74"/>
    <mergeCell ref="D59:F66"/>
    <mergeCell ref="A67:B67"/>
    <mergeCell ref="A69:B69"/>
    <mergeCell ref="A71:B71"/>
    <mergeCell ref="A73:B73"/>
    <mergeCell ref="F68:G68"/>
    <mergeCell ref="F72:G72"/>
    <mergeCell ref="F71:G71"/>
    <mergeCell ref="F73:H74"/>
    <mergeCell ref="F75:G75"/>
    <mergeCell ref="A1:Q1"/>
    <mergeCell ref="G2:K2"/>
    <mergeCell ref="K72:L72"/>
    <mergeCell ref="D56:E56"/>
    <mergeCell ref="L57:M57"/>
    <mergeCell ref="F67:H67"/>
    <mergeCell ref="F69:H69"/>
    <mergeCell ref="F70:G70"/>
  </mergeCells>
  <phoneticPr fontId="3" type="noConversion"/>
  <printOptions horizontalCentered="1" verticalCentered="1"/>
  <pageMargins left="0.19685039370078741" right="0.19685039370078741" top="0" bottom="0" header="0" footer="0"/>
  <pageSetup paperSize="8" scale="46" orientation="portrait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6" r:id="rId4" name="CommandButton1">
          <controlPr defaultSize="0" autoFill="0" autoLine="0" r:id="rId5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9</xdr:col>
                <xdr:colOff>1228725</xdr:colOff>
                <xdr:row>0</xdr:row>
                <xdr:rowOff>219075</xdr:rowOff>
              </to>
            </anchor>
          </controlPr>
        </control>
      </mc:Choice>
      <mc:Fallback>
        <control shapeId="3096" r:id="rId4" name="CommandButton1"/>
      </mc:Fallback>
    </mc:AlternateContent>
    <mc:AlternateContent xmlns:mc="http://schemas.openxmlformats.org/markup-compatibility/2006">
      <mc:Choice Requires="x14">
        <control shapeId="3097" r:id="rId6" name="CommandButton2">
          <controlPr defaultSize="0" autoLine="0" autoPict="0" r:id="rId7">
            <anchor moveWithCells="1">
              <from>
                <xdr:col>10</xdr:col>
                <xdr:colOff>381000</xdr:colOff>
                <xdr:row>0</xdr:row>
                <xdr:rowOff>9525</xdr:rowOff>
              </from>
              <to>
                <xdr:col>16</xdr:col>
                <xdr:colOff>285750</xdr:colOff>
                <xdr:row>1</xdr:row>
                <xdr:rowOff>200025</xdr:rowOff>
              </to>
            </anchor>
          </controlPr>
        </control>
      </mc:Choice>
      <mc:Fallback>
        <control shapeId="3097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K50:K55 K5:K48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FD116"/>
  <sheetViews>
    <sheetView zoomScale="85" zoomScaleNormal="85" workbookViewId="0">
      <pane xSplit="1" ySplit="2" topLeftCell="W3" activePane="bottomRight" state="frozen"/>
      <selection activeCell="AE34" sqref="AE34"/>
      <selection pane="topRight" activeCell="AE34" sqref="AE34"/>
      <selection pane="bottomLeft" activeCell="AE34" sqref="AE34"/>
      <selection pane="bottomRight" activeCell="AE34" sqref="AE34"/>
    </sheetView>
  </sheetViews>
  <sheetFormatPr baseColWidth="10" defaultColWidth="11.42578125" defaultRowHeight="15" x14ac:dyDescent="0.2"/>
  <cols>
    <col min="1" max="1" width="14.28515625" style="6" customWidth="1"/>
    <col min="2" max="2" width="12.28515625" style="6" bestFit="1" customWidth="1"/>
    <col min="3" max="5" width="10.7109375" style="8" customWidth="1"/>
    <col min="6" max="6" width="6.7109375" style="8" bestFit="1" customWidth="1"/>
    <col min="7" max="16" width="2.42578125" style="8" customWidth="1"/>
    <col min="17" max="17" width="11.7109375" style="8" customWidth="1"/>
    <col min="18" max="19" width="10.7109375" style="8" customWidth="1"/>
    <col min="20" max="20" width="11.28515625" style="8" customWidth="1"/>
    <col min="21" max="21" width="10.7109375" style="8" customWidth="1"/>
    <col min="22" max="22" width="15.7109375" style="8" customWidth="1"/>
    <col min="23" max="31" width="10.7109375" style="8" customWidth="1"/>
    <col min="32" max="49" width="2.42578125" style="8" customWidth="1"/>
    <col min="50" max="54" width="10.7109375" style="8" customWidth="1"/>
    <col min="55" max="60" width="2.42578125" style="8" customWidth="1"/>
    <col min="61" max="64" width="10.7109375" style="8" customWidth="1"/>
    <col min="65" max="65" width="7.42578125" style="8" customWidth="1"/>
    <col min="66" max="69" width="2.42578125" style="3" customWidth="1"/>
    <col min="70" max="72" width="11.42578125" style="5" customWidth="1"/>
    <col min="73" max="83" width="3" style="5" customWidth="1"/>
    <col min="84" max="86" width="11.42578125" style="5" customWidth="1"/>
    <col min="87" max="98" width="11.42578125" style="5"/>
    <col min="99" max="116" width="3.5703125" style="5" customWidth="1"/>
    <col min="117" max="121" width="11.42578125" style="5"/>
    <col min="122" max="127" width="3.5703125" style="5" customWidth="1"/>
    <col min="128" max="131" width="11.42578125" style="5"/>
    <col min="132" max="132" width="6.28515625" style="5" customWidth="1"/>
    <col min="133" max="136" width="3.5703125" style="5" customWidth="1"/>
    <col min="137" max="16384" width="11.42578125" style="5"/>
  </cols>
  <sheetData>
    <row r="1" spans="1:160" s="7" customFormat="1" ht="15.75" customHeight="1" thickBot="1" x14ac:dyDescent="0.25">
      <c r="A1" s="391" t="s">
        <v>0</v>
      </c>
      <c r="B1" s="393" t="s">
        <v>34</v>
      </c>
      <c r="C1" s="388" t="s">
        <v>45</v>
      </c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90"/>
      <c r="Q1" s="388" t="s">
        <v>24</v>
      </c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89"/>
      <c r="AD1" s="389"/>
      <c r="AE1" s="389"/>
      <c r="AF1" s="389"/>
      <c r="AG1" s="389"/>
      <c r="AH1" s="389"/>
      <c r="AI1" s="389"/>
      <c r="AJ1" s="389"/>
      <c r="AK1" s="389"/>
      <c r="AL1" s="389"/>
      <c r="AM1" s="389"/>
      <c r="AN1" s="389"/>
      <c r="AO1" s="389"/>
      <c r="AP1" s="389"/>
      <c r="AQ1" s="389"/>
      <c r="AR1" s="389"/>
      <c r="AS1" s="389"/>
      <c r="AT1" s="389"/>
      <c r="AU1" s="389"/>
      <c r="AV1" s="389"/>
      <c r="AW1" s="389"/>
      <c r="AX1" s="388" t="s">
        <v>54</v>
      </c>
      <c r="AY1" s="389"/>
      <c r="AZ1" s="389"/>
      <c r="BA1" s="389"/>
      <c r="BB1" s="389"/>
      <c r="BC1" s="389"/>
      <c r="BD1" s="389"/>
      <c r="BE1" s="389"/>
      <c r="BF1" s="389"/>
      <c r="BG1" s="389"/>
      <c r="BH1" s="390"/>
      <c r="BI1" s="388" t="s">
        <v>55</v>
      </c>
      <c r="BJ1" s="389"/>
      <c r="BK1" s="389"/>
      <c r="BL1" s="389"/>
      <c r="BM1" s="389"/>
      <c r="BN1" s="389"/>
      <c r="BO1" s="389"/>
      <c r="BP1" s="389"/>
      <c r="BQ1" s="390"/>
      <c r="BR1" s="388" t="s">
        <v>81</v>
      </c>
      <c r="BS1" s="389"/>
      <c r="BT1" s="389"/>
      <c r="BU1" s="389"/>
      <c r="BV1" s="389"/>
      <c r="BW1" s="389"/>
      <c r="BX1" s="389"/>
      <c r="BY1" s="389"/>
      <c r="BZ1" s="389"/>
      <c r="CA1" s="389"/>
      <c r="CB1" s="389"/>
      <c r="CC1" s="389"/>
      <c r="CD1" s="389"/>
      <c r="CE1" s="390"/>
      <c r="CF1" s="388" t="s">
        <v>84</v>
      </c>
      <c r="CG1" s="389"/>
      <c r="CH1" s="389"/>
      <c r="CI1" s="389"/>
      <c r="CJ1" s="389"/>
      <c r="CK1" s="389"/>
      <c r="CL1" s="389"/>
      <c r="CM1" s="389"/>
      <c r="CN1" s="389"/>
      <c r="CO1" s="389"/>
      <c r="CP1" s="389"/>
      <c r="CQ1" s="389"/>
      <c r="CR1" s="389"/>
      <c r="CS1" s="389"/>
      <c r="CT1" s="389"/>
      <c r="CU1" s="389"/>
      <c r="CV1" s="389"/>
      <c r="CW1" s="389"/>
      <c r="CX1" s="389"/>
      <c r="CY1" s="389"/>
      <c r="CZ1" s="389"/>
      <c r="DA1" s="389"/>
      <c r="DB1" s="389"/>
      <c r="DC1" s="389"/>
      <c r="DD1" s="389"/>
      <c r="DE1" s="389"/>
      <c r="DF1" s="389"/>
      <c r="DG1" s="389"/>
      <c r="DH1" s="389"/>
      <c r="DI1" s="389"/>
      <c r="DJ1" s="389"/>
      <c r="DK1" s="389"/>
      <c r="DL1" s="389"/>
      <c r="DM1" s="388" t="s">
        <v>82</v>
      </c>
      <c r="DN1" s="389"/>
      <c r="DO1" s="389"/>
      <c r="DP1" s="389"/>
      <c r="DQ1" s="389"/>
      <c r="DR1" s="389"/>
      <c r="DS1" s="389"/>
      <c r="DT1" s="389"/>
      <c r="DU1" s="389"/>
      <c r="DV1" s="389"/>
      <c r="DW1" s="390"/>
      <c r="DX1" s="388" t="s">
        <v>83</v>
      </c>
      <c r="DY1" s="389"/>
      <c r="DZ1" s="389"/>
      <c r="EA1" s="389"/>
      <c r="EB1" s="389"/>
      <c r="EC1" s="389"/>
      <c r="ED1" s="389"/>
      <c r="EE1" s="389"/>
      <c r="EF1" s="390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</row>
    <row r="2" spans="1:160" s="4" customFormat="1" ht="51.75" thickBot="1" x14ac:dyDescent="0.25">
      <c r="A2" s="392"/>
      <c r="B2" s="394"/>
      <c r="C2" s="34" t="s">
        <v>85</v>
      </c>
      <c r="D2" s="34" t="s">
        <v>86</v>
      </c>
      <c r="E2" s="34" t="s">
        <v>5</v>
      </c>
      <c r="F2" s="35">
        <v>77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16" t="s">
        <v>36</v>
      </c>
      <c r="R2" s="16" t="s">
        <v>35</v>
      </c>
      <c r="S2" s="16" t="s">
        <v>19</v>
      </c>
      <c r="T2" s="16" t="s">
        <v>46</v>
      </c>
      <c r="U2" s="15" t="s">
        <v>89</v>
      </c>
      <c r="V2" s="16" t="s">
        <v>21</v>
      </c>
      <c r="W2" s="13" t="s">
        <v>37</v>
      </c>
      <c r="X2" s="13" t="s">
        <v>48</v>
      </c>
      <c r="Y2" s="16" t="s">
        <v>26</v>
      </c>
      <c r="Z2" s="16" t="s">
        <v>40</v>
      </c>
      <c r="AA2" s="16" t="s">
        <v>39</v>
      </c>
      <c r="AB2" s="16" t="s">
        <v>41</v>
      </c>
      <c r="AC2" s="15" t="s">
        <v>29</v>
      </c>
      <c r="AD2" s="15" t="s">
        <v>38</v>
      </c>
      <c r="AE2" s="15" t="s">
        <v>33</v>
      </c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3"/>
      <c r="AQ2" s="13"/>
      <c r="AR2" s="16"/>
      <c r="AS2" s="16"/>
      <c r="AT2" s="16"/>
      <c r="AU2" s="16"/>
      <c r="AV2" s="35"/>
      <c r="AW2" s="35"/>
      <c r="AX2" s="16" t="s">
        <v>49</v>
      </c>
      <c r="AY2" s="16" t="s">
        <v>50</v>
      </c>
      <c r="AZ2" s="16" t="s">
        <v>51</v>
      </c>
      <c r="BA2" s="16" t="s">
        <v>53</v>
      </c>
      <c r="BB2" s="16" t="s">
        <v>52</v>
      </c>
      <c r="BC2" s="36"/>
      <c r="BD2" s="36"/>
      <c r="BE2" s="36"/>
      <c r="BF2" s="36"/>
      <c r="BG2" s="36"/>
      <c r="BH2" s="35"/>
      <c r="BI2" s="35" t="s">
        <v>6</v>
      </c>
      <c r="BJ2" s="35" t="s">
        <v>7</v>
      </c>
      <c r="BK2" s="35" t="s">
        <v>56</v>
      </c>
      <c r="BL2" s="13" t="s">
        <v>32</v>
      </c>
      <c r="BM2" s="16" t="s">
        <v>20</v>
      </c>
      <c r="BN2" s="16"/>
      <c r="BO2" s="15"/>
      <c r="BP2" s="14"/>
      <c r="BQ2" s="13"/>
      <c r="BR2" s="55" t="s">
        <v>4</v>
      </c>
      <c r="BS2" s="55" t="s">
        <v>3</v>
      </c>
      <c r="BT2" s="55" t="s">
        <v>8</v>
      </c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7" t="s">
        <v>36</v>
      </c>
      <c r="CG2" s="57" t="s">
        <v>35</v>
      </c>
      <c r="CH2" s="57" t="s">
        <v>19</v>
      </c>
      <c r="CI2" s="57" t="s">
        <v>46</v>
      </c>
      <c r="CJ2" s="58" t="s">
        <v>47</v>
      </c>
      <c r="CK2" s="57" t="s">
        <v>21</v>
      </c>
      <c r="CL2" s="59" t="s">
        <v>37</v>
      </c>
      <c r="CM2" s="59" t="s">
        <v>48</v>
      </c>
      <c r="CN2" s="57" t="s">
        <v>26</v>
      </c>
      <c r="CO2" s="57" t="s">
        <v>40</v>
      </c>
      <c r="CP2" s="57" t="s">
        <v>39</v>
      </c>
      <c r="CQ2" s="57" t="s">
        <v>41</v>
      </c>
      <c r="CR2" s="58" t="s">
        <v>29</v>
      </c>
      <c r="CS2" s="58" t="s">
        <v>38</v>
      </c>
      <c r="CT2" s="58" t="s">
        <v>33</v>
      </c>
      <c r="CU2" s="58"/>
      <c r="CV2" s="58"/>
      <c r="CW2" s="58"/>
      <c r="CX2" s="58"/>
      <c r="CY2" s="58"/>
      <c r="CZ2" s="58"/>
      <c r="DA2" s="58"/>
      <c r="DB2" s="58"/>
      <c r="DC2" s="57"/>
      <c r="DD2" s="57"/>
      <c r="DE2" s="59"/>
      <c r="DF2" s="59"/>
      <c r="DG2" s="57"/>
      <c r="DH2" s="57"/>
      <c r="DI2" s="57"/>
      <c r="DJ2" s="57"/>
      <c r="DK2" s="56"/>
      <c r="DL2" s="56"/>
      <c r="DM2" s="57" t="s">
        <v>49</v>
      </c>
      <c r="DN2" s="57" t="s">
        <v>50</v>
      </c>
      <c r="DO2" s="57" t="s">
        <v>51</v>
      </c>
      <c r="DP2" s="57" t="s">
        <v>53</v>
      </c>
      <c r="DQ2" s="57" t="s">
        <v>52</v>
      </c>
      <c r="DR2" s="60"/>
      <c r="DS2" s="60"/>
      <c r="DT2" s="60"/>
      <c r="DU2" s="60"/>
      <c r="DV2" s="60"/>
      <c r="DW2" s="56"/>
      <c r="DX2" s="56" t="s">
        <v>6</v>
      </c>
      <c r="DY2" s="56" t="s">
        <v>7</v>
      </c>
      <c r="DZ2" s="56" t="s">
        <v>56</v>
      </c>
      <c r="EA2" s="59" t="s">
        <v>32</v>
      </c>
      <c r="EB2" s="57" t="s">
        <v>20</v>
      </c>
      <c r="EC2" s="57"/>
      <c r="ED2" s="58"/>
      <c r="EE2" s="61"/>
      <c r="EF2" s="59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</row>
    <row r="3" spans="1:160" s="9" customFormat="1" ht="16.5" customHeight="1" x14ac:dyDescent="0.2">
      <c r="A3" s="398"/>
      <c r="B3" s="399"/>
      <c r="C3" s="25"/>
      <c r="D3" s="26"/>
      <c r="E3" s="26"/>
      <c r="F3" s="26"/>
      <c r="G3" s="26"/>
      <c r="H3" s="26"/>
      <c r="I3" s="26"/>
      <c r="J3" s="26"/>
      <c r="K3" s="26"/>
      <c r="L3" s="26"/>
      <c r="M3" s="27"/>
      <c r="N3" s="27"/>
      <c r="O3" s="26"/>
      <c r="P3" s="28"/>
      <c r="Q3" s="25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9"/>
      <c r="AV3" s="29"/>
      <c r="AW3" s="30"/>
      <c r="AX3" s="31"/>
      <c r="AY3" s="29"/>
      <c r="AZ3" s="29"/>
      <c r="BA3" s="29"/>
      <c r="BB3" s="29"/>
      <c r="BC3" s="29"/>
      <c r="BD3" s="29"/>
      <c r="BE3" s="29"/>
      <c r="BF3" s="29"/>
      <c r="BG3" s="29"/>
      <c r="BH3" s="30"/>
      <c r="BI3" s="31"/>
      <c r="BJ3" s="29"/>
      <c r="BK3" s="29"/>
      <c r="BL3" s="32"/>
      <c r="BM3" s="32"/>
      <c r="BN3" s="32"/>
      <c r="BO3" s="32"/>
      <c r="BP3" s="32"/>
      <c r="BQ3" s="33"/>
      <c r="BR3" s="25"/>
      <c r="BS3" s="26"/>
      <c r="BT3" s="26"/>
      <c r="BU3" s="26"/>
      <c r="BV3" s="26"/>
      <c r="BW3" s="26"/>
      <c r="BX3" s="26"/>
      <c r="BY3" s="26"/>
      <c r="BZ3" s="26"/>
      <c r="CA3" s="26"/>
      <c r="CB3" s="27"/>
      <c r="CC3" s="27"/>
      <c r="CD3" s="26"/>
      <c r="CE3" s="28"/>
      <c r="CF3" s="25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9"/>
      <c r="DK3" s="29"/>
      <c r="DL3" s="30"/>
      <c r="DM3" s="31"/>
      <c r="DN3" s="29"/>
      <c r="DO3" s="29"/>
      <c r="DP3" s="29"/>
      <c r="DQ3" s="29"/>
      <c r="DR3" s="29"/>
      <c r="DS3" s="29"/>
      <c r="DT3" s="29"/>
      <c r="DU3" s="29"/>
      <c r="DV3" s="29"/>
      <c r="DW3" s="30"/>
      <c r="DX3" s="31"/>
      <c r="DY3" s="29"/>
      <c r="DZ3" s="29"/>
      <c r="EA3" s="32"/>
      <c r="EB3" s="32"/>
      <c r="EC3" s="32"/>
      <c r="ED3" s="32"/>
      <c r="EE3" s="32"/>
      <c r="EF3" s="33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</row>
    <row r="4" spans="1:160" s="2" customFormat="1" ht="16.5" customHeight="1" x14ac:dyDescent="0.2">
      <c r="A4" s="18" t="e">
        <f>Lentilles!#REF!</f>
        <v>#REF!</v>
      </c>
      <c r="B4" s="20" t="e">
        <f>Lentilles!#REF!</f>
        <v>#REF!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12"/>
      <c r="Q4" s="105"/>
      <c r="R4" s="105"/>
      <c r="S4" s="106"/>
      <c r="T4" s="105"/>
      <c r="U4" s="105"/>
      <c r="V4" s="119"/>
      <c r="W4" s="105"/>
      <c r="X4" s="110"/>
      <c r="Y4" s="110"/>
      <c r="Z4" s="110"/>
      <c r="AA4" s="110"/>
      <c r="AB4" s="110"/>
      <c r="AC4" s="110"/>
      <c r="AD4" s="110"/>
      <c r="AE4" s="120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12"/>
      <c r="AX4" s="104"/>
      <c r="AY4" s="105"/>
      <c r="AZ4" s="106"/>
      <c r="BA4" s="105"/>
      <c r="BB4" s="105"/>
      <c r="BC4" s="105"/>
      <c r="BD4" s="105"/>
      <c r="BE4" s="105"/>
      <c r="BF4" s="105"/>
      <c r="BG4" s="105"/>
      <c r="BH4" s="112"/>
      <c r="BI4" s="104"/>
      <c r="BJ4" s="105"/>
      <c r="BK4" s="105"/>
      <c r="BL4" s="105"/>
      <c r="BM4" s="105"/>
      <c r="BN4" s="106"/>
      <c r="BO4" s="106"/>
      <c r="BP4" s="105"/>
      <c r="BQ4" s="112"/>
      <c r="BR4" s="104"/>
      <c r="BS4" s="105"/>
      <c r="BT4" s="121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12"/>
      <c r="CF4" s="121"/>
      <c r="CG4" s="105"/>
      <c r="CH4" s="105"/>
      <c r="CI4" s="105"/>
      <c r="CJ4" s="105"/>
      <c r="CK4" s="119"/>
      <c r="CL4" s="121"/>
      <c r="CM4" s="110"/>
      <c r="CN4" s="110"/>
      <c r="CO4" s="110"/>
      <c r="CP4" s="110"/>
      <c r="CQ4" s="110"/>
      <c r="CR4" s="110"/>
      <c r="CS4" s="110"/>
      <c r="CT4" s="120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12"/>
      <c r="DM4" s="104"/>
      <c r="DN4" s="105"/>
      <c r="DO4" s="121"/>
      <c r="DP4" s="105"/>
      <c r="DQ4" s="105"/>
      <c r="DR4" s="105"/>
      <c r="DS4" s="105"/>
      <c r="DT4" s="105"/>
      <c r="DU4" s="105"/>
      <c r="DV4" s="105"/>
      <c r="DW4" s="112"/>
      <c r="DX4" s="104"/>
      <c r="DY4" s="105"/>
      <c r="DZ4" s="105"/>
      <c r="EA4" s="105"/>
      <c r="EB4" s="105"/>
      <c r="EC4" s="106"/>
      <c r="ED4" s="106"/>
      <c r="EE4" s="105"/>
      <c r="EF4" s="112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</row>
    <row r="5" spans="1:160" s="9" customFormat="1" ht="18" customHeight="1" x14ac:dyDescent="0.2">
      <c r="A5" s="17" t="e">
        <f>Lentilles!#REF!</f>
        <v>#REF!</v>
      </c>
      <c r="B5" s="20" t="e">
        <f>Lentilles!#REF!</f>
        <v>#REF!</v>
      </c>
      <c r="C5" s="109"/>
      <c r="D5" s="110"/>
      <c r="E5" s="105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8"/>
      <c r="Q5" s="105"/>
      <c r="R5" s="105"/>
      <c r="S5" s="106">
        <v>1222</v>
      </c>
      <c r="T5" s="110"/>
      <c r="U5" s="105"/>
      <c r="V5" s="110"/>
      <c r="W5" s="105"/>
      <c r="X5" s="110"/>
      <c r="Y5" s="110"/>
      <c r="Z5" s="110"/>
      <c r="AA5" s="110"/>
      <c r="AB5" s="105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20"/>
      <c r="AQ5" s="110"/>
      <c r="AR5" s="110"/>
      <c r="AS5" s="110"/>
      <c r="AT5" s="110"/>
      <c r="AU5" s="110"/>
      <c r="AV5" s="110"/>
      <c r="AW5" s="118"/>
      <c r="AX5" s="109"/>
      <c r="AY5" s="110"/>
      <c r="AZ5" s="106">
        <v>2765</v>
      </c>
      <c r="BA5" s="110"/>
      <c r="BB5" s="110"/>
      <c r="BC5" s="110"/>
      <c r="BD5" s="110"/>
      <c r="BE5" s="110"/>
      <c r="BF5" s="110"/>
      <c r="BG5" s="110"/>
      <c r="BH5" s="118"/>
      <c r="BI5" s="109"/>
      <c r="BJ5" s="110"/>
      <c r="BK5" s="110">
        <v>21750</v>
      </c>
      <c r="BL5" s="110"/>
      <c r="BM5" s="110"/>
      <c r="BN5" s="111"/>
      <c r="BO5" s="111"/>
      <c r="BP5" s="110"/>
      <c r="BQ5" s="118"/>
      <c r="BR5" s="109"/>
      <c r="BS5" s="110"/>
      <c r="BT5" s="121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8"/>
      <c r="CF5" s="121"/>
      <c r="CG5" s="122"/>
      <c r="CH5" s="105"/>
      <c r="CI5" s="110"/>
      <c r="CJ5" s="105"/>
      <c r="CK5" s="110"/>
      <c r="CL5" s="121"/>
      <c r="CM5" s="110"/>
      <c r="CN5" s="110"/>
      <c r="CO5" s="110"/>
      <c r="CP5" s="110"/>
      <c r="CQ5" s="105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20"/>
      <c r="DF5" s="110"/>
      <c r="DG5" s="110"/>
      <c r="DH5" s="110"/>
      <c r="DI5" s="110"/>
      <c r="DJ5" s="110"/>
      <c r="DK5" s="110"/>
      <c r="DL5" s="118"/>
      <c r="DM5" s="109"/>
      <c r="DN5" s="110"/>
      <c r="DO5" s="121">
        <v>3</v>
      </c>
      <c r="DP5" s="110"/>
      <c r="DQ5" s="110"/>
      <c r="DR5" s="110"/>
      <c r="DS5" s="110"/>
      <c r="DT5" s="110"/>
      <c r="DU5" s="110"/>
      <c r="DV5" s="110"/>
      <c r="DW5" s="118"/>
      <c r="DX5" s="109"/>
      <c r="DY5" s="110"/>
      <c r="DZ5" s="110">
        <v>21</v>
      </c>
      <c r="EA5" s="110"/>
      <c r="EB5" s="110"/>
      <c r="EC5" s="111"/>
      <c r="ED5" s="111"/>
      <c r="EE5" s="110"/>
      <c r="EF5" s="118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</row>
    <row r="6" spans="1:160" s="2" customFormat="1" ht="16.5" customHeight="1" x14ac:dyDescent="0.2">
      <c r="A6" s="18" t="e">
        <f>Lentilles!#REF!</f>
        <v>#REF!</v>
      </c>
      <c r="B6" s="20" t="e">
        <f>Lentilles!#REF!</f>
        <v>#REF!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12"/>
      <c r="Q6" s="105">
        <v>23920</v>
      </c>
      <c r="R6" s="105"/>
      <c r="S6" s="106"/>
      <c r="T6" s="105"/>
      <c r="U6" s="105"/>
      <c r="V6" s="110"/>
      <c r="W6" s="105"/>
      <c r="X6" s="105">
        <v>23880</v>
      </c>
      <c r="Y6" s="110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12"/>
      <c r="AX6" s="104"/>
      <c r="AY6" s="105"/>
      <c r="AZ6" s="106">
        <v>23170</v>
      </c>
      <c r="BA6" s="105"/>
      <c r="BB6" s="105"/>
      <c r="BC6" s="105"/>
      <c r="BD6" s="105"/>
      <c r="BE6" s="105"/>
      <c r="BF6" s="105"/>
      <c r="BG6" s="105"/>
      <c r="BH6" s="112"/>
      <c r="BI6" s="104"/>
      <c r="BJ6" s="105"/>
      <c r="BK6" s="105"/>
      <c r="BL6" s="105"/>
      <c r="BM6" s="105"/>
      <c r="BN6" s="106"/>
      <c r="BO6" s="106"/>
      <c r="BP6" s="105"/>
      <c r="BQ6" s="112"/>
      <c r="BR6" s="104"/>
      <c r="BS6" s="105"/>
      <c r="BT6" s="121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12"/>
      <c r="CF6" s="121">
        <v>20</v>
      </c>
      <c r="CG6" s="122"/>
      <c r="CH6" s="105">
        <f>4+22</f>
        <v>26</v>
      </c>
      <c r="CI6" s="105"/>
      <c r="CJ6" s="105"/>
      <c r="CK6" s="110"/>
      <c r="CL6" s="121"/>
      <c r="CM6" s="105">
        <v>20</v>
      </c>
      <c r="CN6" s="110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12"/>
      <c r="DM6" s="104"/>
      <c r="DN6" s="105"/>
      <c r="DO6" s="121">
        <v>22</v>
      </c>
      <c r="DP6" s="105"/>
      <c r="DQ6" s="105"/>
      <c r="DR6" s="105"/>
      <c r="DS6" s="105"/>
      <c r="DT6" s="105"/>
      <c r="DU6" s="105"/>
      <c r="DV6" s="105"/>
      <c r="DW6" s="112"/>
      <c r="DX6" s="104"/>
      <c r="DY6" s="105"/>
      <c r="DZ6" s="105"/>
      <c r="EA6" s="105"/>
      <c r="EB6" s="105"/>
      <c r="EC6" s="106"/>
      <c r="ED6" s="106"/>
      <c r="EE6" s="105"/>
      <c r="EF6" s="112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</row>
    <row r="7" spans="1:160" s="9" customFormat="1" ht="16.5" customHeight="1" x14ac:dyDescent="0.2">
      <c r="A7" s="17" t="e">
        <f>Lentilles!#REF!</f>
        <v>#REF!</v>
      </c>
      <c r="B7" s="20" t="e">
        <f>Lentilles!#REF!</f>
        <v>#REF!</v>
      </c>
      <c r="C7" s="109"/>
      <c r="D7" s="110"/>
      <c r="E7" s="105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8"/>
      <c r="Q7" s="105"/>
      <c r="R7" s="105"/>
      <c r="S7" s="106"/>
      <c r="T7" s="110"/>
      <c r="U7" s="105"/>
      <c r="V7" s="110"/>
      <c r="W7" s="105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8"/>
      <c r="AX7" s="109"/>
      <c r="AY7" s="110"/>
      <c r="AZ7" s="106"/>
      <c r="BA7" s="110"/>
      <c r="BB7" s="110"/>
      <c r="BC7" s="110"/>
      <c r="BD7" s="110"/>
      <c r="BE7" s="110"/>
      <c r="BF7" s="110"/>
      <c r="BG7" s="110"/>
      <c r="BH7" s="118"/>
      <c r="BI7" s="109"/>
      <c r="BJ7" s="110"/>
      <c r="BK7" s="110"/>
      <c r="BL7" s="110"/>
      <c r="BM7" s="110"/>
      <c r="BN7" s="111"/>
      <c r="BO7" s="111"/>
      <c r="BP7" s="110"/>
      <c r="BQ7" s="118"/>
      <c r="BR7" s="121"/>
      <c r="BS7" s="110"/>
      <c r="BT7" s="121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8"/>
      <c r="CF7" s="121"/>
      <c r="CG7" s="122"/>
      <c r="CH7" s="122"/>
      <c r="CI7" s="110"/>
      <c r="CJ7" s="105"/>
      <c r="CK7" s="110"/>
      <c r="CL7" s="121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8"/>
      <c r="DM7" s="109"/>
      <c r="DN7" s="110"/>
      <c r="DO7" s="121"/>
      <c r="DP7" s="110"/>
      <c r="DQ7" s="110"/>
      <c r="DR7" s="110"/>
      <c r="DS7" s="110"/>
      <c r="DT7" s="110"/>
      <c r="DU7" s="110"/>
      <c r="DV7" s="110"/>
      <c r="DW7" s="118"/>
      <c r="DX7" s="109"/>
      <c r="DY7" s="110"/>
      <c r="DZ7" s="110"/>
      <c r="EA7" s="110"/>
      <c r="EB7" s="110"/>
      <c r="EC7" s="111"/>
      <c r="ED7" s="111"/>
      <c r="EE7" s="110"/>
      <c r="EF7" s="118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</row>
    <row r="8" spans="1:160" s="2" customFormat="1" ht="16.5" customHeight="1" x14ac:dyDescent="0.2">
      <c r="A8" s="18" t="e">
        <f>Lentilles!#REF!</f>
        <v>#REF!</v>
      </c>
      <c r="B8" s="20" t="e">
        <f>Lentilles!#REF!</f>
        <v>#REF!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10"/>
      <c r="N8" s="105"/>
      <c r="O8" s="105"/>
      <c r="P8" s="112"/>
      <c r="Q8" s="105"/>
      <c r="R8" s="105"/>
      <c r="S8" s="106"/>
      <c r="T8" s="105"/>
      <c r="U8" s="105"/>
      <c r="V8" s="105"/>
      <c r="W8" s="105"/>
      <c r="X8" s="105"/>
      <c r="Y8" s="110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12"/>
      <c r="AX8" s="104"/>
      <c r="AY8" s="105"/>
      <c r="AZ8" s="106"/>
      <c r="BA8" s="105"/>
      <c r="BB8" s="105"/>
      <c r="BC8" s="105"/>
      <c r="BD8" s="105"/>
      <c r="BE8" s="105"/>
      <c r="BF8" s="105"/>
      <c r="BG8" s="105"/>
      <c r="BH8" s="112"/>
      <c r="BI8" s="104"/>
      <c r="BJ8" s="105"/>
      <c r="BK8" s="105"/>
      <c r="BL8" s="105"/>
      <c r="BM8" s="105"/>
      <c r="BN8" s="106"/>
      <c r="BO8" s="106"/>
      <c r="BP8" s="105"/>
      <c r="BQ8" s="112"/>
      <c r="BR8" s="104"/>
      <c r="BS8" s="105"/>
      <c r="BT8" s="121"/>
      <c r="BU8" s="105"/>
      <c r="BV8" s="105"/>
      <c r="BW8" s="105"/>
      <c r="BX8" s="105"/>
      <c r="BY8" s="105"/>
      <c r="BZ8" s="105"/>
      <c r="CA8" s="105"/>
      <c r="CB8" s="110"/>
      <c r="CC8" s="105"/>
      <c r="CD8" s="105"/>
      <c r="CE8" s="112"/>
      <c r="CF8" s="121"/>
      <c r="CG8" s="122"/>
      <c r="CH8" s="105"/>
      <c r="CI8" s="105"/>
      <c r="CJ8" s="105"/>
      <c r="CK8" s="105"/>
      <c r="CL8" s="121"/>
      <c r="CM8" s="105"/>
      <c r="CN8" s="110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12"/>
      <c r="DM8" s="104"/>
      <c r="DN8" s="105"/>
      <c r="DO8" s="121"/>
      <c r="DP8" s="105"/>
      <c r="DQ8" s="105"/>
      <c r="DR8" s="105"/>
      <c r="DS8" s="105"/>
      <c r="DT8" s="105"/>
      <c r="DU8" s="105"/>
      <c r="DV8" s="105"/>
      <c r="DW8" s="112"/>
      <c r="DX8" s="104"/>
      <c r="DY8" s="105"/>
      <c r="DZ8" s="105"/>
      <c r="EA8" s="105"/>
      <c r="EB8" s="105"/>
      <c r="EC8" s="106"/>
      <c r="ED8" s="106"/>
      <c r="EE8" s="105"/>
      <c r="EF8" s="112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</row>
    <row r="9" spans="1:160" s="9" customFormat="1" ht="16.5" customHeight="1" x14ac:dyDescent="0.2">
      <c r="A9" s="18" t="e">
        <f>Lentilles!#REF!</f>
        <v>#REF!</v>
      </c>
      <c r="B9" s="20" t="e">
        <f>Lentilles!#REF!</f>
        <v>#REF!</v>
      </c>
      <c r="C9" s="109"/>
      <c r="D9" s="105"/>
      <c r="E9" s="105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8"/>
      <c r="Q9" s="105"/>
      <c r="R9" s="105"/>
      <c r="S9" s="106">
        <v>620</v>
      </c>
      <c r="T9" s="110"/>
      <c r="U9" s="105"/>
      <c r="V9" s="120"/>
      <c r="W9" s="105">
        <f>7170+4780</f>
        <v>11950</v>
      </c>
      <c r="X9" s="110"/>
      <c r="Y9" s="110">
        <v>7940</v>
      </c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8"/>
      <c r="AX9" s="109"/>
      <c r="AY9" s="110"/>
      <c r="AZ9" s="106"/>
      <c r="BA9" s="110"/>
      <c r="BB9" s="110"/>
      <c r="BC9" s="110"/>
      <c r="BD9" s="110"/>
      <c r="BE9" s="110"/>
      <c r="BF9" s="110"/>
      <c r="BG9" s="110"/>
      <c r="BH9" s="118"/>
      <c r="BI9" s="109"/>
      <c r="BJ9" s="110"/>
      <c r="BK9" s="110"/>
      <c r="BL9" s="110"/>
      <c r="BM9" s="110"/>
      <c r="BN9" s="111"/>
      <c r="BO9" s="111"/>
      <c r="BP9" s="110"/>
      <c r="BQ9" s="118"/>
      <c r="BR9" s="109"/>
      <c r="BS9" s="105"/>
      <c r="BT9" s="121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8"/>
      <c r="CF9" s="121"/>
      <c r="CG9" s="122"/>
      <c r="CH9" s="122"/>
      <c r="CI9" s="110"/>
      <c r="CJ9" s="105"/>
      <c r="CK9" s="133"/>
      <c r="CL9" s="121">
        <f>4+6</f>
        <v>10</v>
      </c>
      <c r="CM9" s="110"/>
      <c r="CN9" s="110">
        <v>8</v>
      </c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8"/>
      <c r="DM9" s="109"/>
      <c r="DN9" s="110"/>
      <c r="DO9" s="121"/>
      <c r="DP9" s="110"/>
      <c r="DQ9" s="110"/>
      <c r="DR9" s="110"/>
      <c r="DS9" s="110"/>
      <c r="DT9" s="110"/>
      <c r="DU9" s="110"/>
      <c r="DV9" s="110"/>
      <c r="DW9" s="118"/>
      <c r="DX9" s="109"/>
      <c r="DY9" s="110"/>
      <c r="DZ9" s="110"/>
      <c r="EA9" s="110"/>
      <c r="EB9" s="110"/>
      <c r="EC9" s="111"/>
      <c r="ED9" s="111"/>
      <c r="EE9" s="110"/>
      <c r="EF9" s="118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</row>
    <row r="10" spans="1:160" s="9" customFormat="1" ht="16.5" customHeight="1" x14ac:dyDescent="0.2">
      <c r="A10" s="18" t="e">
        <f>Lentilles!#REF!</f>
        <v>#REF!</v>
      </c>
      <c r="B10" s="20" t="e">
        <f>Lentilles!#REF!</f>
        <v>#REF!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12"/>
      <c r="Q10" s="105"/>
      <c r="R10" s="105">
        <v>100</v>
      </c>
      <c r="S10" s="106"/>
      <c r="T10" s="105"/>
      <c r="U10" s="105">
        <v>23920</v>
      </c>
      <c r="V10" s="105"/>
      <c r="W10" s="105">
        <v>19140</v>
      </c>
      <c r="X10" s="105"/>
      <c r="Y10" s="110">
        <v>3900</v>
      </c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12"/>
      <c r="AX10" s="104"/>
      <c r="AY10" s="105"/>
      <c r="AZ10" s="106"/>
      <c r="BA10" s="105"/>
      <c r="BB10" s="105"/>
      <c r="BC10" s="105"/>
      <c r="BD10" s="105"/>
      <c r="BE10" s="105"/>
      <c r="BF10" s="105"/>
      <c r="BG10" s="105"/>
      <c r="BH10" s="112"/>
      <c r="BI10" s="104"/>
      <c r="BJ10" s="105"/>
      <c r="BK10" s="105">
        <v>23990</v>
      </c>
      <c r="BL10" s="105"/>
      <c r="BM10" s="105"/>
      <c r="BN10" s="106"/>
      <c r="BO10" s="106"/>
      <c r="BP10" s="105"/>
      <c r="BQ10" s="112"/>
      <c r="BR10" s="104"/>
      <c r="BS10" s="105"/>
      <c r="BT10" s="121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12"/>
      <c r="CF10" s="121"/>
      <c r="CG10" s="122">
        <v>1</v>
      </c>
      <c r="CH10" s="105">
        <v>2</v>
      </c>
      <c r="CI10" s="105"/>
      <c r="CJ10" s="105">
        <v>20</v>
      </c>
      <c r="CK10" s="105"/>
      <c r="CL10" s="121">
        <v>16</v>
      </c>
      <c r="CM10" s="105"/>
      <c r="CN10" s="105">
        <v>4</v>
      </c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12"/>
      <c r="DM10" s="104"/>
      <c r="DN10" s="105"/>
      <c r="DO10" s="121">
        <v>22</v>
      </c>
      <c r="DP10" s="105"/>
      <c r="DQ10" s="105"/>
      <c r="DR10" s="105"/>
      <c r="DS10" s="105"/>
      <c r="DT10" s="105"/>
      <c r="DU10" s="105"/>
      <c r="DV10" s="105"/>
      <c r="DW10" s="112"/>
      <c r="DX10" s="104"/>
      <c r="DY10" s="105"/>
      <c r="DZ10" s="105">
        <v>22</v>
      </c>
      <c r="EA10" s="105"/>
      <c r="EB10" s="105"/>
      <c r="EC10" s="106"/>
      <c r="ED10" s="106"/>
      <c r="EE10" s="105"/>
      <c r="EF10" s="112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</row>
    <row r="11" spans="1:160" s="9" customFormat="1" ht="16.5" customHeight="1" x14ac:dyDescent="0.2">
      <c r="A11" s="18" t="e">
        <f>Lentilles!#REF!</f>
        <v>#REF!</v>
      </c>
      <c r="B11" s="20" t="e">
        <f>Lentilles!#REF!</f>
        <v>#REF!</v>
      </c>
      <c r="C11" s="104"/>
      <c r="D11" s="105"/>
      <c r="E11" s="105">
        <v>22290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12"/>
      <c r="Q11" s="105"/>
      <c r="R11" s="105"/>
      <c r="S11" s="106">
        <v>29040</v>
      </c>
      <c r="T11" s="105"/>
      <c r="U11" s="105"/>
      <c r="V11" s="105"/>
      <c r="W11" s="105"/>
      <c r="X11" s="105"/>
      <c r="Y11" s="110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12"/>
      <c r="AX11" s="104"/>
      <c r="AY11" s="106"/>
      <c r="AZ11" s="106">
        <f>23050+21990</f>
        <v>45040</v>
      </c>
      <c r="BA11" s="106"/>
      <c r="BB11" s="106"/>
      <c r="BC11" s="106"/>
      <c r="BD11" s="106"/>
      <c r="BE11" s="106"/>
      <c r="BF11" s="106"/>
      <c r="BG11" s="106"/>
      <c r="BH11" s="107"/>
      <c r="BI11" s="123"/>
      <c r="BJ11" s="106"/>
      <c r="BK11" s="106"/>
      <c r="BL11" s="106"/>
      <c r="BM11" s="106"/>
      <c r="BN11" s="106"/>
      <c r="BO11" s="106"/>
      <c r="BP11" s="106"/>
      <c r="BQ11" s="107"/>
      <c r="BR11" s="104"/>
      <c r="BS11" s="105"/>
      <c r="BT11" s="121">
        <v>24</v>
      </c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12"/>
      <c r="CF11" s="121"/>
      <c r="CG11" s="122"/>
      <c r="CH11" s="105">
        <v>29</v>
      </c>
      <c r="CI11" s="105"/>
      <c r="CJ11" s="105"/>
      <c r="CK11" s="105"/>
      <c r="CL11" s="121"/>
      <c r="CM11" s="105"/>
      <c r="CN11" s="110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12"/>
      <c r="DM11" s="104"/>
      <c r="DN11" s="106"/>
      <c r="DO11" s="121">
        <v>22</v>
      </c>
      <c r="DP11" s="106"/>
      <c r="DQ11" s="106"/>
      <c r="DR11" s="106"/>
      <c r="DS11" s="106"/>
      <c r="DT11" s="106"/>
      <c r="DU11" s="106"/>
      <c r="DV11" s="106"/>
      <c r="DW11" s="107"/>
      <c r="DX11" s="123"/>
      <c r="DY11" s="106"/>
      <c r="DZ11" s="106"/>
      <c r="EA11" s="106"/>
      <c r="EB11" s="106"/>
      <c r="EC11" s="106"/>
      <c r="ED11" s="106"/>
      <c r="EE11" s="106"/>
      <c r="EF11" s="107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</row>
    <row r="12" spans="1:160" s="1" customFormat="1" ht="16.5" customHeight="1" x14ac:dyDescent="0.2">
      <c r="A12" s="18" t="e">
        <f>Lentilles!#REF!</f>
        <v>#REF!</v>
      </c>
      <c r="B12" s="20" t="e">
        <f>Lentilles!#REF!</f>
        <v>#REF!</v>
      </c>
      <c r="C12" s="104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6"/>
      <c r="P12" s="112"/>
      <c r="Q12" s="105">
        <f>23920 + 1000</f>
        <v>24920</v>
      </c>
      <c r="R12" s="105">
        <v>23920</v>
      </c>
      <c r="S12" s="106">
        <f>24140+1204</f>
        <v>25344</v>
      </c>
      <c r="T12" s="105"/>
      <c r="U12" s="105"/>
      <c r="V12" s="105"/>
      <c r="W12" s="105"/>
      <c r="X12" s="105"/>
      <c r="Y12" s="110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12"/>
      <c r="AX12" s="104"/>
      <c r="AY12" s="105"/>
      <c r="AZ12" s="106"/>
      <c r="BA12" s="105"/>
      <c r="BB12" s="105"/>
      <c r="BC12" s="105"/>
      <c r="BD12" s="105"/>
      <c r="BE12" s="105"/>
      <c r="BF12" s="105"/>
      <c r="BG12" s="105"/>
      <c r="BH12" s="112"/>
      <c r="BI12" s="104"/>
      <c r="BJ12" s="105"/>
      <c r="BK12" s="105"/>
      <c r="BL12" s="105"/>
      <c r="BM12" s="105"/>
      <c r="BN12" s="106"/>
      <c r="BO12" s="106"/>
      <c r="BP12" s="105"/>
      <c r="BQ12" s="112"/>
      <c r="BR12" s="104"/>
      <c r="BS12" s="105"/>
      <c r="BT12" s="121"/>
      <c r="BU12" s="105"/>
      <c r="BV12" s="105"/>
      <c r="BW12" s="105"/>
      <c r="BX12" s="105"/>
      <c r="BY12" s="105"/>
      <c r="BZ12" s="105"/>
      <c r="CA12" s="105"/>
      <c r="CB12" s="105"/>
      <c r="CC12" s="105"/>
      <c r="CD12" s="106"/>
      <c r="CE12" s="112"/>
      <c r="CF12" s="122">
        <v>21</v>
      </c>
      <c r="CG12" s="122">
        <v>20</v>
      </c>
      <c r="CH12" s="105">
        <f>24+4</f>
        <v>28</v>
      </c>
      <c r="CI12" s="105"/>
      <c r="CJ12" s="105"/>
      <c r="CK12" s="105"/>
      <c r="CL12" s="121"/>
      <c r="CM12" s="105"/>
      <c r="CN12" s="110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12"/>
      <c r="DM12" s="104"/>
      <c r="DN12" s="105"/>
      <c r="DO12" s="121"/>
      <c r="DP12" s="105"/>
      <c r="DQ12" s="105"/>
      <c r="DR12" s="105"/>
      <c r="DS12" s="105"/>
      <c r="DT12" s="105"/>
      <c r="DU12" s="105"/>
      <c r="DV12" s="105"/>
      <c r="DW12" s="112"/>
      <c r="DX12" s="104"/>
      <c r="DY12" s="105"/>
      <c r="DZ12" s="105"/>
      <c r="EA12" s="105"/>
      <c r="EB12" s="105"/>
      <c r="EC12" s="106"/>
      <c r="ED12" s="106"/>
      <c r="EE12" s="105"/>
      <c r="EF12" s="112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</row>
    <row r="13" spans="1:160" s="1" customFormat="1" ht="16.5" customHeight="1" x14ac:dyDescent="0.2">
      <c r="A13" s="18" t="e">
        <f>Lentilles!#REF!</f>
        <v>#REF!</v>
      </c>
      <c r="B13" s="20" t="e">
        <f>Lentilles!#REF!</f>
        <v>#REF!</v>
      </c>
      <c r="C13" s="104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6"/>
      <c r="P13" s="112"/>
      <c r="Q13" s="105"/>
      <c r="R13" s="105"/>
      <c r="S13" s="105">
        <f>903+401</f>
        <v>1304</v>
      </c>
      <c r="T13" s="105"/>
      <c r="U13" s="105">
        <v>401</v>
      </c>
      <c r="V13" s="105"/>
      <c r="W13" s="105"/>
      <c r="X13" s="105"/>
      <c r="Y13" s="110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12"/>
      <c r="AX13" s="104"/>
      <c r="AY13" s="105"/>
      <c r="AZ13" s="106"/>
      <c r="BA13" s="105"/>
      <c r="BB13" s="105"/>
      <c r="BC13" s="105"/>
      <c r="BD13" s="105"/>
      <c r="BE13" s="105"/>
      <c r="BF13" s="105"/>
      <c r="BG13" s="105"/>
      <c r="BH13" s="112"/>
      <c r="BI13" s="104"/>
      <c r="BJ13" s="105"/>
      <c r="BK13" s="105"/>
      <c r="BL13" s="105"/>
      <c r="BM13" s="105"/>
      <c r="BN13" s="106"/>
      <c r="BO13" s="106"/>
      <c r="BP13" s="105"/>
      <c r="BQ13" s="112"/>
      <c r="BR13" s="104"/>
      <c r="BS13" s="105"/>
      <c r="BT13" s="121"/>
      <c r="BU13" s="105"/>
      <c r="BV13" s="105"/>
      <c r="BW13" s="105"/>
      <c r="BX13" s="105"/>
      <c r="BY13" s="105"/>
      <c r="BZ13" s="105"/>
      <c r="CA13" s="105"/>
      <c r="CB13" s="105"/>
      <c r="CC13" s="105"/>
      <c r="CD13" s="106"/>
      <c r="CE13" s="112"/>
      <c r="CF13" s="121"/>
      <c r="CG13" s="122"/>
      <c r="CH13" s="105">
        <v>3</v>
      </c>
      <c r="CI13" s="105"/>
      <c r="CJ13" s="105"/>
      <c r="CK13" s="105"/>
      <c r="CL13" s="121"/>
      <c r="CM13" s="105"/>
      <c r="CN13" s="110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12"/>
      <c r="DM13" s="104"/>
      <c r="DN13" s="105"/>
      <c r="DO13" s="121"/>
      <c r="DP13" s="105"/>
      <c r="DQ13" s="105"/>
      <c r="DR13" s="105"/>
      <c r="DS13" s="105"/>
      <c r="DT13" s="105"/>
      <c r="DU13" s="105"/>
      <c r="DV13" s="105"/>
      <c r="DW13" s="112"/>
      <c r="DX13" s="104"/>
      <c r="DY13" s="105"/>
      <c r="DZ13" s="105"/>
      <c r="EA13" s="105"/>
      <c r="EB13" s="105"/>
      <c r="EC13" s="106"/>
      <c r="ED13" s="106"/>
      <c r="EE13" s="105"/>
      <c r="EF13" s="112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</row>
    <row r="14" spans="1:160" s="1" customFormat="1" ht="16.5" customHeight="1" x14ac:dyDescent="0.2">
      <c r="A14" s="18" t="e">
        <f>Lentilles!#REF!</f>
        <v>#REF!</v>
      </c>
      <c r="B14" s="20" t="e">
        <f>Lentilles!#REF!</f>
        <v>#REF!</v>
      </c>
      <c r="C14" s="104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12"/>
      <c r="Q14" s="105"/>
      <c r="R14" s="105"/>
      <c r="S14" s="106"/>
      <c r="T14" s="105"/>
      <c r="U14" s="105"/>
      <c r="V14" s="105"/>
      <c r="W14" s="105"/>
      <c r="X14" s="105"/>
      <c r="Y14" s="110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12"/>
      <c r="AX14" s="104"/>
      <c r="AY14" s="105"/>
      <c r="AZ14" s="106"/>
      <c r="BA14" s="105"/>
      <c r="BB14" s="105"/>
      <c r="BC14" s="105"/>
      <c r="BD14" s="105"/>
      <c r="BE14" s="105"/>
      <c r="BF14" s="105"/>
      <c r="BG14" s="105"/>
      <c r="BH14" s="112"/>
      <c r="BI14" s="104"/>
      <c r="BJ14" s="105"/>
      <c r="BK14" s="105"/>
      <c r="BL14" s="105"/>
      <c r="BM14" s="105"/>
      <c r="BN14" s="106"/>
      <c r="BO14" s="106"/>
      <c r="BP14" s="105"/>
      <c r="BQ14" s="112"/>
      <c r="BR14" s="104"/>
      <c r="BS14" s="105"/>
      <c r="BT14" s="121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12"/>
      <c r="CF14" s="121"/>
      <c r="CG14" s="122"/>
      <c r="CH14" s="122"/>
      <c r="CI14" s="105"/>
      <c r="CJ14" s="105"/>
      <c r="CK14" s="105"/>
      <c r="CL14" s="121"/>
      <c r="CM14" s="105"/>
      <c r="CN14" s="110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12"/>
      <c r="DM14" s="104"/>
      <c r="DN14" s="105"/>
      <c r="DO14" s="121"/>
      <c r="DP14" s="105"/>
      <c r="DQ14" s="105"/>
      <c r="DR14" s="105"/>
      <c r="DS14" s="105"/>
      <c r="DT14" s="105"/>
      <c r="DU14" s="105"/>
      <c r="DV14" s="105"/>
      <c r="DW14" s="112"/>
      <c r="DX14" s="104"/>
      <c r="DY14" s="105"/>
      <c r="DZ14" s="105"/>
      <c r="EA14" s="105"/>
      <c r="EB14" s="105"/>
      <c r="EC14" s="106"/>
      <c r="ED14" s="106"/>
      <c r="EE14" s="105"/>
      <c r="EF14" s="112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</row>
    <row r="15" spans="1:160" s="1" customFormat="1" ht="16.5" customHeight="1" x14ac:dyDescent="0.2">
      <c r="A15" s="18" t="e">
        <f>Lentilles!#REF!</f>
        <v>#REF!</v>
      </c>
      <c r="B15" s="20" t="e">
        <f>Lentilles!#REF!</f>
        <v>#REF!</v>
      </c>
      <c r="C15" s="104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12"/>
      <c r="Q15" s="105"/>
      <c r="R15" s="105"/>
      <c r="S15" s="106"/>
      <c r="T15" s="105"/>
      <c r="U15" s="105"/>
      <c r="V15" s="105"/>
      <c r="W15" s="105"/>
      <c r="X15" s="105"/>
      <c r="Y15" s="110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12"/>
      <c r="AX15" s="104"/>
      <c r="AY15" s="105"/>
      <c r="AZ15" s="106"/>
      <c r="BA15" s="105"/>
      <c r="BB15" s="105"/>
      <c r="BC15" s="105"/>
      <c r="BD15" s="105"/>
      <c r="BE15" s="105"/>
      <c r="BF15" s="105"/>
      <c r="BG15" s="105"/>
      <c r="BH15" s="112"/>
      <c r="BI15" s="104"/>
      <c r="BJ15" s="105"/>
      <c r="BK15" s="105"/>
      <c r="BL15" s="105"/>
      <c r="BM15" s="105"/>
      <c r="BN15" s="106"/>
      <c r="BO15" s="106"/>
      <c r="BP15" s="105"/>
      <c r="BQ15" s="112"/>
      <c r="BR15" s="104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12"/>
      <c r="CF15" s="121"/>
      <c r="CG15" s="122"/>
      <c r="CH15" s="105"/>
      <c r="CI15" s="105"/>
      <c r="CJ15" s="105"/>
      <c r="CK15" s="105"/>
      <c r="CL15" s="121"/>
      <c r="CM15" s="105"/>
      <c r="CN15" s="110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12"/>
      <c r="DM15" s="104"/>
      <c r="DN15" s="105"/>
      <c r="DO15" s="121"/>
      <c r="DP15" s="105"/>
      <c r="DQ15" s="105"/>
      <c r="DR15" s="105"/>
      <c r="DS15" s="105"/>
      <c r="DT15" s="105"/>
      <c r="DU15" s="105"/>
      <c r="DV15" s="105"/>
      <c r="DW15" s="112"/>
      <c r="DX15" s="104"/>
      <c r="DY15" s="105"/>
      <c r="DZ15" s="105"/>
      <c r="EA15" s="105"/>
      <c r="EB15" s="105"/>
      <c r="EC15" s="106"/>
      <c r="ED15" s="106"/>
      <c r="EE15" s="105"/>
      <c r="EF15" s="112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</row>
    <row r="16" spans="1:160" s="1" customFormat="1" ht="16.5" customHeight="1" x14ac:dyDescent="0.2">
      <c r="A16" s="18" t="e">
        <f>Lentilles!#REF!</f>
        <v>#REF!</v>
      </c>
      <c r="B16" s="20" t="e">
        <f>Lentilles!#REF!</f>
        <v>#REF!</v>
      </c>
      <c r="C16" s="104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12"/>
      <c r="Q16" s="105"/>
      <c r="R16" s="105"/>
      <c r="S16" s="114">
        <f>602+21970+29020</f>
        <v>51592</v>
      </c>
      <c r="T16" s="105"/>
      <c r="U16" s="105"/>
      <c r="V16" s="105"/>
      <c r="W16" s="105"/>
      <c r="X16" s="105"/>
      <c r="Y16" s="110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12"/>
      <c r="AX16" s="104"/>
      <c r="AY16" s="105">
        <v>20670</v>
      </c>
      <c r="AZ16" s="106"/>
      <c r="BA16" s="105"/>
      <c r="BB16" s="105"/>
      <c r="BC16" s="105"/>
      <c r="BD16" s="105"/>
      <c r="BE16" s="105"/>
      <c r="BF16" s="105"/>
      <c r="BG16" s="105"/>
      <c r="BH16" s="112"/>
      <c r="BI16" s="104"/>
      <c r="BJ16" s="105"/>
      <c r="BK16" s="105"/>
      <c r="BL16" s="105"/>
      <c r="BM16" s="105"/>
      <c r="BN16" s="106"/>
      <c r="BO16" s="106"/>
      <c r="BP16" s="105"/>
      <c r="BQ16" s="112"/>
      <c r="BS16" s="105"/>
      <c r="BT16" s="121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12"/>
      <c r="CF16" s="121"/>
      <c r="CG16" s="122"/>
      <c r="CH16" s="105">
        <f>2+24+29</f>
        <v>55</v>
      </c>
      <c r="CI16" s="105"/>
      <c r="CJ16" s="105"/>
      <c r="CK16" s="105"/>
      <c r="CL16" s="121"/>
      <c r="CM16" s="121"/>
      <c r="CN16" s="110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12"/>
      <c r="DM16" s="104"/>
      <c r="DN16" s="105">
        <v>22</v>
      </c>
      <c r="DO16" s="121"/>
      <c r="DP16" s="105"/>
      <c r="DQ16" s="105"/>
      <c r="DR16" s="105"/>
      <c r="DS16" s="105"/>
      <c r="DT16" s="105"/>
      <c r="DU16" s="105"/>
      <c r="DV16" s="105"/>
      <c r="DW16" s="112"/>
      <c r="DX16" s="104"/>
      <c r="DY16" s="105"/>
      <c r="DZ16" s="105"/>
      <c r="EA16" s="105"/>
      <c r="EB16" s="105"/>
      <c r="EC16" s="106"/>
      <c r="ED16" s="106"/>
      <c r="EE16" s="105"/>
      <c r="EF16" s="112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</row>
    <row r="17" spans="1:160" s="1" customFormat="1" ht="16.5" customHeight="1" x14ac:dyDescent="0.2">
      <c r="A17" s="18" t="e">
        <f>Lentilles!#REF!</f>
        <v>#REF!</v>
      </c>
      <c r="B17" s="20" t="e">
        <f>Lentilles!#REF!</f>
        <v>#REF!</v>
      </c>
      <c r="C17" s="104"/>
      <c r="D17" s="105"/>
      <c r="E17" s="105">
        <v>25220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12"/>
      <c r="Q17" s="105"/>
      <c r="R17" s="105">
        <v>9540</v>
      </c>
      <c r="S17" s="106">
        <f>301+602</f>
        <v>903</v>
      </c>
      <c r="T17" s="105"/>
      <c r="U17" s="105"/>
      <c r="V17" s="105"/>
      <c r="W17" s="105"/>
      <c r="X17" s="105"/>
      <c r="Y17" s="110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12"/>
      <c r="AX17" s="104"/>
      <c r="AY17" s="105"/>
      <c r="AZ17" s="106"/>
      <c r="BA17" s="105"/>
      <c r="BB17" s="105"/>
      <c r="BC17" s="105"/>
      <c r="BD17" s="105"/>
      <c r="BE17" s="105"/>
      <c r="BF17" s="105"/>
      <c r="BG17" s="105"/>
      <c r="BH17" s="112"/>
      <c r="BI17" s="104"/>
      <c r="BJ17" s="105"/>
      <c r="BK17" s="105">
        <v>22310</v>
      </c>
      <c r="BL17" s="105"/>
      <c r="BM17" s="105"/>
      <c r="BN17" s="105"/>
      <c r="BO17" s="105"/>
      <c r="BP17" s="105"/>
      <c r="BQ17" s="112"/>
      <c r="BR17" s="105"/>
      <c r="BS17" s="105"/>
      <c r="BT17" s="121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12"/>
      <c r="CG17" s="121">
        <v>8</v>
      </c>
      <c r="CH17" s="105">
        <v>2</v>
      </c>
      <c r="CI17" s="105"/>
      <c r="CJ17" s="105"/>
      <c r="CK17" s="105"/>
      <c r="CL17" s="121"/>
      <c r="CM17" s="105"/>
      <c r="CN17" s="110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12"/>
      <c r="DM17" s="104"/>
      <c r="DN17" s="105"/>
      <c r="DO17" s="121"/>
      <c r="DP17" s="105"/>
      <c r="DQ17" s="105"/>
      <c r="DR17" s="105"/>
      <c r="DS17" s="105"/>
      <c r="DT17" s="105"/>
      <c r="DU17" s="105"/>
      <c r="DV17" s="105"/>
      <c r="DW17" s="112"/>
      <c r="DX17" s="104"/>
      <c r="DY17" s="105"/>
      <c r="DZ17" s="105">
        <v>22</v>
      </c>
      <c r="EA17" s="105"/>
      <c r="EB17" s="105"/>
      <c r="EC17" s="105"/>
      <c r="ED17" s="105"/>
      <c r="EE17" s="105"/>
      <c r="EF17" s="112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</row>
    <row r="18" spans="1:160" s="1" customFormat="1" ht="16.5" customHeight="1" x14ac:dyDescent="0.2">
      <c r="A18" s="18" t="e">
        <f>Lentilles!#REF!</f>
        <v>#REF!</v>
      </c>
      <c r="B18" s="20" t="e">
        <f>Lentilles!#REF!</f>
        <v>#REF!</v>
      </c>
      <c r="C18" s="104"/>
      <c r="D18" s="105"/>
      <c r="E18" s="105">
        <v>26800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12"/>
      <c r="Q18" s="105"/>
      <c r="R18" s="105"/>
      <c r="S18" s="106">
        <v>29020</v>
      </c>
      <c r="T18" s="105"/>
      <c r="U18" s="105"/>
      <c r="V18" s="105"/>
      <c r="W18" s="105"/>
      <c r="X18" s="105"/>
      <c r="Y18" s="110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12"/>
      <c r="AX18" s="104"/>
      <c r="AY18" s="106"/>
      <c r="AZ18" s="106"/>
      <c r="BA18" s="106">
        <v>22090</v>
      </c>
      <c r="BB18" s="106"/>
      <c r="BC18" s="106"/>
      <c r="BD18" s="106"/>
      <c r="BE18" s="106"/>
      <c r="BF18" s="106"/>
      <c r="BG18" s="106"/>
      <c r="BH18" s="107"/>
      <c r="BI18" s="123"/>
      <c r="BJ18" s="106"/>
      <c r="BK18" s="106">
        <v>21850</v>
      </c>
      <c r="BL18" s="106"/>
      <c r="BM18" s="106"/>
      <c r="BN18" s="106"/>
      <c r="BO18" s="106"/>
      <c r="BP18" s="106"/>
      <c r="BQ18" s="107"/>
      <c r="BR18" s="104"/>
      <c r="BS18" s="105"/>
      <c r="BT18" s="121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12"/>
      <c r="CF18" s="121"/>
      <c r="CG18" s="122"/>
      <c r="CH18" s="105">
        <v>29</v>
      </c>
      <c r="CI18" s="105"/>
      <c r="CJ18" s="105"/>
      <c r="CK18" s="105"/>
      <c r="CL18" s="121"/>
      <c r="CM18" s="105"/>
      <c r="CN18" s="110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12"/>
      <c r="DM18" s="104"/>
      <c r="DN18" s="106"/>
      <c r="DO18" s="121"/>
      <c r="DP18" s="106">
        <v>22</v>
      </c>
      <c r="DQ18" s="106"/>
      <c r="DR18" s="106"/>
      <c r="DS18" s="106"/>
      <c r="DT18" s="106"/>
      <c r="DU18" s="106"/>
      <c r="DV18" s="106"/>
      <c r="DW18" s="107"/>
      <c r="DX18" s="123"/>
      <c r="DY18" s="106"/>
      <c r="DZ18" s="106">
        <v>22</v>
      </c>
      <c r="EA18" s="106"/>
      <c r="EB18" s="106"/>
      <c r="EC18" s="106"/>
      <c r="ED18" s="106"/>
      <c r="EE18" s="106"/>
      <c r="EF18" s="107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</row>
    <row r="19" spans="1:160" s="1" customFormat="1" ht="16.5" customHeight="1" x14ac:dyDescent="0.2">
      <c r="A19" s="18" t="e">
        <f>Lentilles!#REF!</f>
        <v>#REF!</v>
      </c>
      <c r="B19" s="20" t="e">
        <f>Lentilles!#REF!</f>
        <v>#REF!</v>
      </c>
      <c r="C19" s="104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6"/>
      <c r="P19" s="112"/>
      <c r="Q19" s="105"/>
      <c r="R19" s="105"/>
      <c r="S19" s="106">
        <v>29020</v>
      </c>
      <c r="T19" s="105"/>
      <c r="U19" s="105"/>
      <c r="V19" s="105"/>
      <c r="W19" s="105"/>
      <c r="X19" s="105"/>
      <c r="Y19" s="110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12"/>
      <c r="AX19" s="104"/>
      <c r="AY19" s="105"/>
      <c r="AZ19" s="106">
        <v>21680</v>
      </c>
      <c r="BA19" s="105"/>
      <c r="BB19" s="105"/>
      <c r="BC19" s="105"/>
      <c r="BD19" s="105"/>
      <c r="BE19" s="105"/>
      <c r="BF19" s="105"/>
      <c r="BG19" s="105"/>
      <c r="BH19" s="112"/>
      <c r="BI19" s="104"/>
      <c r="BJ19" s="105"/>
      <c r="BK19" s="105"/>
      <c r="BL19" s="105"/>
      <c r="BM19" s="105"/>
      <c r="BN19" s="106"/>
      <c r="BO19" s="106"/>
      <c r="BP19" s="105"/>
      <c r="BQ19" s="112"/>
      <c r="BR19" s="104"/>
      <c r="BS19" s="105"/>
      <c r="BT19" s="121"/>
      <c r="BU19" s="105"/>
      <c r="BV19" s="105"/>
      <c r="BW19" s="105"/>
      <c r="BX19" s="105"/>
      <c r="BY19" s="105"/>
      <c r="BZ19" s="105"/>
      <c r="CA19" s="105"/>
      <c r="CB19" s="105"/>
      <c r="CC19" s="105"/>
      <c r="CD19" s="106"/>
      <c r="CE19" s="112"/>
      <c r="CF19" s="121"/>
      <c r="CG19" s="122"/>
      <c r="CH19" s="105">
        <v>29</v>
      </c>
      <c r="CI19" s="105"/>
      <c r="CJ19" s="105"/>
      <c r="CK19" s="105"/>
      <c r="CL19" s="121"/>
      <c r="CM19" s="105"/>
      <c r="CN19" s="110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12"/>
      <c r="DM19" s="104"/>
      <c r="DN19" s="105"/>
      <c r="DO19" s="121">
        <v>24</v>
      </c>
      <c r="DP19" s="105"/>
      <c r="DQ19" s="105"/>
      <c r="DR19" s="105"/>
      <c r="DS19" s="105"/>
      <c r="DT19" s="105"/>
      <c r="DU19" s="105"/>
      <c r="DV19" s="105"/>
      <c r="DW19" s="112"/>
      <c r="DX19" s="104"/>
      <c r="DY19" s="105"/>
      <c r="DZ19" s="105"/>
      <c r="EA19" s="105"/>
      <c r="EB19" s="105"/>
      <c r="EC19" s="106"/>
      <c r="ED19" s="106"/>
      <c r="EE19" s="105"/>
      <c r="EF19" s="112"/>
      <c r="EG19" s="40"/>
      <c r="EH19" s="40"/>
      <c r="EI19" s="40"/>
      <c r="EJ19" s="40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</row>
    <row r="20" spans="1:160" s="1" customFormat="1" ht="16.5" customHeight="1" x14ac:dyDescent="0.2">
      <c r="A20" s="18" t="e">
        <f>Lentilles!#REF!</f>
        <v>#REF!</v>
      </c>
      <c r="B20" s="20" t="e">
        <f>Lentilles!#REF!</f>
        <v>#REF!</v>
      </c>
      <c r="C20" s="104">
        <v>2180</v>
      </c>
      <c r="D20" s="105"/>
      <c r="E20" s="105"/>
      <c r="F20" s="105">
        <v>21620</v>
      </c>
      <c r="G20" s="105"/>
      <c r="H20" s="105"/>
      <c r="I20" s="105"/>
      <c r="J20" s="105"/>
      <c r="K20" s="105"/>
      <c r="L20" s="105"/>
      <c r="M20" s="105"/>
      <c r="N20" s="105"/>
      <c r="O20" s="106"/>
      <c r="P20" s="112"/>
      <c r="Q20" s="105">
        <f>11930+23880</f>
        <v>35810</v>
      </c>
      <c r="R20" s="105"/>
      <c r="S20" s="106"/>
      <c r="T20" s="105"/>
      <c r="U20" s="105"/>
      <c r="V20" s="105"/>
      <c r="W20" s="105"/>
      <c r="X20" s="105"/>
      <c r="Y20" s="110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12"/>
      <c r="AX20" s="104"/>
      <c r="AY20" s="105"/>
      <c r="AZ20" s="106"/>
      <c r="BA20" s="105"/>
      <c r="BB20" s="105"/>
      <c r="BC20" s="105"/>
      <c r="BD20" s="105"/>
      <c r="BE20" s="105"/>
      <c r="BF20" s="105"/>
      <c r="BG20" s="105"/>
      <c r="BH20" s="112"/>
      <c r="BI20" s="104"/>
      <c r="BJ20" s="105"/>
      <c r="BK20" s="105"/>
      <c r="BL20" s="105"/>
      <c r="BM20" s="105"/>
      <c r="BN20" s="106"/>
      <c r="BO20" s="106"/>
      <c r="BP20" s="105"/>
      <c r="BQ20" s="112"/>
      <c r="BR20" s="104">
        <v>2</v>
      </c>
      <c r="BS20" s="105"/>
      <c r="BT20" s="121"/>
      <c r="BU20" s="105"/>
      <c r="BV20" s="105"/>
      <c r="BW20" s="105"/>
      <c r="BX20" s="105"/>
      <c r="BY20" s="105"/>
      <c r="BZ20" s="105"/>
      <c r="CA20" s="105"/>
      <c r="CB20" s="105"/>
      <c r="CC20" s="105"/>
      <c r="CD20" s="106"/>
      <c r="CE20" s="112"/>
      <c r="CF20" s="122">
        <f>10+20</f>
        <v>30</v>
      </c>
      <c r="CG20" s="122"/>
      <c r="CH20" s="105"/>
      <c r="CI20" s="105"/>
      <c r="CJ20" s="105"/>
      <c r="CK20" s="105"/>
      <c r="CL20" s="121"/>
      <c r="CM20" s="105"/>
      <c r="CN20" s="110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12"/>
      <c r="DM20" s="104"/>
      <c r="DN20" s="105"/>
      <c r="DO20" s="121"/>
      <c r="DP20" s="105"/>
      <c r="DQ20" s="105"/>
      <c r="DR20" s="105"/>
      <c r="DS20" s="105"/>
      <c r="DT20" s="105"/>
      <c r="DU20" s="105"/>
      <c r="DV20" s="105"/>
      <c r="DW20" s="112"/>
      <c r="DX20" s="104"/>
      <c r="DY20" s="105"/>
      <c r="DZ20" s="105"/>
      <c r="EA20" s="105"/>
      <c r="EB20" s="105"/>
      <c r="EC20" s="106"/>
      <c r="ED20" s="106"/>
      <c r="EE20" s="105"/>
      <c r="EF20" s="112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</row>
    <row r="21" spans="1:160" s="1" customFormat="1" ht="15.75" customHeight="1" x14ac:dyDescent="0.2">
      <c r="A21" s="18" t="e">
        <f>Lentilles!#REF!</f>
        <v>#REF!</v>
      </c>
      <c r="B21" s="20" t="e">
        <f>Lentilles!#REF!</f>
        <v>#REF!</v>
      </c>
      <c r="C21" s="104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12"/>
      <c r="Q21" s="105"/>
      <c r="R21" s="105"/>
      <c r="S21" s="106"/>
      <c r="T21" s="105"/>
      <c r="U21" s="105"/>
      <c r="V21" s="105"/>
      <c r="W21" s="105"/>
      <c r="X21" s="105"/>
      <c r="Y21" s="110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12"/>
      <c r="AX21" s="104"/>
      <c r="AY21" s="105"/>
      <c r="AZ21" s="106"/>
      <c r="BA21" s="105"/>
      <c r="BB21" s="105"/>
      <c r="BC21" s="105"/>
      <c r="BD21" s="105"/>
      <c r="BE21" s="105"/>
      <c r="BF21" s="105"/>
      <c r="BG21" s="105"/>
      <c r="BH21" s="112"/>
      <c r="BI21" s="104"/>
      <c r="BJ21" s="105"/>
      <c r="BK21" s="105"/>
      <c r="BL21" s="105"/>
      <c r="BM21" s="105"/>
      <c r="BN21" s="106"/>
      <c r="BO21" s="106"/>
      <c r="BP21" s="105"/>
      <c r="BQ21" s="112"/>
      <c r="BR21" s="104"/>
      <c r="BS21" s="105"/>
      <c r="BT21" s="121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12"/>
      <c r="CF21" s="121"/>
      <c r="CG21" s="122"/>
      <c r="CH21" s="105"/>
      <c r="CI21" s="105"/>
      <c r="CJ21" s="105"/>
      <c r="CK21" s="105"/>
      <c r="CL21" s="121"/>
      <c r="CM21" s="105"/>
      <c r="CN21" s="110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12"/>
      <c r="DM21" s="104"/>
      <c r="DN21" s="105"/>
      <c r="DO21" s="121"/>
      <c r="DP21" s="105"/>
      <c r="DQ21" s="105"/>
      <c r="DR21" s="105"/>
      <c r="DS21" s="105"/>
      <c r="DT21" s="105"/>
      <c r="DU21" s="105"/>
      <c r="DV21" s="105"/>
      <c r="DW21" s="112"/>
      <c r="DX21" s="104"/>
      <c r="DY21" s="105"/>
      <c r="DZ21" s="105"/>
      <c r="EA21" s="105"/>
      <c r="EB21" s="105"/>
      <c r="EC21" s="106"/>
      <c r="ED21" s="106"/>
      <c r="EE21" s="105"/>
      <c r="EF21" s="112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</row>
    <row r="22" spans="1:160" s="1" customFormat="1" ht="16.5" customHeight="1" x14ac:dyDescent="0.2">
      <c r="A22" s="18" t="e">
        <f>Lentilles!#REF!</f>
        <v>#REF!</v>
      </c>
      <c r="B22" s="20" t="e">
        <f>Lentilles!#REF!</f>
        <v>#REF!</v>
      </c>
      <c r="C22" s="104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12"/>
      <c r="Q22" s="105"/>
      <c r="R22" s="105"/>
      <c r="S22" s="106"/>
      <c r="T22" s="105"/>
      <c r="U22" s="105"/>
      <c r="V22" s="105"/>
      <c r="W22" s="105"/>
      <c r="X22" s="105"/>
      <c r="Y22" s="110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12"/>
      <c r="AX22" s="104"/>
      <c r="AY22" s="105"/>
      <c r="AZ22" s="106"/>
      <c r="BA22" s="105"/>
      <c r="BB22" s="105"/>
      <c r="BC22" s="105"/>
      <c r="BD22" s="105"/>
      <c r="BE22" s="105"/>
      <c r="BF22" s="105"/>
      <c r="BG22" s="105"/>
      <c r="BH22" s="112"/>
      <c r="BI22" s="104"/>
      <c r="BJ22" s="105"/>
      <c r="BK22" s="105"/>
      <c r="BL22" s="105"/>
      <c r="BM22" s="105"/>
      <c r="BN22" s="106"/>
      <c r="BO22" s="106"/>
      <c r="BP22" s="105"/>
      <c r="BQ22" s="112"/>
      <c r="BR22" s="104"/>
      <c r="BS22" s="105"/>
      <c r="BT22" s="121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12"/>
      <c r="CF22" s="121"/>
      <c r="CG22" s="122"/>
      <c r="CH22" s="105"/>
      <c r="CI22" s="105"/>
      <c r="CJ22" s="105"/>
      <c r="CK22" s="105"/>
      <c r="CL22" s="121"/>
      <c r="CM22" s="105"/>
      <c r="CN22" s="110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12"/>
      <c r="DM22" s="104"/>
      <c r="DN22" s="105"/>
      <c r="DO22" s="121"/>
      <c r="DP22" s="105"/>
      <c r="DQ22" s="105"/>
      <c r="DR22" s="105"/>
      <c r="DS22" s="105"/>
      <c r="DT22" s="105"/>
      <c r="DU22" s="105"/>
      <c r="DV22" s="105"/>
      <c r="DW22" s="112"/>
      <c r="DX22" s="104"/>
      <c r="DY22" s="105"/>
      <c r="DZ22" s="105"/>
      <c r="EA22" s="105"/>
      <c r="EB22" s="105"/>
      <c r="EC22" s="106"/>
      <c r="ED22" s="106"/>
      <c r="EE22" s="105"/>
      <c r="EF22" s="112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</row>
    <row r="23" spans="1:160" s="1" customFormat="1" ht="16.899999999999999" customHeight="1" x14ac:dyDescent="0.2">
      <c r="A23" s="18" t="e">
        <f>Lentilles!#REF!</f>
        <v>#REF!</v>
      </c>
      <c r="B23" s="20" t="e">
        <f>Lentilles!#REF!</f>
        <v>#REF!</v>
      </c>
      <c r="C23" s="104"/>
      <c r="D23" s="105"/>
      <c r="E23" s="105">
        <v>22430</v>
      </c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12"/>
      <c r="Q23" s="105">
        <v>23920</v>
      </c>
      <c r="R23" s="105"/>
      <c r="S23" s="106">
        <v>26400</v>
      </c>
      <c r="T23" s="105"/>
      <c r="U23" s="105"/>
      <c r="V23" s="105"/>
      <c r="W23" s="105"/>
      <c r="X23" s="105"/>
      <c r="Y23" s="110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12"/>
      <c r="AX23" s="104"/>
      <c r="AY23" s="105"/>
      <c r="AZ23" s="106"/>
      <c r="BA23" s="105"/>
      <c r="BB23" s="105"/>
      <c r="BC23" s="105"/>
      <c r="BD23" s="105"/>
      <c r="BE23" s="105"/>
      <c r="BF23" s="105"/>
      <c r="BG23" s="105"/>
      <c r="BH23" s="112"/>
      <c r="BI23" s="104"/>
      <c r="BJ23" s="105"/>
      <c r="BK23" s="105"/>
      <c r="BL23" s="105"/>
      <c r="BM23" s="105"/>
      <c r="BN23" s="106"/>
      <c r="BO23" s="106"/>
      <c r="BP23" s="105"/>
      <c r="BQ23" s="112"/>
      <c r="BR23" s="104"/>
      <c r="BS23" s="105"/>
      <c r="BT23" s="121">
        <v>24</v>
      </c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12"/>
      <c r="CF23" s="121">
        <v>20</v>
      </c>
      <c r="CG23" s="122"/>
      <c r="CH23" s="105">
        <v>29</v>
      </c>
      <c r="CI23" s="105"/>
      <c r="CJ23" s="105"/>
      <c r="CK23" s="105"/>
      <c r="CL23" s="121"/>
      <c r="CM23" s="105"/>
      <c r="CN23" s="110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12"/>
      <c r="DM23" s="104"/>
      <c r="DN23" s="105"/>
      <c r="DO23" s="121"/>
      <c r="DP23" s="105"/>
      <c r="DQ23" s="105"/>
      <c r="DR23" s="105"/>
      <c r="DS23" s="105"/>
      <c r="DT23" s="105"/>
      <c r="DU23" s="105"/>
      <c r="DV23" s="105"/>
      <c r="DW23" s="112"/>
      <c r="DX23" s="104"/>
      <c r="DY23" s="105"/>
      <c r="DZ23" s="105"/>
      <c r="EA23" s="105"/>
      <c r="EB23" s="105"/>
      <c r="EC23" s="106"/>
      <c r="ED23" s="106"/>
      <c r="EE23" s="105"/>
      <c r="EF23" s="112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</row>
    <row r="24" spans="1:160" s="1" customFormat="1" ht="16.5" customHeight="1" x14ac:dyDescent="0.2">
      <c r="A24" s="18" t="e">
        <f>Lentilles!#REF!</f>
        <v>#REF!</v>
      </c>
      <c r="B24" s="20" t="e">
        <f>Lentilles!#REF!</f>
        <v>#REF!</v>
      </c>
      <c r="C24" s="104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12"/>
      <c r="Q24" s="105">
        <v>23800</v>
      </c>
      <c r="R24" s="105"/>
      <c r="T24" s="105"/>
      <c r="U24" s="105"/>
      <c r="V24" s="105"/>
      <c r="W24" s="105"/>
      <c r="X24" s="105"/>
      <c r="Y24" s="110"/>
      <c r="Z24" s="106"/>
      <c r="AA24" s="105"/>
      <c r="AB24" s="106"/>
      <c r="AC24" s="105"/>
      <c r="AD24" s="105"/>
      <c r="AE24" s="105"/>
      <c r="AF24" s="105"/>
      <c r="AG24" s="105"/>
      <c r="AH24" s="105"/>
      <c r="AI24" s="106"/>
      <c r="AJ24" s="106"/>
      <c r="AK24" s="106"/>
      <c r="AL24" s="106"/>
      <c r="AM24" s="106"/>
      <c r="AN24" s="105"/>
      <c r="AO24" s="106"/>
      <c r="AP24" s="105"/>
      <c r="AQ24" s="105"/>
      <c r="AR24" s="105"/>
      <c r="AS24" s="106"/>
      <c r="AT24" s="105"/>
      <c r="AU24" s="106"/>
      <c r="AV24" s="105"/>
      <c r="AW24" s="112"/>
      <c r="AX24" s="123"/>
      <c r="AY24" s="105"/>
      <c r="AZ24" s="106"/>
      <c r="BA24" s="106"/>
      <c r="BB24" s="106"/>
      <c r="BC24" s="106"/>
      <c r="BD24" s="106"/>
      <c r="BE24" s="106"/>
      <c r="BF24" s="106"/>
      <c r="BG24" s="106"/>
      <c r="BH24" s="107"/>
      <c r="BI24" s="123"/>
      <c r="BJ24" s="106"/>
      <c r="BK24" s="106"/>
      <c r="BL24" s="106"/>
      <c r="BM24" s="106"/>
      <c r="BN24" s="106"/>
      <c r="BO24" s="106"/>
      <c r="BP24" s="106"/>
      <c r="BQ24" s="107"/>
      <c r="BR24" s="104"/>
      <c r="BS24" s="105"/>
      <c r="BT24" s="121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12"/>
      <c r="CF24" s="121">
        <v>20</v>
      </c>
      <c r="CG24" s="122"/>
      <c r="CI24" s="105"/>
      <c r="CJ24" s="105"/>
      <c r="CK24" s="105"/>
      <c r="CL24" s="121"/>
      <c r="CM24" s="105"/>
      <c r="CN24" s="110"/>
      <c r="CO24" s="106"/>
      <c r="CP24" s="105"/>
      <c r="CQ24" s="106"/>
      <c r="CR24" s="105"/>
      <c r="CS24" s="105"/>
      <c r="CT24" s="105"/>
      <c r="CU24" s="105"/>
      <c r="CV24" s="105"/>
      <c r="CW24" s="105"/>
      <c r="CX24" s="106"/>
      <c r="CY24" s="106"/>
      <c r="CZ24" s="106"/>
      <c r="DA24" s="106"/>
      <c r="DB24" s="106"/>
      <c r="DC24" s="105"/>
      <c r="DD24" s="106"/>
      <c r="DE24" s="105"/>
      <c r="DF24" s="105"/>
      <c r="DG24" s="105"/>
      <c r="DH24" s="106"/>
      <c r="DI24" s="105"/>
      <c r="DJ24" s="106"/>
      <c r="DK24" s="105"/>
      <c r="DL24" s="112"/>
      <c r="DM24" s="123"/>
      <c r="DN24" s="105"/>
      <c r="DO24" s="121"/>
      <c r="DP24" s="106"/>
      <c r="DQ24" s="106"/>
      <c r="DR24" s="106"/>
      <c r="DS24" s="106"/>
      <c r="DT24" s="106"/>
      <c r="DU24" s="106"/>
      <c r="DV24" s="106"/>
      <c r="DW24" s="107"/>
      <c r="DX24" s="123"/>
      <c r="DY24" s="106"/>
      <c r="DZ24" s="106"/>
      <c r="EA24" s="106"/>
      <c r="EB24" s="106"/>
      <c r="EC24" s="106"/>
      <c r="ED24" s="106"/>
      <c r="EE24" s="106"/>
      <c r="EF24" s="107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</row>
    <row r="25" spans="1:160" s="1" customFormat="1" ht="16.5" customHeight="1" x14ac:dyDescent="0.2">
      <c r="A25" s="18" t="e">
        <f>Lentilles!#REF!</f>
        <v>#REF!</v>
      </c>
      <c r="B25" s="20" t="e">
        <f>Lentilles!#REF!</f>
        <v>#REF!</v>
      </c>
      <c r="C25" s="104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12"/>
      <c r="Q25" s="105"/>
      <c r="R25" s="105"/>
      <c r="S25" s="106">
        <f>21820+28660</f>
        <v>50480</v>
      </c>
      <c r="T25" s="105"/>
      <c r="U25" s="105">
        <v>23940</v>
      </c>
      <c r="V25" s="105"/>
      <c r="W25" s="105"/>
      <c r="X25" s="105"/>
      <c r="Y25" s="110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12"/>
      <c r="AX25" s="104"/>
      <c r="AY25" s="106"/>
      <c r="AZ25" s="106"/>
      <c r="BA25" s="106"/>
      <c r="BB25" s="106"/>
      <c r="BC25" s="106"/>
      <c r="BD25" s="106"/>
      <c r="BE25" s="106"/>
      <c r="BF25" s="106"/>
      <c r="BG25" s="106"/>
      <c r="BH25" s="107"/>
      <c r="BI25" s="123"/>
      <c r="BJ25" s="106"/>
      <c r="BK25" s="106">
        <f>25410+21340+21660</f>
        <v>68410</v>
      </c>
      <c r="BL25" s="106"/>
      <c r="BM25" s="106"/>
      <c r="BN25" s="106"/>
      <c r="BO25" s="106"/>
      <c r="BP25" s="106"/>
      <c r="BQ25" s="107"/>
      <c r="BR25" s="104"/>
      <c r="BS25" s="105"/>
      <c r="BT25" s="121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12"/>
      <c r="CF25" s="121"/>
      <c r="CG25" s="122"/>
      <c r="CH25" s="105">
        <f>29+23</f>
        <v>52</v>
      </c>
      <c r="CI25" s="105"/>
      <c r="CJ25" s="105">
        <v>20</v>
      </c>
      <c r="CK25" s="105"/>
      <c r="CL25" s="121"/>
      <c r="CM25" s="105"/>
      <c r="CN25" s="110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12"/>
      <c r="DM25" s="104"/>
      <c r="DN25" s="106"/>
      <c r="DO25" s="121"/>
      <c r="DP25" s="106"/>
      <c r="DQ25" s="106"/>
      <c r="DR25" s="106"/>
      <c r="DS25" s="106"/>
      <c r="DT25" s="106"/>
      <c r="DU25" s="106"/>
      <c r="DV25" s="106"/>
      <c r="DW25" s="107"/>
      <c r="DX25" s="123"/>
      <c r="DY25" s="106"/>
      <c r="DZ25" s="106">
        <f>20+20+22</f>
        <v>62</v>
      </c>
      <c r="EA25" s="106"/>
      <c r="EB25" s="106"/>
      <c r="EC25" s="106"/>
      <c r="ED25" s="106"/>
      <c r="EE25" s="106"/>
      <c r="EF25" s="107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</row>
    <row r="26" spans="1:160" s="1" customFormat="1" ht="16.5" customHeight="1" x14ac:dyDescent="0.2">
      <c r="A26" s="18" t="e">
        <f>Lentilles!#REF!</f>
        <v>#REF!</v>
      </c>
      <c r="B26" s="20" t="e">
        <f>Lentilles!#REF!</f>
        <v>#REF!</v>
      </c>
      <c r="C26" s="104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12"/>
      <c r="Q26" s="105"/>
      <c r="R26" s="105"/>
      <c r="S26" s="106">
        <v>23040</v>
      </c>
      <c r="T26" s="105"/>
      <c r="U26" s="105">
        <v>23900</v>
      </c>
      <c r="V26" s="105"/>
      <c r="W26" s="105"/>
      <c r="X26" s="105"/>
      <c r="Y26" s="110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12"/>
      <c r="AX26" s="104"/>
      <c r="AY26" s="105"/>
      <c r="AZ26" s="106"/>
      <c r="BA26" s="105">
        <v>21130</v>
      </c>
      <c r="BB26" s="105"/>
      <c r="BC26" s="105"/>
      <c r="BD26" s="105"/>
      <c r="BE26" s="105"/>
      <c r="BF26" s="105"/>
      <c r="BG26" s="105"/>
      <c r="BH26" s="112"/>
      <c r="BI26" s="104"/>
      <c r="BJ26" s="105"/>
      <c r="BK26" s="105"/>
      <c r="BL26" s="105"/>
      <c r="BM26" s="105"/>
      <c r="BN26" s="106"/>
      <c r="BO26" s="106"/>
      <c r="BP26" s="105"/>
      <c r="BQ26" s="112"/>
      <c r="BR26" s="104"/>
      <c r="BS26" s="105"/>
      <c r="BT26" s="121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12"/>
      <c r="CF26" s="121">
        <v>10</v>
      </c>
      <c r="CG26" s="122"/>
      <c r="CH26" s="122">
        <v>24</v>
      </c>
      <c r="CI26" s="105"/>
      <c r="CJ26" s="105">
        <v>20</v>
      </c>
      <c r="CK26" s="105"/>
      <c r="CL26" s="121"/>
      <c r="CM26" s="105"/>
      <c r="CN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12"/>
      <c r="DM26" s="104"/>
      <c r="DN26" s="105"/>
      <c r="DO26" s="121"/>
      <c r="DP26" s="105">
        <v>22</v>
      </c>
      <c r="DQ26" s="105"/>
      <c r="DR26" s="105"/>
      <c r="DS26" s="105"/>
      <c r="DT26" s="105"/>
      <c r="DU26" s="105"/>
      <c r="DV26" s="105"/>
      <c r="DW26" s="112"/>
      <c r="DX26" s="104"/>
      <c r="DY26" s="105"/>
      <c r="DZ26" s="105"/>
      <c r="EA26" s="105"/>
      <c r="EB26" s="105"/>
      <c r="EC26" s="106"/>
      <c r="ED26" s="106"/>
      <c r="EE26" s="105"/>
      <c r="EF26" s="112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</row>
    <row r="27" spans="1:160" s="1" customFormat="1" ht="16.5" customHeight="1" x14ac:dyDescent="0.2">
      <c r="A27" s="18" t="e">
        <f>Lentilles!#REF!</f>
        <v>#REF!</v>
      </c>
      <c r="B27" s="20" t="e">
        <f>Lentilles!#REF!</f>
        <v>#REF!</v>
      </c>
      <c r="C27" s="104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12"/>
      <c r="Q27" s="105">
        <f>11970+23920</f>
        <v>35890</v>
      </c>
      <c r="R27" s="105"/>
      <c r="S27" s="106">
        <v>23940</v>
      </c>
      <c r="T27" s="105"/>
      <c r="U27" s="105"/>
      <c r="V27" s="105"/>
      <c r="W27" s="105"/>
      <c r="X27" s="105"/>
      <c r="Y27" s="110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12"/>
      <c r="AX27" s="159"/>
      <c r="AY27" s="105"/>
      <c r="AZ27" s="105"/>
      <c r="BA27" s="105"/>
      <c r="BB27" s="105"/>
      <c r="BC27" s="105"/>
      <c r="BD27" s="105"/>
      <c r="BE27" s="105"/>
      <c r="BF27" s="105"/>
      <c r="BG27" s="105"/>
      <c r="BH27" s="112"/>
      <c r="BI27" s="104"/>
      <c r="BJ27" s="105"/>
      <c r="BK27" s="105"/>
      <c r="BL27" s="105"/>
      <c r="BM27" s="105"/>
      <c r="BN27" s="106"/>
      <c r="BO27" s="106"/>
      <c r="BP27" s="105"/>
      <c r="BQ27" s="112"/>
      <c r="BR27" s="104"/>
      <c r="BS27" s="105"/>
      <c r="BT27" s="121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12"/>
      <c r="CF27" s="121">
        <v>20</v>
      </c>
      <c r="CG27" s="122"/>
      <c r="CH27" s="105">
        <v>24</v>
      </c>
      <c r="CI27" s="105"/>
      <c r="CJ27" s="105"/>
      <c r="CK27" s="105"/>
      <c r="CL27" s="121"/>
      <c r="CM27" s="105"/>
      <c r="CN27" s="110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12"/>
      <c r="DM27" s="104"/>
      <c r="DN27" s="105"/>
      <c r="DO27" s="121"/>
      <c r="DP27" s="105"/>
      <c r="DQ27" s="105"/>
      <c r="DR27" s="105"/>
      <c r="DS27" s="105"/>
      <c r="DT27" s="105"/>
      <c r="DU27" s="105"/>
      <c r="DV27" s="105"/>
      <c r="DW27" s="112"/>
      <c r="DX27" s="104"/>
      <c r="DY27" s="105"/>
      <c r="DZ27" s="105"/>
      <c r="EA27" s="105"/>
      <c r="EB27" s="105"/>
      <c r="EC27" s="106"/>
      <c r="ED27" s="106"/>
      <c r="EE27" s="105"/>
      <c r="EF27" s="112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</row>
    <row r="28" spans="1:160" s="1" customFormat="1" ht="16.5" customHeight="1" x14ac:dyDescent="0.2">
      <c r="A28" s="18" t="e">
        <f>Lentilles!#REF!</f>
        <v>#REF!</v>
      </c>
      <c r="B28" s="20" t="e">
        <f>Lentilles!#REF!</f>
        <v>#REF!</v>
      </c>
      <c r="C28" s="104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12"/>
      <c r="Q28" s="105"/>
      <c r="R28" s="105"/>
      <c r="S28" s="106"/>
      <c r="T28" s="105"/>
      <c r="U28" s="105"/>
      <c r="V28" s="105"/>
      <c r="W28" s="105"/>
      <c r="X28" s="105"/>
      <c r="Y28" s="110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12"/>
      <c r="AX28" s="104"/>
      <c r="AY28" s="105"/>
      <c r="AZ28" s="106"/>
      <c r="BA28" s="105"/>
      <c r="BB28" s="105"/>
      <c r="BC28" s="105"/>
      <c r="BD28" s="105"/>
      <c r="BE28" s="105"/>
      <c r="BF28" s="105"/>
      <c r="BG28" s="105"/>
      <c r="BH28" s="112"/>
      <c r="BI28" s="104"/>
      <c r="BJ28" s="105"/>
      <c r="BK28" s="105"/>
      <c r="BL28" s="105"/>
      <c r="BM28" s="105"/>
      <c r="BN28" s="106"/>
      <c r="BO28" s="106"/>
      <c r="BP28" s="105"/>
      <c r="BQ28" s="112"/>
      <c r="BR28" s="104"/>
      <c r="BS28" s="105"/>
      <c r="BT28" s="121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12"/>
      <c r="CF28" s="121"/>
      <c r="CG28" s="122"/>
      <c r="CH28" s="105"/>
      <c r="CI28" s="105"/>
      <c r="CJ28" s="105"/>
      <c r="CK28" s="105"/>
      <c r="CL28" s="121"/>
      <c r="CM28" s="105"/>
      <c r="CN28" s="110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12"/>
      <c r="DM28" s="104"/>
      <c r="DN28" s="11"/>
      <c r="DO28" s="11"/>
      <c r="DP28" s="105"/>
      <c r="DQ28" s="105"/>
      <c r="DR28" s="105"/>
      <c r="DS28" s="105"/>
      <c r="DT28" s="105"/>
      <c r="DU28" s="105"/>
      <c r="DV28" s="105"/>
      <c r="DW28" s="112"/>
      <c r="DX28" s="104"/>
      <c r="DY28" s="105"/>
      <c r="DZ28" s="105"/>
      <c r="EA28" s="105"/>
      <c r="EB28" s="105"/>
      <c r="EC28" s="106"/>
      <c r="ED28" s="106"/>
      <c r="EE28" s="105"/>
      <c r="EF28" s="112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</row>
    <row r="29" spans="1:160" s="1" customFormat="1" ht="16.5" customHeight="1" x14ac:dyDescent="0.2">
      <c r="A29" s="18" t="e">
        <f>Lentilles!#REF!</f>
        <v>#REF!</v>
      </c>
      <c r="B29" s="20" t="e">
        <f>Lentilles!#REF!</f>
        <v>#REF!</v>
      </c>
      <c r="C29" s="104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12"/>
      <c r="Q29" s="105"/>
      <c r="R29" s="105"/>
      <c r="S29" s="106"/>
      <c r="T29" s="105"/>
      <c r="U29" s="105"/>
      <c r="V29" s="105"/>
      <c r="W29" s="105"/>
      <c r="X29" s="105"/>
      <c r="Y29" s="110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12"/>
      <c r="AX29" s="104"/>
      <c r="AY29" s="105"/>
      <c r="AZ29" s="106"/>
      <c r="BA29" s="105"/>
      <c r="BB29" s="105"/>
      <c r="BC29" s="105"/>
      <c r="BD29" s="105"/>
      <c r="BE29" s="105"/>
      <c r="BF29" s="105"/>
      <c r="BG29" s="105"/>
      <c r="BH29" s="112"/>
      <c r="BI29" s="104"/>
      <c r="BJ29" s="105"/>
      <c r="BK29" s="105"/>
      <c r="BL29" s="105"/>
      <c r="BM29" s="105"/>
      <c r="BN29" s="106"/>
      <c r="BO29" s="106"/>
      <c r="BP29" s="105"/>
      <c r="BQ29" s="112"/>
      <c r="BR29" s="104"/>
      <c r="BS29" s="105"/>
      <c r="BT29" s="121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12"/>
      <c r="CF29" s="121"/>
      <c r="CG29" s="122"/>
      <c r="CH29" s="105"/>
      <c r="CI29" s="105"/>
      <c r="CJ29" s="105"/>
      <c r="CK29" s="105"/>
      <c r="CL29" s="121"/>
      <c r="CM29" s="105"/>
      <c r="CN29" s="110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12"/>
      <c r="DM29" s="104"/>
      <c r="DN29" s="105"/>
      <c r="DO29" s="121"/>
      <c r="DP29" s="105"/>
      <c r="DQ29" s="105"/>
      <c r="DR29" s="105"/>
      <c r="DS29" s="105"/>
      <c r="DT29" s="105"/>
      <c r="DU29" s="105"/>
      <c r="DV29" s="105"/>
      <c r="DW29" s="112"/>
      <c r="DX29" s="104"/>
      <c r="DY29" s="105"/>
      <c r="DZ29" s="105"/>
      <c r="EA29" s="105"/>
      <c r="EB29" s="105"/>
      <c r="EC29" s="106"/>
      <c r="ED29" s="106"/>
      <c r="EE29" s="105"/>
      <c r="EF29" s="112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</row>
    <row r="30" spans="1:160" s="1" customFormat="1" ht="16.5" customHeight="1" x14ac:dyDescent="0.2">
      <c r="A30" s="18" t="e">
        <f>Lentilles!#REF!</f>
        <v>#REF!</v>
      </c>
      <c r="B30" s="20" t="e">
        <f>Lentilles!#REF!</f>
        <v>#REF!</v>
      </c>
      <c r="C30" s="104"/>
      <c r="D30" s="105"/>
      <c r="E30" s="105">
        <v>27040</v>
      </c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12"/>
      <c r="Q30" s="105">
        <v>23980</v>
      </c>
      <c r="R30" s="105"/>
      <c r="S30" s="106">
        <v>28040</v>
      </c>
      <c r="T30" s="105"/>
      <c r="U30" s="105"/>
      <c r="V30" s="105"/>
      <c r="W30" s="105"/>
      <c r="X30" s="105"/>
      <c r="Y30" s="110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12"/>
      <c r="AX30" s="104"/>
      <c r="AY30" s="105"/>
      <c r="AZ30" s="106"/>
      <c r="BA30" s="105"/>
      <c r="BB30" s="105"/>
      <c r="BC30" s="105"/>
      <c r="BD30" s="105"/>
      <c r="BE30" s="105"/>
      <c r="BF30" s="105"/>
      <c r="BG30" s="105"/>
      <c r="BH30" s="112"/>
      <c r="BI30" s="104"/>
      <c r="BJ30" s="105"/>
      <c r="BK30" s="105">
        <v>23160</v>
      </c>
      <c r="BL30" s="105"/>
      <c r="BM30" s="105"/>
      <c r="BN30" s="106"/>
      <c r="BO30" s="106"/>
      <c r="BP30" s="105"/>
      <c r="BQ30" s="112"/>
      <c r="BR30" s="104"/>
      <c r="BS30" s="105"/>
      <c r="BT30" s="121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12"/>
      <c r="CF30" s="122">
        <v>20</v>
      </c>
      <c r="CG30" s="122"/>
      <c r="CH30" s="105">
        <v>29</v>
      </c>
      <c r="CI30" s="105"/>
      <c r="CJ30" s="105"/>
      <c r="CK30" s="105"/>
      <c r="CL30" s="121"/>
      <c r="CM30" s="105"/>
      <c r="CN30" s="110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12"/>
      <c r="DM30" s="104"/>
      <c r="DN30" s="105"/>
      <c r="DO30" s="121"/>
      <c r="DP30" s="105"/>
      <c r="DQ30" s="105"/>
      <c r="DR30" s="105"/>
      <c r="DS30" s="105"/>
      <c r="DT30" s="105"/>
      <c r="DU30" s="105"/>
      <c r="DV30" s="105"/>
      <c r="DW30" s="112"/>
      <c r="DX30" s="104"/>
      <c r="DY30" s="105"/>
      <c r="DZ30" s="105">
        <v>20</v>
      </c>
      <c r="EA30" s="105"/>
      <c r="EB30" s="105"/>
      <c r="EC30" s="106"/>
      <c r="ED30" s="106"/>
      <c r="EE30" s="105"/>
      <c r="EF30" s="112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</row>
    <row r="31" spans="1:160" s="1" customFormat="1" ht="16.5" customHeight="1" x14ac:dyDescent="0.2">
      <c r="A31" s="18" t="e">
        <f>Lentilles!#REF!</f>
        <v>#REF!</v>
      </c>
      <c r="B31" s="20" t="e">
        <f>Lentilles!#REF!</f>
        <v>#REF!</v>
      </c>
      <c r="C31" s="104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12"/>
      <c r="Q31" s="105">
        <f>23880</f>
        <v>23880</v>
      </c>
      <c r="S31" s="106"/>
      <c r="T31" s="105"/>
      <c r="U31" s="105">
        <v>23920</v>
      </c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12"/>
      <c r="AX31" s="104"/>
      <c r="AY31" s="105"/>
      <c r="AZ31" s="106"/>
      <c r="BA31" s="105"/>
      <c r="BB31" s="105"/>
      <c r="BC31" s="105"/>
      <c r="BD31" s="105"/>
      <c r="BE31" s="105"/>
      <c r="BF31" s="105"/>
      <c r="BG31" s="105"/>
      <c r="BH31" s="112"/>
      <c r="BI31" s="104"/>
      <c r="BJ31" s="105"/>
      <c r="BK31" s="105">
        <v>22180</v>
      </c>
      <c r="BL31" s="105"/>
      <c r="BM31" s="105"/>
      <c r="BN31" s="105"/>
      <c r="BO31" s="105"/>
      <c r="BP31" s="105"/>
      <c r="BQ31" s="112"/>
      <c r="BR31" s="104"/>
      <c r="BS31" s="105"/>
      <c r="BT31" s="121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12"/>
      <c r="CF31" s="122">
        <v>20</v>
      </c>
      <c r="CH31" s="105"/>
      <c r="CI31" s="105"/>
      <c r="CJ31" s="105">
        <v>20</v>
      </c>
      <c r="CK31" s="105"/>
      <c r="CL31" s="121"/>
      <c r="CM31" s="105"/>
      <c r="CN31" s="110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12"/>
      <c r="DM31" s="104"/>
      <c r="DN31" s="105"/>
      <c r="DO31" s="121"/>
      <c r="DP31" s="105"/>
      <c r="DQ31" s="105"/>
      <c r="DR31" s="105"/>
      <c r="DS31" s="105"/>
      <c r="DT31" s="105"/>
      <c r="DU31" s="105"/>
      <c r="DV31" s="105"/>
      <c r="DW31" s="112"/>
      <c r="DX31" s="104"/>
      <c r="DY31" s="105"/>
      <c r="DZ31" s="105">
        <v>20</v>
      </c>
      <c r="EA31" s="105"/>
      <c r="EB31" s="105"/>
      <c r="EC31" s="105"/>
      <c r="ED31" s="105"/>
      <c r="EE31" s="105"/>
      <c r="EF31" s="112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</row>
    <row r="32" spans="1:160" s="1" customFormat="1" ht="16.5" customHeight="1" x14ac:dyDescent="0.2">
      <c r="A32" s="18" t="e">
        <f>Lentilles!#REF!</f>
        <v>#REF!</v>
      </c>
      <c r="B32" s="20" t="e">
        <f>Lentilles!#REF!</f>
        <v>#REF!</v>
      </c>
      <c r="C32" s="104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12"/>
      <c r="Q32" s="105">
        <v>23840</v>
      </c>
      <c r="R32" s="105">
        <v>11970</v>
      </c>
      <c r="S32" s="106">
        <v>24980</v>
      </c>
      <c r="T32" s="105"/>
      <c r="U32" s="105"/>
      <c r="V32" s="105"/>
      <c r="W32" s="105"/>
      <c r="X32" s="105"/>
      <c r="Y32" s="110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12"/>
      <c r="AX32" s="104"/>
      <c r="AY32" s="106"/>
      <c r="AZ32" s="106">
        <f>22710+23470</f>
        <v>46180</v>
      </c>
      <c r="BA32" s="106"/>
      <c r="BB32" s="106"/>
      <c r="BC32" s="106"/>
      <c r="BD32" s="106"/>
      <c r="BE32" s="106"/>
      <c r="BF32" s="106"/>
      <c r="BG32" s="106"/>
      <c r="BH32" s="107"/>
      <c r="BI32" s="123"/>
      <c r="BJ32" s="106"/>
      <c r="BK32" s="106"/>
      <c r="BL32" s="106"/>
      <c r="BM32" s="106"/>
      <c r="BN32" s="106"/>
      <c r="BO32" s="106"/>
      <c r="BP32" s="106"/>
      <c r="BQ32" s="107"/>
      <c r="BR32" s="104"/>
      <c r="BS32" s="105"/>
      <c r="BT32" s="121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12"/>
      <c r="CF32" s="104">
        <v>20</v>
      </c>
      <c r="CG32" s="122">
        <v>10</v>
      </c>
      <c r="CH32" s="105">
        <v>28</v>
      </c>
      <c r="CI32" s="105"/>
      <c r="CJ32" s="105"/>
      <c r="CK32" s="105"/>
      <c r="CL32" s="121"/>
      <c r="CM32" s="105"/>
      <c r="CN32" s="110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12"/>
      <c r="DM32" s="104"/>
      <c r="DN32" s="106"/>
      <c r="DO32" s="121">
        <v>44</v>
      </c>
      <c r="DP32" s="106"/>
      <c r="DQ32" s="106"/>
      <c r="DR32" s="106"/>
      <c r="DS32" s="106"/>
      <c r="DT32" s="106"/>
      <c r="DU32" s="106"/>
      <c r="DV32" s="106"/>
      <c r="DW32" s="107"/>
      <c r="DX32" s="123"/>
      <c r="DY32" s="106"/>
      <c r="DZ32" s="106"/>
      <c r="EA32" s="106"/>
      <c r="EB32" s="106"/>
      <c r="EC32" s="106"/>
      <c r="ED32" s="106"/>
      <c r="EE32" s="106"/>
      <c r="EF32" s="107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</row>
    <row r="33" spans="1:160" s="1" customFormat="1" ht="15.6" customHeight="1" x14ac:dyDescent="0.2">
      <c r="A33" s="18" t="e">
        <f>Lentilles!#REF!</f>
        <v>#REF!</v>
      </c>
      <c r="B33" s="20" t="e">
        <f>Lentilles!#REF!</f>
        <v>#REF!</v>
      </c>
      <c r="C33" s="104"/>
      <c r="D33" s="105"/>
      <c r="E33" s="105">
        <v>23390</v>
      </c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12"/>
      <c r="Q33" s="105"/>
      <c r="R33" s="105"/>
      <c r="S33" s="106"/>
      <c r="T33" s="105"/>
      <c r="U33" s="105"/>
      <c r="V33" s="105"/>
      <c r="W33" s="105"/>
      <c r="X33" s="105">
        <v>23940</v>
      </c>
      <c r="Y33" s="110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12"/>
      <c r="AX33" s="104"/>
      <c r="AY33" s="105"/>
      <c r="AZ33" s="106"/>
      <c r="BA33" s="105"/>
      <c r="BB33" s="105"/>
      <c r="BC33" s="105"/>
      <c r="BD33" s="105"/>
      <c r="BE33" s="105"/>
      <c r="BF33" s="105"/>
      <c r="BG33" s="105"/>
      <c r="BH33" s="112"/>
      <c r="BI33" s="104"/>
      <c r="BJ33" s="105"/>
      <c r="BK33" s="105"/>
      <c r="BL33" s="105"/>
      <c r="BM33" s="105"/>
      <c r="BN33" s="106"/>
      <c r="BO33" s="106"/>
      <c r="BP33" s="105"/>
      <c r="BQ33" s="141"/>
      <c r="BR33" s="104"/>
      <c r="BS33" s="105"/>
      <c r="BT33" s="121">
        <v>22</v>
      </c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12"/>
      <c r="CF33" s="121"/>
      <c r="CG33" s="122"/>
      <c r="CH33" s="105"/>
      <c r="CI33" s="105"/>
      <c r="CJ33" s="105"/>
      <c r="CK33" s="105"/>
      <c r="CL33" s="121"/>
      <c r="CM33" s="105">
        <v>20</v>
      </c>
      <c r="CN33" s="110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12"/>
      <c r="DM33" s="104"/>
      <c r="DN33" s="105"/>
      <c r="DO33" s="121"/>
      <c r="DP33" s="105"/>
      <c r="DQ33" s="105"/>
      <c r="DR33" s="105"/>
      <c r="DS33" s="105"/>
      <c r="DT33" s="105"/>
      <c r="DU33" s="105"/>
      <c r="DV33" s="105"/>
      <c r="DW33" s="112"/>
      <c r="DX33" s="104"/>
      <c r="DY33" s="105"/>
      <c r="DZ33" s="105"/>
      <c r="EA33" s="105"/>
      <c r="EB33" s="105"/>
      <c r="EC33" s="106"/>
      <c r="ED33" s="106"/>
      <c r="EE33" s="105"/>
      <c r="EF33" s="112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</row>
    <row r="34" spans="1:160" s="1" customFormat="1" ht="16.5" customHeight="1" x14ac:dyDescent="0.2">
      <c r="A34" s="18" t="e">
        <f>Lentilles!#REF!</f>
        <v>#REF!</v>
      </c>
      <c r="B34" s="20" t="e">
        <f>Lentilles!#REF!</f>
        <v>#REF!</v>
      </c>
      <c r="C34" s="104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12"/>
      <c r="Q34" s="105"/>
      <c r="R34" s="105"/>
      <c r="S34" s="106"/>
      <c r="T34" s="105"/>
      <c r="U34" s="105"/>
      <c r="V34" s="105"/>
      <c r="W34" s="105"/>
      <c r="X34" s="105"/>
      <c r="Y34" s="110"/>
      <c r="Z34" s="105"/>
      <c r="AA34" s="105"/>
      <c r="AB34" s="105"/>
      <c r="AC34" s="105"/>
      <c r="AD34" s="105"/>
      <c r="AE34" s="105">
        <v>1001</v>
      </c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12"/>
      <c r="AX34" s="104"/>
      <c r="AY34" s="105"/>
      <c r="AZ34" s="106"/>
      <c r="BA34" s="105"/>
      <c r="BB34" s="105"/>
      <c r="BC34" s="105"/>
      <c r="BD34" s="105"/>
      <c r="BE34" s="105"/>
      <c r="BF34" s="105"/>
      <c r="BG34" s="105"/>
      <c r="BH34" s="112"/>
      <c r="BI34" s="104"/>
      <c r="BJ34" s="105"/>
      <c r="BK34" s="105"/>
      <c r="BL34" s="105"/>
      <c r="BM34" s="105"/>
      <c r="BN34" s="106"/>
      <c r="BO34" s="106"/>
      <c r="BP34" s="105"/>
      <c r="BQ34" s="112"/>
      <c r="BR34" s="104"/>
      <c r="BS34" s="105"/>
      <c r="BT34" s="121"/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12"/>
      <c r="CF34" s="121"/>
      <c r="CG34" s="122"/>
      <c r="CH34" s="122"/>
      <c r="CI34" s="105"/>
      <c r="CJ34" s="105"/>
      <c r="CK34" s="105"/>
      <c r="CL34" s="121"/>
      <c r="CM34" s="105"/>
      <c r="CN34" s="110"/>
      <c r="CO34" s="105"/>
      <c r="CP34" s="105"/>
      <c r="CQ34" s="105"/>
      <c r="CR34" s="105"/>
      <c r="CS34" s="105"/>
      <c r="CT34" s="105"/>
      <c r="CU34" s="105"/>
      <c r="CV34" s="105"/>
      <c r="CW34" s="105"/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12"/>
      <c r="DM34" s="104"/>
      <c r="DN34" s="105"/>
      <c r="DO34" s="121"/>
      <c r="DP34" s="105"/>
      <c r="DQ34" s="105"/>
      <c r="DR34" s="105"/>
      <c r="DS34" s="105"/>
      <c r="DT34" s="105"/>
      <c r="DU34" s="105"/>
      <c r="DV34" s="105"/>
      <c r="DW34" s="112"/>
      <c r="DX34" s="104"/>
      <c r="DY34" s="105"/>
      <c r="DZ34" s="105"/>
      <c r="EA34" s="105"/>
      <c r="EB34" s="105"/>
      <c r="EC34" s="106"/>
      <c r="ED34" s="106"/>
      <c r="EE34" s="105"/>
      <c r="EF34" s="112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</row>
    <row r="35" spans="1:160" s="2" customFormat="1" ht="13.5" thickBot="1" x14ac:dyDescent="0.25">
      <c r="A35" s="76" t="s">
        <v>1</v>
      </c>
      <c r="B35" s="75"/>
      <c r="C35" s="124">
        <f t="shared" ref="C35:J35" si="0">SUM(C4:C34)</f>
        <v>2180</v>
      </c>
      <c r="D35" s="125">
        <f t="shared" si="0"/>
        <v>0</v>
      </c>
      <c r="E35" s="125">
        <f t="shared" si="0"/>
        <v>147170</v>
      </c>
      <c r="F35" s="125">
        <f t="shared" si="0"/>
        <v>21620</v>
      </c>
      <c r="G35" s="125">
        <f t="shared" si="0"/>
        <v>0</v>
      </c>
      <c r="H35" s="125">
        <f t="shared" si="0"/>
        <v>0</v>
      </c>
      <c r="I35" s="125">
        <f t="shared" si="0"/>
        <v>0</v>
      </c>
      <c r="J35" s="125">
        <f t="shared" si="0"/>
        <v>0</v>
      </c>
      <c r="K35" s="125"/>
      <c r="L35" s="125"/>
      <c r="M35" s="125">
        <f>SUM(M3:M34)</f>
        <v>0</v>
      </c>
      <c r="N35" s="125">
        <f>SUM(N4:N34)</f>
        <v>0</v>
      </c>
      <c r="O35" s="125">
        <f>SUM(O4:O34)</f>
        <v>0</v>
      </c>
      <c r="P35" s="126">
        <f>SUM(P3:P34)</f>
        <v>0</v>
      </c>
      <c r="Q35" s="124">
        <f t="shared" ref="Q35:V35" si="1">SUM(Q4:Q34)</f>
        <v>239960</v>
      </c>
      <c r="R35" s="125">
        <f t="shared" si="1"/>
        <v>45530</v>
      </c>
      <c r="S35" s="125">
        <f t="shared" si="1"/>
        <v>344945</v>
      </c>
      <c r="T35" s="125">
        <f t="shared" si="1"/>
        <v>0</v>
      </c>
      <c r="U35" s="125">
        <f t="shared" si="1"/>
        <v>96081</v>
      </c>
      <c r="V35" s="125">
        <f t="shared" si="1"/>
        <v>0</v>
      </c>
      <c r="W35" s="125">
        <f t="shared" ref="W35:BQ35" si="2">SUM(W4:W34)</f>
        <v>31090</v>
      </c>
      <c r="X35" s="125">
        <f t="shared" si="2"/>
        <v>47820</v>
      </c>
      <c r="Y35" s="125">
        <f t="shared" si="2"/>
        <v>11840</v>
      </c>
      <c r="Z35" s="125">
        <f t="shared" si="2"/>
        <v>0</v>
      </c>
      <c r="AA35" s="125">
        <f t="shared" si="2"/>
        <v>0</v>
      </c>
      <c r="AB35" s="125">
        <f t="shared" si="2"/>
        <v>0</v>
      </c>
      <c r="AC35" s="125">
        <f t="shared" si="2"/>
        <v>0</v>
      </c>
      <c r="AD35" s="125">
        <f t="shared" si="2"/>
        <v>0</v>
      </c>
      <c r="AE35" s="125">
        <f t="shared" si="2"/>
        <v>1001</v>
      </c>
      <c r="AF35" s="125">
        <f t="shared" si="2"/>
        <v>0</v>
      </c>
      <c r="AG35" s="125">
        <f t="shared" si="2"/>
        <v>0</v>
      </c>
      <c r="AH35" s="125">
        <f t="shared" si="2"/>
        <v>0</v>
      </c>
      <c r="AI35" s="125">
        <f t="shared" si="2"/>
        <v>0</v>
      </c>
      <c r="AJ35" s="125">
        <f t="shared" si="2"/>
        <v>0</v>
      </c>
      <c r="AK35" s="125">
        <f t="shared" si="2"/>
        <v>0</v>
      </c>
      <c r="AL35" s="125">
        <f t="shared" si="2"/>
        <v>0</v>
      </c>
      <c r="AM35" s="125">
        <f t="shared" si="2"/>
        <v>0</v>
      </c>
      <c r="AN35" s="125">
        <f t="shared" si="2"/>
        <v>0</v>
      </c>
      <c r="AO35" s="125">
        <f t="shared" si="2"/>
        <v>0</v>
      </c>
      <c r="AP35" s="125">
        <f t="shared" si="2"/>
        <v>0</v>
      </c>
      <c r="AQ35" s="125">
        <f t="shared" si="2"/>
        <v>0</v>
      </c>
      <c r="AR35" s="125">
        <f t="shared" si="2"/>
        <v>0</v>
      </c>
      <c r="AS35" s="125">
        <f t="shared" si="2"/>
        <v>0</v>
      </c>
      <c r="AT35" s="125">
        <f t="shared" si="2"/>
        <v>0</v>
      </c>
      <c r="AU35" s="125">
        <f t="shared" si="2"/>
        <v>0</v>
      </c>
      <c r="AV35" s="125">
        <f t="shared" si="2"/>
        <v>0</v>
      </c>
      <c r="AW35" s="126">
        <f t="shared" si="2"/>
        <v>0</v>
      </c>
      <c r="AX35" s="124">
        <f t="shared" si="2"/>
        <v>0</v>
      </c>
      <c r="AY35" s="125">
        <f t="shared" si="2"/>
        <v>20670</v>
      </c>
      <c r="AZ35" s="125">
        <f t="shared" si="2"/>
        <v>138835</v>
      </c>
      <c r="BA35" s="125">
        <f>SUM(BA4:BA34)</f>
        <v>43220</v>
      </c>
      <c r="BB35" s="125">
        <f t="shared" si="2"/>
        <v>0</v>
      </c>
      <c r="BC35" s="125">
        <f t="shared" si="2"/>
        <v>0</v>
      </c>
      <c r="BD35" s="125">
        <f t="shared" si="2"/>
        <v>0</v>
      </c>
      <c r="BE35" s="125">
        <f t="shared" si="2"/>
        <v>0</v>
      </c>
      <c r="BF35" s="125">
        <f t="shared" si="2"/>
        <v>0</v>
      </c>
      <c r="BG35" s="125">
        <f t="shared" si="2"/>
        <v>0</v>
      </c>
      <c r="BH35" s="126">
        <f t="shared" si="2"/>
        <v>0</v>
      </c>
      <c r="BI35" s="125">
        <f t="shared" si="2"/>
        <v>0</v>
      </c>
      <c r="BJ35" s="125">
        <f t="shared" si="2"/>
        <v>0</v>
      </c>
      <c r="BK35" s="125">
        <f t="shared" si="2"/>
        <v>203650</v>
      </c>
      <c r="BL35" s="125">
        <f t="shared" si="2"/>
        <v>0</v>
      </c>
      <c r="BM35" s="125">
        <f t="shared" si="2"/>
        <v>0</v>
      </c>
      <c r="BN35" s="125">
        <f t="shared" si="2"/>
        <v>0</v>
      </c>
      <c r="BO35" s="125">
        <f t="shared" si="2"/>
        <v>0</v>
      </c>
      <c r="BP35" s="125">
        <f t="shared" si="2"/>
        <v>0</v>
      </c>
      <c r="BQ35" s="126">
        <f t="shared" si="2"/>
        <v>0</v>
      </c>
      <c r="BR35" s="124">
        <f t="shared" ref="BR35:BY35" si="3">SUM(BR4:BR34)</f>
        <v>2</v>
      </c>
      <c r="BS35" s="125">
        <f t="shared" si="3"/>
        <v>0</v>
      </c>
      <c r="BT35" s="125">
        <f t="shared" si="3"/>
        <v>70</v>
      </c>
      <c r="BU35" s="125">
        <f t="shared" si="3"/>
        <v>0</v>
      </c>
      <c r="BV35" s="125">
        <f t="shared" si="3"/>
        <v>0</v>
      </c>
      <c r="BW35" s="125">
        <f t="shared" si="3"/>
        <v>0</v>
      </c>
      <c r="BX35" s="125">
        <f t="shared" si="3"/>
        <v>0</v>
      </c>
      <c r="BY35" s="125">
        <f t="shared" si="3"/>
        <v>0</v>
      </c>
      <c r="BZ35" s="125"/>
      <c r="CA35" s="125"/>
      <c r="CB35" s="125">
        <f>SUM(CB3:CB34)</f>
        <v>0</v>
      </c>
      <c r="CC35" s="125">
        <f>SUM(CC4:CC34)</f>
        <v>0</v>
      </c>
      <c r="CD35" s="125">
        <f>SUM(CD4:CD34)</f>
        <v>0</v>
      </c>
      <c r="CE35" s="126">
        <f>SUM(CE3:CE34)</f>
        <v>0</v>
      </c>
      <c r="CF35" s="124">
        <f t="shared" ref="CF35:DR35" si="4">SUM(CF4:CF34)</f>
        <v>201</v>
      </c>
      <c r="CG35" s="125">
        <f t="shared" si="4"/>
        <v>39</v>
      </c>
      <c r="CH35" s="125">
        <f t="shared" si="4"/>
        <v>389</v>
      </c>
      <c r="CI35" s="125">
        <f t="shared" si="4"/>
        <v>0</v>
      </c>
      <c r="CJ35" s="125">
        <f t="shared" si="4"/>
        <v>80</v>
      </c>
      <c r="CK35" s="125">
        <f t="shared" si="4"/>
        <v>0</v>
      </c>
      <c r="CL35" s="125">
        <f t="shared" si="4"/>
        <v>26</v>
      </c>
      <c r="CM35" s="125">
        <f t="shared" si="4"/>
        <v>40</v>
      </c>
      <c r="CN35" s="125">
        <f t="shared" si="4"/>
        <v>12</v>
      </c>
      <c r="CO35" s="125">
        <f t="shared" si="4"/>
        <v>0</v>
      </c>
      <c r="CP35" s="125">
        <f t="shared" si="4"/>
        <v>0</v>
      </c>
      <c r="CQ35" s="125">
        <f t="shared" si="4"/>
        <v>0</v>
      </c>
      <c r="CR35" s="125">
        <f t="shared" si="4"/>
        <v>0</v>
      </c>
      <c r="CS35" s="125">
        <f t="shared" si="4"/>
        <v>0</v>
      </c>
      <c r="CT35" s="125">
        <f t="shared" si="4"/>
        <v>0</v>
      </c>
      <c r="CU35" s="125">
        <f t="shared" si="4"/>
        <v>0</v>
      </c>
      <c r="CV35" s="125">
        <f t="shared" si="4"/>
        <v>0</v>
      </c>
      <c r="CW35" s="125">
        <f t="shared" si="4"/>
        <v>0</v>
      </c>
      <c r="CX35" s="125">
        <f t="shared" si="4"/>
        <v>0</v>
      </c>
      <c r="CY35" s="125">
        <f t="shared" si="4"/>
        <v>0</v>
      </c>
      <c r="CZ35" s="125">
        <f t="shared" si="4"/>
        <v>0</v>
      </c>
      <c r="DA35" s="125">
        <f t="shared" si="4"/>
        <v>0</v>
      </c>
      <c r="DB35" s="125">
        <f t="shared" si="4"/>
        <v>0</v>
      </c>
      <c r="DC35" s="125">
        <f t="shared" si="4"/>
        <v>0</v>
      </c>
      <c r="DD35" s="125">
        <f t="shared" si="4"/>
        <v>0</v>
      </c>
      <c r="DE35" s="125">
        <f t="shared" si="4"/>
        <v>0</v>
      </c>
      <c r="DF35" s="125">
        <f t="shared" si="4"/>
        <v>0</v>
      </c>
      <c r="DG35" s="125">
        <f t="shared" si="4"/>
        <v>0</v>
      </c>
      <c r="DH35" s="125">
        <f t="shared" si="4"/>
        <v>0</v>
      </c>
      <c r="DI35" s="125">
        <f t="shared" si="4"/>
        <v>0</v>
      </c>
      <c r="DJ35" s="125">
        <f t="shared" si="4"/>
        <v>0</v>
      </c>
      <c r="DK35" s="125">
        <f t="shared" si="4"/>
        <v>0</v>
      </c>
      <c r="DL35" s="126">
        <f t="shared" si="4"/>
        <v>0</v>
      </c>
      <c r="DM35" s="124">
        <f t="shared" si="4"/>
        <v>0</v>
      </c>
      <c r="DN35" s="125">
        <f t="shared" si="4"/>
        <v>22</v>
      </c>
      <c r="DO35" s="125">
        <f t="shared" si="4"/>
        <v>137</v>
      </c>
      <c r="DP35" s="125">
        <f t="shared" si="4"/>
        <v>44</v>
      </c>
      <c r="DQ35" s="125">
        <f t="shared" si="4"/>
        <v>0</v>
      </c>
      <c r="DR35" s="125">
        <f t="shared" si="4"/>
        <v>0</v>
      </c>
      <c r="DS35" s="125"/>
      <c r="DT35" s="125">
        <f t="shared" ref="DT35:EF35" si="5">SUM(DT4:DT34)</f>
        <v>0</v>
      </c>
      <c r="DU35" s="125">
        <f t="shared" si="5"/>
        <v>0</v>
      </c>
      <c r="DV35" s="125">
        <f t="shared" si="5"/>
        <v>0</v>
      </c>
      <c r="DW35" s="126">
        <f t="shared" si="5"/>
        <v>0</v>
      </c>
      <c r="DX35" s="125">
        <f t="shared" si="5"/>
        <v>0</v>
      </c>
      <c r="DY35" s="125">
        <f t="shared" si="5"/>
        <v>0</v>
      </c>
      <c r="DZ35" s="125">
        <f t="shared" si="5"/>
        <v>189</v>
      </c>
      <c r="EA35" s="125">
        <f t="shared" si="5"/>
        <v>0</v>
      </c>
      <c r="EB35" s="125">
        <f t="shared" si="5"/>
        <v>0</v>
      </c>
      <c r="EC35" s="125">
        <f t="shared" si="5"/>
        <v>0</v>
      </c>
      <c r="ED35" s="125">
        <f t="shared" si="5"/>
        <v>0</v>
      </c>
      <c r="EE35" s="125">
        <f t="shared" si="5"/>
        <v>0</v>
      </c>
      <c r="EF35" s="126">
        <f t="shared" si="5"/>
        <v>0</v>
      </c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</row>
    <row r="36" spans="1:160" x14ac:dyDescent="0.2">
      <c r="A36" s="96"/>
      <c r="B36" s="96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8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98"/>
      <c r="DM36" s="98"/>
      <c r="DN36" s="98"/>
      <c r="DO36" s="98"/>
      <c r="DP36" s="98"/>
      <c r="DQ36" s="98"/>
      <c r="DR36" s="98"/>
      <c r="DS36" s="98"/>
      <c r="DT36" s="98"/>
      <c r="DU36" s="98"/>
      <c r="DV36" s="98"/>
      <c r="DW36" s="98"/>
      <c r="DX36" s="98"/>
      <c r="DY36" s="98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</row>
    <row r="37" spans="1:160" x14ac:dyDescent="0.2">
      <c r="A37" s="96"/>
      <c r="B37" s="96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98"/>
      <c r="DM37" s="98"/>
      <c r="DN37" s="98"/>
      <c r="DO37" s="98"/>
      <c r="DP37" s="98"/>
      <c r="DQ37" s="98"/>
      <c r="DR37" s="98"/>
      <c r="DS37" s="98"/>
      <c r="DT37" s="98"/>
      <c r="DU37" s="98"/>
      <c r="DV37" s="98"/>
      <c r="DW37" s="98"/>
      <c r="DX37" s="98"/>
      <c r="DY37" s="98"/>
      <c r="DZ37" s="98"/>
      <c r="EA37" s="98"/>
      <c r="EB37" s="98"/>
      <c r="EC37" s="98"/>
      <c r="ED37" s="98"/>
      <c r="EE37" s="98"/>
      <c r="EF37" s="98"/>
      <c r="EG37" s="98"/>
      <c r="EH37" s="98"/>
      <c r="EI37" s="98"/>
      <c r="EJ37" s="98"/>
      <c r="EK37" s="98"/>
      <c r="EL37" s="98"/>
      <c r="EM37" s="98"/>
      <c r="EN37" s="98"/>
      <c r="EO37" s="98"/>
      <c r="EP37" s="98"/>
      <c r="EQ37" s="98"/>
      <c r="ER37" s="98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</row>
    <row r="38" spans="1:160" ht="15.75" thickBot="1" x14ac:dyDescent="0.25">
      <c r="A38" s="96"/>
      <c r="B38" s="96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</row>
    <row r="39" spans="1:160" x14ac:dyDescent="0.2">
      <c r="A39" s="96"/>
      <c r="B39" s="96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395" t="s">
        <v>96</v>
      </c>
      <c r="R39" s="100"/>
      <c r="S39" s="97"/>
      <c r="T39" s="395" t="s">
        <v>94</v>
      </c>
      <c r="U39" s="100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98"/>
      <c r="DZ39" s="98"/>
      <c r="EA39" s="98"/>
      <c r="EB39" s="98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98"/>
      <c r="EQ39" s="98"/>
      <c r="ER39" s="98"/>
      <c r="ES39" s="98"/>
      <c r="ET39" s="98"/>
      <c r="EU39" s="98"/>
      <c r="EV39" s="98"/>
      <c r="EW39" s="98"/>
      <c r="EX39" s="98"/>
      <c r="EY39" s="98"/>
      <c r="EZ39" s="98"/>
      <c r="FA39" s="98"/>
      <c r="FB39" s="98"/>
      <c r="FC39" s="98"/>
      <c r="FD39" s="98"/>
    </row>
    <row r="40" spans="1:160" x14ac:dyDescent="0.2">
      <c r="A40" s="96"/>
      <c r="B40" s="96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396"/>
      <c r="R40" s="101">
        <f>Q35+R35+S35+T35+U35+V35+W35+X35+Y35+Z35+AA35+AB35+AC35+AD35+AE35+AF35+AG35+AH35</f>
        <v>818267</v>
      </c>
      <c r="S40" s="148"/>
      <c r="T40" s="396"/>
      <c r="U40" s="101">
        <f>C35+D35+E35+F35+G35+H35</f>
        <v>170970</v>
      </c>
      <c r="V40" s="148"/>
      <c r="W40" s="148"/>
      <c r="X40" s="148"/>
      <c r="Y40" s="148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  <c r="DQ40" s="98"/>
      <c r="DR40" s="98"/>
      <c r="DS40" s="98"/>
      <c r="DT40" s="98"/>
      <c r="DU40" s="98"/>
      <c r="DV40" s="98"/>
      <c r="DW40" s="98"/>
      <c r="DX40" s="98"/>
      <c r="DY40" s="98"/>
      <c r="DZ40" s="98"/>
      <c r="EA40" s="98"/>
      <c r="EB40" s="98"/>
      <c r="EC40" s="98"/>
      <c r="ED40" s="98"/>
      <c r="EE40" s="98"/>
      <c r="EF40" s="98"/>
      <c r="EG40" s="98"/>
      <c r="EH40" s="98"/>
      <c r="EI40" s="98"/>
      <c r="EJ40" s="98"/>
      <c r="EK40" s="98"/>
      <c r="EL40" s="98"/>
      <c r="EM40" s="98"/>
      <c r="EN40" s="98"/>
      <c r="EO40" s="98"/>
      <c r="EP40" s="98"/>
      <c r="EQ40" s="98"/>
      <c r="ER40" s="98"/>
      <c r="ES40" s="98"/>
      <c r="ET40" s="98"/>
      <c r="EU40" s="98"/>
      <c r="EV40" s="98"/>
      <c r="EW40" s="98"/>
      <c r="EX40" s="98"/>
      <c r="EY40" s="98"/>
      <c r="EZ40" s="98"/>
      <c r="FA40" s="98"/>
      <c r="FB40" s="98"/>
      <c r="FC40" s="98"/>
      <c r="FD40" s="98"/>
    </row>
    <row r="41" spans="1:160" ht="15.75" thickBot="1" x14ac:dyDescent="0.25">
      <c r="A41" s="96"/>
      <c r="B41" s="96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397"/>
      <c r="R41" s="102"/>
      <c r="S41" s="148"/>
      <c r="T41" s="397"/>
      <c r="U41" s="102"/>
      <c r="V41" s="148"/>
      <c r="W41" s="148"/>
      <c r="X41" s="148"/>
      <c r="Y41" s="148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  <c r="CM41" s="98"/>
      <c r="CN41" s="98"/>
      <c r="CO41" s="98"/>
      <c r="CP41" s="98"/>
      <c r="CQ41" s="98"/>
      <c r="CR41" s="98"/>
      <c r="CS41" s="98"/>
      <c r="CT41" s="98"/>
      <c r="CU41" s="98"/>
      <c r="CV41" s="98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8"/>
      <c r="DS41" s="98"/>
      <c r="DT41" s="98"/>
      <c r="DU41" s="98"/>
      <c r="DV41" s="98"/>
      <c r="DW41" s="98"/>
      <c r="DX41" s="98"/>
      <c r="DY41" s="98"/>
      <c r="DZ41" s="98"/>
      <c r="EA41" s="98"/>
      <c r="EB41" s="98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98"/>
      <c r="ER41" s="98"/>
      <c r="ES41" s="98"/>
      <c r="ET41" s="98"/>
      <c r="EU41" s="98"/>
      <c r="EV41" s="98"/>
      <c r="EW41" s="98"/>
      <c r="EX41" s="98"/>
      <c r="EY41" s="98"/>
      <c r="EZ41" s="98"/>
      <c r="FA41" s="98"/>
      <c r="FB41" s="98"/>
      <c r="FC41" s="98"/>
      <c r="FD41" s="98"/>
    </row>
    <row r="42" spans="1:160" ht="15.75" thickBot="1" x14ac:dyDescent="0.25">
      <c r="A42" s="96"/>
      <c r="B42" s="96"/>
      <c r="C42" s="97"/>
      <c r="D42" s="97"/>
      <c r="E42" s="97"/>
      <c r="F42" s="97"/>
      <c r="G42" s="97" t="s">
        <v>42</v>
      </c>
      <c r="H42" s="97"/>
      <c r="I42" s="97"/>
      <c r="J42" s="97"/>
      <c r="K42" s="97"/>
      <c r="L42" s="97"/>
      <c r="M42" s="97"/>
      <c r="N42" s="97"/>
      <c r="O42" s="97"/>
      <c r="P42" s="97"/>
      <c r="Q42" s="71"/>
      <c r="R42" s="71"/>
      <c r="S42" s="148"/>
      <c r="T42" s="148"/>
      <c r="U42" s="148"/>
      <c r="V42" s="148"/>
      <c r="W42" s="148"/>
      <c r="X42" s="148"/>
      <c r="Y42" s="148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8"/>
      <c r="DU42" s="98"/>
      <c r="DV42" s="98"/>
      <c r="DW42" s="98"/>
      <c r="DX42" s="98"/>
      <c r="DY42" s="98"/>
      <c r="DZ42" s="98"/>
      <c r="EA42" s="98"/>
      <c r="EB42" s="98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</row>
    <row r="43" spans="1:160" x14ac:dyDescent="0.2">
      <c r="A43" s="96"/>
      <c r="B43" s="96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395" t="s">
        <v>97</v>
      </c>
      <c r="R43" s="100"/>
      <c r="S43" s="148"/>
      <c r="T43" s="395" t="s">
        <v>95</v>
      </c>
      <c r="U43" s="100"/>
      <c r="V43" s="148"/>
      <c r="W43" s="148"/>
      <c r="X43" s="148"/>
      <c r="Y43" s="148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8"/>
      <c r="DJ43" s="98"/>
      <c r="DK43" s="98"/>
      <c r="DL43" s="98"/>
      <c r="DM43" s="98"/>
      <c r="DN43" s="98"/>
      <c r="DO43" s="98"/>
      <c r="DP43" s="98"/>
      <c r="DQ43" s="98"/>
      <c r="DR43" s="98"/>
      <c r="DS43" s="98"/>
      <c r="DT43" s="98"/>
      <c r="DU43" s="98"/>
      <c r="DV43" s="98"/>
      <c r="DW43" s="98"/>
      <c r="DX43" s="98"/>
      <c r="DY43" s="98"/>
      <c r="DZ43" s="98"/>
      <c r="EA43" s="98"/>
      <c r="EB43" s="98"/>
      <c r="EC43" s="98"/>
      <c r="ED43" s="98"/>
      <c r="EE43" s="98"/>
      <c r="EF43" s="98"/>
      <c r="EG43" s="98"/>
      <c r="EH43" s="98"/>
      <c r="EI43" s="98"/>
      <c r="EJ43" s="98"/>
      <c r="EK43" s="98"/>
      <c r="EL43" s="98"/>
      <c r="EM43" s="98"/>
      <c r="EN43" s="98"/>
      <c r="EO43" s="98"/>
      <c r="EP43" s="98"/>
      <c r="EQ43" s="98"/>
      <c r="ER43" s="98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</row>
    <row r="44" spans="1:160" x14ac:dyDescent="0.2">
      <c r="A44" s="96"/>
      <c r="B44" s="96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396"/>
      <c r="R44" s="101">
        <f>AX35+AY35+AZ35+BA35+BB35+BC35+BD35+BE35</f>
        <v>202725</v>
      </c>
      <c r="S44" s="97"/>
      <c r="T44" s="396"/>
      <c r="U44" s="101">
        <f>BI35+BJ35+BK35+BL35+BM35+BN35</f>
        <v>203650</v>
      </c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8"/>
      <c r="DJ44" s="98"/>
      <c r="DK44" s="98"/>
      <c r="DL44" s="98"/>
      <c r="DM44" s="98"/>
      <c r="DN44" s="98"/>
      <c r="DO44" s="98"/>
      <c r="DP44" s="98"/>
      <c r="DQ44" s="98"/>
      <c r="DR44" s="98"/>
      <c r="DS44" s="98"/>
      <c r="DT44" s="98"/>
      <c r="DU44" s="98"/>
      <c r="DV44" s="98"/>
      <c r="DW44" s="98"/>
      <c r="DX44" s="98"/>
      <c r="DY44" s="98"/>
      <c r="DZ44" s="98"/>
      <c r="EA44" s="98"/>
      <c r="EB44" s="98"/>
      <c r="EC44" s="98"/>
      <c r="ED44" s="98"/>
      <c r="EE44" s="98"/>
      <c r="EF44" s="98"/>
      <c r="EG44" s="98"/>
      <c r="EH44" s="98"/>
      <c r="EI44" s="98"/>
      <c r="EJ44" s="98"/>
      <c r="EK44" s="98"/>
      <c r="EL44" s="98"/>
      <c r="EM44" s="98"/>
      <c r="EN44" s="98"/>
      <c r="EO44" s="98"/>
      <c r="EP44" s="98"/>
      <c r="EQ44" s="98"/>
      <c r="ER44" s="98"/>
      <c r="ES44" s="98"/>
      <c r="ET44" s="98"/>
      <c r="EU44" s="98"/>
      <c r="EV44" s="98"/>
      <c r="EW44" s="98"/>
      <c r="EX44" s="98"/>
      <c r="EY44" s="98"/>
      <c r="EZ44" s="98"/>
      <c r="FA44" s="98"/>
      <c r="FB44" s="98"/>
      <c r="FC44" s="98"/>
      <c r="FD44" s="98"/>
    </row>
    <row r="45" spans="1:160" ht="15.75" thickBot="1" x14ac:dyDescent="0.25">
      <c r="A45" s="96"/>
      <c r="B45" s="96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397"/>
      <c r="R45" s="102"/>
      <c r="S45" s="97"/>
      <c r="T45" s="397"/>
      <c r="U45" s="102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98"/>
      <c r="DZ45" s="98"/>
      <c r="EA45" s="98"/>
      <c r="EB45" s="98"/>
      <c r="EC45" s="98"/>
      <c r="ED45" s="98"/>
      <c r="EE45" s="98"/>
      <c r="EF45" s="98"/>
      <c r="EG45" s="98"/>
      <c r="EH45" s="98"/>
      <c r="EI45" s="98"/>
      <c r="EJ45" s="98"/>
      <c r="EK45" s="98"/>
      <c r="EL45" s="98"/>
      <c r="EM45" s="98"/>
      <c r="EN45" s="98"/>
      <c r="EO45" s="98"/>
      <c r="EP45" s="98"/>
      <c r="EQ45" s="98"/>
      <c r="ER45" s="98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</row>
    <row r="46" spans="1:160" x14ac:dyDescent="0.2">
      <c r="A46" s="96"/>
      <c r="B46" s="96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98"/>
      <c r="ER46" s="98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</row>
    <row r="47" spans="1:160" x14ac:dyDescent="0.2">
      <c r="A47" s="96"/>
      <c r="B47" s="96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98"/>
      <c r="DK47" s="98"/>
      <c r="DL47" s="98"/>
      <c r="DM47" s="98"/>
      <c r="DN47" s="98"/>
      <c r="DO47" s="98"/>
      <c r="DP47" s="98"/>
      <c r="DQ47" s="98"/>
      <c r="DR47" s="98"/>
      <c r="DS47" s="98"/>
      <c r="DT47" s="98"/>
      <c r="DU47" s="98"/>
      <c r="DV47" s="98"/>
      <c r="DW47" s="98"/>
      <c r="DX47" s="98"/>
      <c r="DY47" s="98"/>
      <c r="DZ47" s="98"/>
      <c r="EA47" s="98"/>
      <c r="EB47" s="98"/>
      <c r="EC47" s="98"/>
      <c r="ED47" s="98"/>
      <c r="EE47" s="98"/>
      <c r="EF47" s="98"/>
      <c r="EG47" s="98"/>
      <c r="EH47" s="98"/>
      <c r="EI47" s="98"/>
      <c r="EJ47" s="98"/>
      <c r="EK47" s="98"/>
      <c r="EL47" s="98"/>
      <c r="EM47" s="98"/>
      <c r="EN47" s="98"/>
      <c r="EO47" s="98"/>
      <c r="EP47" s="98"/>
      <c r="EQ47" s="98"/>
      <c r="ER47" s="98"/>
      <c r="ES47" s="98"/>
      <c r="ET47" s="98"/>
      <c r="EU47" s="98"/>
      <c r="EV47" s="98"/>
      <c r="EW47" s="98"/>
      <c r="EX47" s="98"/>
      <c r="EY47" s="98"/>
      <c r="EZ47" s="98"/>
      <c r="FA47" s="98"/>
      <c r="FB47" s="98"/>
      <c r="FC47" s="98"/>
      <c r="FD47" s="98"/>
    </row>
    <row r="48" spans="1:160" x14ac:dyDescent="0.2">
      <c r="A48" s="96"/>
      <c r="B48" s="96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</row>
    <row r="49" spans="1:160" x14ac:dyDescent="0.2">
      <c r="A49" s="96"/>
      <c r="B49" s="96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98"/>
      <c r="DV49" s="98"/>
      <c r="DW49" s="98"/>
      <c r="DX49" s="98"/>
      <c r="DY49" s="98"/>
      <c r="DZ49" s="98"/>
      <c r="EA49" s="98"/>
      <c r="EB49" s="98"/>
      <c r="EC49" s="98"/>
      <c r="ED49" s="98"/>
      <c r="EE49" s="98"/>
      <c r="EF49" s="98"/>
      <c r="EG49" s="98"/>
      <c r="EH49" s="98"/>
      <c r="EI49" s="98"/>
      <c r="EJ49" s="98"/>
      <c r="EK49" s="98"/>
      <c r="EL49" s="98"/>
      <c r="EM49" s="98"/>
      <c r="EN49" s="98"/>
      <c r="EO49" s="98"/>
      <c r="EP49" s="98"/>
      <c r="EQ49" s="98"/>
      <c r="ER49" s="98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</row>
    <row r="50" spans="1:160" x14ac:dyDescent="0.2">
      <c r="A50" s="96"/>
      <c r="B50" s="96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</row>
    <row r="51" spans="1:160" x14ac:dyDescent="0.2">
      <c r="A51" s="96"/>
      <c r="B51" s="96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  <c r="AT51" s="97"/>
      <c r="AU51" s="97"/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98"/>
      <c r="DZ51" s="98"/>
      <c r="EA51" s="98"/>
      <c r="EB51" s="98"/>
      <c r="EC51" s="98"/>
      <c r="ED51" s="98"/>
      <c r="EE51" s="98"/>
      <c r="EF51" s="98"/>
      <c r="EG51" s="98"/>
      <c r="EH51" s="98"/>
      <c r="EI51" s="98"/>
      <c r="EJ51" s="98"/>
      <c r="EK51" s="98"/>
      <c r="EL51" s="98"/>
      <c r="EM51" s="98"/>
      <c r="EN51" s="98"/>
      <c r="EO51" s="98"/>
      <c r="EP51" s="98"/>
      <c r="EQ51" s="98"/>
      <c r="ER51" s="98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</row>
    <row r="52" spans="1:160" x14ac:dyDescent="0.2">
      <c r="A52" s="96"/>
      <c r="B52" s="96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L52" s="98"/>
      <c r="DM52" s="98"/>
      <c r="DN52" s="98"/>
      <c r="DO52" s="98"/>
      <c r="DP52" s="98"/>
      <c r="DQ52" s="98"/>
      <c r="DR52" s="98"/>
      <c r="DS52" s="98"/>
      <c r="DT52" s="98"/>
      <c r="DU52" s="98"/>
      <c r="DV52" s="98"/>
      <c r="DW52" s="98"/>
      <c r="DX52" s="98"/>
      <c r="DY52" s="98"/>
      <c r="DZ52" s="98"/>
      <c r="EA52" s="98"/>
      <c r="EB52" s="98"/>
      <c r="EC52" s="98"/>
      <c r="ED52" s="98"/>
      <c r="EE52" s="98"/>
      <c r="EF52" s="98"/>
      <c r="EG52" s="98"/>
      <c r="EH52" s="98"/>
      <c r="EI52" s="98"/>
      <c r="EJ52" s="98"/>
      <c r="EK52" s="98"/>
      <c r="EL52" s="98"/>
      <c r="EM52" s="98"/>
      <c r="EN52" s="98"/>
      <c r="EO52" s="98"/>
      <c r="EP52" s="98"/>
      <c r="EQ52" s="98"/>
      <c r="ER52" s="98"/>
      <c r="ES52" s="98"/>
      <c r="ET52" s="98"/>
      <c r="EU52" s="98"/>
      <c r="EV52" s="98"/>
      <c r="EW52" s="98"/>
      <c r="EX52" s="98"/>
      <c r="EY52" s="98"/>
      <c r="EZ52" s="98"/>
      <c r="FA52" s="98"/>
      <c r="FB52" s="98"/>
      <c r="FC52" s="98"/>
      <c r="FD52" s="98"/>
    </row>
    <row r="53" spans="1:160" x14ac:dyDescent="0.2">
      <c r="A53" s="96"/>
      <c r="B53" s="96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98"/>
      <c r="DZ53" s="98"/>
      <c r="EA53" s="98"/>
      <c r="EB53" s="98"/>
      <c r="EC53" s="98"/>
      <c r="ED53" s="98"/>
      <c r="EE53" s="98"/>
      <c r="EF53" s="98"/>
      <c r="EG53" s="98"/>
      <c r="EH53" s="98"/>
      <c r="EI53" s="98"/>
      <c r="EJ53" s="98"/>
      <c r="EK53" s="98"/>
      <c r="EL53" s="98"/>
      <c r="EM53" s="98"/>
      <c r="EN53" s="98"/>
      <c r="EO53" s="98"/>
      <c r="EP53" s="98"/>
      <c r="EQ53" s="98"/>
      <c r="ER53" s="98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</row>
    <row r="54" spans="1:160" x14ac:dyDescent="0.2">
      <c r="A54" s="96"/>
      <c r="B54" s="96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98"/>
      <c r="DH54" s="98"/>
      <c r="DI54" s="98"/>
      <c r="DJ54" s="98"/>
      <c r="DK54" s="98"/>
      <c r="DL54" s="98"/>
      <c r="DM54" s="98"/>
      <c r="DN54" s="98"/>
      <c r="DO54" s="98"/>
      <c r="DP54" s="98"/>
      <c r="DQ54" s="98"/>
      <c r="DR54" s="98"/>
      <c r="DS54" s="98"/>
      <c r="DT54" s="98"/>
      <c r="DU54" s="98"/>
      <c r="DV54" s="98"/>
      <c r="DW54" s="98"/>
      <c r="DX54" s="98"/>
      <c r="DY54" s="98"/>
      <c r="DZ54" s="98"/>
      <c r="EA54" s="98"/>
      <c r="EB54" s="98"/>
      <c r="EC54" s="98"/>
      <c r="ED54" s="98"/>
      <c r="EE54" s="98"/>
      <c r="EF54" s="98"/>
      <c r="EG54" s="98"/>
      <c r="EH54" s="98"/>
      <c r="EI54" s="98"/>
      <c r="EJ54" s="98"/>
      <c r="EK54" s="98"/>
      <c r="EL54" s="98"/>
      <c r="EM54" s="98"/>
      <c r="EN54" s="98"/>
      <c r="EO54" s="98"/>
      <c r="EP54" s="98"/>
      <c r="EQ54" s="98"/>
      <c r="ER54" s="98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</row>
    <row r="55" spans="1:160" x14ac:dyDescent="0.2">
      <c r="A55" s="96"/>
      <c r="B55" s="96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V55" s="98"/>
      <c r="CW55" s="98"/>
      <c r="CX55" s="98"/>
      <c r="CY55" s="98"/>
      <c r="CZ55" s="98"/>
      <c r="DA55" s="98"/>
      <c r="DB55" s="98"/>
      <c r="DC55" s="98"/>
      <c r="DD55" s="98"/>
      <c r="DE55" s="98"/>
      <c r="DF55" s="98"/>
      <c r="DG55" s="98"/>
      <c r="DH55" s="98"/>
      <c r="DI55" s="98"/>
      <c r="DJ55" s="98"/>
      <c r="DK55" s="98"/>
      <c r="DL55" s="98"/>
      <c r="DM55" s="98"/>
      <c r="DN55" s="98"/>
      <c r="DO55" s="98"/>
      <c r="DP55" s="98"/>
      <c r="DQ55" s="98"/>
      <c r="DR55" s="98"/>
      <c r="DS55" s="98"/>
      <c r="DT55" s="98"/>
      <c r="DU55" s="98"/>
      <c r="DV55" s="98"/>
      <c r="DW55" s="98"/>
      <c r="DX55" s="98"/>
      <c r="DY55" s="98"/>
      <c r="DZ55" s="98"/>
      <c r="EA55" s="98"/>
      <c r="EB55" s="98"/>
      <c r="EC55" s="98"/>
      <c r="ED55" s="98"/>
      <c r="EE55" s="98"/>
      <c r="EF55" s="98"/>
      <c r="EG55" s="98"/>
      <c r="EH55" s="98"/>
      <c r="EI55" s="98"/>
      <c r="EJ55" s="98"/>
      <c r="EK55" s="98"/>
      <c r="EL55" s="98"/>
      <c r="EM55" s="98"/>
      <c r="EN55" s="98"/>
      <c r="EO55" s="98"/>
      <c r="EP55" s="98"/>
      <c r="EQ55" s="98"/>
      <c r="ER55" s="98"/>
      <c r="ES55" s="98"/>
      <c r="ET55" s="98"/>
      <c r="EU55" s="98"/>
      <c r="EV55" s="98"/>
      <c r="EW55" s="98"/>
      <c r="EX55" s="98"/>
      <c r="EY55" s="98"/>
      <c r="EZ55" s="98"/>
      <c r="FA55" s="98"/>
      <c r="FB55" s="98"/>
      <c r="FC55" s="98"/>
      <c r="FD55" s="98"/>
    </row>
    <row r="56" spans="1:160" x14ac:dyDescent="0.2">
      <c r="A56" s="96"/>
      <c r="B56" s="96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98"/>
      <c r="DH56" s="98"/>
      <c r="DI56" s="98"/>
      <c r="DJ56" s="98"/>
      <c r="DK56" s="98"/>
      <c r="DL56" s="98"/>
      <c r="DM56" s="98"/>
      <c r="DN56" s="98"/>
      <c r="DO56" s="98"/>
      <c r="DP56" s="98"/>
      <c r="DQ56" s="98"/>
      <c r="DR56" s="98"/>
      <c r="DS56" s="98"/>
      <c r="DT56" s="98"/>
      <c r="DU56" s="98"/>
      <c r="DV56" s="98"/>
      <c r="DW56" s="98"/>
      <c r="DX56" s="98"/>
      <c r="DY56" s="98"/>
      <c r="DZ56" s="98"/>
      <c r="EA56" s="98"/>
      <c r="EB56" s="98"/>
      <c r="EC56" s="98"/>
      <c r="ED56" s="98"/>
      <c r="EE56" s="9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</row>
    <row r="57" spans="1:160" x14ac:dyDescent="0.2">
      <c r="A57" s="96"/>
      <c r="B57" s="96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  <c r="AT57" s="97"/>
      <c r="AU57" s="97"/>
      <c r="AV57" s="97"/>
      <c r="AW57" s="97"/>
      <c r="AX57" s="97"/>
      <c r="AY57" s="97"/>
      <c r="AZ57" s="97"/>
      <c r="BA57" s="97"/>
      <c r="BB57" s="97"/>
      <c r="BC57" s="97"/>
      <c r="BD57" s="97"/>
      <c r="BE57" s="97"/>
      <c r="BF57" s="97"/>
      <c r="BG57" s="97"/>
      <c r="BH57" s="97"/>
      <c r="BI57" s="97"/>
      <c r="BJ57" s="97"/>
      <c r="BK57" s="97"/>
      <c r="BL57" s="97"/>
      <c r="BM57" s="97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V57" s="98"/>
      <c r="CW57" s="98"/>
      <c r="CX57" s="98"/>
      <c r="CY57" s="98"/>
      <c r="CZ57" s="98"/>
      <c r="DA57" s="98"/>
      <c r="DB57" s="98"/>
      <c r="DC57" s="98"/>
      <c r="DD57" s="98"/>
      <c r="DE57" s="98"/>
      <c r="DF57" s="98"/>
      <c r="DG57" s="98"/>
      <c r="DH57" s="98"/>
      <c r="DI57" s="98"/>
      <c r="DJ57" s="98"/>
      <c r="DK57" s="98"/>
      <c r="DL57" s="98"/>
      <c r="DM57" s="98"/>
      <c r="DN57" s="98"/>
      <c r="DO57" s="98"/>
      <c r="DP57" s="98"/>
      <c r="DQ57" s="98"/>
      <c r="DR57" s="98"/>
      <c r="DS57" s="98"/>
      <c r="DT57" s="98"/>
      <c r="DU57" s="98"/>
      <c r="DV57" s="98"/>
      <c r="DW57" s="98"/>
      <c r="DX57" s="98"/>
      <c r="DY57" s="98"/>
      <c r="DZ57" s="98"/>
      <c r="EA57" s="98"/>
      <c r="EB57" s="98"/>
      <c r="EC57" s="98"/>
      <c r="ED57" s="98"/>
      <c r="EE57" s="98"/>
      <c r="EF57" s="98"/>
      <c r="EG57" s="98"/>
      <c r="EH57" s="98"/>
      <c r="EI57" s="98"/>
      <c r="EJ57" s="98"/>
      <c r="EK57" s="98"/>
      <c r="EL57" s="98"/>
      <c r="EM57" s="98"/>
      <c r="EN57" s="98"/>
      <c r="EO57" s="98"/>
      <c r="EP57" s="98"/>
      <c r="EQ57" s="98"/>
      <c r="ER57" s="98"/>
      <c r="ES57" s="98"/>
      <c r="ET57" s="98"/>
      <c r="EU57" s="98"/>
      <c r="EV57" s="98"/>
      <c r="EW57" s="98"/>
      <c r="EX57" s="98"/>
      <c r="EY57" s="98"/>
      <c r="EZ57" s="98"/>
      <c r="FA57" s="98"/>
      <c r="FB57" s="98"/>
      <c r="FC57" s="98"/>
      <c r="FD57" s="98"/>
    </row>
    <row r="58" spans="1:160" x14ac:dyDescent="0.2">
      <c r="A58" s="96"/>
      <c r="B58" s="96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J58" s="97"/>
      <c r="BK58" s="97"/>
      <c r="BL58" s="97"/>
      <c r="BM58" s="97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98"/>
      <c r="DH58" s="98"/>
      <c r="DI58" s="98"/>
      <c r="DJ58" s="98"/>
      <c r="DK58" s="98"/>
      <c r="DL58" s="98"/>
      <c r="DM58" s="98"/>
      <c r="DN58" s="98"/>
      <c r="DO58" s="98"/>
      <c r="DP58" s="98"/>
      <c r="DQ58" s="98"/>
      <c r="DR58" s="98"/>
      <c r="DS58" s="98"/>
      <c r="DT58" s="98"/>
      <c r="DU58" s="98"/>
      <c r="DV58" s="98"/>
      <c r="DW58" s="98"/>
      <c r="DX58" s="98"/>
      <c r="DY58" s="98"/>
      <c r="DZ58" s="98"/>
      <c r="EA58" s="98"/>
      <c r="EB58" s="98"/>
      <c r="EC58" s="98"/>
      <c r="ED58" s="98"/>
      <c r="EE58" s="98"/>
      <c r="EF58" s="98"/>
      <c r="EG58" s="98"/>
      <c r="EH58" s="98"/>
      <c r="EI58" s="98"/>
      <c r="EJ58" s="98"/>
      <c r="EK58" s="98"/>
      <c r="EL58" s="98"/>
      <c r="EM58" s="98"/>
      <c r="EN58" s="98"/>
      <c r="EO58" s="98"/>
      <c r="EP58" s="98"/>
      <c r="EQ58" s="98"/>
      <c r="ER58" s="98"/>
      <c r="ES58" s="98"/>
      <c r="ET58" s="98"/>
      <c r="EU58" s="98"/>
      <c r="EV58" s="98"/>
      <c r="EW58" s="98"/>
      <c r="EX58" s="98"/>
      <c r="EY58" s="98"/>
      <c r="EZ58" s="98"/>
      <c r="FA58" s="98"/>
      <c r="FB58" s="98"/>
      <c r="FC58" s="98"/>
      <c r="FD58" s="98"/>
    </row>
    <row r="59" spans="1:160" x14ac:dyDescent="0.2">
      <c r="A59" s="96"/>
      <c r="B59" s="96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98"/>
      <c r="DH59" s="98"/>
      <c r="DI59" s="98"/>
      <c r="DJ59" s="98"/>
      <c r="DK59" s="98"/>
      <c r="DL59" s="98"/>
      <c r="DM59" s="98"/>
      <c r="DN59" s="98"/>
      <c r="DO59" s="98"/>
      <c r="DP59" s="98"/>
      <c r="DQ59" s="98"/>
      <c r="DR59" s="98"/>
      <c r="DS59" s="98"/>
      <c r="DT59" s="98"/>
      <c r="DU59" s="98"/>
      <c r="DV59" s="98"/>
      <c r="DW59" s="98"/>
      <c r="DX59" s="98"/>
      <c r="DY59" s="98"/>
      <c r="DZ59" s="98"/>
      <c r="EA59" s="98"/>
      <c r="EB59" s="98"/>
      <c r="EC59" s="98"/>
      <c r="ED59" s="98"/>
      <c r="EE59" s="98"/>
      <c r="EF59" s="98"/>
      <c r="EG59" s="98"/>
      <c r="EH59" s="98"/>
      <c r="EI59" s="98"/>
      <c r="EJ59" s="98"/>
      <c r="EK59" s="98"/>
      <c r="EL59" s="98"/>
      <c r="EM59" s="98"/>
      <c r="EN59" s="98"/>
      <c r="EO59" s="98"/>
      <c r="EP59" s="98"/>
      <c r="EQ59" s="98"/>
      <c r="ER59" s="98"/>
      <c r="ES59" s="98"/>
      <c r="ET59" s="98"/>
      <c r="EU59" s="98"/>
      <c r="EV59" s="98"/>
      <c r="EW59" s="98"/>
      <c r="EX59" s="98"/>
      <c r="EY59" s="98"/>
      <c r="EZ59" s="98"/>
      <c r="FA59" s="98"/>
      <c r="FB59" s="98"/>
      <c r="FC59" s="98"/>
      <c r="FD59" s="98"/>
    </row>
    <row r="60" spans="1:160" x14ac:dyDescent="0.2">
      <c r="A60" s="96"/>
      <c r="B60" s="96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/>
      <c r="CT60" s="98"/>
      <c r="CU60" s="98"/>
      <c r="CV60" s="98"/>
      <c r="CW60" s="98"/>
      <c r="CX60" s="98"/>
      <c r="CY60" s="98"/>
      <c r="CZ60" s="98"/>
      <c r="DA60" s="98"/>
      <c r="DB60" s="98"/>
      <c r="DC60" s="98"/>
      <c r="DD60" s="98"/>
      <c r="DE60" s="98"/>
      <c r="DF60" s="98"/>
      <c r="DG60" s="98"/>
      <c r="DH60" s="98"/>
      <c r="DI60" s="98"/>
      <c r="DJ60" s="98"/>
      <c r="DK60" s="98"/>
      <c r="DL60" s="98"/>
      <c r="DM60" s="98"/>
      <c r="DN60" s="98"/>
      <c r="DO60" s="98"/>
      <c r="DP60" s="98"/>
      <c r="DQ60" s="98"/>
      <c r="DR60" s="98"/>
      <c r="DS60" s="98"/>
      <c r="DT60" s="98"/>
      <c r="DU60" s="98"/>
      <c r="DV60" s="98"/>
      <c r="DW60" s="98"/>
      <c r="DX60" s="98"/>
      <c r="DY60" s="98"/>
      <c r="DZ60" s="98"/>
      <c r="EA60" s="98"/>
      <c r="EB60" s="98"/>
      <c r="EC60" s="98"/>
      <c r="ED60" s="98"/>
      <c r="EE60" s="98"/>
      <c r="EF60" s="98"/>
      <c r="EG60" s="98"/>
      <c r="EH60" s="98"/>
      <c r="EI60" s="98"/>
      <c r="EJ60" s="98"/>
      <c r="EK60" s="98"/>
      <c r="EL60" s="98"/>
      <c r="EM60" s="98"/>
      <c r="EN60" s="98"/>
      <c r="EO60" s="98"/>
      <c r="EP60" s="98"/>
      <c r="EQ60" s="98"/>
      <c r="ER60" s="98"/>
      <c r="ES60" s="98"/>
      <c r="ET60" s="98"/>
      <c r="EU60" s="98"/>
      <c r="EV60" s="98"/>
      <c r="EW60" s="98"/>
      <c r="EX60" s="98"/>
      <c r="EY60" s="98"/>
      <c r="EZ60" s="98"/>
      <c r="FA60" s="98"/>
      <c r="FB60" s="98"/>
      <c r="FC60" s="98"/>
      <c r="FD60" s="98"/>
    </row>
    <row r="61" spans="1:160" x14ac:dyDescent="0.2">
      <c r="A61" s="96"/>
      <c r="B61" s="96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  <c r="CM61" s="98"/>
      <c r="CN61" s="98"/>
      <c r="CO61" s="98"/>
      <c r="CP61" s="98"/>
      <c r="CQ61" s="98"/>
      <c r="CR61" s="98"/>
      <c r="CS61" s="98"/>
      <c r="CT61" s="98"/>
      <c r="CU61" s="98"/>
      <c r="CV61" s="98"/>
      <c r="CW61" s="98"/>
      <c r="CX61" s="98"/>
      <c r="CY61" s="98"/>
      <c r="CZ61" s="98"/>
      <c r="DA61" s="98"/>
      <c r="DB61" s="98"/>
      <c r="DC61" s="98"/>
      <c r="DD61" s="98"/>
      <c r="DE61" s="98"/>
      <c r="DF61" s="98"/>
      <c r="DG61" s="98"/>
      <c r="DH61" s="98"/>
      <c r="DI61" s="98"/>
      <c r="DJ61" s="98"/>
      <c r="DK61" s="98"/>
      <c r="DL61" s="98"/>
      <c r="DM61" s="98"/>
      <c r="DN61" s="98"/>
      <c r="DO61" s="98"/>
      <c r="DP61" s="98"/>
      <c r="DQ61" s="98"/>
      <c r="DR61" s="98"/>
      <c r="DS61" s="98"/>
      <c r="DT61" s="98"/>
      <c r="DU61" s="98"/>
      <c r="DV61" s="98"/>
      <c r="DW61" s="98"/>
      <c r="DX61" s="98"/>
      <c r="DY61" s="98"/>
      <c r="DZ61" s="98"/>
      <c r="EA61" s="98"/>
      <c r="EB61" s="98"/>
      <c r="EC61" s="98"/>
      <c r="ED61" s="98"/>
      <c r="EE61" s="98"/>
      <c r="EF61" s="98"/>
      <c r="EG61" s="98"/>
      <c r="EH61" s="98"/>
      <c r="EI61" s="98"/>
      <c r="EJ61" s="98"/>
      <c r="EK61" s="98"/>
      <c r="EL61" s="98"/>
      <c r="EM61" s="98"/>
      <c r="EN61" s="98"/>
      <c r="EO61" s="98"/>
      <c r="EP61" s="98"/>
      <c r="EQ61" s="98"/>
      <c r="ER61" s="98"/>
      <c r="ES61" s="98"/>
      <c r="ET61" s="98"/>
      <c r="EU61" s="98"/>
      <c r="EV61" s="98"/>
      <c r="EW61" s="98"/>
      <c r="EX61" s="98"/>
      <c r="EY61" s="98"/>
      <c r="EZ61" s="98"/>
      <c r="FA61" s="98"/>
      <c r="FB61" s="98"/>
      <c r="FC61" s="98"/>
      <c r="FD61" s="98"/>
    </row>
    <row r="62" spans="1:160" x14ac:dyDescent="0.2">
      <c r="A62" s="96"/>
      <c r="B62" s="96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  <c r="DQ62" s="98"/>
      <c r="DR62" s="98"/>
      <c r="DS62" s="98"/>
      <c r="DT62" s="98"/>
      <c r="DU62" s="98"/>
      <c r="DV62" s="98"/>
      <c r="DW62" s="98"/>
      <c r="DX62" s="98"/>
      <c r="DY62" s="98"/>
      <c r="DZ62" s="98"/>
      <c r="EA62" s="98"/>
      <c r="EB62" s="98"/>
      <c r="EC62" s="98"/>
      <c r="ED62" s="98"/>
      <c r="EE62" s="98"/>
      <c r="EF62" s="98"/>
      <c r="EG62" s="98"/>
      <c r="EH62" s="98"/>
      <c r="EI62" s="98"/>
      <c r="EJ62" s="98"/>
      <c r="EK62" s="98"/>
      <c r="EL62" s="98"/>
      <c r="EM62" s="98"/>
      <c r="EN62" s="98"/>
      <c r="EO62" s="98"/>
      <c r="EP62" s="98"/>
      <c r="EQ62" s="98"/>
      <c r="ER62" s="98"/>
      <c r="ES62" s="98"/>
      <c r="ET62" s="98"/>
      <c r="EU62" s="98"/>
      <c r="EV62" s="98"/>
      <c r="EW62" s="98"/>
      <c r="EX62" s="98"/>
      <c r="EY62" s="98"/>
      <c r="EZ62" s="98"/>
      <c r="FA62" s="98"/>
      <c r="FB62" s="98"/>
      <c r="FC62" s="98"/>
      <c r="FD62" s="98"/>
    </row>
    <row r="63" spans="1:160" x14ac:dyDescent="0.2">
      <c r="A63" s="96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  <c r="AN63" s="97"/>
      <c r="AO63" s="97"/>
      <c r="AP63" s="97"/>
      <c r="AQ63" s="97"/>
      <c r="AR63" s="97"/>
      <c r="AS63" s="97"/>
      <c r="AT63" s="97"/>
      <c r="AU63" s="97"/>
      <c r="AV63" s="97"/>
      <c r="AW63" s="97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98"/>
      <c r="DH63" s="98"/>
      <c r="DI63" s="98"/>
      <c r="DJ63" s="98"/>
      <c r="DK63" s="98"/>
      <c r="DL63" s="98"/>
      <c r="DM63" s="98"/>
      <c r="DN63" s="98"/>
      <c r="DO63" s="98"/>
      <c r="DP63" s="98"/>
      <c r="DQ63" s="98"/>
      <c r="DR63" s="98"/>
      <c r="DS63" s="98"/>
      <c r="DT63" s="98"/>
      <c r="DU63" s="98"/>
      <c r="DV63" s="98"/>
      <c r="DW63" s="98"/>
      <c r="DX63" s="98"/>
      <c r="DY63" s="98"/>
      <c r="DZ63" s="98"/>
      <c r="EA63" s="98"/>
      <c r="EB63" s="98"/>
      <c r="EC63" s="98"/>
      <c r="ED63" s="98"/>
      <c r="EE63" s="98"/>
      <c r="EF63" s="98"/>
      <c r="EG63" s="98"/>
      <c r="EH63" s="98"/>
      <c r="EI63" s="98"/>
      <c r="EJ63" s="98"/>
      <c r="EK63" s="98"/>
      <c r="EL63" s="98"/>
      <c r="EM63" s="98"/>
      <c r="EN63" s="98"/>
      <c r="EO63" s="98"/>
      <c r="EP63" s="98"/>
      <c r="EQ63" s="98"/>
      <c r="ER63" s="98"/>
      <c r="ES63" s="98"/>
      <c r="ET63" s="98"/>
      <c r="EU63" s="98"/>
      <c r="EV63" s="98"/>
      <c r="EW63" s="98"/>
      <c r="EX63" s="98"/>
      <c r="EY63" s="98"/>
      <c r="EZ63" s="98"/>
      <c r="FA63" s="98"/>
      <c r="FB63" s="98"/>
      <c r="FC63" s="98"/>
      <c r="FD63" s="98"/>
    </row>
    <row r="64" spans="1:160" x14ac:dyDescent="0.2">
      <c r="A64" s="96"/>
      <c r="B64" s="96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  <c r="AO64" s="97"/>
      <c r="AP64" s="97"/>
      <c r="AQ64" s="97"/>
      <c r="AR64" s="97"/>
      <c r="AS64" s="97"/>
      <c r="AT64" s="97"/>
      <c r="AU64" s="97"/>
      <c r="AV64" s="97"/>
      <c r="AW64" s="97"/>
      <c r="AX64" s="97"/>
      <c r="AY64" s="97"/>
      <c r="AZ64" s="97"/>
      <c r="BA64" s="97"/>
      <c r="BB64" s="97"/>
      <c r="BC64" s="97"/>
      <c r="BD64" s="97"/>
      <c r="BE64" s="97"/>
      <c r="BF64" s="97"/>
      <c r="BG64" s="97"/>
      <c r="BH64" s="97"/>
      <c r="BI64" s="97"/>
      <c r="BJ64" s="97"/>
      <c r="BK64" s="97"/>
      <c r="BL64" s="97"/>
      <c r="BM64" s="97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/>
      <c r="CX64" s="98"/>
      <c r="CY64" s="98"/>
      <c r="CZ64" s="98"/>
      <c r="DA64" s="98"/>
      <c r="DB64" s="98"/>
      <c r="DC64" s="98"/>
      <c r="DD64" s="98"/>
      <c r="DE64" s="98"/>
      <c r="DF64" s="98"/>
      <c r="DG64" s="98"/>
      <c r="DH64" s="98"/>
      <c r="DI64" s="98"/>
      <c r="DJ64" s="98"/>
      <c r="DK64" s="98"/>
      <c r="DL64" s="98"/>
      <c r="DM64" s="98"/>
      <c r="DN64" s="98"/>
      <c r="DO64" s="98"/>
      <c r="DP64" s="98"/>
      <c r="DQ64" s="98"/>
      <c r="DR64" s="98"/>
      <c r="DS64" s="98"/>
      <c r="DT64" s="98"/>
      <c r="DU64" s="98"/>
      <c r="DV64" s="98"/>
      <c r="DW64" s="98"/>
      <c r="DX64" s="98"/>
      <c r="DY64" s="98"/>
      <c r="DZ64" s="98"/>
      <c r="EA64" s="98"/>
      <c r="EB64" s="98"/>
      <c r="EC64" s="98"/>
      <c r="ED64" s="98"/>
      <c r="EE64" s="98"/>
      <c r="EF64" s="98"/>
      <c r="EG64" s="98"/>
      <c r="EH64" s="98"/>
      <c r="EI64" s="98"/>
      <c r="EJ64" s="98"/>
      <c r="EK64" s="98"/>
      <c r="EL64" s="98"/>
      <c r="EM64" s="98"/>
      <c r="EN64" s="98"/>
      <c r="EO64" s="98"/>
      <c r="EP64" s="98"/>
      <c r="EQ64" s="98"/>
      <c r="ER64" s="98"/>
      <c r="ES64" s="98"/>
      <c r="ET64" s="98"/>
      <c r="EU64" s="98"/>
      <c r="EV64" s="98"/>
      <c r="EW64" s="98"/>
      <c r="EX64" s="98"/>
      <c r="EY64" s="98"/>
      <c r="EZ64" s="98"/>
      <c r="FA64" s="98"/>
      <c r="FB64" s="98"/>
      <c r="FC64" s="98"/>
      <c r="FD64" s="98"/>
    </row>
    <row r="65" spans="1:160" x14ac:dyDescent="0.2">
      <c r="A65" s="96"/>
      <c r="B65" s="96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8"/>
      <c r="DG65" s="98"/>
      <c r="DH65" s="98"/>
      <c r="DI65" s="98"/>
      <c r="DJ65" s="98"/>
      <c r="DK65" s="98"/>
      <c r="DL65" s="98"/>
      <c r="DM65" s="98"/>
      <c r="DN65" s="98"/>
      <c r="DO65" s="98"/>
      <c r="DP65" s="98"/>
      <c r="DQ65" s="98"/>
      <c r="DR65" s="98"/>
      <c r="DS65" s="98"/>
      <c r="DT65" s="98"/>
      <c r="DU65" s="98"/>
      <c r="DV65" s="98"/>
      <c r="DW65" s="98"/>
      <c r="DX65" s="98"/>
      <c r="DY65" s="98"/>
      <c r="DZ65" s="98"/>
      <c r="EA65" s="98"/>
      <c r="EB65" s="98"/>
      <c r="EC65" s="98"/>
      <c r="ED65" s="98"/>
      <c r="EE65" s="98"/>
      <c r="EF65" s="98"/>
      <c r="EG65" s="98"/>
      <c r="EH65" s="98"/>
      <c r="EI65" s="98"/>
      <c r="EJ65" s="98"/>
      <c r="EK65" s="98"/>
      <c r="EL65" s="98"/>
      <c r="EM65" s="98"/>
      <c r="EN65" s="98"/>
      <c r="EO65" s="98"/>
      <c r="EP65" s="98"/>
      <c r="EQ65" s="98"/>
      <c r="ER65" s="98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</row>
    <row r="66" spans="1:160" x14ac:dyDescent="0.2">
      <c r="A66" s="96"/>
      <c r="B66" s="96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97"/>
      <c r="AJ66" s="97"/>
      <c r="AK66" s="97"/>
      <c r="AL66" s="97"/>
      <c r="AM66" s="97"/>
      <c r="AN66" s="97"/>
      <c r="AO66" s="97"/>
      <c r="AP66" s="97"/>
      <c r="AQ66" s="97"/>
      <c r="AR66" s="97"/>
      <c r="AS66" s="97"/>
      <c r="AT66" s="97"/>
      <c r="AU66" s="97"/>
      <c r="AV66" s="97"/>
      <c r="AW66" s="97"/>
      <c r="AX66" s="97"/>
      <c r="AY66" s="97"/>
      <c r="AZ66" s="97"/>
      <c r="BA66" s="97"/>
      <c r="BB66" s="97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98"/>
      <c r="CL66" s="98"/>
      <c r="CM66" s="98"/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98"/>
      <c r="CY66" s="98"/>
      <c r="CZ66" s="98"/>
      <c r="DA66" s="98"/>
      <c r="DB66" s="98"/>
      <c r="DC66" s="98"/>
      <c r="DD66" s="98"/>
      <c r="DE66" s="98"/>
      <c r="DF66" s="98"/>
      <c r="DG66" s="98"/>
      <c r="DH66" s="98"/>
      <c r="DI66" s="98"/>
      <c r="DJ66" s="98"/>
      <c r="DK66" s="98"/>
      <c r="DL66" s="98"/>
      <c r="DM66" s="98"/>
      <c r="DN66" s="98"/>
      <c r="DO66" s="98"/>
      <c r="DP66" s="98"/>
      <c r="DQ66" s="98"/>
      <c r="DR66" s="98"/>
      <c r="DS66" s="98"/>
      <c r="DT66" s="98"/>
      <c r="DU66" s="98"/>
      <c r="DV66" s="98"/>
      <c r="DW66" s="98"/>
      <c r="DX66" s="98"/>
      <c r="DY66" s="98"/>
      <c r="DZ66" s="98"/>
      <c r="EA66" s="98"/>
      <c r="EB66" s="98"/>
      <c r="EC66" s="98"/>
      <c r="ED66" s="98"/>
      <c r="EE66" s="98"/>
      <c r="EF66" s="98"/>
      <c r="EG66" s="98"/>
      <c r="EH66" s="98"/>
      <c r="EI66" s="98"/>
      <c r="EJ66" s="98"/>
      <c r="EK66" s="98"/>
      <c r="EL66" s="98"/>
      <c r="EM66" s="98"/>
      <c r="EN66" s="98"/>
      <c r="EO66" s="98"/>
      <c r="EP66" s="98"/>
      <c r="EQ66" s="98"/>
      <c r="ER66" s="98"/>
      <c r="ES66" s="98"/>
      <c r="ET66" s="98"/>
      <c r="EU66" s="98"/>
      <c r="EV66" s="98"/>
      <c r="EW66" s="98"/>
      <c r="EX66" s="98"/>
      <c r="EY66" s="98"/>
      <c r="EZ66" s="98"/>
      <c r="FA66" s="98"/>
      <c r="FB66" s="98"/>
      <c r="FC66" s="98"/>
      <c r="FD66" s="98"/>
    </row>
    <row r="67" spans="1:160" x14ac:dyDescent="0.2">
      <c r="A67" s="96"/>
      <c r="B67" s="96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7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  <c r="CM67" s="98"/>
      <c r="CN67" s="98"/>
      <c r="CO67" s="98"/>
      <c r="CP67" s="98"/>
      <c r="CQ67" s="98"/>
      <c r="CR67" s="98"/>
      <c r="CS67" s="98"/>
      <c r="CT67" s="98"/>
      <c r="CU67" s="98"/>
      <c r="CV67" s="98"/>
      <c r="CW67" s="98"/>
      <c r="CX67" s="98"/>
      <c r="CY67" s="98"/>
      <c r="CZ67" s="98"/>
      <c r="DA67" s="98"/>
      <c r="DB67" s="98"/>
      <c r="DC67" s="98"/>
      <c r="DD67" s="98"/>
      <c r="DE67" s="98"/>
      <c r="DF67" s="98"/>
      <c r="DG67" s="98"/>
      <c r="DH67" s="98"/>
      <c r="DI67" s="98"/>
      <c r="DJ67" s="98"/>
      <c r="DK67" s="98"/>
      <c r="DL67" s="98"/>
      <c r="DM67" s="98"/>
      <c r="DN67" s="98"/>
      <c r="DO67" s="98"/>
      <c r="DP67" s="98"/>
      <c r="DQ67" s="98"/>
      <c r="DR67" s="98"/>
      <c r="DS67" s="98"/>
      <c r="DT67" s="98"/>
      <c r="DU67" s="98"/>
      <c r="DV67" s="98"/>
      <c r="DW67" s="98"/>
      <c r="DX67" s="98"/>
      <c r="DY67" s="98"/>
      <c r="DZ67" s="98"/>
      <c r="EA67" s="98"/>
      <c r="EB67" s="98"/>
      <c r="EC67" s="98"/>
      <c r="ED67" s="98"/>
      <c r="EE67" s="98"/>
      <c r="EF67" s="98"/>
      <c r="EG67" s="98"/>
      <c r="EH67" s="98"/>
      <c r="EI67" s="98"/>
      <c r="EJ67" s="98"/>
      <c r="EK67" s="98"/>
      <c r="EL67" s="98"/>
      <c r="EM67" s="98"/>
      <c r="EN67" s="98"/>
      <c r="EO67" s="98"/>
      <c r="EP67" s="98"/>
      <c r="EQ67" s="98"/>
      <c r="ER67" s="98"/>
      <c r="ES67" s="98"/>
      <c r="ET67" s="98"/>
      <c r="EU67" s="98"/>
      <c r="EV67" s="98"/>
      <c r="EW67" s="98"/>
      <c r="EX67" s="98"/>
      <c r="EY67" s="98"/>
      <c r="EZ67" s="98"/>
      <c r="FA67" s="98"/>
      <c r="FB67" s="98"/>
      <c r="FC67" s="98"/>
      <c r="FD67" s="98"/>
    </row>
    <row r="68" spans="1:160" x14ac:dyDescent="0.2">
      <c r="A68" s="96"/>
      <c r="B68" s="96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98"/>
      <c r="DZ68" s="98"/>
      <c r="EA68" s="98"/>
      <c r="EB68" s="98"/>
      <c r="EC68" s="98"/>
      <c r="ED68" s="98"/>
      <c r="EE68" s="98"/>
      <c r="EF68" s="98"/>
      <c r="EG68" s="98"/>
      <c r="EH68" s="98"/>
      <c r="EI68" s="98"/>
      <c r="EJ68" s="98"/>
      <c r="EK68" s="98"/>
      <c r="EL68" s="98"/>
      <c r="EM68" s="98"/>
      <c r="EN68" s="98"/>
      <c r="EO68" s="98"/>
      <c r="EP68" s="98"/>
      <c r="EQ68" s="98"/>
      <c r="ER68" s="98"/>
      <c r="ES68" s="98"/>
      <c r="ET68" s="98"/>
      <c r="EU68" s="98"/>
      <c r="EV68" s="98"/>
      <c r="EW68" s="98"/>
      <c r="EX68" s="98"/>
      <c r="EY68" s="98"/>
      <c r="EZ68" s="98"/>
      <c r="FA68" s="98"/>
      <c r="FB68" s="98"/>
      <c r="FC68" s="98"/>
      <c r="FD68" s="98"/>
    </row>
    <row r="69" spans="1:160" x14ac:dyDescent="0.2">
      <c r="A69" s="96"/>
      <c r="B69" s="96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/>
      <c r="CK69" s="98"/>
      <c r="CL69" s="98"/>
      <c r="CM69" s="98"/>
      <c r="CN69" s="98"/>
      <c r="CO69" s="98"/>
      <c r="CP69" s="98"/>
      <c r="CQ69" s="98"/>
      <c r="CR69" s="98"/>
      <c r="CS69" s="98"/>
      <c r="CT69" s="98"/>
      <c r="CU69" s="98"/>
      <c r="CV69" s="98"/>
      <c r="CW69" s="98"/>
      <c r="CX69" s="98"/>
      <c r="CY69" s="98"/>
      <c r="CZ69" s="98"/>
      <c r="DA69" s="98"/>
      <c r="DB69" s="98"/>
      <c r="DC69" s="98"/>
      <c r="DD69" s="98"/>
      <c r="DE69" s="98"/>
      <c r="DF69" s="98"/>
      <c r="DG69" s="98"/>
      <c r="DH69" s="98"/>
      <c r="DI69" s="98"/>
      <c r="DJ69" s="98"/>
      <c r="DK69" s="98"/>
      <c r="DL69" s="98"/>
      <c r="DM69" s="98"/>
      <c r="DN69" s="98"/>
      <c r="DO69" s="98"/>
      <c r="DP69" s="98"/>
      <c r="DQ69" s="98"/>
      <c r="DR69" s="98"/>
      <c r="DS69" s="98"/>
      <c r="DT69" s="98"/>
      <c r="DU69" s="98"/>
      <c r="DV69" s="98"/>
      <c r="DW69" s="98"/>
      <c r="DX69" s="98"/>
      <c r="DY69" s="98"/>
      <c r="DZ69" s="98"/>
      <c r="EA69" s="98"/>
      <c r="EB69" s="98"/>
      <c r="EC69" s="98"/>
      <c r="ED69" s="98"/>
      <c r="EE69" s="98"/>
      <c r="EF69" s="98"/>
      <c r="EG69" s="98"/>
      <c r="EH69" s="98"/>
      <c r="EI69" s="98"/>
      <c r="EJ69" s="98"/>
      <c r="EK69" s="98"/>
      <c r="EL69" s="98"/>
      <c r="EM69" s="98"/>
      <c r="EN69" s="98"/>
      <c r="EO69" s="98"/>
      <c r="EP69" s="98"/>
      <c r="EQ69" s="98"/>
      <c r="ER69" s="98"/>
      <c r="ES69" s="98"/>
      <c r="ET69" s="98"/>
      <c r="EU69" s="98"/>
      <c r="EV69" s="98"/>
      <c r="EW69" s="98"/>
      <c r="EX69" s="98"/>
      <c r="EY69" s="98"/>
      <c r="EZ69" s="98"/>
      <c r="FA69" s="98"/>
      <c r="FB69" s="98"/>
      <c r="FC69" s="98"/>
      <c r="FD69" s="98"/>
    </row>
    <row r="70" spans="1:160" x14ac:dyDescent="0.2">
      <c r="A70" s="96"/>
      <c r="B70" s="96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98"/>
      <c r="DH70" s="98"/>
      <c r="DI70" s="98"/>
      <c r="DJ70" s="98"/>
      <c r="DK70" s="98"/>
      <c r="DL70" s="98"/>
      <c r="DM70" s="98"/>
      <c r="DN70" s="98"/>
      <c r="DO70" s="98"/>
      <c r="DP70" s="98"/>
      <c r="DQ70" s="98"/>
      <c r="DR70" s="98"/>
      <c r="DS70" s="98"/>
      <c r="DT70" s="98"/>
      <c r="DU70" s="98"/>
      <c r="DV70" s="98"/>
      <c r="DW70" s="98"/>
      <c r="DX70" s="98"/>
      <c r="DY70" s="98"/>
      <c r="DZ70" s="98"/>
      <c r="EA70" s="98"/>
      <c r="EB70" s="98"/>
      <c r="EC70" s="98"/>
      <c r="ED70" s="98"/>
      <c r="EE70" s="98"/>
      <c r="EF70" s="98"/>
      <c r="EG70" s="98"/>
      <c r="EH70" s="98"/>
      <c r="EI70" s="98"/>
      <c r="EJ70" s="98"/>
      <c r="EK70" s="98"/>
      <c r="EL70" s="98"/>
      <c r="EM70" s="98"/>
      <c r="EN70" s="98"/>
      <c r="EO70" s="98"/>
      <c r="EP70" s="98"/>
      <c r="EQ70" s="98"/>
      <c r="ER70" s="98"/>
      <c r="ES70" s="98"/>
      <c r="ET70" s="98"/>
      <c r="EU70" s="98"/>
      <c r="EV70" s="98"/>
      <c r="EW70" s="98"/>
      <c r="EX70" s="98"/>
      <c r="EY70" s="98"/>
      <c r="EZ70" s="98"/>
      <c r="FA70" s="98"/>
      <c r="FB70" s="98"/>
      <c r="FC70" s="98"/>
      <c r="FD70" s="98"/>
    </row>
    <row r="71" spans="1:160" x14ac:dyDescent="0.2">
      <c r="A71" s="96"/>
      <c r="B71" s="96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8"/>
      <c r="BO71" s="98"/>
      <c r="BP71" s="98"/>
      <c r="BQ71" s="98"/>
      <c r="BR71" s="98"/>
      <c r="BS71" s="98"/>
      <c r="BT71" s="98"/>
      <c r="BU71" s="98"/>
      <c r="BV71" s="98"/>
      <c r="BW71" s="98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98"/>
      <c r="CL71" s="98"/>
      <c r="CM71" s="98"/>
      <c r="CN71" s="98"/>
      <c r="CO71" s="98"/>
      <c r="CP71" s="98"/>
      <c r="CQ71" s="98"/>
      <c r="CR71" s="98"/>
      <c r="CS71" s="98"/>
      <c r="CT71" s="98"/>
      <c r="CU71" s="98"/>
      <c r="CV71" s="98"/>
      <c r="CW71" s="98"/>
      <c r="CX71" s="98"/>
      <c r="CY71" s="98"/>
      <c r="CZ71" s="98"/>
      <c r="DA71" s="98"/>
      <c r="DB71" s="98"/>
      <c r="DC71" s="98"/>
      <c r="DD71" s="98"/>
      <c r="DE71" s="98"/>
      <c r="DF71" s="98"/>
      <c r="DG71" s="98"/>
      <c r="DH71" s="98"/>
      <c r="DI71" s="98"/>
      <c r="DJ71" s="98"/>
      <c r="DK71" s="98"/>
      <c r="DL71" s="98"/>
      <c r="DM71" s="98"/>
      <c r="DN71" s="98"/>
      <c r="DO71" s="98"/>
      <c r="DP71" s="98"/>
      <c r="DQ71" s="98"/>
      <c r="DR71" s="98"/>
      <c r="DS71" s="98"/>
      <c r="DT71" s="98"/>
      <c r="DU71" s="98"/>
      <c r="DV71" s="98"/>
      <c r="DW71" s="98"/>
      <c r="DX71" s="98"/>
      <c r="DY71" s="98"/>
      <c r="DZ71" s="98"/>
      <c r="EA71" s="98"/>
      <c r="EB71" s="98"/>
      <c r="EC71" s="98"/>
      <c r="ED71" s="98"/>
      <c r="EE71" s="98"/>
      <c r="EF71" s="98"/>
      <c r="EG71" s="98"/>
      <c r="EH71" s="98"/>
      <c r="EI71" s="98"/>
      <c r="EJ71" s="98"/>
      <c r="EK71" s="98"/>
      <c r="EL71" s="98"/>
      <c r="EM71" s="98"/>
      <c r="EN71" s="98"/>
      <c r="EO71" s="98"/>
      <c r="EP71" s="98"/>
      <c r="EQ71" s="98"/>
      <c r="ER71" s="98"/>
      <c r="ES71" s="98"/>
      <c r="ET71" s="98"/>
      <c r="EU71" s="98"/>
      <c r="EV71" s="98"/>
      <c r="EW71" s="98"/>
      <c r="EX71" s="98"/>
      <c r="EY71" s="98"/>
      <c r="EZ71" s="98"/>
      <c r="FA71" s="98"/>
      <c r="FB71" s="98"/>
      <c r="FC71" s="98"/>
      <c r="FD71" s="98"/>
    </row>
    <row r="72" spans="1:160" x14ac:dyDescent="0.2">
      <c r="A72" s="96"/>
      <c r="B72" s="96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  <c r="BH72" s="97"/>
      <c r="BI72" s="97"/>
      <c r="BJ72" s="97"/>
      <c r="BK72" s="97"/>
      <c r="BL72" s="97"/>
      <c r="BM72" s="97"/>
      <c r="BN72" s="98"/>
      <c r="BO72" s="98"/>
      <c r="BP72" s="98"/>
      <c r="BQ72" s="98"/>
      <c r="BR72" s="98"/>
      <c r="BS72" s="98"/>
      <c r="BT72" s="98"/>
      <c r="BU72" s="98"/>
      <c r="BV72" s="98"/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  <c r="CM72" s="98"/>
      <c r="CN72" s="98"/>
      <c r="CO72" s="98"/>
      <c r="CP72" s="98"/>
      <c r="CQ72" s="98"/>
      <c r="CR72" s="98"/>
      <c r="CS72" s="98"/>
      <c r="CT72" s="98"/>
      <c r="CU72" s="98"/>
      <c r="CV72" s="98"/>
      <c r="CW72" s="98"/>
      <c r="CX72" s="98"/>
      <c r="CY72" s="98"/>
      <c r="CZ72" s="98"/>
      <c r="DA72" s="98"/>
      <c r="DB72" s="98"/>
      <c r="DC72" s="98"/>
      <c r="DD72" s="98"/>
      <c r="DE72" s="98"/>
      <c r="DF72" s="98"/>
      <c r="DG72" s="98"/>
      <c r="DH72" s="98"/>
      <c r="DI72" s="98"/>
      <c r="DJ72" s="98"/>
      <c r="DK72" s="98"/>
      <c r="DL72" s="98"/>
      <c r="DM72" s="98"/>
      <c r="DN72" s="98"/>
      <c r="DO72" s="98"/>
      <c r="DP72" s="98"/>
      <c r="DQ72" s="98"/>
      <c r="DR72" s="98"/>
      <c r="DS72" s="98"/>
      <c r="DT72" s="98"/>
      <c r="DU72" s="98"/>
      <c r="DV72" s="98"/>
      <c r="DW72" s="98"/>
      <c r="DX72" s="98"/>
      <c r="DY72" s="98"/>
      <c r="DZ72" s="98"/>
      <c r="EA72" s="98"/>
      <c r="EB72" s="98"/>
      <c r="EC72" s="98"/>
      <c r="ED72" s="98"/>
      <c r="EE72" s="98"/>
      <c r="EF72" s="98"/>
      <c r="EG72" s="98"/>
      <c r="EH72" s="98"/>
      <c r="EI72" s="98"/>
      <c r="EJ72" s="98"/>
      <c r="EK72" s="98"/>
      <c r="EL72" s="98"/>
      <c r="EM72" s="98"/>
      <c r="EN72" s="98"/>
      <c r="EO72" s="98"/>
      <c r="EP72" s="98"/>
      <c r="EQ72" s="98"/>
      <c r="ER72" s="98"/>
      <c r="ES72" s="98"/>
      <c r="ET72" s="98"/>
      <c r="EU72" s="98"/>
      <c r="EV72" s="98"/>
      <c r="EW72" s="98"/>
      <c r="EX72" s="98"/>
      <c r="EY72" s="98"/>
      <c r="EZ72" s="98"/>
      <c r="FA72" s="98"/>
      <c r="FB72" s="98"/>
      <c r="FC72" s="98"/>
      <c r="FD72" s="98"/>
    </row>
    <row r="73" spans="1:160" x14ac:dyDescent="0.2">
      <c r="A73" s="96"/>
      <c r="B73" s="96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7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BM73" s="97"/>
      <c r="BN73" s="98"/>
      <c r="BO73" s="98"/>
      <c r="BP73" s="98"/>
      <c r="BQ73" s="98"/>
      <c r="BR73" s="98"/>
      <c r="BS73" s="98"/>
      <c r="BT73" s="98"/>
      <c r="BU73" s="98"/>
      <c r="BV73" s="98"/>
      <c r="BW73" s="98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98"/>
      <c r="CL73" s="98"/>
      <c r="CM73" s="98"/>
      <c r="CN73" s="98"/>
      <c r="CO73" s="98"/>
      <c r="CP73" s="98"/>
      <c r="CQ73" s="98"/>
      <c r="CR73" s="98"/>
      <c r="CS73" s="98"/>
      <c r="CT73" s="98"/>
      <c r="CU73" s="98"/>
      <c r="CV73" s="98"/>
      <c r="CW73" s="98"/>
      <c r="CX73" s="98"/>
      <c r="CY73" s="98"/>
      <c r="CZ73" s="98"/>
      <c r="DA73" s="98"/>
      <c r="DB73" s="98"/>
      <c r="DC73" s="98"/>
      <c r="DD73" s="98"/>
      <c r="DE73" s="98"/>
      <c r="DF73" s="98"/>
      <c r="DG73" s="98"/>
      <c r="DH73" s="98"/>
      <c r="DI73" s="98"/>
      <c r="DJ73" s="98"/>
      <c r="DK73" s="98"/>
      <c r="DL73" s="98"/>
      <c r="DM73" s="98"/>
      <c r="DN73" s="98"/>
      <c r="DO73" s="98"/>
      <c r="DP73" s="98"/>
      <c r="DQ73" s="98"/>
      <c r="DR73" s="98"/>
      <c r="DS73" s="98"/>
      <c r="DT73" s="98"/>
      <c r="DU73" s="98"/>
      <c r="DV73" s="98"/>
      <c r="DW73" s="98"/>
      <c r="DX73" s="98"/>
      <c r="DY73" s="98"/>
      <c r="DZ73" s="98"/>
      <c r="EA73" s="98"/>
      <c r="EB73" s="98"/>
      <c r="EC73" s="98"/>
      <c r="ED73" s="98"/>
      <c r="EE73" s="98"/>
      <c r="EF73" s="98"/>
      <c r="EG73" s="98"/>
      <c r="EH73" s="98"/>
      <c r="EI73" s="98"/>
      <c r="EJ73" s="98"/>
      <c r="EK73" s="98"/>
      <c r="EL73" s="98"/>
      <c r="EM73" s="98"/>
      <c r="EN73" s="98"/>
      <c r="EO73" s="98"/>
      <c r="EP73" s="98"/>
      <c r="EQ73" s="98"/>
      <c r="ER73" s="98"/>
      <c r="ES73" s="98"/>
      <c r="ET73" s="98"/>
      <c r="EU73" s="98"/>
      <c r="EV73" s="98"/>
      <c r="EW73" s="98"/>
      <c r="EX73" s="98"/>
      <c r="EY73" s="98"/>
      <c r="EZ73" s="98"/>
      <c r="FA73" s="98"/>
      <c r="FB73" s="98"/>
      <c r="FC73" s="98"/>
      <c r="FD73" s="98"/>
    </row>
    <row r="74" spans="1:160" x14ac:dyDescent="0.2">
      <c r="A74" s="96"/>
      <c r="B74" s="96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7"/>
      <c r="BC74" s="97"/>
      <c r="BD74" s="97"/>
      <c r="BE74" s="97"/>
      <c r="BF74" s="97"/>
      <c r="BG74" s="97"/>
      <c r="BH74" s="97"/>
      <c r="BI74" s="97"/>
      <c r="BJ74" s="97"/>
      <c r="BK74" s="97"/>
      <c r="BL74" s="97"/>
      <c r="BM74" s="97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98"/>
      <c r="DR74" s="98"/>
      <c r="DS74" s="98"/>
      <c r="DT74" s="98"/>
      <c r="DU74" s="98"/>
      <c r="DV74" s="98"/>
      <c r="DW74" s="98"/>
      <c r="DX74" s="98"/>
      <c r="DY74" s="98"/>
      <c r="DZ74" s="98"/>
      <c r="EA74" s="98"/>
      <c r="EB74" s="98"/>
      <c r="EC74" s="98"/>
      <c r="ED74" s="98"/>
      <c r="EE74" s="98"/>
      <c r="EF74" s="98"/>
      <c r="EG74" s="98"/>
      <c r="EH74" s="98"/>
      <c r="EI74" s="98"/>
      <c r="EJ74" s="98"/>
      <c r="EK74" s="98"/>
      <c r="EL74" s="98"/>
      <c r="EM74" s="98"/>
      <c r="EN74" s="98"/>
      <c r="EO74" s="98"/>
      <c r="EP74" s="98"/>
      <c r="EQ74" s="98"/>
      <c r="ER74" s="98"/>
      <c r="ES74" s="98"/>
      <c r="ET74" s="98"/>
      <c r="EU74" s="98"/>
      <c r="EV74" s="98"/>
      <c r="EW74" s="98"/>
      <c r="EX74" s="98"/>
      <c r="EY74" s="98"/>
      <c r="EZ74" s="98"/>
      <c r="FA74" s="98"/>
      <c r="FB74" s="98"/>
      <c r="FC74" s="98"/>
      <c r="FD74" s="98"/>
    </row>
    <row r="75" spans="1:160" x14ac:dyDescent="0.2">
      <c r="A75" s="96"/>
      <c r="B75" s="96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7"/>
      <c r="BJ75" s="97"/>
      <c r="BK75" s="97"/>
      <c r="BL75" s="97"/>
      <c r="BM75" s="97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98"/>
      <c r="DR75" s="98"/>
      <c r="DS75" s="98"/>
      <c r="DT75" s="98"/>
      <c r="DU75" s="98"/>
      <c r="DV75" s="98"/>
      <c r="DW75" s="98"/>
      <c r="DX75" s="98"/>
      <c r="DY75" s="98"/>
      <c r="DZ75" s="98"/>
      <c r="EA75" s="98"/>
      <c r="EB75" s="98"/>
      <c r="EC75" s="98"/>
      <c r="ED75" s="98"/>
      <c r="EE75" s="98"/>
      <c r="EF75" s="98"/>
      <c r="EG75" s="98"/>
      <c r="EH75" s="98"/>
      <c r="EI75" s="98"/>
      <c r="EJ75" s="98"/>
      <c r="EK75" s="98"/>
      <c r="EL75" s="98"/>
      <c r="EM75" s="98"/>
      <c r="EN75" s="98"/>
      <c r="EO75" s="98"/>
      <c r="EP75" s="98"/>
      <c r="EQ75" s="98"/>
      <c r="ER75" s="98"/>
      <c r="ES75" s="98"/>
      <c r="ET75" s="98"/>
      <c r="EU75" s="98"/>
      <c r="EV75" s="98"/>
      <c r="EW75" s="98"/>
      <c r="EX75" s="98"/>
      <c r="EY75" s="98"/>
      <c r="EZ75" s="98"/>
      <c r="FA75" s="98"/>
      <c r="FB75" s="98"/>
      <c r="FC75" s="98"/>
      <c r="FD75" s="98"/>
    </row>
    <row r="76" spans="1:160" x14ac:dyDescent="0.2">
      <c r="A76" s="96"/>
      <c r="B76" s="96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  <c r="BM76" s="97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8"/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</row>
    <row r="77" spans="1:160" x14ac:dyDescent="0.2">
      <c r="A77" s="96"/>
      <c r="B77" s="96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  <c r="AZ77" s="97"/>
      <c r="BA77" s="97"/>
      <c r="BB77" s="97"/>
      <c r="BC77" s="97"/>
      <c r="BD77" s="97"/>
      <c r="BE77" s="97"/>
      <c r="BF77" s="97"/>
      <c r="BG77" s="97"/>
      <c r="BH77" s="97"/>
      <c r="BI77" s="97"/>
      <c r="BJ77" s="97"/>
      <c r="BK77" s="97"/>
      <c r="BL77" s="97"/>
      <c r="BM77" s="97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  <c r="CM77" s="98"/>
      <c r="CN77" s="98"/>
      <c r="CO77" s="98"/>
      <c r="CP77" s="98"/>
      <c r="CQ77" s="98"/>
      <c r="CR77" s="98"/>
      <c r="CS77" s="98"/>
      <c r="CT77" s="98"/>
      <c r="CU77" s="98"/>
      <c r="CV77" s="98"/>
      <c r="CW77" s="98"/>
      <c r="CX77" s="98"/>
      <c r="CY77" s="98"/>
      <c r="CZ77" s="98"/>
      <c r="DA77" s="98"/>
      <c r="DB77" s="98"/>
      <c r="DC77" s="98"/>
      <c r="DD77" s="98"/>
      <c r="DE77" s="98"/>
      <c r="DF77" s="98"/>
      <c r="DG77" s="98"/>
      <c r="DH77" s="98"/>
      <c r="DI77" s="98"/>
      <c r="DJ77" s="98"/>
      <c r="DK77" s="98"/>
      <c r="DL77" s="98"/>
      <c r="DM77" s="98"/>
      <c r="DN77" s="98"/>
      <c r="DO77" s="98"/>
      <c r="DP77" s="98"/>
      <c r="DQ77" s="98"/>
      <c r="DR77" s="98"/>
      <c r="DS77" s="98"/>
      <c r="DT77" s="98"/>
      <c r="DU77" s="98"/>
      <c r="DV77" s="98"/>
      <c r="DW77" s="98"/>
      <c r="DX77" s="98"/>
      <c r="DY77" s="98"/>
      <c r="DZ77" s="98"/>
      <c r="EA77" s="98"/>
      <c r="EB77" s="98"/>
      <c r="EC77" s="98"/>
      <c r="ED77" s="98"/>
      <c r="EE77" s="98"/>
      <c r="EF77" s="98"/>
      <c r="EG77" s="98"/>
      <c r="EH77" s="98"/>
      <c r="EI77" s="98"/>
      <c r="EJ77" s="98"/>
      <c r="EK77" s="98"/>
      <c r="EL77" s="98"/>
      <c r="EM77" s="98"/>
      <c r="EN77" s="98"/>
      <c r="EO77" s="98"/>
      <c r="EP77" s="98"/>
      <c r="EQ77" s="98"/>
      <c r="ER77" s="98"/>
      <c r="ES77" s="98"/>
      <c r="ET77" s="98"/>
      <c r="EU77" s="98"/>
      <c r="EV77" s="98"/>
      <c r="EW77" s="98"/>
      <c r="EX77" s="98"/>
      <c r="EY77" s="98"/>
      <c r="EZ77" s="98"/>
      <c r="FA77" s="98"/>
      <c r="FB77" s="98"/>
      <c r="FC77" s="98"/>
      <c r="FD77" s="98"/>
    </row>
    <row r="78" spans="1:160" x14ac:dyDescent="0.2">
      <c r="A78" s="96"/>
      <c r="B78" s="96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  <c r="CX78" s="98"/>
      <c r="CY78" s="98"/>
      <c r="CZ78" s="98"/>
      <c r="DA78" s="98"/>
      <c r="DB78" s="98"/>
      <c r="DC78" s="98"/>
      <c r="DD78" s="98"/>
      <c r="DE78" s="98"/>
      <c r="DF78" s="98"/>
      <c r="DG78" s="98"/>
      <c r="DH78" s="98"/>
      <c r="DI78" s="98"/>
      <c r="DJ78" s="98"/>
      <c r="DK78" s="98"/>
      <c r="DL78" s="98"/>
      <c r="DM78" s="98"/>
      <c r="DN78" s="98"/>
      <c r="DO78" s="98"/>
      <c r="DP78" s="98"/>
      <c r="DQ78" s="98"/>
      <c r="DR78" s="98"/>
      <c r="DS78" s="98"/>
      <c r="DT78" s="98"/>
      <c r="DU78" s="98"/>
      <c r="DV78" s="98"/>
      <c r="DW78" s="98"/>
      <c r="DX78" s="98"/>
      <c r="DY78" s="98"/>
      <c r="DZ78" s="98"/>
      <c r="EA78" s="98"/>
      <c r="EB78" s="98"/>
      <c r="EC78" s="98"/>
      <c r="ED78" s="98"/>
      <c r="EE78" s="98"/>
      <c r="EF78" s="98"/>
      <c r="EG78" s="98"/>
      <c r="EH78" s="98"/>
      <c r="EI78" s="98"/>
      <c r="EJ78" s="98"/>
      <c r="EK78" s="98"/>
      <c r="EL78" s="98"/>
      <c r="EM78" s="98"/>
      <c r="EN78" s="98"/>
      <c r="EO78" s="98"/>
      <c r="EP78" s="98"/>
      <c r="EQ78" s="98"/>
      <c r="ER78" s="98"/>
      <c r="ES78" s="98"/>
      <c r="ET78" s="98"/>
      <c r="EU78" s="98"/>
      <c r="EV78" s="98"/>
      <c r="EW78" s="98"/>
      <c r="EX78" s="98"/>
      <c r="EY78" s="98"/>
      <c r="EZ78" s="98"/>
      <c r="FA78" s="98"/>
      <c r="FB78" s="98"/>
      <c r="FC78" s="98"/>
      <c r="FD78" s="98"/>
    </row>
    <row r="79" spans="1:160" x14ac:dyDescent="0.2">
      <c r="A79" s="96"/>
      <c r="B79" s="96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L79" s="98"/>
      <c r="DM79" s="98"/>
      <c r="DN79" s="98"/>
      <c r="DO79" s="98"/>
      <c r="DP79" s="98"/>
      <c r="DQ79" s="98"/>
      <c r="DR79" s="98"/>
      <c r="DS79" s="98"/>
      <c r="DT79" s="98"/>
      <c r="DU79" s="98"/>
      <c r="DV79" s="98"/>
      <c r="DW79" s="98"/>
      <c r="DX79" s="98"/>
      <c r="DY79" s="98"/>
      <c r="DZ79" s="98"/>
      <c r="EA79" s="98"/>
      <c r="EB79" s="98"/>
      <c r="EC79" s="98"/>
      <c r="ED79" s="98"/>
      <c r="EE79" s="98"/>
      <c r="EF79" s="98"/>
      <c r="EG79" s="98"/>
      <c r="EH79" s="98"/>
      <c r="EI79" s="98"/>
      <c r="EJ79" s="98"/>
      <c r="EK79" s="98"/>
      <c r="EL79" s="98"/>
      <c r="EM79" s="98"/>
      <c r="EN79" s="98"/>
      <c r="EO79" s="98"/>
      <c r="EP79" s="98"/>
      <c r="EQ79" s="98"/>
      <c r="ER79" s="98"/>
      <c r="ES79" s="98"/>
      <c r="ET79" s="98"/>
      <c r="EU79" s="98"/>
      <c r="EV79" s="98"/>
      <c r="EW79" s="98"/>
      <c r="EX79" s="98"/>
      <c r="EY79" s="98"/>
      <c r="EZ79" s="98"/>
      <c r="FA79" s="98"/>
      <c r="FB79" s="98"/>
      <c r="FC79" s="98"/>
      <c r="FD79" s="98"/>
    </row>
    <row r="80" spans="1:160" x14ac:dyDescent="0.2">
      <c r="A80" s="96"/>
      <c r="B80" s="96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  <c r="BH80" s="97"/>
      <c r="BI80" s="97"/>
      <c r="BJ80" s="97"/>
      <c r="BK80" s="97"/>
      <c r="BL80" s="97"/>
      <c r="BM80" s="97"/>
      <c r="BN80" s="98"/>
      <c r="BO80" s="98"/>
      <c r="BP80" s="98"/>
      <c r="BQ80" s="98"/>
      <c r="BR80" s="98"/>
      <c r="BS80" s="98"/>
      <c r="BT80" s="98"/>
      <c r="BU80" s="98"/>
      <c r="BV80" s="98"/>
      <c r="BW80" s="98"/>
      <c r="BX80" s="98"/>
      <c r="BY80" s="98"/>
      <c r="BZ80" s="98"/>
      <c r="CA80" s="98"/>
      <c r="CB80" s="98"/>
      <c r="CC80" s="98"/>
      <c r="CD80" s="98"/>
      <c r="CE80" s="98"/>
      <c r="CF80" s="98"/>
      <c r="CG80" s="98"/>
      <c r="CH80" s="98"/>
      <c r="CI80" s="98"/>
      <c r="CJ80" s="98"/>
      <c r="CK80" s="98"/>
      <c r="CL80" s="98"/>
      <c r="CM80" s="98"/>
      <c r="CN80" s="98"/>
      <c r="CO80" s="98"/>
      <c r="CP80" s="98"/>
      <c r="CQ80" s="98"/>
      <c r="CR80" s="98"/>
      <c r="CS80" s="98"/>
      <c r="CT80" s="98"/>
      <c r="CU80" s="98"/>
      <c r="CV80" s="98"/>
      <c r="CW80" s="98"/>
      <c r="CX80" s="98"/>
      <c r="CY80" s="98"/>
      <c r="CZ80" s="98"/>
      <c r="DA80" s="98"/>
      <c r="DB80" s="98"/>
      <c r="DC80" s="98"/>
      <c r="DD80" s="98"/>
      <c r="DE80" s="98"/>
      <c r="DF80" s="98"/>
      <c r="DG80" s="98"/>
      <c r="DH80" s="98"/>
      <c r="DI80" s="98"/>
      <c r="DJ80" s="98"/>
      <c r="DK80" s="98"/>
      <c r="DL80" s="98"/>
      <c r="DM80" s="98"/>
      <c r="DN80" s="98"/>
      <c r="DO80" s="98"/>
      <c r="DP80" s="98"/>
      <c r="DQ80" s="98"/>
      <c r="DR80" s="98"/>
      <c r="DS80" s="98"/>
      <c r="DT80" s="98"/>
      <c r="DU80" s="98"/>
      <c r="DV80" s="98"/>
      <c r="DW80" s="98"/>
      <c r="DX80" s="98"/>
      <c r="DY80" s="98"/>
      <c r="DZ80" s="98"/>
      <c r="EA80" s="98"/>
      <c r="EB80" s="98"/>
      <c r="EC80" s="98"/>
      <c r="ED80" s="98"/>
      <c r="EE80" s="98"/>
      <c r="EF80" s="98"/>
      <c r="EG80" s="98"/>
      <c r="EH80" s="98"/>
      <c r="EI80" s="98"/>
      <c r="EJ80" s="98"/>
      <c r="EK80" s="98"/>
      <c r="EL80" s="98"/>
      <c r="EM80" s="98"/>
      <c r="EN80" s="98"/>
      <c r="EO80" s="98"/>
      <c r="EP80" s="98"/>
      <c r="EQ80" s="98"/>
      <c r="EV80" s="98"/>
      <c r="EW80" s="98"/>
      <c r="EX80" s="98"/>
      <c r="EY80" s="98"/>
      <c r="EZ80" s="98"/>
      <c r="FA80" s="98"/>
      <c r="FB80" s="98"/>
      <c r="FC80" s="98"/>
      <c r="FD80" s="98"/>
    </row>
    <row r="81" spans="1:147" x14ac:dyDescent="0.2">
      <c r="A81" s="96"/>
      <c r="B81" s="96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7"/>
      <c r="AS81" s="97"/>
      <c r="AT81" s="97"/>
      <c r="AU81" s="97"/>
      <c r="AV81" s="97"/>
      <c r="AW81" s="97"/>
      <c r="AX81" s="97"/>
      <c r="AY81" s="97"/>
      <c r="AZ81" s="97"/>
      <c r="BA81" s="97"/>
      <c r="BB81" s="97"/>
      <c r="BC81" s="97"/>
      <c r="BD81" s="97"/>
      <c r="BE81" s="97"/>
      <c r="BF81" s="97"/>
      <c r="BG81" s="97"/>
      <c r="BH81" s="97"/>
      <c r="BI81" s="97"/>
      <c r="BJ81" s="97"/>
      <c r="BK81" s="97"/>
      <c r="BL81" s="97"/>
      <c r="BM81" s="97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  <c r="CM81" s="98"/>
      <c r="CN81" s="98"/>
      <c r="CO81" s="98"/>
      <c r="CP81" s="98"/>
      <c r="CQ81" s="98"/>
      <c r="CR81" s="98"/>
      <c r="CS81" s="98"/>
      <c r="CT81" s="98"/>
      <c r="CU81" s="98"/>
      <c r="CV81" s="98"/>
      <c r="CW81" s="98"/>
      <c r="CX81" s="98"/>
      <c r="CY81" s="98"/>
      <c r="CZ81" s="98"/>
      <c r="DA81" s="98"/>
      <c r="DB81" s="98"/>
      <c r="DC81" s="98"/>
      <c r="DD81" s="98"/>
      <c r="DE81" s="98"/>
      <c r="DF81" s="98"/>
      <c r="DG81" s="98"/>
      <c r="DH81" s="98"/>
      <c r="DI81" s="98"/>
      <c r="DJ81" s="98"/>
      <c r="DK81" s="98"/>
      <c r="DL81" s="98"/>
      <c r="DM81" s="98"/>
      <c r="DN81" s="98"/>
      <c r="DO81" s="98"/>
      <c r="DP81" s="98"/>
      <c r="DQ81" s="98"/>
      <c r="DR81" s="98"/>
      <c r="DS81" s="98"/>
      <c r="DT81" s="98"/>
      <c r="DU81" s="98"/>
      <c r="DV81" s="98"/>
      <c r="DW81" s="98"/>
      <c r="DX81" s="98"/>
      <c r="DY81" s="98"/>
      <c r="DZ81" s="98"/>
      <c r="EA81" s="98"/>
      <c r="EB81" s="98"/>
      <c r="EC81" s="98"/>
      <c r="ED81" s="98"/>
      <c r="EE81" s="98"/>
      <c r="EF81" s="98"/>
      <c r="EG81" s="98"/>
      <c r="EH81" s="98"/>
      <c r="EI81" s="98"/>
      <c r="EJ81" s="98"/>
      <c r="EK81" s="98"/>
      <c r="EL81" s="98"/>
      <c r="EM81" s="98"/>
      <c r="EN81" s="98"/>
      <c r="EO81" s="98"/>
      <c r="EP81" s="98"/>
      <c r="EQ81" s="98"/>
    </row>
    <row r="82" spans="1:147" x14ac:dyDescent="0.2">
      <c r="A82" s="96"/>
      <c r="B82" s="96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7"/>
      <c r="AS82" s="97"/>
      <c r="AT82" s="97"/>
      <c r="AU82" s="97"/>
      <c r="AV82" s="97"/>
      <c r="AW82" s="97"/>
      <c r="AX82" s="97"/>
      <c r="AY82" s="97"/>
      <c r="AZ82" s="97"/>
      <c r="BA82" s="97"/>
      <c r="BB82" s="97"/>
      <c r="BC82" s="97"/>
      <c r="BD82" s="97"/>
      <c r="BE82" s="97"/>
      <c r="BF82" s="97"/>
      <c r="BG82" s="97"/>
      <c r="BH82" s="97"/>
      <c r="BI82" s="97"/>
      <c r="BJ82" s="97"/>
      <c r="BK82" s="97"/>
      <c r="BL82" s="97"/>
      <c r="BM82" s="97"/>
      <c r="BN82" s="98"/>
      <c r="BO82" s="98"/>
      <c r="BP82" s="98"/>
      <c r="BQ82" s="98"/>
      <c r="BR82" s="98"/>
      <c r="BS82" s="98"/>
      <c r="BT82" s="98"/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98"/>
      <c r="CL82" s="98"/>
      <c r="CM82" s="98"/>
      <c r="CN82" s="98"/>
      <c r="CO82" s="98"/>
      <c r="CP82" s="98"/>
      <c r="CQ82" s="98"/>
      <c r="CR82" s="98"/>
      <c r="CS82" s="98"/>
      <c r="CT82" s="98"/>
      <c r="CU82" s="98"/>
      <c r="CV82" s="98"/>
      <c r="CW82" s="98"/>
      <c r="CX82" s="98"/>
      <c r="CY82" s="98"/>
      <c r="CZ82" s="98"/>
      <c r="DA82" s="98"/>
      <c r="DB82" s="98"/>
      <c r="DC82" s="98"/>
      <c r="DD82" s="98"/>
      <c r="DE82" s="98"/>
      <c r="DF82" s="98"/>
      <c r="DG82" s="98"/>
      <c r="DH82" s="98"/>
      <c r="DI82" s="98"/>
      <c r="DJ82" s="98"/>
      <c r="DK82" s="98"/>
      <c r="DL82" s="98"/>
      <c r="DM82" s="98"/>
      <c r="DN82" s="98"/>
      <c r="DO82" s="98"/>
      <c r="DP82" s="98"/>
      <c r="DQ82" s="98"/>
      <c r="DR82" s="98"/>
      <c r="DS82" s="98"/>
      <c r="DT82" s="98"/>
      <c r="DU82" s="98"/>
      <c r="DV82" s="98"/>
      <c r="DW82" s="98"/>
      <c r="DX82" s="98"/>
      <c r="DY82" s="98"/>
      <c r="DZ82" s="98"/>
      <c r="EA82" s="98"/>
      <c r="EB82" s="98"/>
      <c r="EC82" s="98"/>
      <c r="ED82" s="98"/>
      <c r="EE82" s="98"/>
      <c r="EF82" s="98"/>
      <c r="EG82" s="98"/>
      <c r="EH82" s="98"/>
      <c r="EI82" s="98"/>
      <c r="EJ82" s="98"/>
      <c r="EK82" s="98"/>
      <c r="EL82" s="98"/>
      <c r="EM82" s="98"/>
      <c r="EN82" s="98"/>
      <c r="EO82" s="98"/>
      <c r="EP82" s="98"/>
      <c r="EQ82" s="98"/>
    </row>
    <row r="83" spans="1:147" x14ac:dyDescent="0.2">
      <c r="A83" s="96"/>
      <c r="B83" s="96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  <c r="BH83" s="97"/>
      <c r="BI83" s="97"/>
      <c r="BJ83" s="97"/>
      <c r="BK83" s="97"/>
      <c r="BL83" s="97"/>
      <c r="BM83" s="97"/>
      <c r="BN83" s="98"/>
      <c r="BO83" s="98"/>
      <c r="BP83" s="98"/>
      <c r="BQ83" s="98"/>
      <c r="BR83" s="98"/>
      <c r="BS83" s="98"/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  <c r="CM83" s="98"/>
      <c r="CN83" s="98"/>
      <c r="CO83" s="98"/>
      <c r="CP83" s="98"/>
      <c r="CQ83" s="98"/>
      <c r="CR83" s="98"/>
      <c r="CS83" s="98"/>
      <c r="CT83" s="98"/>
      <c r="CU83" s="98"/>
      <c r="CV83" s="98"/>
      <c r="CW83" s="98"/>
      <c r="CX83" s="98"/>
      <c r="CY83" s="98"/>
      <c r="CZ83" s="98"/>
      <c r="DA83" s="98"/>
      <c r="DB83" s="98"/>
      <c r="DC83" s="98"/>
      <c r="DD83" s="98"/>
      <c r="DE83" s="98"/>
      <c r="DF83" s="98"/>
      <c r="DG83" s="98"/>
      <c r="DH83" s="98"/>
      <c r="DI83" s="98"/>
      <c r="DJ83" s="98"/>
      <c r="DK83" s="98"/>
      <c r="DL83" s="98"/>
      <c r="DM83" s="98"/>
      <c r="DN83" s="98"/>
      <c r="DO83" s="98"/>
      <c r="DP83" s="98"/>
      <c r="DQ83" s="98"/>
      <c r="DR83" s="98"/>
      <c r="DS83" s="98"/>
      <c r="DT83" s="98"/>
      <c r="DU83" s="98"/>
      <c r="DV83" s="98"/>
      <c r="DW83" s="98"/>
      <c r="DX83" s="98"/>
      <c r="DY83" s="98"/>
      <c r="DZ83" s="98"/>
      <c r="EA83" s="98"/>
      <c r="EB83" s="98"/>
      <c r="EC83" s="98"/>
      <c r="ED83" s="98"/>
      <c r="EE83" s="98"/>
      <c r="EF83" s="98"/>
      <c r="EG83" s="98"/>
      <c r="EH83" s="98"/>
      <c r="EI83" s="98"/>
      <c r="EJ83" s="98"/>
      <c r="EK83" s="98"/>
      <c r="EL83" s="98"/>
      <c r="EM83" s="98"/>
      <c r="EN83" s="98"/>
      <c r="EO83" s="98"/>
      <c r="EP83" s="98"/>
      <c r="EQ83" s="98"/>
    </row>
    <row r="84" spans="1:147" x14ac:dyDescent="0.2">
      <c r="A84" s="96"/>
      <c r="B84" s="96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  <c r="AT84" s="97"/>
      <c r="AU84" s="97"/>
      <c r="AV84" s="97"/>
      <c r="AW84" s="97"/>
      <c r="AX84" s="97"/>
      <c r="AY84" s="97"/>
      <c r="AZ84" s="97"/>
      <c r="BA84" s="97"/>
      <c r="BB84" s="97"/>
      <c r="BC84" s="97"/>
      <c r="BD84" s="97"/>
      <c r="BE84" s="97"/>
      <c r="BF84" s="97"/>
      <c r="BG84" s="97"/>
      <c r="BH84" s="97"/>
      <c r="BI84" s="97"/>
      <c r="BJ84" s="97"/>
      <c r="BK84" s="97"/>
      <c r="BL84" s="97"/>
      <c r="BM84" s="97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98"/>
      <c r="DO84" s="98"/>
      <c r="DP84" s="98"/>
      <c r="DQ84" s="98"/>
      <c r="DR84" s="98"/>
      <c r="DS84" s="98"/>
      <c r="DT84" s="98"/>
      <c r="DU84" s="98"/>
      <c r="DV84" s="98"/>
      <c r="DW84" s="98"/>
      <c r="DX84" s="98"/>
      <c r="DY84" s="98"/>
      <c r="DZ84" s="98"/>
      <c r="EA84" s="98"/>
      <c r="EB84" s="98"/>
      <c r="EC84" s="98"/>
      <c r="ED84" s="98"/>
      <c r="EE84" s="98"/>
      <c r="EF84" s="98"/>
      <c r="EG84" s="98"/>
      <c r="EH84" s="98"/>
      <c r="EI84" s="98"/>
      <c r="EJ84" s="98"/>
      <c r="EK84" s="98"/>
      <c r="EL84" s="98"/>
      <c r="EM84" s="98"/>
      <c r="EN84" s="98"/>
      <c r="EO84" s="98"/>
      <c r="EP84" s="98"/>
      <c r="EQ84" s="98"/>
    </row>
    <row r="85" spans="1:147" x14ac:dyDescent="0.2">
      <c r="A85" s="96"/>
      <c r="B85" s="96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  <c r="BH85" s="97"/>
      <c r="BI85" s="97"/>
      <c r="BJ85" s="97"/>
      <c r="BK85" s="97"/>
      <c r="BL85" s="97"/>
      <c r="BM85" s="97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  <c r="CM85" s="98"/>
      <c r="CN85" s="98"/>
      <c r="CO85" s="98"/>
      <c r="CP85" s="98"/>
      <c r="CQ85" s="98"/>
      <c r="CR85" s="98"/>
      <c r="CS85" s="98"/>
      <c r="CT85" s="98"/>
      <c r="CU85" s="98"/>
      <c r="CV85" s="98"/>
      <c r="CW85" s="98"/>
      <c r="CX85" s="98"/>
      <c r="CY85" s="98"/>
      <c r="CZ85" s="98"/>
      <c r="DA85" s="98"/>
      <c r="DB85" s="98"/>
      <c r="DC85" s="98"/>
      <c r="DD85" s="98"/>
      <c r="DE85" s="98"/>
      <c r="DF85" s="98"/>
      <c r="DG85" s="98"/>
      <c r="DH85" s="98"/>
      <c r="DI85" s="98"/>
      <c r="DJ85" s="98"/>
      <c r="DK85" s="98"/>
      <c r="DL85" s="98"/>
      <c r="DM85" s="98"/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M85" s="98"/>
      <c r="EN85" s="98"/>
      <c r="EO85" s="98"/>
      <c r="EP85" s="98"/>
      <c r="EQ85" s="98"/>
    </row>
    <row r="86" spans="1:147" x14ac:dyDescent="0.2">
      <c r="A86" s="96"/>
      <c r="B86" s="96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  <c r="AP86" s="97"/>
      <c r="AQ86" s="97"/>
      <c r="AR86" s="97"/>
      <c r="AS86" s="97"/>
      <c r="AT86" s="97"/>
      <c r="AU86" s="97"/>
      <c r="AV86" s="97"/>
      <c r="AW86" s="97"/>
      <c r="AX86" s="97"/>
      <c r="AY86" s="97"/>
      <c r="AZ86" s="97"/>
      <c r="BA86" s="97"/>
      <c r="BB86" s="97"/>
      <c r="BC86" s="97"/>
      <c r="BD86" s="97"/>
      <c r="BE86" s="97"/>
      <c r="BF86" s="97"/>
      <c r="BG86" s="97"/>
      <c r="BH86" s="97"/>
      <c r="BI86" s="97"/>
      <c r="BJ86" s="97"/>
      <c r="BK86" s="97"/>
      <c r="BL86" s="97"/>
      <c r="BM86" s="97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8"/>
      <c r="DH86" s="98"/>
      <c r="DI86" s="98"/>
      <c r="DJ86" s="98"/>
      <c r="DK86" s="98"/>
      <c r="DL86" s="98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M86" s="98"/>
      <c r="EN86" s="98"/>
      <c r="EO86" s="98"/>
      <c r="EP86" s="98"/>
      <c r="EQ86" s="98"/>
    </row>
    <row r="87" spans="1:147" x14ac:dyDescent="0.2">
      <c r="A87" s="96"/>
      <c r="B87" s="96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  <c r="BH87" s="97"/>
      <c r="BI87" s="97"/>
      <c r="BJ87" s="97"/>
      <c r="BK87" s="97"/>
      <c r="BL87" s="97"/>
      <c r="BM87" s="97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98"/>
      <c r="CL87" s="98"/>
      <c r="CM87" s="98"/>
      <c r="CN87" s="98"/>
      <c r="CO87" s="98"/>
      <c r="CP87" s="98"/>
      <c r="CQ87" s="98"/>
      <c r="CR87" s="98"/>
      <c r="CS87" s="98"/>
      <c r="CT87" s="98"/>
      <c r="CU87" s="98"/>
      <c r="CV87" s="98"/>
      <c r="CW87" s="98"/>
      <c r="CX87" s="98"/>
      <c r="CY87" s="98"/>
      <c r="CZ87" s="98"/>
      <c r="DA87" s="98"/>
      <c r="DB87" s="98"/>
      <c r="DC87" s="98"/>
      <c r="DD87" s="98"/>
      <c r="DE87" s="98"/>
      <c r="DF87" s="98"/>
      <c r="DG87" s="98"/>
      <c r="DH87" s="98"/>
      <c r="DI87" s="98"/>
      <c r="DJ87" s="98"/>
      <c r="DK87" s="98"/>
      <c r="DL87" s="98"/>
      <c r="DM87" s="98"/>
      <c r="DN87" s="98"/>
      <c r="DO87" s="98"/>
      <c r="DP87" s="98"/>
      <c r="DQ87" s="98"/>
      <c r="DR87" s="98"/>
      <c r="DS87" s="98"/>
      <c r="DT87" s="98"/>
      <c r="DU87" s="98"/>
      <c r="DV87" s="98"/>
      <c r="DW87" s="98"/>
      <c r="DX87" s="98"/>
      <c r="DY87" s="98"/>
      <c r="DZ87" s="98"/>
      <c r="EA87" s="98"/>
      <c r="EB87" s="98"/>
      <c r="EC87" s="98"/>
      <c r="ED87" s="98"/>
      <c r="EE87" s="98"/>
      <c r="EF87" s="98"/>
      <c r="EG87" s="98"/>
      <c r="EH87" s="98"/>
      <c r="EI87" s="98"/>
      <c r="EJ87" s="98"/>
      <c r="EK87" s="98"/>
      <c r="EL87" s="98"/>
      <c r="EM87" s="98"/>
      <c r="EN87" s="98"/>
      <c r="EO87" s="98"/>
      <c r="EP87" s="98"/>
      <c r="EQ87" s="98"/>
    </row>
    <row r="88" spans="1:147" x14ac:dyDescent="0.2">
      <c r="A88" s="96"/>
      <c r="B88" s="96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7"/>
      <c r="AV88" s="97"/>
      <c r="AW88" s="97"/>
      <c r="AX88" s="97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N88" s="98"/>
      <c r="BO88" s="98"/>
      <c r="BP88" s="98"/>
      <c r="BQ88" s="98"/>
      <c r="BR88" s="98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98"/>
      <c r="CE88" s="98"/>
      <c r="CF88" s="98"/>
      <c r="CG88" s="98"/>
      <c r="CH88" s="98"/>
      <c r="CI88" s="98"/>
      <c r="CJ88" s="98"/>
      <c r="CK88" s="98"/>
      <c r="CL88" s="98"/>
      <c r="CM88" s="98"/>
      <c r="CN88" s="98"/>
      <c r="CO88" s="98"/>
      <c r="CP88" s="98"/>
      <c r="CQ88" s="98"/>
      <c r="CR88" s="98"/>
      <c r="CS88" s="98"/>
      <c r="CT88" s="98"/>
      <c r="CU88" s="98"/>
      <c r="CV88" s="98"/>
      <c r="CW88" s="98"/>
      <c r="CX88" s="98"/>
      <c r="CY88" s="98"/>
      <c r="CZ88" s="98"/>
      <c r="DA88" s="98"/>
      <c r="DB88" s="98"/>
      <c r="DC88" s="98"/>
      <c r="DD88" s="98"/>
      <c r="DE88" s="98"/>
      <c r="DF88" s="98"/>
      <c r="DG88" s="98"/>
      <c r="DH88" s="98"/>
      <c r="DI88" s="98"/>
      <c r="DJ88" s="98"/>
      <c r="DK88" s="98"/>
      <c r="DL88" s="98"/>
      <c r="DM88" s="98"/>
      <c r="DN88" s="98"/>
      <c r="DO88" s="98"/>
      <c r="DP88" s="98"/>
      <c r="DQ88" s="98"/>
      <c r="DR88" s="98"/>
      <c r="DS88" s="98"/>
      <c r="DT88" s="98"/>
      <c r="DU88" s="98"/>
      <c r="DV88" s="98"/>
      <c r="DW88" s="98"/>
      <c r="DX88" s="98"/>
      <c r="DY88" s="98"/>
      <c r="DZ88" s="98"/>
      <c r="EA88" s="98"/>
      <c r="EB88" s="98"/>
      <c r="EC88" s="98"/>
      <c r="ED88" s="98"/>
      <c r="EE88" s="98"/>
      <c r="EF88" s="98"/>
      <c r="EG88" s="98"/>
      <c r="EH88" s="98"/>
      <c r="EI88" s="98"/>
      <c r="EJ88" s="98"/>
      <c r="EK88" s="98"/>
      <c r="EL88" s="98"/>
      <c r="EM88" s="98"/>
      <c r="EN88" s="98"/>
      <c r="EO88" s="98"/>
      <c r="EP88" s="98"/>
      <c r="EQ88" s="98"/>
    </row>
    <row r="89" spans="1:147" x14ac:dyDescent="0.2">
      <c r="A89" s="96"/>
      <c r="B89" s="96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7"/>
      <c r="BM89" s="97"/>
      <c r="BN89" s="98"/>
      <c r="BO89" s="98"/>
      <c r="BP89" s="98"/>
      <c r="BQ89" s="98"/>
      <c r="BR89" s="98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98"/>
      <c r="CL89" s="98"/>
      <c r="CM89" s="98"/>
      <c r="CN89" s="98"/>
      <c r="CO89" s="98"/>
      <c r="CP89" s="98"/>
      <c r="CQ89" s="98"/>
      <c r="CR89" s="98"/>
      <c r="CS89" s="98"/>
      <c r="CT89" s="98"/>
      <c r="CU89" s="98"/>
      <c r="CV89" s="98"/>
      <c r="CW89" s="98"/>
      <c r="CX89" s="98"/>
      <c r="CY89" s="98"/>
      <c r="CZ89" s="98"/>
      <c r="DA89" s="98"/>
      <c r="DB89" s="98"/>
      <c r="DC89" s="98"/>
      <c r="DD89" s="98"/>
      <c r="DE89" s="98"/>
      <c r="DF89" s="98"/>
      <c r="DG89" s="98"/>
      <c r="DH89" s="98"/>
      <c r="DI89" s="98"/>
      <c r="DJ89" s="98"/>
      <c r="DK89" s="98"/>
      <c r="DL89" s="98"/>
      <c r="DM89" s="98"/>
      <c r="DN89" s="98"/>
      <c r="DO89" s="98"/>
      <c r="DP89" s="98"/>
      <c r="DQ89" s="98"/>
      <c r="DR89" s="98"/>
      <c r="DS89" s="98"/>
      <c r="DT89" s="98"/>
      <c r="DU89" s="98"/>
      <c r="DV89" s="98"/>
      <c r="DW89" s="98"/>
      <c r="DX89" s="98"/>
      <c r="DY89" s="98"/>
      <c r="DZ89" s="98"/>
      <c r="EA89" s="98"/>
      <c r="EB89" s="98"/>
      <c r="EC89" s="98"/>
      <c r="ED89" s="98"/>
      <c r="EE89" s="98"/>
      <c r="EF89" s="98"/>
      <c r="EG89" s="98"/>
      <c r="EH89" s="98"/>
      <c r="EI89" s="98"/>
      <c r="EJ89" s="98"/>
      <c r="EK89" s="98"/>
      <c r="EL89" s="98"/>
      <c r="EM89" s="98"/>
      <c r="EN89" s="98"/>
      <c r="EO89" s="98"/>
      <c r="EP89" s="98"/>
      <c r="EQ89" s="98"/>
    </row>
    <row r="90" spans="1:147" x14ac:dyDescent="0.2">
      <c r="A90" s="96"/>
      <c r="B90" s="96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  <c r="BF90" s="97"/>
      <c r="BG90" s="97"/>
      <c r="BH90" s="97"/>
      <c r="BI90" s="97"/>
      <c r="BJ90" s="97"/>
      <c r="BK90" s="97"/>
      <c r="BL90" s="97"/>
      <c r="BM90" s="97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98"/>
      <c r="CL90" s="98"/>
      <c r="CM90" s="98"/>
      <c r="CN90" s="98"/>
      <c r="CO90" s="98"/>
      <c r="CP90" s="98"/>
      <c r="CQ90" s="98"/>
      <c r="CR90" s="98"/>
      <c r="CS90" s="98"/>
      <c r="CT90" s="98"/>
      <c r="CU90" s="98"/>
      <c r="CV90" s="98"/>
      <c r="CW90" s="98"/>
      <c r="CX90" s="98"/>
      <c r="CY90" s="98"/>
      <c r="CZ90" s="98"/>
      <c r="DA90" s="98"/>
      <c r="DB90" s="98"/>
      <c r="DC90" s="98"/>
      <c r="DD90" s="98"/>
      <c r="DE90" s="98"/>
      <c r="DF90" s="98"/>
      <c r="DG90" s="98"/>
      <c r="DH90" s="98"/>
      <c r="DI90" s="98"/>
      <c r="DJ90" s="98"/>
      <c r="DK90" s="98"/>
      <c r="DL90" s="98"/>
      <c r="DM90" s="98"/>
      <c r="DN90" s="98"/>
      <c r="DO90" s="98"/>
      <c r="DP90" s="98"/>
      <c r="DQ90" s="98"/>
      <c r="DR90" s="98"/>
      <c r="DS90" s="98"/>
      <c r="DT90" s="98"/>
      <c r="DU90" s="98"/>
      <c r="DV90" s="98"/>
      <c r="DW90" s="98"/>
      <c r="DX90" s="98"/>
      <c r="DY90" s="98"/>
      <c r="DZ90" s="98"/>
      <c r="EA90" s="98"/>
      <c r="EB90" s="98"/>
      <c r="EC90" s="98"/>
      <c r="ED90" s="98"/>
      <c r="EE90" s="98"/>
      <c r="EF90" s="98"/>
      <c r="EG90" s="98"/>
      <c r="EH90" s="98"/>
      <c r="EI90" s="98"/>
      <c r="EJ90" s="98"/>
      <c r="EK90" s="98"/>
      <c r="EL90" s="98"/>
      <c r="EM90" s="98"/>
      <c r="EN90" s="98"/>
      <c r="EO90" s="98"/>
      <c r="EP90" s="98"/>
      <c r="EQ90" s="98"/>
    </row>
    <row r="91" spans="1:147" x14ac:dyDescent="0.2">
      <c r="A91" s="96"/>
      <c r="B91" s="96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  <c r="BF91" s="97"/>
      <c r="BG91" s="97"/>
      <c r="BH91" s="97"/>
      <c r="BI91" s="97"/>
      <c r="BJ91" s="97"/>
      <c r="BK91" s="97"/>
      <c r="BL91" s="97"/>
      <c r="BM91" s="97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98"/>
      <c r="CL91" s="98"/>
      <c r="CM91" s="98"/>
      <c r="CN91" s="98"/>
      <c r="CO91" s="98"/>
      <c r="CP91" s="98"/>
      <c r="CQ91" s="98"/>
      <c r="CR91" s="98"/>
      <c r="CS91" s="98"/>
      <c r="CT91" s="98"/>
      <c r="CU91" s="98"/>
      <c r="CV91" s="98"/>
      <c r="CW91" s="98"/>
      <c r="CX91" s="98"/>
      <c r="CY91" s="98"/>
      <c r="CZ91" s="98"/>
      <c r="DA91" s="98"/>
      <c r="DB91" s="98"/>
      <c r="DC91" s="98"/>
      <c r="DD91" s="98"/>
      <c r="DE91" s="98"/>
      <c r="DF91" s="98"/>
      <c r="DG91" s="98"/>
      <c r="DH91" s="98"/>
      <c r="DI91" s="98"/>
      <c r="DJ91" s="98"/>
      <c r="DK91" s="98"/>
      <c r="DL91" s="98"/>
      <c r="DM91" s="98"/>
      <c r="DN91" s="98"/>
      <c r="DO91" s="98"/>
      <c r="DP91" s="98"/>
      <c r="DQ91" s="98"/>
      <c r="DR91" s="98"/>
      <c r="DS91" s="98"/>
      <c r="DT91" s="98"/>
      <c r="DU91" s="98"/>
      <c r="DV91" s="98"/>
      <c r="DW91" s="98"/>
      <c r="DX91" s="98"/>
      <c r="DY91" s="98"/>
      <c r="DZ91" s="98"/>
      <c r="EA91" s="98"/>
      <c r="EB91" s="98"/>
      <c r="EC91" s="98"/>
      <c r="ED91" s="98"/>
      <c r="EE91" s="98"/>
      <c r="EF91" s="98"/>
      <c r="EG91" s="98"/>
      <c r="EH91" s="98"/>
      <c r="EI91" s="98"/>
      <c r="EJ91" s="98"/>
      <c r="EK91" s="98"/>
      <c r="EL91" s="98"/>
      <c r="EM91" s="98"/>
      <c r="EN91" s="98"/>
      <c r="EO91" s="98"/>
      <c r="EP91" s="98"/>
      <c r="EQ91" s="98"/>
    </row>
    <row r="92" spans="1:147" x14ac:dyDescent="0.2">
      <c r="A92" s="96"/>
      <c r="B92" s="96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  <c r="BF92" s="97"/>
      <c r="BG92" s="97"/>
      <c r="BH92" s="97"/>
      <c r="BI92" s="97"/>
      <c r="BJ92" s="97"/>
      <c r="BK92" s="97"/>
      <c r="BL92" s="97"/>
      <c r="BM92" s="97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</row>
    <row r="93" spans="1:147" x14ac:dyDescent="0.2">
      <c r="A93" s="96"/>
      <c r="B93" s="96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  <c r="BH93" s="97"/>
      <c r="BI93" s="97"/>
      <c r="BJ93" s="97"/>
      <c r="BK93" s="97"/>
      <c r="BL93" s="97"/>
      <c r="BM93" s="97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/>
      <c r="CO93" s="98"/>
      <c r="CP93" s="98"/>
      <c r="CQ93" s="98"/>
      <c r="CR93" s="98"/>
      <c r="CS93" s="98"/>
      <c r="CT93" s="98"/>
      <c r="CU93" s="98"/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98"/>
      <c r="DP93" s="98"/>
      <c r="DQ93" s="98"/>
      <c r="DR93" s="98"/>
      <c r="DS93" s="98"/>
      <c r="DT93" s="98"/>
      <c r="DU93" s="98"/>
      <c r="DV93" s="98"/>
      <c r="DW93" s="98"/>
      <c r="DX93" s="98"/>
      <c r="DY93" s="98"/>
      <c r="DZ93" s="98"/>
      <c r="EA93" s="98"/>
      <c r="EB93" s="98"/>
      <c r="EC93" s="98"/>
      <c r="ED93" s="98"/>
      <c r="EE93" s="98"/>
      <c r="EF93" s="98"/>
      <c r="EG93" s="98"/>
      <c r="EH93" s="98"/>
      <c r="EI93" s="98"/>
      <c r="EJ93" s="98"/>
      <c r="EK93" s="98"/>
      <c r="EL93" s="98"/>
      <c r="EM93" s="98"/>
      <c r="EN93" s="98"/>
      <c r="EO93" s="98"/>
      <c r="EP93" s="98"/>
      <c r="EQ93" s="98"/>
    </row>
    <row r="94" spans="1:147" x14ac:dyDescent="0.2">
      <c r="A94" s="96"/>
      <c r="B94" s="96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  <c r="BE94" s="97"/>
      <c r="BF94" s="97"/>
      <c r="BG94" s="97"/>
      <c r="BH94" s="97"/>
      <c r="BI94" s="97"/>
      <c r="BJ94" s="97"/>
      <c r="BK94" s="97"/>
      <c r="BL94" s="97"/>
      <c r="BM94" s="97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8"/>
      <c r="BY94" s="98"/>
      <c r="BZ94" s="98"/>
      <c r="CA94" s="98"/>
      <c r="CB94" s="98"/>
      <c r="CC94" s="98"/>
      <c r="CD94" s="98"/>
      <c r="CE94" s="98"/>
      <c r="CF94" s="98"/>
      <c r="CG94" s="98"/>
      <c r="CH94" s="98"/>
      <c r="CI94" s="98"/>
      <c r="CJ94" s="98"/>
      <c r="CK94" s="98"/>
      <c r="CL94" s="98"/>
      <c r="CM94" s="98"/>
      <c r="CN94" s="98"/>
      <c r="CO94" s="98"/>
      <c r="CP94" s="98"/>
      <c r="CQ94" s="98"/>
      <c r="CR94" s="98"/>
      <c r="CS94" s="98"/>
      <c r="CT94" s="98"/>
      <c r="CU94" s="98"/>
      <c r="CV94" s="98"/>
      <c r="CW94" s="98"/>
      <c r="CX94" s="98"/>
      <c r="CY94" s="98"/>
      <c r="CZ94" s="98"/>
      <c r="DA94" s="98"/>
      <c r="DB94" s="98"/>
      <c r="DC94" s="98"/>
      <c r="DD94" s="98"/>
      <c r="DE94" s="98"/>
      <c r="DF94" s="98"/>
      <c r="DG94" s="98"/>
      <c r="DH94" s="98"/>
      <c r="DI94" s="98"/>
      <c r="DJ94" s="98"/>
      <c r="DK94" s="98"/>
      <c r="DL94" s="98"/>
      <c r="DM94" s="98"/>
      <c r="DN94" s="98"/>
      <c r="DO94" s="98"/>
      <c r="DP94" s="98"/>
      <c r="DQ94" s="98"/>
      <c r="DR94" s="98"/>
      <c r="DS94" s="98"/>
      <c r="DT94" s="98"/>
      <c r="DU94" s="98"/>
      <c r="DV94" s="98"/>
      <c r="DW94" s="98"/>
      <c r="DX94" s="98"/>
      <c r="DY94" s="98"/>
      <c r="DZ94" s="98"/>
      <c r="EA94" s="98"/>
      <c r="EB94" s="98"/>
      <c r="EC94" s="98"/>
      <c r="ED94" s="98"/>
      <c r="EE94" s="98"/>
      <c r="EF94" s="98"/>
      <c r="EG94" s="98"/>
      <c r="EH94" s="98"/>
      <c r="EI94" s="98"/>
      <c r="EJ94" s="98"/>
      <c r="EK94" s="98"/>
      <c r="EL94" s="98"/>
      <c r="EM94" s="98"/>
      <c r="EN94" s="98"/>
      <c r="EO94" s="98"/>
      <c r="EP94" s="98"/>
      <c r="EQ94" s="98"/>
    </row>
    <row r="95" spans="1:147" x14ac:dyDescent="0.2">
      <c r="A95" s="96"/>
      <c r="B95" s="96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  <c r="AT95" s="97"/>
      <c r="AU95" s="97"/>
      <c r="AV95" s="97"/>
      <c r="AW95" s="97"/>
      <c r="AX95" s="97"/>
      <c r="AY95" s="97"/>
      <c r="AZ95" s="97"/>
      <c r="BA95" s="97"/>
      <c r="BB95" s="97"/>
      <c r="BC95" s="97"/>
      <c r="BD95" s="97"/>
      <c r="BE95" s="97"/>
      <c r="BF95" s="97"/>
      <c r="BG95" s="97"/>
      <c r="BH95" s="97"/>
      <c r="BI95" s="97"/>
      <c r="BJ95" s="97"/>
      <c r="BK95" s="97"/>
      <c r="BL95" s="97"/>
      <c r="BM95" s="97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8"/>
      <c r="BY95" s="98"/>
      <c r="BZ95" s="98"/>
      <c r="CA95" s="98"/>
      <c r="CB95" s="98"/>
      <c r="CC95" s="98"/>
      <c r="CD95" s="98"/>
      <c r="CE95" s="98"/>
      <c r="CF95" s="98"/>
      <c r="CG95" s="98"/>
      <c r="CH95" s="98"/>
      <c r="CI95" s="98"/>
      <c r="CJ95" s="98"/>
      <c r="CK95" s="98"/>
      <c r="CL95" s="98"/>
      <c r="CM95" s="98"/>
      <c r="CN95" s="98"/>
      <c r="CO95" s="98"/>
      <c r="CP95" s="98"/>
      <c r="CQ95" s="98"/>
      <c r="CR95" s="98"/>
      <c r="CS95" s="98"/>
      <c r="CT95" s="98"/>
      <c r="CU95" s="98"/>
      <c r="CV95" s="98"/>
      <c r="CW95" s="98"/>
      <c r="CX95" s="98"/>
      <c r="CY95" s="98"/>
      <c r="CZ95" s="98"/>
      <c r="DA95" s="98"/>
      <c r="DB95" s="98"/>
      <c r="DC95" s="98"/>
      <c r="DD95" s="98"/>
      <c r="DE95" s="98"/>
      <c r="DF95" s="98"/>
      <c r="DG95" s="98"/>
      <c r="DH95" s="98"/>
      <c r="DI95" s="98"/>
      <c r="DJ95" s="98"/>
      <c r="DK95" s="98"/>
      <c r="DL95" s="98"/>
      <c r="DM95" s="98"/>
      <c r="DN95" s="98"/>
      <c r="DO95" s="98"/>
      <c r="DP95" s="98"/>
      <c r="DQ95" s="98"/>
      <c r="DR95" s="98"/>
      <c r="DS95" s="98"/>
      <c r="DT95" s="98"/>
      <c r="DU95" s="98"/>
      <c r="DV95" s="98"/>
      <c r="DW95" s="98"/>
      <c r="DX95" s="98"/>
      <c r="DY95" s="98"/>
      <c r="DZ95" s="98"/>
      <c r="EA95" s="98"/>
      <c r="EB95" s="98"/>
      <c r="EC95" s="98"/>
      <c r="ED95" s="98"/>
      <c r="EE95" s="98"/>
      <c r="EF95" s="98"/>
      <c r="EG95" s="98"/>
      <c r="EH95" s="98"/>
      <c r="EI95" s="98"/>
      <c r="EJ95" s="98"/>
      <c r="EK95" s="98"/>
      <c r="EL95" s="98"/>
      <c r="EM95" s="98"/>
      <c r="EN95" s="98"/>
      <c r="EO95" s="98"/>
      <c r="EP95" s="98"/>
      <c r="EQ95" s="98"/>
    </row>
    <row r="96" spans="1:147" x14ac:dyDescent="0.2">
      <c r="A96" s="96"/>
      <c r="B96" s="96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  <c r="AU96" s="97"/>
      <c r="AV96" s="97"/>
      <c r="AW96" s="97"/>
      <c r="AX96" s="97"/>
      <c r="AY96" s="97"/>
      <c r="AZ96" s="97"/>
      <c r="BA96" s="97"/>
      <c r="BB96" s="97"/>
      <c r="BC96" s="97"/>
      <c r="BD96" s="97"/>
      <c r="BE96" s="97"/>
      <c r="BF96" s="97"/>
      <c r="BG96" s="97"/>
      <c r="BH96" s="97"/>
      <c r="BI96" s="97"/>
      <c r="BJ96" s="97"/>
      <c r="BK96" s="97"/>
      <c r="BL96" s="97"/>
      <c r="BM96" s="97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8"/>
      <c r="CX96" s="98"/>
      <c r="CY96" s="98"/>
      <c r="CZ96" s="98"/>
      <c r="DA96" s="98"/>
      <c r="DB96" s="98"/>
      <c r="DC96" s="98"/>
      <c r="DD96" s="98"/>
      <c r="DE96" s="98"/>
      <c r="DF96" s="98"/>
      <c r="DG96" s="98"/>
      <c r="DH96" s="98"/>
      <c r="DI96" s="98"/>
      <c r="DJ96" s="98"/>
      <c r="DK96" s="98"/>
      <c r="DL96" s="98"/>
      <c r="DM96" s="98"/>
      <c r="DN96" s="98"/>
      <c r="DO96" s="98"/>
      <c r="DP96" s="98"/>
      <c r="DQ96" s="98"/>
      <c r="DR96" s="98"/>
      <c r="DS96" s="98"/>
      <c r="DT96" s="98"/>
      <c r="DU96" s="98"/>
      <c r="DV96" s="98"/>
      <c r="DW96" s="98"/>
      <c r="DX96" s="98"/>
      <c r="DY96" s="98"/>
      <c r="DZ96" s="98"/>
      <c r="EA96" s="98"/>
      <c r="EB96" s="98"/>
      <c r="EC96" s="98"/>
      <c r="ED96" s="98"/>
      <c r="EE96" s="98"/>
      <c r="EF96" s="98"/>
      <c r="EG96" s="98"/>
      <c r="EH96" s="98"/>
      <c r="EI96" s="98"/>
      <c r="EJ96" s="98"/>
      <c r="EK96" s="98"/>
      <c r="EL96" s="98"/>
      <c r="EM96" s="98"/>
      <c r="EN96" s="98"/>
      <c r="EO96" s="98"/>
      <c r="EP96" s="98"/>
      <c r="EQ96" s="98"/>
    </row>
    <row r="97" spans="1:147" x14ac:dyDescent="0.2">
      <c r="A97" s="96"/>
      <c r="B97" s="96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  <c r="AT97" s="97"/>
      <c r="AU97" s="97"/>
      <c r="AV97" s="97"/>
      <c r="AW97" s="97"/>
      <c r="AX97" s="97"/>
      <c r="AY97" s="97"/>
      <c r="AZ97" s="97"/>
      <c r="BA97" s="97"/>
      <c r="BB97" s="97"/>
      <c r="BC97" s="97"/>
      <c r="BD97" s="97"/>
      <c r="BE97" s="97"/>
      <c r="BF97" s="97"/>
      <c r="BG97" s="97"/>
      <c r="BH97" s="97"/>
      <c r="BI97" s="97"/>
      <c r="BJ97" s="97"/>
      <c r="BK97" s="97"/>
      <c r="BL97" s="97"/>
      <c r="BM97" s="97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98"/>
      <c r="DC97" s="98"/>
      <c r="DD97" s="98"/>
      <c r="DE97" s="98"/>
      <c r="DF97" s="98"/>
      <c r="DG97" s="98"/>
      <c r="DH97" s="98"/>
      <c r="DI97" s="98"/>
      <c r="DJ97" s="98"/>
      <c r="DK97" s="98"/>
      <c r="DL97" s="98"/>
      <c r="DM97" s="98"/>
      <c r="DN97" s="98"/>
      <c r="DO97" s="98"/>
      <c r="DP97" s="98"/>
      <c r="DQ97" s="98"/>
      <c r="DR97" s="98"/>
      <c r="DS97" s="98"/>
      <c r="DT97" s="98"/>
      <c r="DU97" s="98"/>
      <c r="DV97" s="98"/>
      <c r="DW97" s="98"/>
      <c r="DX97" s="98"/>
      <c r="DY97" s="98"/>
      <c r="DZ97" s="98"/>
      <c r="EA97" s="98"/>
      <c r="EB97" s="98"/>
      <c r="EC97" s="98"/>
      <c r="ED97" s="98"/>
      <c r="EE97" s="98"/>
      <c r="EF97" s="98"/>
      <c r="EG97" s="98"/>
      <c r="EH97" s="98"/>
      <c r="EI97" s="98"/>
      <c r="EJ97" s="98"/>
      <c r="EK97" s="98"/>
      <c r="EL97" s="98"/>
      <c r="EM97" s="98"/>
      <c r="EN97" s="98"/>
      <c r="EO97" s="98"/>
      <c r="EP97" s="98"/>
      <c r="EQ97" s="98"/>
    </row>
    <row r="98" spans="1:147" x14ac:dyDescent="0.2">
      <c r="A98" s="96"/>
      <c r="B98" s="96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/>
      <c r="CT98" s="98"/>
      <c r="CU98" s="98"/>
      <c r="CV98" s="98"/>
      <c r="CW98" s="98"/>
      <c r="CX98" s="98"/>
      <c r="CY98" s="98"/>
      <c r="CZ98" s="98"/>
      <c r="DA98" s="98"/>
      <c r="DB98" s="98"/>
      <c r="DC98" s="98"/>
      <c r="DD98" s="98"/>
      <c r="DE98" s="98"/>
      <c r="DF98" s="98"/>
      <c r="DG98" s="98"/>
      <c r="DH98" s="98"/>
      <c r="DI98" s="98"/>
      <c r="DJ98" s="98"/>
      <c r="DK98" s="98"/>
      <c r="DL98" s="98"/>
      <c r="DM98" s="98"/>
      <c r="DN98" s="98"/>
      <c r="DO98" s="98"/>
      <c r="DP98" s="98"/>
      <c r="DQ98" s="98"/>
      <c r="DR98" s="98"/>
      <c r="DS98" s="98"/>
      <c r="DT98" s="98"/>
      <c r="DU98" s="98"/>
      <c r="DV98" s="98"/>
      <c r="DW98" s="98"/>
      <c r="DX98" s="98"/>
      <c r="DY98" s="98"/>
      <c r="DZ98" s="98"/>
      <c r="EA98" s="98"/>
      <c r="EB98" s="98"/>
      <c r="EC98" s="98"/>
      <c r="ED98" s="98"/>
      <c r="EE98" s="98"/>
      <c r="EF98" s="98"/>
      <c r="EG98" s="98"/>
      <c r="EH98" s="98"/>
      <c r="EI98" s="98"/>
      <c r="EJ98" s="98"/>
      <c r="EK98" s="98"/>
      <c r="EL98" s="98"/>
      <c r="EM98" s="98"/>
      <c r="EN98" s="98"/>
      <c r="EO98" s="98"/>
      <c r="EP98" s="98"/>
      <c r="EQ98" s="98"/>
    </row>
    <row r="99" spans="1:147" x14ac:dyDescent="0.2">
      <c r="A99" s="96"/>
      <c r="B99" s="96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  <c r="BD99" s="97"/>
      <c r="BE99" s="97"/>
      <c r="BF99" s="97"/>
      <c r="BG99" s="97"/>
      <c r="BH99" s="97"/>
      <c r="BI99" s="97"/>
      <c r="BJ99" s="97"/>
      <c r="BK99" s="97"/>
      <c r="BL99" s="97"/>
      <c r="BM99" s="97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  <c r="CF99" s="98"/>
      <c r="CG99" s="98"/>
      <c r="CH99" s="98"/>
      <c r="CI99" s="98"/>
      <c r="CJ99" s="98"/>
      <c r="CK99" s="98"/>
      <c r="CL99" s="98"/>
      <c r="CM99" s="98"/>
      <c r="CN99" s="98"/>
      <c r="CO99" s="98"/>
      <c r="CP99" s="98"/>
      <c r="CQ99" s="98"/>
      <c r="CR99" s="98"/>
      <c r="CS99" s="98"/>
      <c r="CT99" s="98"/>
      <c r="CU99" s="98"/>
      <c r="CV99" s="98"/>
      <c r="CW99" s="98"/>
      <c r="CX99" s="98"/>
      <c r="CY99" s="98"/>
      <c r="CZ99" s="98"/>
      <c r="DA99" s="98"/>
      <c r="DB99" s="98"/>
      <c r="DC99" s="98"/>
      <c r="DD99" s="98"/>
      <c r="DE99" s="98"/>
      <c r="DF99" s="98"/>
      <c r="DG99" s="98"/>
      <c r="DH99" s="98"/>
      <c r="DI99" s="98"/>
      <c r="DJ99" s="98"/>
      <c r="DK99" s="98"/>
      <c r="DL99" s="98"/>
      <c r="DM99" s="98"/>
      <c r="DN99" s="98"/>
      <c r="DO99" s="98"/>
      <c r="DP99" s="98"/>
      <c r="DQ99" s="98"/>
      <c r="DR99" s="98"/>
      <c r="DS99" s="98"/>
      <c r="DT99" s="98"/>
      <c r="DU99" s="98"/>
      <c r="DV99" s="98"/>
      <c r="DW99" s="98"/>
      <c r="DX99" s="98"/>
      <c r="DY99" s="98"/>
      <c r="DZ99" s="98"/>
      <c r="EA99" s="98"/>
      <c r="EB99" s="98"/>
      <c r="EC99" s="98"/>
      <c r="ED99" s="98"/>
      <c r="EE99" s="98"/>
      <c r="EF99" s="98"/>
      <c r="EG99" s="98"/>
      <c r="EH99" s="98"/>
      <c r="EI99" s="98"/>
      <c r="EJ99" s="98"/>
      <c r="EK99" s="98"/>
      <c r="EL99" s="98"/>
      <c r="EM99" s="98"/>
      <c r="EN99" s="98"/>
      <c r="EO99" s="98"/>
      <c r="EP99" s="98"/>
      <c r="EQ99" s="98"/>
    </row>
    <row r="100" spans="1:147" x14ac:dyDescent="0.2">
      <c r="A100" s="96"/>
      <c r="B100" s="96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97"/>
      <c r="AJ100" s="97"/>
      <c r="AK100" s="97"/>
      <c r="AL100" s="97"/>
      <c r="AM100" s="97"/>
      <c r="AN100" s="97"/>
      <c r="AO100" s="97"/>
      <c r="AP100" s="97"/>
      <c r="AQ100" s="97"/>
      <c r="AR100" s="97"/>
      <c r="AS100" s="97"/>
      <c r="AT100" s="97"/>
      <c r="AU100" s="97"/>
      <c r="AV100" s="97"/>
      <c r="AW100" s="97"/>
      <c r="AX100" s="97"/>
      <c r="AY100" s="97"/>
      <c r="AZ100" s="97"/>
      <c r="BA100" s="97"/>
      <c r="BB100" s="97"/>
      <c r="BC100" s="97"/>
      <c r="BD100" s="97"/>
      <c r="BE100" s="97"/>
      <c r="BF100" s="97"/>
      <c r="BG100" s="97"/>
      <c r="BH100" s="97"/>
      <c r="BI100" s="97"/>
      <c r="BJ100" s="97"/>
      <c r="BK100" s="97"/>
      <c r="BL100" s="97"/>
      <c r="BM100" s="97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  <c r="CM100" s="98"/>
      <c r="CN100" s="98"/>
      <c r="CO100" s="98"/>
      <c r="CP100" s="98"/>
      <c r="CQ100" s="98"/>
      <c r="CR100" s="98"/>
      <c r="CS100" s="98"/>
      <c r="CT100" s="98"/>
      <c r="CU100" s="98"/>
      <c r="CV100" s="98"/>
      <c r="CW100" s="98"/>
      <c r="CX100" s="98"/>
      <c r="CY100" s="98"/>
      <c r="CZ100" s="98"/>
      <c r="DA100" s="98"/>
      <c r="DB100" s="98"/>
      <c r="DC100" s="98"/>
      <c r="DD100" s="98"/>
      <c r="DE100" s="98"/>
      <c r="DF100" s="98"/>
      <c r="DG100" s="98"/>
      <c r="DH100" s="98"/>
      <c r="DI100" s="98"/>
      <c r="DJ100" s="98"/>
      <c r="DK100" s="98"/>
      <c r="DL100" s="98"/>
      <c r="DM100" s="98"/>
      <c r="DN100" s="98"/>
      <c r="DO100" s="98"/>
      <c r="DP100" s="98"/>
      <c r="DQ100" s="98"/>
      <c r="DR100" s="98"/>
      <c r="DS100" s="98"/>
      <c r="DT100" s="98"/>
      <c r="DU100" s="98"/>
      <c r="DV100" s="98"/>
      <c r="DW100" s="98"/>
      <c r="DX100" s="98"/>
      <c r="DY100" s="98"/>
      <c r="DZ100" s="98"/>
      <c r="EA100" s="98"/>
      <c r="EB100" s="98"/>
      <c r="EC100" s="98"/>
      <c r="ED100" s="98"/>
      <c r="EE100" s="98"/>
      <c r="EF100" s="98"/>
      <c r="EG100" s="98"/>
      <c r="EH100" s="98"/>
      <c r="EI100" s="98"/>
      <c r="EJ100" s="98"/>
      <c r="EK100" s="98"/>
      <c r="EL100" s="98"/>
      <c r="EM100" s="98"/>
      <c r="EN100" s="98"/>
      <c r="EO100" s="98"/>
      <c r="EP100" s="98"/>
      <c r="EQ100" s="98"/>
    </row>
    <row r="101" spans="1:147" x14ac:dyDescent="0.2">
      <c r="A101" s="96"/>
      <c r="B101" s="96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  <c r="AP101" s="97"/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98"/>
      <c r="DZ101" s="98"/>
      <c r="EA101" s="98"/>
      <c r="EB101" s="98"/>
      <c r="EC101" s="98"/>
      <c r="ED101" s="98"/>
      <c r="EE101" s="98"/>
      <c r="EF101" s="98"/>
      <c r="EG101" s="98"/>
      <c r="EH101" s="98"/>
      <c r="EI101" s="98"/>
      <c r="EJ101" s="98"/>
      <c r="EK101" s="98"/>
      <c r="EL101" s="98"/>
      <c r="EM101" s="98"/>
      <c r="EN101" s="98"/>
      <c r="EO101" s="98"/>
      <c r="EP101" s="98"/>
      <c r="EQ101" s="98"/>
    </row>
    <row r="102" spans="1:147" x14ac:dyDescent="0.2">
      <c r="A102" s="96"/>
      <c r="B102" s="96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97"/>
      <c r="AJ102" s="97"/>
      <c r="AK102" s="97"/>
      <c r="AL102" s="97"/>
      <c r="AM102" s="97"/>
      <c r="AN102" s="97"/>
      <c r="AO102" s="97"/>
      <c r="AP102" s="97"/>
      <c r="AQ102" s="97"/>
      <c r="AR102" s="97"/>
      <c r="AS102" s="97"/>
      <c r="AT102" s="97"/>
      <c r="AU102" s="97"/>
      <c r="AV102" s="97"/>
      <c r="AW102" s="97"/>
      <c r="AX102" s="97"/>
      <c r="AY102" s="97"/>
      <c r="AZ102" s="97"/>
      <c r="BA102" s="97"/>
      <c r="BB102" s="97"/>
      <c r="BC102" s="97"/>
      <c r="BD102" s="97"/>
      <c r="BE102" s="97"/>
      <c r="BF102" s="97"/>
      <c r="BG102" s="97"/>
      <c r="BH102" s="97"/>
      <c r="BI102" s="97"/>
      <c r="BJ102" s="97"/>
      <c r="BK102" s="97"/>
      <c r="BL102" s="97"/>
      <c r="BM102" s="97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8"/>
      <c r="CN102" s="98"/>
      <c r="CO102" s="98"/>
      <c r="CP102" s="98"/>
      <c r="CQ102" s="98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8"/>
      <c r="DC102" s="98"/>
      <c r="DD102" s="98"/>
      <c r="DE102" s="98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8"/>
      <c r="DQ102" s="98"/>
      <c r="DR102" s="98"/>
      <c r="DS102" s="98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8"/>
      <c r="EE102" s="98"/>
      <c r="EF102" s="98"/>
      <c r="EG102" s="98"/>
      <c r="EH102" s="98"/>
      <c r="EI102" s="98"/>
      <c r="EJ102" s="98"/>
      <c r="EK102" s="98"/>
      <c r="EL102" s="98"/>
      <c r="EM102" s="98"/>
      <c r="EN102" s="98"/>
      <c r="EO102" s="98"/>
      <c r="EP102" s="98"/>
      <c r="EQ102" s="98"/>
    </row>
    <row r="103" spans="1:147" x14ac:dyDescent="0.2">
      <c r="A103" s="96"/>
      <c r="B103" s="96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97"/>
      <c r="AJ103" s="97"/>
      <c r="AK103" s="97"/>
      <c r="AL103" s="97"/>
      <c r="AM103" s="97"/>
      <c r="AN103" s="97"/>
      <c r="AO103" s="97"/>
      <c r="AP103" s="97"/>
      <c r="AQ103" s="97"/>
      <c r="AR103" s="97"/>
      <c r="AS103" s="97"/>
      <c r="AT103" s="97"/>
      <c r="AU103" s="97"/>
      <c r="AV103" s="97"/>
      <c r="AW103" s="97"/>
      <c r="AX103" s="97"/>
      <c r="AY103" s="97"/>
      <c r="AZ103" s="97"/>
      <c r="BA103" s="97"/>
      <c r="BB103" s="97"/>
      <c r="BC103" s="97"/>
      <c r="BD103" s="97"/>
      <c r="BE103" s="97"/>
      <c r="BF103" s="97"/>
      <c r="BG103" s="97"/>
      <c r="BH103" s="97"/>
      <c r="BI103" s="97"/>
      <c r="BJ103" s="97"/>
      <c r="BK103" s="97"/>
      <c r="BL103" s="97"/>
      <c r="BM103" s="97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98"/>
      <c r="DC103" s="98"/>
      <c r="DD103" s="98"/>
      <c r="DE103" s="98"/>
      <c r="DF103" s="98"/>
      <c r="DG103" s="98"/>
      <c r="DH103" s="98"/>
      <c r="DI103" s="98"/>
      <c r="DJ103" s="98"/>
      <c r="DK103" s="98"/>
      <c r="DL103" s="98"/>
      <c r="DM103" s="98"/>
      <c r="DN103" s="98"/>
      <c r="DO103" s="98"/>
      <c r="DP103" s="98"/>
      <c r="DQ103" s="98"/>
      <c r="DR103" s="98"/>
      <c r="DS103" s="98"/>
      <c r="DT103" s="98"/>
      <c r="DU103" s="98"/>
      <c r="DV103" s="98"/>
      <c r="DW103" s="98"/>
      <c r="DX103" s="98"/>
      <c r="DY103" s="98"/>
      <c r="DZ103" s="98"/>
      <c r="EA103" s="98"/>
      <c r="EB103" s="98"/>
      <c r="EC103" s="98"/>
      <c r="ED103" s="98"/>
      <c r="EE103" s="98"/>
      <c r="EF103" s="98"/>
      <c r="EG103" s="98"/>
      <c r="EH103" s="98"/>
      <c r="EI103" s="98"/>
      <c r="EJ103" s="98"/>
      <c r="EK103" s="98"/>
      <c r="EL103" s="98"/>
      <c r="EM103" s="98"/>
      <c r="EN103" s="98"/>
      <c r="EO103" s="98"/>
      <c r="EP103" s="98"/>
      <c r="EQ103" s="98"/>
    </row>
    <row r="104" spans="1:147" x14ac:dyDescent="0.2">
      <c r="A104" s="96"/>
      <c r="B104" s="96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  <c r="AZ104" s="97"/>
      <c r="BA104" s="97"/>
      <c r="BB104" s="97"/>
      <c r="BC104" s="97"/>
      <c r="BD104" s="97"/>
      <c r="BE104" s="97"/>
      <c r="BF104" s="97"/>
      <c r="BG104" s="97"/>
      <c r="BH104" s="97"/>
      <c r="BI104" s="97"/>
      <c r="BJ104" s="97"/>
      <c r="BK104" s="97"/>
      <c r="BL104" s="97"/>
      <c r="BM104" s="97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</row>
    <row r="105" spans="1:147" x14ac:dyDescent="0.2">
      <c r="A105" s="96"/>
      <c r="B105" s="96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O105" s="97"/>
      <c r="AP105" s="97"/>
      <c r="AQ105" s="97"/>
      <c r="AR105" s="97"/>
      <c r="AS105" s="97"/>
      <c r="AT105" s="97"/>
      <c r="AU105" s="97"/>
      <c r="AV105" s="97"/>
      <c r="AW105" s="97"/>
      <c r="AX105" s="97"/>
      <c r="AY105" s="97"/>
      <c r="AZ105" s="97"/>
      <c r="BA105" s="97"/>
      <c r="BB105" s="97"/>
      <c r="BC105" s="97"/>
      <c r="BD105" s="97"/>
      <c r="BE105" s="97"/>
      <c r="BF105" s="97"/>
      <c r="BG105" s="97"/>
      <c r="BH105" s="97"/>
      <c r="BI105" s="97"/>
      <c r="BJ105" s="97"/>
      <c r="BK105" s="97"/>
      <c r="BL105" s="97"/>
      <c r="BM105" s="97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</row>
    <row r="106" spans="1:147" x14ac:dyDescent="0.2">
      <c r="A106" s="96"/>
      <c r="B106" s="96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  <c r="AP106" s="97"/>
      <c r="AQ106" s="97"/>
      <c r="AR106" s="97"/>
      <c r="AS106" s="97"/>
      <c r="AT106" s="97"/>
      <c r="AU106" s="97"/>
      <c r="AV106" s="97"/>
      <c r="AW106" s="97"/>
      <c r="AX106" s="97"/>
      <c r="AY106" s="97"/>
      <c r="AZ106" s="97"/>
      <c r="BA106" s="97"/>
      <c r="BB106" s="97"/>
      <c r="BC106" s="97"/>
      <c r="BD106" s="97"/>
      <c r="BE106" s="97"/>
      <c r="BF106" s="97"/>
      <c r="BG106" s="97"/>
      <c r="BH106" s="97"/>
      <c r="BI106" s="97"/>
      <c r="BJ106" s="97"/>
      <c r="BK106" s="97"/>
      <c r="BL106" s="97"/>
      <c r="BM106" s="97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</row>
    <row r="107" spans="1:147" x14ac:dyDescent="0.2">
      <c r="A107" s="96"/>
      <c r="B107" s="96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97"/>
      <c r="AL107" s="97"/>
      <c r="AM107" s="97"/>
      <c r="AN107" s="97"/>
      <c r="AO107" s="97"/>
      <c r="AP107" s="97"/>
      <c r="AQ107" s="97"/>
      <c r="AR107" s="97"/>
      <c r="AS107" s="97"/>
      <c r="AT107" s="97"/>
      <c r="AU107" s="97"/>
      <c r="AV107" s="97"/>
      <c r="AW107" s="97"/>
      <c r="AX107" s="97"/>
      <c r="AY107" s="97"/>
      <c r="AZ107" s="97"/>
      <c r="BA107" s="97"/>
      <c r="BB107" s="97"/>
      <c r="BC107" s="97"/>
      <c r="BD107" s="97"/>
      <c r="BE107" s="97"/>
      <c r="BF107" s="97"/>
      <c r="BG107" s="97"/>
      <c r="BH107" s="97"/>
      <c r="BI107" s="97"/>
      <c r="BJ107" s="97"/>
      <c r="BK107" s="97"/>
      <c r="BL107" s="97"/>
      <c r="BM107" s="97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</row>
    <row r="108" spans="1:147" x14ac:dyDescent="0.2">
      <c r="A108" s="96"/>
      <c r="B108" s="96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97"/>
      <c r="AJ108" s="97"/>
      <c r="AK108" s="97"/>
      <c r="AL108" s="97"/>
      <c r="AM108" s="97"/>
      <c r="AN108" s="97"/>
      <c r="AO108" s="97"/>
      <c r="AP108" s="97"/>
      <c r="AQ108" s="97"/>
      <c r="AR108" s="97"/>
      <c r="AS108" s="97"/>
      <c r="AT108" s="97"/>
      <c r="AU108" s="97"/>
      <c r="AV108" s="97"/>
      <c r="AW108" s="97"/>
      <c r="AX108" s="97"/>
      <c r="AY108" s="97"/>
      <c r="AZ108" s="97"/>
      <c r="BA108" s="97"/>
      <c r="BB108" s="97"/>
      <c r="BC108" s="97"/>
      <c r="BD108" s="97"/>
      <c r="BE108" s="97"/>
      <c r="BF108" s="97"/>
      <c r="BG108" s="97"/>
      <c r="BH108" s="97"/>
      <c r="BI108" s="97"/>
      <c r="BJ108" s="97"/>
      <c r="BK108" s="97"/>
      <c r="BL108" s="97"/>
      <c r="BM108" s="97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  <c r="CM108" s="98"/>
      <c r="CN108" s="98"/>
      <c r="CO108" s="98"/>
      <c r="CP108" s="98"/>
      <c r="CQ108" s="98"/>
      <c r="CR108" s="98"/>
      <c r="CS108" s="98"/>
      <c r="CT108" s="98"/>
      <c r="CU108" s="98"/>
      <c r="CV108" s="98"/>
      <c r="CW108" s="98"/>
      <c r="CX108" s="98"/>
      <c r="CY108" s="98"/>
      <c r="CZ108" s="98"/>
      <c r="DA108" s="98"/>
      <c r="DB108" s="98"/>
      <c r="DC108" s="98"/>
      <c r="DD108" s="98"/>
      <c r="DE108" s="98"/>
      <c r="DF108" s="98"/>
      <c r="DG108" s="98"/>
      <c r="DH108" s="98"/>
      <c r="DI108" s="98"/>
      <c r="DJ108" s="98"/>
      <c r="DK108" s="98"/>
      <c r="DL108" s="98"/>
      <c r="DM108" s="98"/>
      <c r="DN108" s="98"/>
      <c r="DO108" s="98"/>
      <c r="DP108" s="98"/>
      <c r="DQ108" s="98"/>
      <c r="DR108" s="98"/>
      <c r="DS108" s="98"/>
      <c r="DT108" s="98"/>
      <c r="DU108" s="98"/>
      <c r="DV108" s="98"/>
      <c r="DW108" s="98"/>
      <c r="DX108" s="98"/>
      <c r="DY108" s="98"/>
      <c r="DZ108" s="98"/>
      <c r="EA108" s="98"/>
      <c r="EB108" s="98"/>
      <c r="EC108" s="98"/>
      <c r="ED108" s="98"/>
      <c r="EE108" s="98"/>
      <c r="EF108" s="98"/>
      <c r="EG108" s="98"/>
      <c r="EH108" s="98"/>
      <c r="EI108" s="98"/>
      <c r="EJ108" s="98"/>
      <c r="EK108" s="98"/>
      <c r="EL108" s="98"/>
      <c r="EM108" s="98"/>
      <c r="EN108" s="98"/>
      <c r="EO108" s="98"/>
      <c r="EP108" s="98"/>
      <c r="EQ108" s="98"/>
    </row>
    <row r="109" spans="1:147" x14ac:dyDescent="0.2">
      <c r="A109" s="96"/>
      <c r="B109" s="96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  <c r="AH109" s="97"/>
      <c r="AI109" s="97"/>
      <c r="AJ109" s="97"/>
      <c r="AK109" s="97"/>
      <c r="AL109" s="97"/>
      <c r="AM109" s="97"/>
      <c r="AN109" s="97"/>
      <c r="AO109" s="97"/>
      <c r="AP109" s="97"/>
      <c r="AQ109" s="97"/>
      <c r="AR109" s="97"/>
      <c r="AS109" s="97"/>
      <c r="AT109" s="97"/>
      <c r="AU109" s="97"/>
      <c r="AV109" s="97"/>
      <c r="AW109" s="97"/>
      <c r="AX109" s="97"/>
      <c r="AY109" s="97"/>
      <c r="AZ109" s="97"/>
      <c r="BA109" s="97"/>
      <c r="BB109" s="97"/>
      <c r="BC109" s="97"/>
      <c r="BD109" s="97"/>
      <c r="BE109" s="97"/>
      <c r="BF109" s="97"/>
      <c r="BG109" s="97"/>
      <c r="BH109" s="97"/>
      <c r="BI109" s="97"/>
      <c r="BJ109" s="97"/>
      <c r="BK109" s="97"/>
      <c r="BL109" s="97"/>
      <c r="BM109" s="97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98"/>
      <c r="DN109" s="98"/>
      <c r="DO109" s="98"/>
      <c r="DP109" s="98"/>
      <c r="DQ109" s="98"/>
      <c r="DR109" s="98"/>
      <c r="DS109" s="98"/>
      <c r="DT109" s="98"/>
      <c r="DU109" s="98"/>
      <c r="DV109" s="98"/>
      <c r="DW109" s="98"/>
      <c r="DX109" s="98"/>
      <c r="DY109" s="98"/>
      <c r="DZ109" s="98"/>
      <c r="EA109" s="98"/>
      <c r="EB109" s="98"/>
      <c r="EC109" s="98"/>
      <c r="ED109" s="98"/>
      <c r="EE109" s="98"/>
      <c r="EF109" s="98"/>
      <c r="EG109" s="98"/>
      <c r="EH109" s="98"/>
      <c r="EI109" s="98"/>
      <c r="EJ109" s="98"/>
      <c r="EK109" s="98"/>
      <c r="EL109" s="98"/>
      <c r="EM109" s="98"/>
      <c r="EN109" s="98"/>
      <c r="EO109" s="98"/>
      <c r="EP109" s="98"/>
      <c r="EQ109" s="98"/>
    </row>
    <row r="110" spans="1:147" x14ac:dyDescent="0.2">
      <c r="A110" s="96"/>
      <c r="B110" s="96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  <c r="AY110" s="97"/>
      <c r="AZ110" s="97"/>
      <c r="BA110" s="97"/>
      <c r="BB110" s="97"/>
      <c r="BC110" s="97"/>
      <c r="BD110" s="97"/>
      <c r="BE110" s="97"/>
      <c r="BF110" s="97"/>
      <c r="BG110" s="97"/>
      <c r="BH110" s="97"/>
      <c r="BI110" s="97"/>
      <c r="BJ110" s="97"/>
      <c r="BK110" s="97"/>
      <c r="BL110" s="97"/>
      <c r="BM110" s="97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98"/>
      <c r="DZ110" s="98"/>
      <c r="EA110" s="98"/>
      <c r="EB110" s="98"/>
      <c r="EC110" s="98"/>
      <c r="ED110" s="98"/>
      <c r="EE110" s="98"/>
      <c r="EF110" s="98"/>
      <c r="EG110" s="98"/>
      <c r="EH110" s="98"/>
      <c r="EI110" s="98"/>
      <c r="EJ110" s="98"/>
      <c r="EK110" s="98"/>
      <c r="EL110" s="98"/>
      <c r="EM110" s="98"/>
      <c r="EN110" s="98"/>
      <c r="EO110" s="98"/>
      <c r="EP110" s="98"/>
      <c r="EQ110" s="98"/>
    </row>
    <row r="111" spans="1:147" x14ac:dyDescent="0.2">
      <c r="A111" s="96"/>
      <c r="B111" s="96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/>
      <c r="AK111" s="97"/>
      <c r="AL111" s="97"/>
      <c r="AM111" s="97"/>
      <c r="AN111" s="97"/>
      <c r="AO111" s="97"/>
      <c r="AP111" s="97"/>
      <c r="AQ111" s="97"/>
      <c r="AR111" s="97"/>
      <c r="AS111" s="97"/>
      <c r="AT111" s="97"/>
      <c r="AU111" s="97"/>
      <c r="AV111" s="97"/>
      <c r="AW111" s="97"/>
      <c r="AX111" s="97"/>
      <c r="AY111" s="97"/>
      <c r="AZ111" s="97"/>
      <c r="BA111" s="97"/>
      <c r="BB111" s="97"/>
      <c r="BC111" s="97"/>
      <c r="BD111" s="97"/>
      <c r="BE111" s="97"/>
      <c r="BF111" s="97"/>
      <c r="BG111" s="97"/>
      <c r="BH111" s="97"/>
      <c r="BI111" s="97"/>
      <c r="BJ111" s="97"/>
      <c r="BK111" s="97"/>
      <c r="BL111" s="97"/>
      <c r="BM111" s="97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98"/>
      <c r="DZ111" s="98"/>
      <c r="EA111" s="98"/>
      <c r="EB111" s="98"/>
      <c r="EC111" s="98"/>
      <c r="ED111" s="98"/>
      <c r="EE111" s="98"/>
      <c r="EF111" s="98"/>
      <c r="EG111" s="98"/>
      <c r="EH111" s="98"/>
      <c r="EI111" s="98"/>
      <c r="EJ111" s="98"/>
      <c r="EK111" s="98"/>
      <c r="EL111" s="98"/>
      <c r="EM111" s="98"/>
      <c r="EN111" s="98"/>
      <c r="EO111" s="98"/>
      <c r="EP111" s="98"/>
      <c r="EQ111" s="98"/>
    </row>
    <row r="112" spans="1:147" x14ac:dyDescent="0.2">
      <c r="A112" s="96"/>
      <c r="B112" s="96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/>
      <c r="AI112" s="97"/>
      <c r="AJ112" s="97"/>
      <c r="AK112" s="97"/>
      <c r="AL112" s="97"/>
      <c r="AM112" s="97"/>
      <c r="AN112" s="97"/>
      <c r="AO112" s="97"/>
      <c r="AP112" s="97"/>
      <c r="AQ112" s="97"/>
      <c r="AR112" s="97"/>
      <c r="AS112" s="97"/>
      <c r="AT112" s="97"/>
      <c r="AU112" s="97"/>
      <c r="AV112" s="97"/>
      <c r="AW112" s="97"/>
      <c r="AX112" s="97"/>
      <c r="AY112" s="97"/>
      <c r="AZ112" s="97"/>
      <c r="BA112" s="97"/>
      <c r="BB112" s="97"/>
      <c r="BC112" s="97"/>
      <c r="BD112" s="97"/>
      <c r="BE112" s="97"/>
      <c r="BF112" s="97"/>
      <c r="BG112" s="97"/>
      <c r="BH112" s="97"/>
      <c r="BI112" s="97"/>
      <c r="BJ112" s="97"/>
      <c r="BK112" s="97"/>
      <c r="BL112" s="97"/>
      <c r="BM112" s="97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98"/>
      <c r="DP112" s="98"/>
      <c r="DQ112" s="98"/>
      <c r="DR112" s="98"/>
      <c r="DS112" s="98"/>
      <c r="DT112" s="98"/>
      <c r="DU112" s="98"/>
      <c r="DV112" s="98"/>
      <c r="DW112" s="98"/>
      <c r="DX112" s="98"/>
      <c r="DY112" s="98"/>
      <c r="DZ112" s="98"/>
      <c r="EA112" s="98"/>
      <c r="EB112" s="98"/>
      <c r="EC112" s="98"/>
      <c r="ED112" s="98"/>
      <c r="EE112" s="98"/>
      <c r="EF112" s="98"/>
      <c r="EG112" s="98"/>
      <c r="EH112" s="98"/>
      <c r="EI112" s="98"/>
      <c r="EJ112" s="98"/>
      <c r="EK112" s="98"/>
      <c r="EL112" s="98"/>
      <c r="EM112" s="98"/>
      <c r="EN112" s="98"/>
      <c r="EO112" s="98"/>
      <c r="EP112" s="98"/>
      <c r="EQ112" s="98"/>
    </row>
    <row r="113" spans="1:147" x14ac:dyDescent="0.2">
      <c r="A113" s="96"/>
      <c r="B113" s="96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97"/>
      <c r="AJ113" s="97"/>
      <c r="AK113" s="97"/>
      <c r="AL113" s="97"/>
      <c r="AM113" s="97"/>
      <c r="AN113" s="97"/>
      <c r="AO113" s="97"/>
      <c r="AP113" s="97"/>
      <c r="AQ113" s="97"/>
      <c r="AR113" s="97"/>
      <c r="AS113" s="97"/>
      <c r="AT113" s="97"/>
      <c r="AU113" s="97"/>
      <c r="AV113" s="97"/>
      <c r="AW113" s="97"/>
      <c r="AX113" s="97"/>
      <c r="AY113" s="97"/>
      <c r="AZ113" s="97"/>
      <c r="BA113" s="97"/>
      <c r="BB113" s="97"/>
      <c r="BC113" s="97"/>
      <c r="BD113" s="97"/>
      <c r="BE113" s="97"/>
      <c r="BF113" s="97"/>
      <c r="BG113" s="97"/>
      <c r="BH113" s="97"/>
      <c r="BI113" s="97"/>
      <c r="BJ113" s="97"/>
      <c r="BK113" s="97"/>
      <c r="BL113" s="97"/>
      <c r="BM113" s="97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/>
      <c r="DH113" s="98"/>
      <c r="DI113" s="98"/>
      <c r="DJ113" s="98"/>
      <c r="DK113" s="98"/>
      <c r="DL113" s="98"/>
      <c r="DM113" s="98"/>
      <c r="DN113" s="98"/>
      <c r="DO113" s="98"/>
      <c r="DP113" s="98"/>
      <c r="DQ113" s="98"/>
      <c r="DR113" s="98"/>
      <c r="DS113" s="98"/>
      <c r="DT113" s="98"/>
      <c r="DU113" s="98"/>
      <c r="DV113" s="98"/>
      <c r="DW113" s="98"/>
      <c r="DX113" s="98"/>
      <c r="DY113" s="98"/>
      <c r="DZ113" s="98"/>
      <c r="EA113" s="98"/>
      <c r="EB113" s="98"/>
      <c r="EC113" s="98"/>
      <c r="ED113" s="98"/>
      <c r="EE113" s="98"/>
      <c r="EF113" s="98"/>
      <c r="EG113" s="98"/>
      <c r="EH113" s="98"/>
      <c r="EI113" s="98"/>
      <c r="EJ113" s="98"/>
      <c r="EK113" s="98"/>
      <c r="EL113" s="98"/>
      <c r="EM113" s="98"/>
      <c r="EN113" s="98"/>
      <c r="EO113" s="98"/>
      <c r="EP113" s="98"/>
      <c r="EQ113" s="98"/>
    </row>
    <row r="114" spans="1:147" x14ac:dyDescent="0.2">
      <c r="A114" s="96"/>
      <c r="B114" s="96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98"/>
      <c r="DP114" s="98"/>
      <c r="DQ114" s="98"/>
      <c r="DR114" s="98"/>
      <c r="DS114" s="98"/>
      <c r="DT114" s="98"/>
      <c r="DU114" s="98"/>
      <c r="DV114" s="98"/>
      <c r="DW114" s="98"/>
      <c r="DX114" s="98"/>
      <c r="DY114" s="98"/>
      <c r="DZ114" s="98"/>
      <c r="EA114" s="98"/>
      <c r="EB114" s="98"/>
      <c r="EC114" s="98"/>
      <c r="ED114" s="98"/>
      <c r="EE114" s="98"/>
      <c r="EF114" s="98"/>
      <c r="EG114" s="98"/>
      <c r="EH114" s="98"/>
      <c r="EI114" s="98"/>
      <c r="EJ114" s="98"/>
      <c r="EK114" s="98"/>
      <c r="EL114" s="98"/>
      <c r="EM114" s="98"/>
      <c r="EN114" s="98"/>
      <c r="EO114" s="98"/>
      <c r="EP114" s="98"/>
      <c r="EQ114" s="98"/>
    </row>
    <row r="115" spans="1:147" x14ac:dyDescent="0.2">
      <c r="A115" s="96"/>
      <c r="B115" s="96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  <c r="AN115" s="97"/>
      <c r="AO115" s="97"/>
      <c r="AP115" s="97"/>
      <c r="AQ115" s="97"/>
      <c r="AR115" s="97"/>
      <c r="AS115" s="97"/>
      <c r="AT115" s="97"/>
      <c r="AU115" s="97"/>
      <c r="AV115" s="97"/>
      <c r="AW115" s="97"/>
      <c r="AX115" s="97"/>
      <c r="AY115" s="97"/>
      <c r="AZ115" s="97"/>
      <c r="BA115" s="97"/>
      <c r="BB115" s="97"/>
      <c r="BC115" s="97"/>
      <c r="BD115" s="97"/>
      <c r="BE115" s="97"/>
      <c r="BF115" s="97"/>
      <c r="BG115" s="97"/>
      <c r="BH115" s="97"/>
      <c r="BI115" s="97"/>
      <c r="BJ115" s="97"/>
      <c r="BK115" s="97"/>
      <c r="BL115" s="97"/>
      <c r="BM115" s="97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8"/>
      <c r="DQ115" s="98"/>
      <c r="DR115" s="98"/>
      <c r="DS115" s="98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</row>
    <row r="116" spans="1:147" x14ac:dyDescent="0.2">
      <c r="A116" s="96"/>
      <c r="B116" s="96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M116" s="98"/>
      <c r="DN116" s="98"/>
      <c r="DO116" s="98"/>
      <c r="DP116" s="98"/>
      <c r="DQ116" s="98"/>
      <c r="DR116" s="98"/>
      <c r="DS116" s="98"/>
      <c r="DT116" s="98"/>
      <c r="DU116" s="98"/>
      <c r="DV116" s="98"/>
      <c r="DW116" s="98"/>
      <c r="DX116" s="98"/>
      <c r="DY116" s="98"/>
      <c r="DZ116" s="98"/>
      <c r="EA116" s="98"/>
      <c r="EB116" s="98"/>
      <c r="EC116" s="98"/>
      <c r="ED116" s="98"/>
      <c r="EE116" s="98"/>
      <c r="EF116" s="98"/>
      <c r="EG116" s="98"/>
      <c r="EH116" s="98"/>
      <c r="EI116" s="98"/>
      <c r="EJ116" s="98"/>
      <c r="EK116" s="98"/>
      <c r="EL116" s="98"/>
      <c r="EM116" s="98"/>
      <c r="EN116" s="98"/>
      <c r="EO116" s="98"/>
      <c r="EP116" s="98"/>
      <c r="EQ116" s="98"/>
    </row>
  </sheetData>
  <sheetProtection selectLockedCells="1"/>
  <protectedRanges>
    <protectedRange sqref="A4:B34" name="Bereich2_7_2"/>
  </protectedRanges>
  <mergeCells count="15">
    <mergeCell ref="Q39:Q41"/>
    <mergeCell ref="Q43:Q45"/>
    <mergeCell ref="T39:T41"/>
    <mergeCell ref="T43:T45"/>
    <mergeCell ref="A3:B3"/>
    <mergeCell ref="C1:P1"/>
    <mergeCell ref="Q1:AW1"/>
    <mergeCell ref="A1:A2"/>
    <mergeCell ref="B1:B2"/>
    <mergeCell ref="BR1:CE1"/>
    <mergeCell ref="CF1:DL1"/>
    <mergeCell ref="DM1:DW1"/>
    <mergeCell ref="DX1:EF1"/>
    <mergeCell ref="AX1:BH1"/>
    <mergeCell ref="BI1:BQ1"/>
  </mergeCells>
  <phoneticPr fontId="3" type="noConversion"/>
  <conditionalFormatting sqref="A4:D34 F9:P34 Z10:AY26 X5:Y34 V10:V34 T5:U34 BA4:BQ26 CG32:CG34 CI13:EF13 BR34:BS34 BS32:CF32 BS33 CH34 DO4:DO26 Z29:AY34 C27:AX28 BA29:BQ34 BB28:DM28 C29:CE29 CG29:EF29 AY27:EF27 CH14 CM5:CN14 CN15:EF16 BR18:BS31 C15:CL15 C16:BQ17 BS16:CL16 BR4:BS15 C4:EF6 C7:CG9 CI7:EF9 CF4:CF11 C10:EF11 CG12:EF12 C18:EF18 CK19:EF20 CI5:CJ18 C19:CI20 CJ19 CO10:DN25 CP26:EF26 CN26 CH9 CH7 C12:CE13 C21:EF23 C24:R25 S4:S23 T24:CG25 CI24:EF25 S32:BQ32 R4:R30 C31:Q32 S31:EF31 CH17:EF17 BR17:CE17 CF14:CF16 CF18:CF29 CG4:CG30">
    <cfRule type="expression" dxfId="138" priority="52" stopIfTrue="1">
      <formula>OR($B4="dimanche",$B4="samedi")</formula>
    </cfRule>
  </conditionalFormatting>
  <conditionalFormatting sqref="AE9">
    <cfRule type="expression" dxfId="137" priority="330" stopIfTrue="1">
      <formula>OR($B9="dimanche",$B9="samedi")</formula>
    </cfRule>
  </conditionalFormatting>
  <conditionalFormatting sqref="M8">
    <cfRule type="expression" dxfId="136" priority="51" stopIfTrue="1">
      <formula>OR($B8="dimanche",$B8="samedi")</formula>
    </cfRule>
  </conditionalFormatting>
  <conditionalFormatting sqref="DE6:DE9 DF4:DN9 CC8:CE8 CU9:DD9 BU8:CA8 BU4:CE7 CI4:CK4 CM4:DE4 BU9:CE34 CK7:CK8 CK5 CO5:DD8 CO9:CS9 DP4:EF34 CK10:CK34 CO29:DN34 CM17:CN25 CN16 CI21:CJ34 CI20 CM27:CN34 CM26 CO28:DO28">
    <cfRule type="expression" dxfId="135" priority="48" stopIfTrue="1">
      <formula>OR($B4="dimanche",$B4="samedi")</formula>
    </cfRule>
  </conditionalFormatting>
  <conditionalFormatting sqref="CT9">
    <cfRule type="expression" dxfId="134" priority="49" stopIfTrue="1">
      <formula>OR($B9="dimanche",$B9="samedi")</formula>
    </cfRule>
  </conditionalFormatting>
  <conditionalFormatting sqref="CB8">
    <cfRule type="expression" dxfId="133" priority="47" stopIfTrue="1">
      <formula>OR($B8="dimanche",$B8="samedi")</formula>
    </cfRule>
  </conditionalFormatting>
  <conditionalFormatting sqref="E4:E34">
    <cfRule type="expression" dxfId="132" priority="46" stopIfTrue="1">
      <formula>OR($B4="dimanche",$B4="samedi")</formula>
    </cfRule>
  </conditionalFormatting>
  <conditionalFormatting sqref="R33:R34">
    <cfRule type="expression" dxfId="131" priority="45" stopIfTrue="1">
      <formula>OR($B33="dimanche",$B33="samedi")</formula>
    </cfRule>
  </conditionalFormatting>
  <conditionalFormatting sqref="C26:CG26 CI26:CM26 CG32:EF32 C33:BQ33 BS33:EF33 C34:EF34 DP28:EF28 C30:CE30 CG30:EF30 C14:EF14">
    <cfRule type="expression" dxfId="130" priority="44" stopIfTrue="1">
      <formula>OR($B14="dimanche",$B14="samedi")</formula>
    </cfRule>
  </conditionalFormatting>
  <conditionalFormatting sqref="S26:S34">
    <cfRule type="expression" dxfId="129" priority="42" stopIfTrue="1">
      <formula>OR($B26="dimanche",$B26="samedi")</formula>
    </cfRule>
  </conditionalFormatting>
  <conditionalFormatting sqref="W4:W34">
    <cfRule type="expression" dxfId="128" priority="41" stopIfTrue="1">
      <formula>OR($B4="dimanche",$B4="samedi")</formula>
    </cfRule>
  </conditionalFormatting>
  <conditionalFormatting sqref="AZ4:AZ26 AZ29:AZ34">
    <cfRule type="expression" dxfId="127" priority="39" stopIfTrue="1">
      <formula>OR($B4="dimanche",$B4="samedi")</formula>
    </cfRule>
  </conditionalFormatting>
  <conditionalFormatting sqref="BT4:BT34">
    <cfRule type="expression" dxfId="126" priority="38" stopIfTrue="1">
      <formula>OR($B4="dimanche",$B4="samedi")</formula>
    </cfRule>
  </conditionalFormatting>
  <conditionalFormatting sqref="DO29:DO34">
    <cfRule type="expression" dxfId="125" priority="37" stopIfTrue="1">
      <formula>OR($B29="dimanche",$B29="samedi")</formula>
    </cfRule>
  </conditionalFormatting>
  <conditionalFormatting sqref="CF33:CF34">
    <cfRule type="expression" dxfId="124" priority="33" stopIfTrue="1">
      <formula>OR($B33="dimanche",$B33="samedi")</formula>
    </cfRule>
  </conditionalFormatting>
  <conditionalFormatting sqref="CH27:CH33">
    <cfRule type="expression" dxfId="123" priority="29" stopIfTrue="1">
      <formula>OR($B27="dimanche",$B27="samedi")</formula>
    </cfRule>
  </conditionalFormatting>
  <conditionalFormatting sqref="CL4:CL34">
    <cfRule type="expression" dxfId="122" priority="28" stopIfTrue="1">
      <formula>OR($B4="dimanche",$B4="samedi")</formula>
    </cfRule>
  </conditionalFormatting>
  <conditionalFormatting sqref="CF20">
    <cfRule type="expression" dxfId="121" priority="26" stopIfTrue="1">
      <formula>OR($B20="dimanche",$B20="samedi")</formula>
    </cfRule>
  </conditionalFormatting>
  <conditionalFormatting sqref="CH8 CF13 CJ20 S25 CH25 R32">
    <cfRule type="expression" dxfId="120" priority="978" stopIfTrue="1">
      <formula>OR($B7="dimanche",$B7="samedi")</formula>
    </cfRule>
  </conditionalFormatting>
  <conditionalFormatting sqref="CH13">
    <cfRule type="expression" dxfId="119" priority="23" stopIfTrue="1">
      <formula>OR($B13="dimanche",$B13="samedi")</formula>
    </cfRule>
  </conditionalFormatting>
  <conditionalFormatting sqref="CH13">
    <cfRule type="expression" dxfId="118" priority="22" stopIfTrue="1">
      <formula>OR($B13="dimanche",$B13="samedi")</formula>
    </cfRule>
  </conditionalFormatting>
  <conditionalFormatting sqref="BT33">
    <cfRule type="expression" dxfId="117" priority="21" stopIfTrue="1">
      <formula>OR($B33="dimanche",$B33="samedi")</formula>
    </cfRule>
  </conditionalFormatting>
  <conditionalFormatting sqref="BR32:BR33">
    <cfRule type="expression" dxfId="116" priority="19" stopIfTrue="1">
      <formula>OR($B32="dimanche",$B32="samedi")</formula>
    </cfRule>
  </conditionalFormatting>
  <conditionalFormatting sqref="BR33">
    <cfRule type="expression" dxfId="115" priority="18" stopIfTrue="1">
      <formula>OR($B33="dimanche",$B33="samedi")</formula>
    </cfRule>
  </conditionalFormatting>
  <conditionalFormatting sqref="CH26">
    <cfRule type="expression" dxfId="114" priority="17" stopIfTrue="1">
      <formula>OR($B26="dimanche",$B26="samedi")</formula>
    </cfRule>
  </conditionalFormatting>
  <conditionalFormatting sqref="CH26">
    <cfRule type="expression" dxfId="113" priority="16" stopIfTrue="1">
      <formula>OR($B26="dimanche",$B26="samedi")</formula>
    </cfRule>
  </conditionalFormatting>
  <conditionalFormatting sqref="Y31">
    <cfRule type="expression" dxfId="112" priority="15" stopIfTrue="1">
      <formula>OR($B31="dimanche",$B31="samedi")</formula>
    </cfRule>
  </conditionalFormatting>
  <conditionalFormatting sqref="BR7">
    <cfRule type="expression" dxfId="111" priority="14" stopIfTrue="1">
      <formula>OR($B7="dimanche",$B7="samedi")</formula>
    </cfRule>
  </conditionalFormatting>
  <conditionalFormatting sqref="CF12">
    <cfRule type="expression" dxfId="110" priority="13" stopIfTrue="1">
      <formula>OR($B12="dimanche",$B12="samedi")</formula>
    </cfRule>
  </conditionalFormatting>
  <conditionalFormatting sqref="AY28:BA28">
    <cfRule type="expression" dxfId="109" priority="10" stopIfTrue="1">
      <formula>OR($B28="dimanche",$B28="samedi")</formula>
    </cfRule>
  </conditionalFormatting>
  <conditionalFormatting sqref="AZ28">
    <cfRule type="expression" dxfId="108" priority="9" stopIfTrue="1">
      <formula>OR($B28="dimanche",$B28="samedi")</formula>
    </cfRule>
  </conditionalFormatting>
  <conditionalFormatting sqref="CM16">
    <cfRule type="expression" dxfId="107" priority="8" stopIfTrue="1">
      <formula>OR($B16="dimanche",$B16="samedi")</formula>
    </cfRule>
  </conditionalFormatting>
  <conditionalFormatting sqref="CM16">
    <cfRule type="expression" dxfId="106" priority="7" stopIfTrue="1">
      <formula>OR($B16="dimanche",$B16="samedi")</formula>
    </cfRule>
  </conditionalFormatting>
  <conditionalFormatting sqref="CM15">
    <cfRule type="expression" dxfId="105" priority="5" stopIfTrue="1">
      <formula>OR($B14="dimanche",$B14="samedi")</formula>
    </cfRule>
  </conditionalFormatting>
  <conditionalFormatting sqref="CF30">
    <cfRule type="expression" dxfId="104" priority="3" stopIfTrue="1">
      <formula>OR($B30="dimanche",$B30="samedi")</formula>
    </cfRule>
  </conditionalFormatting>
  <conditionalFormatting sqref="CF30">
    <cfRule type="expression" dxfId="103" priority="2" stopIfTrue="1">
      <formula>OR($B30="dimanche",$B30="samedi")</formula>
    </cfRule>
  </conditionalFormatting>
  <conditionalFormatting sqref="S13">
    <cfRule type="expression" dxfId="102" priority="1" stopIfTrue="1">
      <formula>OR($B13="dimanche",$B13="samedi")</formula>
    </cfRule>
  </conditionalFormatting>
  <printOptions horizontalCentered="1" verticalCentered="1"/>
  <pageMargins left="0.19685039370078741" right="0.19685039370078741" top="0" bottom="0" header="0" footer="0"/>
  <pageSetup paperSize="9" scale="11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r:id="rId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137</xdr:col>
                <xdr:colOff>9525</xdr:colOff>
                <xdr:row>0</xdr:row>
                <xdr:rowOff>190500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FT113"/>
  <sheetViews>
    <sheetView topLeftCell="A7" zoomScale="115" zoomScaleNormal="115" workbookViewId="0">
      <pane xSplit="1" topLeftCell="BU1" activePane="topRight" state="frozen"/>
      <selection activeCell="AE34" sqref="AE34"/>
      <selection pane="topRight" activeCell="AE34" sqref="AE34"/>
    </sheetView>
  </sheetViews>
  <sheetFormatPr baseColWidth="10" defaultRowHeight="12.75" x14ac:dyDescent="0.2"/>
  <cols>
    <col min="10" max="10" width="9.28515625" customWidth="1"/>
    <col min="11" max="11" width="10.28515625" customWidth="1"/>
    <col min="12" max="12" width="10.7109375" customWidth="1"/>
    <col min="13" max="13" width="10" customWidth="1"/>
    <col min="14" max="14" width="9.28515625" customWidth="1"/>
    <col min="15" max="15" width="9.85546875" customWidth="1"/>
    <col min="16" max="20" width="3.7109375" customWidth="1"/>
    <col min="21" max="26" width="12" customWidth="1"/>
    <col min="27" max="27" width="11.140625" customWidth="1"/>
    <col min="28" max="28" width="12.7109375" customWidth="1"/>
    <col min="29" max="29" width="11.28515625" customWidth="1"/>
    <col min="30" max="30" width="10" customWidth="1"/>
    <col min="31" max="31" width="9.7109375" customWidth="1"/>
    <col min="32" max="32" width="10.85546875" customWidth="1"/>
    <col min="33" max="43" width="3.7109375" customWidth="1"/>
    <col min="59" max="59" width="11.85546875" customWidth="1"/>
    <col min="60" max="77" width="3.7109375" customWidth="1"/>
    <col min="78" max="80" width="12" customWidth="1"/>
    <col min="81" max="83" width="3.7109375" customWidth="1"/>
    <col min="88" max="91" width="3.7109375" customWidth="1"/>
    <col min="92" max="92" width="8.85546875" customWidth="1"/>
    <col min="108" max="108" width="3.140625" customWidth="1"/>
    <col min="109" max="118" width="2.7109375" customWidth="1"/>
    <col min="119" max="121" width="10.7109375" customWidth="1"/>
    <col min="122" max="124" width="2.7109375" customWidth="1"/>
    <col min="132" max="132" width="10.42578125" customWidth="1"/>
    <col min="133" max="133" width="9.7109375" customWidth="1"/>
    <col min="134" max="139" width="3.28515625" customWidth="1"/>
    <col min="140" max="140" width="12" customWidth="1"/>
    <col min="144" max="146" width="11.5703125" style="49"/>
    <col min="147" max="147" width="15.85546875" style="49" customWidth="1"/>
    <col min="148" max="148" width="11.5703125" style="74"/>
  </cols>
  <sheetData>
    <row r="1" spans="1:176" s="74" customFormat="1" ht="13.5" thickBot="1" x14ac:dyDescent="0.25">
      <c r="A1" s="404" t="s">
        <v>0</v>
      </c>
      <c r="B1" s="406" t="s">
        <v>34</v>
      </c>
      <c r="C1" s="85" t="s">
        <v>72</v>
      </c>
      <c r="D1" s="410" t="s">
        <v>90</v>
      </c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2"/>
      <c r="U1" s="410" t="s">
        <v>91</v>
      </c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1"/>
      <c r="AH1" s="411"/>
      <c r="AI1" s="411"/>
      <c r="AJ1" s="411"/>
      <c r="AK1" s="411"/>
      <c r="AL1" s="411"/>
      <c r="AM1" s="411"/>
      <c r="AN1" s="411"/>
      <c r="AO1" s="411"/>
      <c r="AP1" s="411"/>
      <c r="AQ1" s="412"/>
      <c r="AR1" s="410" t="s">
        <v>77</v>
      </c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411"/>
      <c r="BJ1" s="411"/>
      <c r="BK1" s="411"/>
      <c r="BL1" s="411"/>
      <c r="BM1" s="411"/>
      <c r="BN1" s="411"/>
      <c r="BO1" s="411"/>
      <c r="BP1" s="411"/>
      <c r="BQ1" s="411"/>
      <c r="BR1" s="411"/>
      <c r="BS1" s="411"/>
      <c r="BT1" s="411"/>
      <c r="BU1" s="411"/>
      <c r="BV1" s="411"/>
      <c r="BW1" s="411"/>
      <c r="BX1" s="411"/>
      <c r="BY1" s="412"/>
      <c r="BZ1" s="400" t="s">
        <v>80</v>
      </c>
      <c r="CA1" s="401"/>
      <c r="CB1" s="401"/>
      <c r="CC1" s="401"/>
      <c r="CD1" s="401"/>
      <c r="CE1" s="402"/>
      <c r="CF1" s="400" t="s">
        <v>78</v>
      </c>
      <c r="CG1" s="401"/>
      <c r="CH1" s="401"/>
      <c r="CI1" s="401"/>
      <c r="CJ1" s="401"/>
      <c r="CK1" s="401"/>
      <c r="CL1" s="401"/>
      <c r="CM1" s="401"/>
      <c r="CN1" s="402"/>
      <c r="CO1" s="400" t="s">
        <v>88</v>
      </c>
      <c r="CP1" s="401"/>
      <c r="CQ1" s="401"/>
      <c r="CR1" s="401"/>
      <c r="CS1" s="401"/>
      <c r="CT1" s="401"/>
      <c r="CU1" s="401"/>
      <c r="CV1" s="401"/>
      <c r="CW1" s="401"/>
      <c r="CX1" s="401"/>
      <c r="CY1" s="401"/>
      <c r="CZ1" s="401"/>
      <c r="DA1" s="401"/>
      <c r="DB1" s="401"/>
      <c r="DC1" s="401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3"/>
      <c r="DO1" s="400" t="s">
        <v>79</v>
      </c>
      <c r="DP1" s="401"/>
      <c r="DQ1" s="401"/>
      <c r="DR1" s="401"/>
      <c r="DS1" s="401"/>
      <c r="DT1" s="402"/>
      <c r="DU1" s="413" t="s">
        <v>58</v>
      </c>
      <c r="DV1" s="401"/>
      <c r="DW1" s="401"/>
      <c r="DX1" s="401"/>
      <c r="DY1" s="401"/>
      <c r="DZ1" s="401"/>
      <c r="EA1" s="401"/>
      <c r="EB1" s="401"/>
      <c r="EC1" s="401"/>
      <c r="ED1" s="401"/>
      <c r="EE1" s="401"/>
      <c r="EF1" s="401"/>
      <c r="EG1" s="401"/>
      <c r="EH1" s="401"/>
      <c r="EI1" s="402"/>
      <c r="EJ1" s="400" t="s">
        <v>57</v>
      </c>
      <c r="EK1" s="401"/>
      <c r="EL1" s="401"/>
      <c r="EM1" s="401"/>
      <c r="EN1" s="401"/>
      <c r="EO1" s="401"/>
      <c r="EP1" s="401"/>
      <c r="EQ1" s="403"/>
      <c r="ER1" s="400" t="s">
        <v>87</v>
      </c>
      <c r="ES1" s="401"/>
      <c r="ET1" s="401"/>
      <c r="EU1" s="401"/>
      <c r="EV1" s="402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83"/>
      <c r="FS1" s="83"/>
      <c r="FT1" s="83"/>
    </row>
    <row r="2" spans="1:176" s="74" customFormat="1" ht="63.75" x14ac:dyDescent="0.2">
      <c r="A2" s="405"/>
      <c r="B2" s="407"/>
      <c r="C2" s="86" t="s">
        <v>23</v>
      </c>
      <c r="D2" s="84" t="s">
        <v>73</v>
      </c>
      <c r="E2" s="51" t="s">
        <v>74</v>
      </c>
      <c r="F2" s="51" t="s">
        <v>64</v>
      </c>
      <c r="G2" s="51" t="s">
        <v>65</v>
      </c>
      <c r="H2" s="51" t="s">
        <v>75</v>
      </c>
      <c r="I2" s="51" t="s">
        <v>76</v>
      </c>
      <c r="J2" s="51" t="s">
        <v>89</v>
      </c>
      <c r="K2" s="51" t="s">
        <v>39</v>
      </c>
      <c r="L2" s="51" t="s">
        <v>37</v>
      </c>
      <c r="M2" s="51" t="s">
        <v>29</v>
      </c>
      <c r="N2" s="51" t="s">
        <v>27</v>
      </c>
      <c r="O2" s="51" t="s">
        <v>33</v>
      </c>
      <c r="P2" s="51"/>
      <c r="Q2" s="51"/>
      <c r="R2" s="51"/>
      <c r="S2" s="51"/>
      <c r="T2" s="54"/>
      <c r="U2" s="44" t="s">
        <v>44</v>
      </c>
      <c r="V2" s="42" t="s">
        <v>28</v>
      </c>
      <c r="W2" s="42" t="s">
        <v>64</v>
      </c>
      <c r="X2" s="42" t="s">
        <v>65</v>
      </c>
      <c r="Y2" s="42" t="s">
        <v>75</v>
      </c>
      <c r="Z2" s="42" t="s">
        <v>76</v>
      </c>
      <c r="AA2" s="42" t="s">
        <v>92</v>
      </c>
      <c r="AB2" s="42" t="s">
        <v>89</v>
      </c>
      <c r="AC2" s="42" t="s">
        <v>37</v>
      </c>
      <c r="AD2" s="42" t="s">
        <v>29</v>
      </c>
      <c r="AE2" s="42" t="s">
        <v>27</v>
      </c>
      <c r="AF2" s="42" t="s">
        <v>33</v>
      </c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5"/>
      <c r="AR2" s="81" t="s">
        <v>36</v>
      </c>
      <c r="AS2" s="52" t="s">
        <v>35</v>
      </c>
      <c r="AT2" s="52" t="s">
        <v>19</v>
      </c>
      <c r="AU2" s="52" t="s">
        <v>89</v>
      </c>
      <c r="AV2" s="52" t="s">
        <v>47</v>
      </c>
      <c r="AW2" s="52" t="s">
        <v>21</v>
      </c>
      <c r="AX2" s="52" t="s">
        <v>37</v>
      </c>
      <c r="AY2" s="52" t="s">
        <v>27</v>
      </c>
      <c r="AZ2" s="52" t="s">
        <v>26</v>
      </c>
      <c r="BA2" s="52" t="s">
        <v>40</v>
      </c>
      <c r="BB2" s="52" t="s">
        <v>39</v>
      </c>
      <c r="BC2" s="52" t="s">
        <v>41</v>
      </c>
      <c r="BD2" s="52" t="s">
        <v>100</v>
      </c>
      <c r="BE2" s="52" t="s">
        <v>38</v>
      </c>
      <c r="BF2" s="52" t="s">
        <v>33</v>
      </c>
      <c r="BG2" s="51" t="s">
        <v>59</v>
      </c>
      <c r="BH2" s="51"/>
      <c r="BI2" s="51"/>
      <c r="BJ2" s="51"/>
      <c r="BK2" s="51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1"/>
      <c r="BW2" s="51"/>
      <c r="BX2" s="51"/>
      <c r="BY2" s="54"/>
      <c r="BZ2" s="53" t="s">
        <v>66</v>
      </c>
      <c r="CA2" s="51" t="s">
        <v>43</v>
      </c>
      <c r="CB2" s="51"/>
      <c r="CC2" s="51"/>
      <c r="CD2" s="51"/>
      <c r="CE2" s="54"/>
      <c r="CF2" s="44" t="s">
        <v>60</v>
      </c>
      <c r="CG2" s="42" t="s">
        <v>61</v>
      </c>
      <c r="CH2" s="42" t="s">
        <v>62</v>
      </c>
      <c r="CI2" s="42" t="s">
        <v>63</v>
      </c>
      <c r="CJ2" s="42"/>
      <c r="CK2" s="42"/>
      <c r="CL2" s="42"/>
      <c r="CM2" s="42"/>
      <c r="CN2" s="155" t="s">
        <v>98</v>
      </c>
      <c r="CO2" s="79" t="s">
        <v>36</v>
      </c>
      <c r="CP2" s="43" t="s">
        <v>35</v>
      </c>
      <c r="CQ2" s="43" t="s">
        <v>19</v>
      </c>
      <c r="CR2" s="43" t="s">
        <v>89</v>
      </c>
      <c r="CS2" s="43" t="s">
        <v>47</v>
      </c>
      <c r="CT2" s="43" t="s">
        <v>21</v>
      </c>
      <c r="CU2" s="43" t="s">
        <v>37</v>
      </c>
      <c r="CV2" s="43" t="s">
        <v>27</v>
      </c>
      <c r="CW2" s="43" t="s">
        <v>26</v>
      </c>
      <c r="CX2" s="43" t="s">
        <v>40</v>
      </c>
      <c r="CY2" s="43" t="s">
        <v>39</v>
      </c>
      <c r="CZ2" s="43" t="s">
        <v>41</v>
      </c>
      <c r="DA2" s="43" t="s">
        <v>29</v>
      </c>
      <c r="DB2" s="43" t="s">
        <v>38</v>
      </c>
      <c r="DC2" s="43" t="s">
        <v>33</v>
      </c>
      <c r="DD2" s="43"/>
      <c r="DE2" s="43"/>
      <c r="DF2" s="43"/>
      <c r="DG2" s="43"/>
      <c r="DH2" s="43"/>
      <c r="DI2" s="43"/>
      <c r="DJ2" s="43"/>
      <c r="DK2" s="43"/>
      <c r="DL2" s="43"/>
      <c r="DM2" s="42"/>
      <c r="DN2" s="78"/>
      <c r="DO2" s="44" t="s">
        <v>66</v>
      </c>
      <c r="DP2" s="42" t="s">
        <v>43</v>
      </c>
      <c r="DQ2" s="42" t="s">
        <v>67</v>
      </c>
      <c r="DR2" s="42"/>
      <c r="DS2" s="42"/>
      <c r="DT2" s="45"/>
      <c r="DU2" s="44" t="s">
        <v>68</v>
      </c>
      <c r="DV2" s="42" t="s">
        <v>69</v>
      </c>
      <c r="DW2" s="42" t="s">
        <v>70</v>
      </c>
      <c r="DX2" s="42" t="s">
        <v>71</v>
      </c>
      <c r="DY2" s="42">
        <v>7364</v>
      </c>
      <c r="DZ2" s="42" t="s">
        <v>30</v>
      </c>
      <c r="EA2" s="42" t="s">
        <v>31</v>
      </c>
      <c r="EB2" s="42" t="s">
        <v>99</v>
      </c>
      <c r="EC2" s="42" t="s">
        <v>101</v>
      </c>
      <c r="ED2" s="42"/>
      <c r="EE2" s="42"/>
      <c r="EF2" s="42"/>
      <c r="EG2" s="42"/>
      <c r="EH2" s="42"/>
      <c r="EI2" s="78"/>
      <c r="EJ2" s="77" t="s">
        <v>9</v>
      </c>
      <c r="EK2" s="41" t="s">
        <v>10</v>
      </c>
      <c r="EL2" s="41" t="s">
        <v>11</v>
      </c>
      <c r="EM2" s="62" t="s">
        <v>12</v>
      </c>
      <c r="EN2" s="41" t="s">
        <v>15</v>
      </c>
      <c r="EO2" s="41" t="s">
        <v>16</v>
      </c>
      <c r="EP2" s="41" t="s">
        <v>17</v>
      </c>
      <c r="EQ2" s="89" t="s">
        <v>25</v>
      </c>
      <c r="ER2" s="92" t="s">
        <v>18</v>
      </c>
      <c r="ES2" s="62" t="s">
        <v>13</v>
      </c>
      <c r="ET2" s="62" t="s">
        <v>14</v>
      </c>
      <c r="EU2" s="62" t="s">
        <v>22</v>
      </c>
      <c r="EV2" s="50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</row>
    <row r="3" spans="1:176" s="74" customFormat="1" x14ac:dyDescent="0.2">
      <c r="A3" s="408"/>
      <c r="B3" s="409"/>
      <c r="C3" s="66"/>
      <c r="D3" s="65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4"/>
      <c r="U3" s="22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AR3" s="22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4"/>
      <c r="BZ3" s="22"/>
      <c r="CA3" s="23"/>
      <c r="CB3" s="23"/>
      <c r="CC3" s="23"/>
      <c r="CD3" s="23"/>
      <c r="CE3" s="24"/>
      <c r="CF3" s="22"/>
      <c r="CG3" s="23"/>
      <c r="CH3" s="23"/>
      <c r="CI3" s="23"/>
      <c r="CJ3" s="23"/>
      <c r="CK3" s="23"/>
      <c r="CL3" s="23"/>
      <c r="CM3" s="23"/>
      <c r="CN3" s="24"/>
      <c r="CO3" s="22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4"/>
      <c r="DO3" s="22"/>
      <c r="DP3" s="23"/>
      <c r="DQ3" s="23"/>
      <c r="DR3" s="23"/>
      <c r="DS3" s="23"/>
      <c r="DT3" s="24"/>
      <c r="DU3" s="22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4"/>
      <c r="EJ3" s="22"/>
      <c r="EK3" s="23"/>
      <c r="EL3" s="23"/>
      <c r="EM3" s="23"/>
      <c r="EN3" s="87"/>
      <c r="EO3" s="87"/>
      <c r="EP3" s="87"/>
      <c r="EQ3" s="90"/>
      <c r="ER3" s="93" t="str">
        <f>IF(ISERROR(#REF!/#REF!)," ",#REF!/#REF!)</f>
        <v xml:space="preserve"> </v>
      </c>
      <c r="ES3" s="91" t="str">
        <f>IF(ISERROR(#REF!/#REF!)," ",#REF!/#REF!)</f>
        <v xml:space="preserve"> </v>
      </c>
      <c r="ET3" s="87"/>
      <c r="EU3" s="87"/>
      <c r="EV3" s="88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</row>
    <row r="4" spans="1:176" s="74" customFormat="1" x14ac:dyDescent="0.2">
      <c r="A4" s="18" t="e">
        <f>Lentilles!#REF!</f>
        <v>#REF!</v>
      </c>
      <c r="B4" s="20" t="e">
        <f>Lentilles!#REF!</f>
        <v>#REF!</v>
      </c>
      <c r="C4" s="139">
        <v>3</v>
      </c>
      <c r="D4" s="108">
        <f>7+6+5</f>
        <v>18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7"/>
      <c r="U4" s="127">
        <f>7610+6290+5630</f>
        <v>19530</v>
      </c>
      <c r="V4" s="127"/>
      <c r="W4" s="127"/>
      <c r="X4" s="127"/>
      <c r="Y4" s="127"/>
      <c r="Z4" s="127"/>
      <c r="AA4" s="127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7"/>
      <c r="AR4" s="105"/>
      <c r="AS4" s="105"/>
      <c r="AT4" s="105"/>
      <c r="AU4" s="105"/>
      <c r="AV4" s="105"/>
      <c r="AW4" s="105"/>
      <c r="AX4" s="105">
        <f>6+7</f>
        <v>13</v>
      </c>
      <c r="AY4" s="106">
        <v>7</v>
      </c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7"/>
      <c r="BZ4" s="140"/>
      <c r="CA4" s="106"/>
      <c r="CB4" s="127"/>
      <c r="CC4" s="127"/>
      <c r="CD4" s="127"/>
      <c r="CE4" s="129"/>
      <c r="CF4" s="80">
        <f>CG4+CH4+CI4</f>
        <v>24003</v>
      </c>
      <c r="CG4" s="127">
        <f>8400+7202+8401</f>
        <v>24003</v>
      </c>
      <c r="CH4" s="127"/>
      <c r="CI4" s="127"/>
      <c r="CJ4" s="127"/>
      <c r="CK4" s="127"/>
      <c r="CL4" s="127"/>
      <c r="CM4" s="127"/>
      <c r="CN4" s="156">
        <f>SUM(CO4:DN4)</f>
        <v>24003</v>
      </c>
      <c r="CO4" s="127"/>
      <c r="CP4" s="127"/>
      <c r="CQ4" s="127"/>
      <c r="CR4" s="127"/>
      <c r="CS4" s="127"/>
      <c r="CT4" s="127"/>
      <c r="CU4" s="127">
        <f>7202+8401</f>
        <v>15603</v>
      </c>
      <c r="CV4" s="127">
        <v>8400</v>
      </c>
      <c r="CW4" s="127"/>
      <c r="CX4" s="127"/>
      <c r="CY4" s="127"/>
      <c r="CZ4" s="127"/>
      <c r="DA4" s="127"/>
      <c r="DB4" s="127"/>
      <c r="DC4" s="127"/>
      <c r="DD4" s="127"/>
      <c r="DE4" s="127"/>
      <c r="DF4" s="127"/>
      <c r="DG4" s="127"/>
      <c r="DH4" s="127"/>
      <c r="DI4" s="127"/>
      <c r="DJ4" s="127"/>
      <c r="DK4" s="127"/>
      <c r="DL4" s="127"/>
      <c r="DM4" s="127"/>
      <c r="DN4" s="129"/>
      <c r="DO4" s="127"/>
      <c r="DP4" s="127"/>
      <c r="DQ4" s="127">
        <v>110</v>
      </c>
      <c r="DR4" s="127"/>
      <c r="DS4" s="127"/>
      <c r="DT4" s="129"/>
      <c r="DU4" s="130"/>
      <c r="DV4" s="127"/>
      <c r="DW4" s="127">
        <v>130</v>
      </c>
      <c r="DX4" s="127"/>
      <c r="DY4" s="127"/>
      <c r="DZ4" s="127">
        <v>143</v>
      </c>
      <c r="EA4" s="127"/>
      <c r="EB4" s="127"/>
      <c r="EC4" s="127"/>
      <c r="ED4" s="127"/>
      <c r="EE4" s="127"/>
      <c r="EF4" s="127"/>
      <c r="EG4" s="127"/>
      <c r="EH4" s="127"/>
      <c r="EI4" s="129"/>
      <c r="EJ4" s="19">
        <v>24</v>
      </c>
      <c r="EK4" s="12">
        <v>24</v>
      </c>
      <c r="EL4" s="150">
        <f>IF(ISERROR(EN4+EO4+EP4)," ",EN4+EO4+EP4)</f>
        <v>24</v>
      </c>
      <c r="EM4" s="151">
        <f>IF(ISERROR(EK4/EJ4)," ",EK4/EJ4)</f>
        <v>1</v>
      </c>
      <c r="EN4" s="152">
        <f>IF((EK4)=0,"",(EK4))</f>
        <v>24</v>
      </c>
      <c r="EO4" s="127"/>
      <c r="EP4" s="127"/>
      <c r="EQ4" s="128"/>
      <c r="ER4" s="70">
        <f>IF(ISERROR(CF4/EL4)," ",CF4/EL4)</f>
        <v>1000.125</v>
      </c>
      <c r="ES4" s="21">
        <f>IF(ISERROR(CF4/EN4)," ",CF4/EN4)</f>
        <v>1000.125</v>
      </c>
      <c r="ET4" s="10" t="str">
        <f>IF(ISERROR(#REF!/#REF!)," ",#REF!/#REF!)</f>
        <v xml:space="preserve"> </v>
      </c>
      <c r="EU4" s="10"/>
      <c r="EV4" s="69" t="str">
        <f>IF(ISERROR(#REF!/#REF!)," ",#REF!/#REF!)</f>
        <v xml:space="preserve"> </v>
      </c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</row>
    <row r="5" spans="1:176" s="74" customFormat="1" x14ac:dyDescent="0.2">
      <c r="A5" s="18" t="e">
        <f>Lentilles!#REF!</f>
        <v>#REF!</v>
      </c>
      <c r="B5" s="20" t="e">
        <f>Lentilles!#REF!</f>
        <v>#REF!</v>
      </c>
      <c r="C5" s="139">
        <v>3</v>
      </c>
      <c r="D5" s="108"/>
      <c r="E5" s="105"/>
      <c r="F5" s="105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7"/>
      <c r="U5" s="127">
        <f>11780+8580+5840</f>
        <v>26200</v>
      </c>
      <c r="V5" s="127"/>
      <c r="W5" s="127"/>
      <c r="X5" s="127"/>
      <c r="Y5" s="127"/>
      <c r="Z5" s="127"/>
      <c r="AA5" s="127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7"/>
      <c r="AR5" s="105">
        <f>1</f>
        <v>1</v>
      </c>
      <c r="AS5" s="105"/>
      <c r="AT5" s="105"/>
      <c r="AU5" s="105"/>
      <c r="AV5" s="105"/>
      <c r="AW5" s="105"/>
      <c r="AX5" s="105">
        <f>7+6</f>
        <v>13</v>
      </c>
      <c r="AY5" s="106"/>
      <c r="AZ5" s="106">
        <v>8</v>
      </c>
      <c r="BA5" s="106"/>
      <c r="BB5" s="105"/>
      <c r="BC5" s="106"/>
      <c r="BD5" s="106"/>
      <c r="BE5" s="117"/>
      <c r="BF5" s="105"/>
      <c r="BG5" s="106"/>
      <c r="BH5" s="106"/>
      <c r="BI5" s="105"/>
      <c r="BJ5" s="105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7"/>
      <c r="BZ5" s="141">
        <v>1</v>
      </c>
      <c r="CA5" s="106"/>
      <c r="CB5" s="127"/>
      <c r="CC5" s="127"/>
      <c r="CD5" s="127"/>
      <c r="CE5" s="129"/>
      <c r="CF5" s="80">
        <f t="shared" ref="CF5:CF35" si="0">CG5+CH5+CI5</f>
        <v>24807</v>
      </c>
      <c r="CG5" s="127">
        <f>8400+8402+8005</f>
        <v>24807</v>
      </c>
      <c r="CH5" s="127"/>
      <c r="CI5" s="127"/>
      <c r="CJ5" s="127"/>
      <c r="CK5" s="127"/>
      <c r="CL5" s="127"/>
      <c r="CM5" s="127"/>
      <c r="CN5" s="156">
        <f t="shared" ref="CN5:CN35" si="1">SUM(CO5:DN5)</f>
        <v>24807</v>
      </c>
      <c r="CO5" s="127">
        <v>1201</v>
      </c>
      <c r="CP5" s="127"/>
      <c r="CQ5" s="127"/>
      <c r="CR5" s="127"/>
      <c r="CS5" s="127"/>
      <c r="CT5" s="127"/>
      <c r="CU5" s="127">
        <f>8400+7201</f>
        <v>15601</v>
      </c>
      <c r="CV5" s="127"/>
      <c r="CW5" s="127">
        <v>8005</v>
      </c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9"/>
      <c r="DO5" s="127">
        <v>700</v>
      </c>
      <c r="DP5" s="127"/>
      <c r="DQ5" s="127">
        <v>130</v>
      </c>
      <c r="DR5" s="127"/>
      <c r="DS5" s="127"/>
      <c r="DT5" s="129"/>
      <c r="DU5" s="130"/>
      <c r="DV5" s="127"/>
      <c r="DW5" s="127">
        <v>65</v>
      </c>
      <c r="DX5" s="127"/>
      <c r="DY5" s="127"/>
      <c r="DZ5" s="127"/>
      <c r="EA5" s="127">
        <v>104</v>
      </c>
      <c r="EB5" s="127"/>
      <c r="EC5" s="127"/>
      <c r="ED5" s="127"/>
      <c r="EE5" s="127"/>
      <c r="EF5" s="127"/>
      <c r="EG5" s="127"/>
      <c r="EH5" s="127"/>
      <c r="EI5" s="129"/>
      <c r="EJ5" s="19">
        <v>24</v>
      </c>
      <c r="EK5" s="12">
        <v>24</v>
      </c>
      <c r="EL5" s="150">
        <f t="shared" ref="EL5:EL35" si="2">IF(ISERROR(EN5+EO5+EP5)," ",EN5+EO5+EP5)</f>
        <v>24</v>
      </c>
      <c r="EM5" s="151">
        <f t="shared" ref="EM5:EM35" si="3">IF(ISERROR(EK5/EJ5)," ",EK5/EJ5)</f>
        <v>1</v>
      </c>
      <c r="EN5" s="152">
        <f t="shared" ref="EN5:EN35" si="4">IF((EK5)=0,"",(EK5))</f>
        <v>24</v>
      </c>
      <c r="EO5" s="127"/>
      <c r="EP5" s="127"/>
      <c r="EQ5" s="128"/>
      <c r="ER5" s="70">
        <f t="shared" ref="ER5:ER35" si="5">IF(ISERROR(CF5/EL5)," ",CF5/EL5)</f>
        <v>1033.625</v>
      </c>
      <c r="ES5" s="21">
        <f t="shared" ref="ES5:ES35" si="6">IF(ISERROR(CF5/EN5)," ",CF5/EN5)</f>
        <v>1033.625</v>
      </c>
      <c r="ET5" s="10" t="str">
        <f>IF(ISERROR(#REF!/#REF!)," ",#REF!/#REF!)</f>
        <v xml:space="preserve"> </v>
      </c>
      <c r="EU5" s="10"/>
      <c r="EV5" s="69" t="str">
        <f>IF(ISERROR(#REF!/#REF!)," ",#REF!/#REF!)</f>
        <v xml:space="preserve"> </v>
      </c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</row>
    <row r="6" spans="1:176" s="74" customFormat="1" x14ac:dyDescent="0.2">
      <c r="A6" s="18" t="e">
        <f>Lentilles!#REF!</f>
        <v>#REF!</v>
      </c>
      <c r="B6" s="20" t="e">
        <f>Lentilles!#REF!</f>
        <v>#REF!</v>
      </c>
      <c r="C6" s="139">
        <v>3</v>
      </c>
      <c r="D6" s="108"/>
      <c r="E6" s="105"/>
      <c r="F6" s="105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7"/>
      <c r="U6" s="127">
        <f>6210+2570+6790</f>
        <v>15570</v>
      </c>
      <c r="V6" s="127"/>
      <c r="W6" s="127"/>
      <c r="X6" s="127"/>
      <c r="Y6" s="127"/>
      <c r="Z6" s="127"/>
      <c r="AA6" s="127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7"/>
      <c r="AR6" s="105">
        <f>2+1+1</f>
        <v>4</v>
      </c>
      <c r="AS6" s="105">
        <v>1</v>
      </c>
      <c r="AT6" s="105"/>
      <c r="AU6" s="105">
        <v>5</v>
      </c>
      <c r="AV6" s="105"/>
      <c r="AW6" s="105"/>
      <c r="AX6" s="105"/>
      <c r="AY6" s="106"/>
      <c r="AZ6" s="106">
        <v>3</v>
      </c>
      <c r="BA6" s="106"/>
      <c r="BB6" s="105"/>
      <c r="BC6" s="106"/>
      <c r="BD6" s="106"/>
      <c r="BE6" s="106"/>
      <c r="BF6" s="105"/>
      <c r="BG6" s="105"/>
      <c r="BH6" s="106"/>
      <c r="BI6" s="105"/>
      <c r="BJ6" s="105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12"/>
      <c r="BZ6" s="141"/>
      <c r="CA6" s="106"/>
      <c r="CB6" s="127"/>
      <c r="CC6" s="127"/>
      <c r="CD6" s="127"/>
      <c r="CE6" s="129"/>
      <c r="CF6" s="80">
        <f t="shared" si="0"/>
        <v>15002</v>
      </c>
      <c r="CG6" s="127">
        <f>5400+1201+8401</f>
        <v>15002</v>
      </c>
      <c r="CH6" s="127"/>
      <c r="CI6" s="127"/>
      <c r="CJ6" s="127"/>
      <c r="CK6" s="127"/>
      <c r="CL6" s="127"/>
      <c r="CM6" s="127"/>
      <c r="CN6" s="156">
        <f t="shared" si="1"/>
        <v>15002</v>
      </c>
      <c r="CO6" s="127">
        <f>2400+1201+1200</f>
        <v>4801</v>
      </c>
      <c r="CP6" s="127">
        <v>1200</v>
      </c>
      <c r="CQ6" s="127"/>
      <c r="CR6" s="127">
        <v>6001</v>
      </c>
      <c r="CS6" s="127"/>
      <c r="CT6" s="127"/>
      <c r="CU6" s="127"/>
      <c r="CV6" s="127"/>
      <c r="CW6" s="127">
        <v>3000</v>
      </c>
      <c r="CX6" s="127"/>
      <c r="CY6" s="127"/>
      <c r="CZ6" s="127"/>
      <c r="DA6" s="127"/>
      <c r="DB6" s="127"/>
      <c r="DC6" s="127"/>
      <c r="DD6" s="127"/>
      <c r="DE6" s="127"/>
      <c r="DF6" s="127"/>
      <c r="DG6" s="127"/>
      <c r="DH6" s="127"/>
      <c r="DI6" s="127"/>
      <c r="DJ6" s="127"/>
      <c r="DK6" s="127"/>
      <c r="DL6" s="127"/>
      <c r="DM6" s="127"/>
      <c r="DN6" s="129"/>
      <c r="DO6" s="127"/>
      <c r="DP6" s="127"/>
      <c r="DQ6" s="127">
        <v>90</v>
      </c>
      <c r="DR6" s="127"/>
      <c r="DS6" s="127"/>
      <c r="DT6" s="129"/>
      <c r="DU6" s="130"/>
      <c r="DV6" s="127">
        <v>52</v>
      </c>
      <c r="DW6" s="127"/>
      <c r="DX6" s="127"/>
      <c r="DY6" s="127"/>
      <c r="DZ6" s="127"/>
      <c r="EA6" s="127"/>
      <c r="EB6" s="127"/>
      <c r="EC6" s="127"/>
      <c r="ED6" s="127"/>
      <c r="EE6" s="127"/>
      <c r="EF6" s="127"/>
      <c r="EG6" s="127"/>
      <c r="EH6" s="127"/>
      <c r="EI6" s="129"/>
      <c r="EJ6" s="19">
        <v>24</v>
      </c>
      <c r="EK6" s="12">
        <v>19</v>
      </c>
      <c r="EL6" s="150">
        <f t="shared" si="2"/>
        <v>19</v>
      </c>
      <c r="EM6" s="151">
        <f t="shared" si="3"/>
        <v>0.79166666666666663</v>
      </c>
      <c r="EN6" s="152">
        <f t="shared" si="4"/>
        <v>19</v>
      </c>
      <c r="EO6" s="127"/>
      <c r="EP6" s="127"/>
      <c r="EQ6" s="128"/>
      <c r="ER6" s="70">
        <f t="shared" si="5"/>
        <v>789.57894736842104</v>
      </c>
      <c r="ES6" s="21">
        <f t="shared" si="6"/>
        <v>789.57894736842104</v>
      </c>
      <c r="ET6" s="10" t="str">
        <f>IF(ISERROR(#REF!/#REF!)," ",#REF!/#REF!)</f>
        <v xml:space="preserve"> </v>
      </c>
      <c r="EU6" s="10"/>
      <c r="EV6" s="69" t="str">
        <f>IF(ISERROR(#REF!/#REF!)," ",#REF!/#REF!)</f>
        <v xml:space="preserve"> </v>
      </c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</row>
    <row r="7" spans="1:176" s="74" customFormat="1" x14ac:dyDescent="0.2">
      <c r="A7" s="18" t="e">
        <f>Lentilles!#REF!</f>
        <v>#REF!</v>
      </c>
      <c r="B7" s="20" t="e">
        <f>Lentilles!#REF!</f>
        <v>#REF!</v>
      </c>
      <c r="C7" s="139">
        <v>3</v>
      </c>
      <c r="D7" s="108">
        <f>6+6+6</f>
        <v>18</v>
      </c>
      <c r="E7" s="131"/>
      <c r="F7" s="105"/>
      <c r="G7" s="105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2"/>
      <c r="U7" s="127">
        <f>6410+6760+6590</f>
        <v>19760</v>
      </c>
      <c r="V7" s="127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2"/>
      <c r="AR7" s="105">
        <v>1</v>
      </c>
      <c r="AS7" s="105">
        <f>3+2</f>
        <v>5</v>
      </c>
      <c r="AT7" s="105"/>
      <c r="AU7" s="105">
        <f>7+3+4</f>
        <v>14</v>
      </c>
      <c r="AV7" s="105"/>
      <c r="AW7" s="105"/>
      <c r="AX7" s="105"/>
      <c r="AY7" s="106"/>
      <c r="AZ7" s="106"/>
      <c r="BA7" s="105"/>
      <c r="BB7" s="105"/>
      <c r="BC7" s="106"/>
      <c r="BD7" s="106"/>
      <c r="BE7" s="105"/>
      <c r="BF7" s="105"/>
      <c r="BG7" s="131"/>
      <c r="BH7" s="131"/>
      <c r="BI7" s="131"/>
      <c r="BJ7" s="105"/>
      <c r="BK7" s="105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2"/>
      <c r="BZ7" s="141">
        <v>1</v>
      </c>
      <c r="CA7" s="106"/>
      <c r="CB7" s="131"/>
      <c r="CC7" s="131"/>
      <c r="CD7" s="131"/>
      <c r="CE7" s="132"/>
      <c r="CF7" s="80">
        <f t="shared" si="0"/>
        <v>22902</v>
      </c>
      <c r="CG7" s="127">
        <f>8402+7200+7300</f>
        <v>22902</v>
      </c>
      <c r="CH7" s="131"/>
      <c r="CI7" s="131"/>
      <c r="CJ7" s="131"/>
      <c r="CK7" s="131"/>
      <c r="CL7" s="131"/>
      <c r="CM7" s="131"/>
      <c r="CN7" s="156">
        <f t="shared" si="1"/>
        <v>22902</v>
      </c>
      <c r="CO7" s="127">
        <v>1200</v>
      </c>
      <c r="CP7" s="127">
        <f>3600+1300</f>
        <v>4900</v>
      </c>
      <c r="CQ7" s="149"/>
      <c r="CR7" s="149">
        <f>8402+3600+4800</f>
        <v>16802</v>
      </c>
      <c r="CS7" s="134"/>
      <c r="CT7" s="105"/>
      <c r="CU7" s="127"/>
      <c r="CV7" s="127"/>
      <c r="CW7" s="127"/>
      <c r="CX7" s="131"/>
      <c r="CY7" s="131"/>
      <c r="CZ7" s="131"/>
      <c r="DA7" s="131"/>
      <c r="DB7" s="131"/>
      <c r="DC7" s="131"/>
      <c r="DD7" s="127"/>
      <c r="DE7" s="131"/>
      <c r="DF7" s="131"/>
      <c r="DG7" s="131"/>
      <c r="DH7" s="131"/>
      <c r="DI7" s="131"/>
      <c r="DJ7" s="131"/>
      <c r="DK7" s="131"/>
      <c r="DL7" s="131"/>
      <c r="DM7" s="131"/>
      <c r="DN7" s="132"/>
      <c r="DO7" s="127">
        <v>730</v>
      </c>
      <c r="DP7" s="127"/>
      <c r="DQ7" s="127">
        <v>40</v>
      </c>
      <c r="DR7" s="131"/>
      <c r="DS7" s="131"/>
      <c r="DT7" s="132"/>
      <c r="DU7" s="130"/>
      <c r="DV7" s="127">
        <v>130</v>
      </c>
      <c r="DW7" s="127"/>
      <c r="DX7" s="131"/>
      <c r="DY7" s="131"/>
      <c r="DZ7" s="127"/>
      <c r="EA7" s="127"/>
      <c r="EB7" s="131"/>
      <c r="EC7" s="105">
        <v>1000</v>
      </c>
      <c r="ED7" s="131"/>
      <c r="EE7" s="131"/>
      <c r="EF7" s="131"/>
      <c r="EG7" s="131"/>
      <c r="EH7" s="131"/>
      <c r="EI7" s="132"/>
      <c r="EJ7" s="19">
        <v>24</v>
      </c>
      <c r="EK7" s="12">
        <v>24</v>
      </c>
      <c r="EL7" s="150">
        <f t="shared" si="2"/>
        <v>24</v>
      </c>
      <c r="EM7" s="151">
        <f t="shared" si="3"/>
        <v>1</v>
      </c>
      <c r="EN7" s="152">
        <f t="shared" si="4"/>
        <v>24</v>
      </c>
      <c r="EO7" s="127"/>
      <c r="EP7" s="127"/>
      <c r="EQ7" s="128"/>
      <c r="ER7" s="70">
        <f t="shared" si="5"/>
        <v>954.25</v>
      </c>
      <c r="ES7" s="21">
        <f t="shared" si="6"/>
        <v>954.25</v>
      </c>
      <c r="ET7" s="10" t="str">
        <f>IF(ISERROR(#REF!/#REF!)," ",#REF!/#REF!)</f>
        <v xml:space="preserve"> </v>
      </c>
      <c r="EU7" s="10"/>
      <c r="EV7" s="69" t="str">
        <f>IF(ISERROR(#REF!/#REF!)," ",#REF!/#REF!)</f>
        <v xml:space="preserve"> </v>
      </c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</row>
    <row r="8" spans="1:176" s="74" customFormat="1" x14ac:dyDescent="0.2">
      <c r="A8" s="18" t="e">
        <f>Lentilles!#REF!</f>
        <v>#REF!</v>
      </c>
      <c r="B8" s="20" t="e">
        <f>Lentilles!#REF!</f>
        <v>#REF!</v>
      </c>
      <c r="C8" s="139">
        <v>3</v>
      </c>
      <c r="D8" s="108">
        <f>5+3+5</f>
        <v>13</v>
      </c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7"/>
      <c r="U8" s="127">
        <f>5580+3300+5650</f>
        <v>14530</v>
      </c>
      <c r="V8" s="127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7"/>
      <c r="AR8" s="105">
        <f>1+1</f>
        <v>2</v>
      </c>
      <c r="AS8" s="105">
        <f>3+5+7</f>
        <v>15</v>
      </c>
      <c r="AT8" s="105"/>
      <c r="AU8" s="105">
        <v>1</v>
      </c>
      <c r="AV8" s="105"/>
      <c r="AW8" s="105"/>
      <c r="AX8" s="105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7"/>
      <c r="BZ8" s="140"/>
      <c r="CA8" s="106"/>
      <c r="CB8" s="106"/>
      <c r="CC8" s="106"/>
      <c r="CD8" s="106"/>
      <c r="CE8" s="107"/>
      <c r="CF8" s="80">
        <f t="shared" si="0"/>
        <v>21600</v>
      </c>
      <c r="CG8" s="127">
        <f>6000+7200+8400</f>
        <v>21600</v>
      </c>
      <c r="CH8" s="106"/>
      <c r="CI8" s="106"/>
      <c r="CJ8" s="106"/>
      <c r="CK8" s="106"/>
      <c r="CL8" s="106"/>
      <c r="CM8" s="106"/>
      <c r="CN8" s="156">
        <f t="shared" si="1"/>
        <v>21600</v>
      </c>
      <c r="CO8" s="127">
        <f>1200+1200</f>
        <v>2400</v>
      </c>
      <c r="CP8" s="127">
        <f>3600+6000+8400</f>
        <v>18000</v>
      </c>
      <c r="CQ8" s="149"/>
      <c r="CR8" s="149">
        <v>1200</v>
      </c>
      <c r="CS8" s="114"/>
      <c r="CT8" s="106"/>
      <c r="CU8" s="127"/>
      <c r="CV8" s="127"/>
      <c r="CW8" s="127"/>
      <c r="CX8" s="106"/>
      <c r="CY8" s="106"/>
      <c r="CZ8" s="106"/>
      <c r="DA8" s="106"/>
      <c r="DB8" s="106"/>
      <c r="DC8" s="106"/>
      <c r="DD8" s="127"/>
      <c r="DE8" s="106"/>
      <c r="DF8" s="106"/>
      <c r="DG8" s="106"/>
      <c r="DH8" s="106"/>
      <c r="DI8" s="106"/>
      <c r="DJ8" s="106"/>
      <c r="DK8" s="106"/>
      <c r="DL8" s="106"/>
      <c r="DM8" s="106"/>
      <c r="DN8" s="107"/>
      <c r="DO8" s="127"/>
      <c r="DP8" s="127"/>
      <c r="DQ8" s="127">
        <f>50+120</f>
        <v>170</v>
      </c>
      <c r="DR8" s="106"/>
      <c r="DS8" s="106"/>
      <c r="DT8" s="107"/>
      <c r="DU8" s="130"/>
      <c r="DV8" s="127">
        <v>52</v>
      </c>
      <c r="DW8" s="127"/>
      <c r="DX8" s="106"/>
      <c r="DY8" s="106"/>
      <c r="DZ8" s="127"/>
      <c r="EA8" s="127"/>
      <c r="EB8" s="106"/>
      <c r="EC8" s="106"/>
      <c r="ED8" s="106"/>
      <c r="EE8" s="106"/>
      <c r="EF8" s="106"/>
      <c r="EG8" s="106"/>
      <c r="EH8" s="106"/>
      <c r="EI8" s="107"/>
      <c r="EJ8" s="19">
        <v>24</v>
      </c>
      <c r="EK8" s="12">
        <v>24</v>
      </c>
      <c r="EL8" s="150">
        <f t="shared" si="2"/>
        <v>24</v>
      </c>
      <c r="EM8" s="151">
        <f t="shared" si="3"/>
        <v>1</v>
      </c>
      <c r="EN8" s="152">
        <f t="shared" si="4"/>
        <v>24</v>
      </c>
      <c r="EO8" s="127"/>
      <c r="EP8" s="127"/>
      <c r="EQ8" s="128"/>
      <c r="ER8" s="70">
        <f t="shared" si="5"/>
        <v>900</v>
      </c>
      <c r="ES8" s="21">
        <f t="shared" si="6"/>
        <v>900</v>
      </c>
      <c r="ET8" s="10" t="str">
        <f>IF(ISERROR(#REF!/#REF!)," ",#REF!/#REF!)</f>
        <v xml:space="preserve"> </v>
      </c>
      <c r="EU8" s="10"/>
      <c r="EV8" s="69" t="str">
        <f>IF(ISERROR(#REF!/#REF!)," ",#REF!/#REF!)</f>
        <v xml:space="preserve"> </v>
      </c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</row>
    <row r="9" spans="1:176" s="74" customFormat="1" x14ac:dyDescent="0.2">
      <c r="A9" s="18" t="e">
        <f>Lentilles!#REF!</f>
        <v>#REF!</v>
      </c>
      <c r="B9" s="20" t="e">
        <f>Lentilles!#REF!</f>
        <v>#REF!</v>
      </c>
      <c r="C9" s="139">
        <v>3</v>
      </c>
      <c r="D9" s="108">
        <v>4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5"/>
      <c r="U9" s="127">
        <f>4470+13210+7910</f>
        <v>25590</v>
      </c>
      <c r="V9" s="127"/>
      <c r="W9" s="127"/>
      <c r="X9" s="127"/>
      <c r="Y9" s="127"/>
      <c r="Z9" s="127"/>
      <c r="AA9" s="127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5"/>
      <c r="AR9" s="105">
        <f>4+2+7</f>
        <v>13</v>
      </c>
      <c r="AS9" s="105"/>
      <c r="AT9" s="105"/>
      <c r="AU9" s="105"/>
      <c r="AV9" s="113"/>
      <c r="AW9" s="105"/>
      <c r="AX9" s="105"/>
      <c r="AY9" s="106"/>
      <c r="AZ9" s="106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5"/>
      <c r="BZ9" s="142"/>
      <c r="CA9" s="106"/>
      <c r="CB9" s="127"/>
      <c r="CC9" s="127"/>
      <c r="CD9" s="127"/>
      <c r="CE9" s="129"/>
      <c r="CF9" s="80">
        <f t="shared" si="0"/>
        <v>15406</v>
      </c>
      <c r="CG9" s="127">
        <f>4800+2401+8205</f>
        <v>15406</v>
      </c>
      <c r="CH9" s="127"/>
      <c r="CI9" s="127"/>
      <c r="CJ9" s="127"/>
      <c r="CK9" s="127"/>
      <c r="CL9" s="127"/>
      <c r="CM9" s="127"/>
      <c r="CN9" s="156">
        <f t="shared" si="1"/>
        <v>15406</v>
      </c>
      <c r="CO9" s="127">
        <f>4800+2401+8205</f>
        <v>15406</v>
      </c>
      <c r="CP9" s="127"/>
      <c r="CQ9" s="127"/>
      <c r="CR9" s="127"/>
      <c r="CS9" s="127"/>
      <c r="CT9" s="127"/>
      <c r="CU9" s="127"/>
      <c r="CV9" s="127"/>
      <c r="CW9" s="127"/>
      <c r="CX9" s="127"/>
      <c r="CY9" s="127"/>
      <c r="CZ9" s="127"/>
      <c r="DA9" s="127"/>
      <c r="DB9" s="127"/>
      <c r="DC9" s="127"/>
      <c r="DD9" s="133"/>
      <c r="DE9" s="127"/>
      <c r="DF9" s="127"/>
      <c r="DG9" s="127"/>
      <c r="DH9" s="127"/>
      <c r="DI9" s="127"/>
      <c r="DJ9" s="127"/>
      <c r="DK9" s="127"/>
      <c r="DL9" s="127"/>
      <c r="DM9" s="127"/>
      <c r="DN9" s="129"/>
      <c r="DO9" s="127"/>
      <c r="DP9" s="127"/>
      <c r="DQ9" s="127"/>
      <c r="DR9" s="127"/>
      <c r="DS9" s="127"/>
      <c r="DT9" s="129"/>
      <c r="DU9" s="130"/>
      <c r="DV9" s="127">
        <v>26</v>
      </c>
      <c r="DW9" s="127"/>
      <c r="DX9" s="127"/>
      <c r="DY9" s="127"/>
      <c r="DZ9" s="127"/>
      <c r="EA9" s="127"/>
      <c r="EB9" s="127"/>
      <c r="EC9" s="127"/>
      <c r="ED9" s="127"/>
      <c r="EE9" s="127"/>
      <c r="EF9" s="127"/>
      <c r="EG9" s="127"/>
      <c r="EH9" s="127"/>
      <c r="EI9" s="129"/>
      <c r="EJ9" s="19">
        <v>24</v>
      </c>
      <c r="EK9" s="12">
        <v>17</v>
      </c>
      <c r="EL9" s="150">
        <f t="shared" si="2"/>
        <v>17</v>
      </c>
      <c r="EM9" s="151">
        <f t="shared" si="3"/>
        <v>0.70833333333333337</v>
      </c>
      <c r="EN9" s="152">
        <f t="shared" si="4"/>
        <v>17</v>
      </c>
      <c r="EO9" s="127"/>
      <c r="EP9" s="127"/>
      <c r="EQ9" s="128"/>
      <c r="ER9" s="70">
        <f t="shared" si="5"/>
        <v>906.23529411764707</v>
      </c>
      <c r="ES9" s="21">
        <f t="shared" si="6"/>
        <v>906.23529411764707</v>
      </c>
      <c r="ET9" s="10" t="str">
        <f>IF(ISERROR(#REF!/#REF!)," ",#REF!/#REF!)</f>
        <v xml:space="preserve"> </v>
      </c>
      <c r="EU9" s="10"/>
      <c r="EV9" s="69" t="str">
        <f>IF(ISERROR(#REF!/#REF!)," ",#REF!/#REF!)</f>
        <v xml:space="preserve"> </v>
      </c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</row>
    <row r="10" spans="1:176" s="74" customFormat="1" x14ac:dyDescent="0.2">
      <c r="A10" s="18" t="e">
        <f>Lentilles!#REF!</f>
        <v>#REF!</v>
      </c>
      <c r="B10" s="20" t="e">
        <f>Lentilles!#REF!</f>
        <v>#REF!</v>
      </c>
      <c r="C10" s="139">
        <v>3</v>
      </c>
      <c r="D10" s="108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13"/>
      <c r="T10" s="135"/>
      <c r="U10" s="127">
        <f>8900+7910+9050</f>
        <v>25860</v>
      </c>
      <c r="V10" s="127"/>
      <c r="W10" s="127"/>
      <c r="X10" s="127"/>
      <c r="Y10" s="127"/>
      <c r="Z10" s="127"/>
      <c r="AA10" s="127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5"/>
      <c r="AR10" s="105"/>
      <c r="AS10" s="105"/>
      <c r="AT10" s="105">
        <f>8+10+10</f>
        <v>28</v>
      </c>
      <c r="AU10" s="105"/>
      <c r="AV10" s="113"/>
      <c r="AW10" s="105"/>
      <c r="AX10" s="105"/>
      <c r="AY10" s="106"/>
      <c r="AZ10" s="106"/>
      <c r="BA10" s="114"/>
      <c r="BB10" s="134"/>
      <c r="BC10" s="113"/>
      <c r="BD10" s="113"/>
      <c r="BE10" s="134"/>
      <c r="BF10" s="134"/>
      <c r="BG10" s="113"/>
      <c r="BH10" s="134"/>
      <c r="BI10" s="134"/>
      <c r="BJ10" s="134"/>
      <c r="BK10" s="134"/>
      <c r="BL10" s="134"/>
      <c r="BM10" s="134"/>
      <c r="BN10" s="134"/>
      <c r="BO10" s="134"/>
      <c r="BP10" s="134"/>
      <c r="BQ10" s="134"/>
      <c r="BR10" s="134"/>
      <c r="BS10" s="134"/>
      <c r="BT10" s="134"/>
      <c r="BU10" s="134"/>
      <c r="BV10" s="134"/>
      <c r="BW10" s="113"/>
      <c r="BX10" s="134"/>
      <c r="BY10" s="116"/>
      <c r="BZ10" s="143">
        <v>1</v>
      </c>
      <c r="CA10" s="106"/>
      <c r="CB10" s="127"/>
      <c r="CC10" s="127"/>
      <c r="CD10" s="127"/>
      <c r="CE10" s="129"/>
      <c r="CF10" s="80">
        <f t="shared" si="0"/>
        <v>27326</v>
      </c>
      <c r="CG10" s="127">
        <f>8006+9310+10010</f>
        <v>27326</v>
      </c>
      <c r="CH10" s="127"/>
      <c r="CI10" s="127"/>
      <c r="CJ10" s="127"/>
      <c r="CK10" s="127"/>
      <c r="CL10" s="127"/>
      <c r="CM10" s="127"/>
      <c r="CN10" s="156">
        <f t="shared" si="1"/>
        <v>27326</v>
      </c>
      <c r="CO10" s="127"/>
      <c r="CP10" s="127"/>
      <c r="CQ10" s="127">
        <f>8006+9310+10010</f>
        <v>27326</v>
      </c>
      <c r="CR10" s="127"/>
      <c r="CS10" s="127"/>
      <c r="CT10" s="127"/>
      <c r="CU10" s="127"/>
      <c r="CV10" s="127"/>
      <c r="CW10" s="127"/>
      <c r="CX10" s="127"/>
      <c r="CY10" s="127"/>
      <c r="CZ10" s="127"/>
      <c r="DA10" s="127"/>
      <c r="DB10" s="127"/>
      <c r="DC10" s="127"/>
      <c r="DD10" s="127"/>
      <c r="DE10" s="127"/>
      <c r="DF10" s="127"/>
      <c r="DG10" s="127"/>
      <c r="DH10" s="127"/>
      <c r="DI10" s="127"/>
      <c r="DJ10" s="127"/>
      <c r="DK10" s="127"/>
      <c r="DL10" s="127"/>
      <c r="DM10" s="127"/>
      <c r="DN10" s="129"/>
      <c r="DO10" s="127">
        <v>613</v>
      </c>
      <c r="DP10" s="127"/>
      <c r="DQ10" s="127">
        <v>60</v>
      </c>
      <c r="DR10" s="127"/>
      <c r="DS10" s="127"/>
      <c r="DT10" s="129"/>
      <c r="DU10" s="130"/>
      <c r="DV10" s="127">
        <v>52</v>
      </c>
      <c r="DW10" s="127"/>
      <c r="DX10" s="127"/>
      <c r="DY10" s="127"/>
      <c r="DZ10" s="127"/>
      <c r="EA10" s="127"/>
      <c r="EB10" s="127"/>
      <c r="EC10" s="127"/>
      <c r="ED10" s="127"/>
      <c r="EE10" s="127"/>
      <c r="EF10" s="127"/>
      <c r="EG10" s="127"/>
      <c r="EH10" s="127"/>
      <c r="EI10" s="129"/>
      <c r="EJ10" s="19">
        <v>24</v>
      </c>
      <c r="EK10" s="12">
        <v>24</v>
      </c>
      <c r="EL10" s="150">
        <f t="shared" si="2"/>
        <v>24</v>
      </c>
      <c r="EM10" s="151">
        <f t="shared" si="3"/>
        <v>1</v>
      </c>
      <c r="EN10" s="152">
        <f t="shared" si="4"/>
        <v>24</v>
      </c>
      <c r="EO10" s="127"/>
      <c r="EP10" s="127"/>
      <c r="EQ10" s="128"/>
      <c r="ER10" s="70">
        <f t="shared" si="5"/>
        <v>1138.5833333333333</v>
      </c>
      <c r="ES10" s="21">
        <f t="shared" si="6"/>
        <v>1138.5833333333333</v>
      </c>
      <c r="ET10" s="10" t="str">
        <f>IF(ISERROR(#REF!/#REF!)," ",#REF!/#REF!)</f>
        <v xml:space="preserve"> </v>
      </c>
      <c r="EU10" s="10"/>
      <c r="EV10" s="69" t="str">
        <f>IF(ISERROR(#REF!/#REF!)," ",#REF!/#REF!)</f>
        <v xml:space="preserve"> </v>
      </c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</row>
    <row r="11" spans="1:176" s="74" customFormat="1" x14ac:dyDescent="0.2">
      <c r="A11" s="18" t="e">
        <f>Lentilles!#REF!</f>
        <v>#REF!</v>
      </c>
      <c r="B11" s="20" t="e">
        <f>Lentilles!#REF!</f>
        <v>#REF!</v>
      </c>
      <c r="C11" s="139">
        <v>3</v>
      </c>
      <c r="D11" s="108">
        <f>7+7+1</f>
        <v>15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5"/>
      <c r="U11" s="127">
        <f>7770+7710+1110+1300+9950</f>
        <v>27840</v>
      </c>
      <c r="V11" s="127"/>
      <c r="W11" s="127"/>
      <c r="X11" s="127"/>
      <c r="Y11" s="127"/>
      <c r="Z11" s="127"/>
      <c r="AA11" s="127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5"/>
      <c r="AR11" s="105"/>
      <c r="AS11" s="105"/>
      <c r="AT11" s="105">
        <f>11+10+9</f>
        <v>30</v>
      </c>
      <c r="AU11" s="105">
        <v>1</v>
      </c>
      <c r="AV11" s="113"/>
      <c r="AW11" s="105"/>
      <c r="AX11" s="105"/>
      <c r="AY11" s="106"/>
      <c r="AZ11" s="106"/>
      <c r="BA11" s="113"/>
      <c r="BB11" s="134"/>
      <c r="BC11" s="134"/>
      <c r="BD11" s="134"/>
      <c r="BE11" s="134"/>
      <c r="BF11" s="113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5"/>
      <c r="BZ11" s="143"/>
      <c r="CA11" s="106"/>
      <c r="CB11" s="127"/>
      <c r="CC11" s="127"/>
      <c r="CD11" s="127"/>
      <c r="CE11" s="129"/>
      <c r="CF11" s="80">
        <f t="shared" si="0"/>
        <v>28426</v>
      </c>
      <c r="CG11" s="127">
        <f>9609+10009+8808</f>
        <v>28426</v>
      </c>
      <c r="CH11" s="127"/>
      <c r="CI11" s="127"/>
      <c r="CJ11" s="127"/>
      <c r="CK11" s="127"/>
      <c r="CL11" s="127"/>
      <c r="CM11" s="127"/>
      <c r="CN11" s="156">
        <f t="shared" si="1"/>
        <v>28426</v>
      </c>
      <c r="CO11" s="127"/>
      <c r="CP11" s="127"/>
      <c r="CQ11" s="127">
        <f>9609+10009+8407</f>
        <v>28025</v>
      </c>
      <c r="CR11" s="127">
        <v>401</v>
      </c>
      <c r="CS11" s="127"/>
      <c r="CT11" s="127"/>
      <c r="CU11" s="127"/>
      <c r="CV11" s="127"/>
      <c r="CW11" s="127"/>
      <c r="CX11" s="127"/>
      <c r="CY11" s="127"/>
      <c r="CZ11" s="127"/>
      <c r="DA11" s="127"/>
      <c r="DB11" s="127"/>
      <c r="DC11" s="127"/>
      <c r="DD11" s="127"/>
      <c r="DE11" s="127"/>
      <c r="DF11" s="127"/>
      <c r="DG11" s="127"/>
      <c r="DH11" s="127"/>
      <c r="DI11" s="127"/>
      <c r="DJ11" s="127"/>
      <c r="DK11" s="127"/>
      <c r="DL11" s="127"/>
      <c r="DM11" s="127"/>
      <c r="DN11" s="129"/>
      <c r="DO11" s="127"/>
      <c r="DP11" s="127"/>
      <c r="DQ11" s="127">
        <f>30+60+150</f>
        <v>240</v>
      </c>
      <c r="DR11" s="127"/>
      <c r="DS11" s="127"/>
      <c r="DT11" s="129"/>
      <c r="DU11" s="130">
        <v>1250</v>
      </c>
      <c r="DV11" s="127">
        <v>65</v>
      </c>
      <c r="DW11" s="127"/>
      <c r="DX11" s="127"/>
      <c r="DY11" s="127"/>
      <c r="DZ11" s="127"/>
      <c r="EA11" s="127"/>
      <c r="EB11" s="127"/>
      <c r="EC11" s="127"/>
      <c r="ED11" s="127"/>
      <c r="EE11" s="127"/>
      <c r="EF11" s="127"/>
      <c r="EG11" s="127"/>
      <c r="EH11" s="127"/>
      <c r="EI11" s="129"/>
      <c r="EJ11" s="19">
        <v>24</v>
      </c>
      <c r="EK11" s="12">
        <v>24</v>
      </c>
      <c r="EL11" s="150">
        <f t="shared" si="2"/>
        <v>24</v>
      </c>
      <c r="EM11" s="151">
        <f t="shared" si="3"/>
        <v>1</v>
      </c>
      <c r="EN11" s="152">
        <f t="shared" si="4"/>
        <v>24</v>
      </c>
      <c r="EO11" s="127"/>
      <c r="EP11" s="127"/>
      <c r="EQ11" s="128"/>
      <c r="ER11" s="70">
        <f t="shared" si="5"/>
        <v>1184.4166666666667</v>
      </c>
      <c r="ES11" s="21">
        <f t="shared" si="6"/>
        <v>1184.4166666666667</v>
      </c>
      <c r="ET11" s="10" t="str">
        <f>IF(ISERROR(#REF!/#REF!)," ",#REF!/#REF!)</f>
        <v xml:space="preserve"> </v>
      </c>
      <c r="EU11" s="10"/>
      <c r="EV11" s="69" t="str">
        <f>IF(ISERROR(#REF!/#REF!)," ",#REF!/#REF!)</f>
        <v xml:space="preserve"> </v>
      </c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  <c r="FI11" s="83"/>
      <c r="FJ11" s="83"/>
      <c r="FK11" s="83"/>
      <c r="FL11" s="83"/>
      <c r="FM11" s="83"/>
      <c r="FN11" s="83"/>
      <c r="FO11" s="83"/>
      <c r="FP11" s="83"/>
      <c r="FQ11" s="83"/>
      <c r="FR11" s="83"/>
      <c r="FS11" s="83"/>
      <c r="FT11" s="83"/>
    </row>
    <row r="12" spans="1:176" s="74" customFormat="1" x14ac:dyDescent="0.2">
      <c r="A12" s="18" t="e">
        <f>Lentilles!#REF!</f>
        <v>#REF!</v>
      </c>
      <c r="B12" s="20" t="e">
        <f>Lentilles!#REF!</f>
        <v>#REF!</v>
      </c>
      <c r="C12" s="139">
        <v>3</v>
      </c>
      <c r="D12" s="108"/>
      <c r="E12" s="134"/>
      <c r="F12" s="134"/>
      <c r="G12" s="134"/>
      <c r="H12" s="134"/>
      <c r="I12" s="134"/>
      <c r="J12" s="134"/>
      <c r="K12" s="134"/>
      <c r="L12" s="134"/>
      <c r="M12" s="134"/>
      <c r="N12" s="113"/>
      <c r="O12" s="134"/>
      <c r="P12" s="134"/>
      <c r="Q12" s="134"/>
      <c r="R12" s="134"/>
      <c r="S12" s="134"/>
      <c r="T12" s="135"/>
      <c r="U12" s="127">
        <f>9730+9280+8810</f>
        <v>27820</v>
      </c>
      <c r="V12" s="127"/>
      <c r="W12" s="127"/>
      <c r="X12" s="127"/>
      <c r="Y12" s="127"/>
      <c r="Z12" s="127"/>
      <c r="AA12" s="127"/>
      <c r="AB12" s="134"/>
      <c r="AC12" s="113"/>
      <c r="AD12" s="134"/>
      <c r="AE12" s="113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5"/>
      <c r="AR12" s="105">
        <f>1+6</f>
        <v>7</v>
      </c>
      <c r="AS12" s="105">
        <f>7+1</f>
        <v>8</v>
      </c>
      <c r="AT12" s="105">
        <v>9</v>
      </c>
      <c r="AU12" s="105"/>
      <c r="AV12" s="113"/>
      <c r="AW12" s="105"/>
      <c r="AX12" s="105"/>
      <c r="AY12" s="106"/>
      <c r="AZ12" s="106"/>
      <c r="BA12" s="113"/>
      <c r="BB12" s="134"/>
      <c r="BC12" s="134"/>
      <c r="BD12" s="134"/>
      <c r="BE12" s="134"/>
      <c r="BF12" s="113"/>
      <c r="BG12" s="134"/>
      <c r="BH12" s="134"/>
      <c r="BI12" s="134"/>
      <c r="BJ12" s="134"/>
      <c r="BK12" s="134"/>
      <c r="BL12" s="134"/>
      <c r="BM12" s="134"/>
      <c r="BN12" s="134"/>
      <c r="BO12" s="134"/>
      <c r="BP12" s="134"/>
      <c r="BQ12" s="134"/>
      <c r="BR12" s="134"/>
      <c r="BS12" s="134"/>
      <c r="BT12" s="134"/>
      <c r="BU12" s="134"/>
      <c r="BV12" s="134"/>
      <c r="BW12" s="134"/>
      <c r="BX12" s="134"/>
      <c r="BY12" s="135"/>
      <c r="BZ12" s="143">
        <v>1</v>
      </c>
      <c r="CA12" s="106"/>
      <c r="CB12" s="127"/>
      <c r="CC12" s="127"/>
      <c r="CD12" s="127"/>
      <c r="CE12" s="129"/>
      <c r="CF12" s="80">
        <f t="shared" si="0"/>
        <v>26321</v>
      </c>
      <c r="CG12" s="127">
        <f>8309+9605+8407</f>
        <v>26321</v>
      </c>
      <c r="CH12" s="127"/>
      <c r="CI12" s="127"/>
      <c r="CJ12" s="127"/>
      <c r="CK12" s="127"/>
      <c r="CL12" s="127"/>
      <c r="CM12" s="127"/>
      <c r="CN12" s="156">
        <f t="shared" si="1"/>
        <v>26321</v>
      </c>
      <c r="CO12" s="127">
        <f>1200+7207</f>
        <v>8407</v>
      </c>
      <c r="CP12" s="127">
        <f>8405+1200</f>
        <v>9605</v>
      </c>
      <c r="CQ12" s="127">
        <v>8309</v>
      </c>
      <c r="CR12" s="127"/>
      <c r="CS12" s="127"/>
      <c r="CT12" s="127"/>
      <c r="CU12" s="127"/>
      <c r="CV12" s="127"/>
      <c r="CW12" s="127"/>
      <c r="CX12" s="127"/>
      <c r="CY12" s="127"/>
      <c r="CZ12" s="127"/>
      <c r="DA12" s="127"/>
      <c r="DB12" s="127"/>
      <c r="DC12" s="127"/>
      <c r="DD12" s="127"/>
      <c r="DE12" s="127"/>
      <c r="DF12" s="127"/>
      <c r="DG12" s="127"/>
      <c r="DH12" s="127"/>
      <c r="DI12" s="127"/>
      <c r="DJ12" s="127"/>
      <c r="DK12" s="127"/>
      <c r="DL12" s="127"/>
      <c r="DM12" s="127"/>
      <c r="DN12" s="129"/>
      <c r="DO12" s="127">
        <v>660</v>
      </c>
      <c r="DP12" s="127"/>
      <c r="DQ12" s="127">
        <v>120</v>
      </c>
      <c r="DR12" s="127"/>
      <c r="DS12" s="127"/>
      <c r="DT12" s="129"/>
      <c r="DU12" s="130"/>
      <c r="DV12" s="127">
        <v>39</v>
      </c>
      <c r="DW12" s="127"/>
      <c r="DX12" s="127"/>
      <c r="DY12" s="127"/>
      <c r="DZ12" s="127"/>
      <c r="EA12" s="127"/>
      <c r="EB12" s="127"/>
      <c r="EC12" s="127"/>
      <c r="ED12" s="127"/>
      <c r="EE12" s="127"/>
      <c r="EF12" s="127"/>
      <c r="EG12" s="127"/>
      <c r="EH12" s="127"/>
      <c r="EI12" s="129"/>
      <c r="EJ12" s="19">
        <v>24</v>
      </c>
      <c r="EK12" s="12">
        <v>24</v>
      </c>
      <c r="EL12" s="150">
        <f t="shared" si="2"/>
        <v>24</v>
      </c>
      <c r="EM12" s="151">
        <f t="shared" si="3"/>
        <v>1</v>
      </c>
      <c r="EN12" s="152">
        <f t="shared" si="4"/>
        <v>24</v>
      </c>
      <c r="EO12" s="127"/>
      <c r="EP12" s="127"/>
      <c r="EQ12" s="128"/>
      <c r="ER12" s="70">
        <f t="shared" si="5"/>
        <v>1096.7083333333333</v>
      </c>
      <c r="ES12" s="21">
        <f t="shared" si="6"/>
        <v>1096.7083333333333</v>
      </c>
      <c r="ET12" s="10" t="str">
        <f>IF(ISERROR(#REF!/#REF!)," ",#REF!/#REF!)</f>
        <v xml:space="preserve"> </v>
      </c>
      <c r="EU12" s="10"/>
      <c r="EV12" s="69" t="str">
        <f>IF(ISERROR(#REF!/#REF!)," ",#REF!/#REF!)</f>
        <v xml:space="preserve"> </v>
      </c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</row>
    <row r="13" spans="1:176" s="74" customFormat="1" x14ac:dyDescent="0.2">
      <c r="A13" s="18" t="e">
        <f>Lentilles!#REF!</f>
        <v>#REF!</v>
      </c>
      <c r="B13" s="20" t="e">
        <f>Lentilles!#REF!</f>
        <v>#REF!</v>
      </c>
      <c r="C13" s="139">
        <v>3</v>
      </c>
      <c r="D13" s="108">
        <f>2</f>
        <v>2</v>
      </c>
      <c r="E13" s="113"/>
      <c r="F13" s="113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5"/>
      <c r="U13" s="127">
        <f>2030+8110+8390+8110</f>
        <v>26640</v>
      </c>
      <c r="V13" s="127"/>
      <c r="W13" s="127"/>
      <c r="X13" s="127"/>
      <c r="Y13" s="127"/>
      <c r="Z13" s="127"/>
      <c r="AA13" s="127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5"/>
      <c r="AR13" s="105">
        <v>1</v>
      </c>
      <c r="AS13" s="105"/>
      <c r="AT13" s="105">
        <f>6+10+11</f>
        <v>27</v>
      </c>
      <c r="AU13" s="105"/>
      <c r="AV13" s="113"/>
      <c r="AW13" s="105"/>
      <c r="AX13" s="105"/>
      <c r="AY13" s="106"/>
      <c r="AZ13" s="106"/>
      <c r="BA13" s="114"/>
      <c r="BB13" s="134"/>
      <c r="BC13" s="114"/>
      <c r="BD13" s="114"/>
      <c r="BE13" s="114"/>
      <c r="BF13" s="113"/>
      <c r="BG13" s="113"/>
      <c r="BH13" s="114"/>
      <c r="BI13" s="113"/>
      <c r="BJ13" s="113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6"/>
      <c r="BZ13" s="143"/>
      <c r="CA13" s="106"/>
      <c r="CB13" s="127"/>
      <c r="CC13" s="127"/>
      <c r="CD13" s="127"/>
      <c r="CE13" s="129"/>
      <c r="CF13" s="80">
        <f t="shared" si="0"/>
        <v>27500</v>
      </c>
      <c r="CG13" s="127">
        <f>7181+10010+10309</f>
        <v>27500</v>
      </c>
      <c r="CH13" s="127"/>
      <c r="CI13" s="127"/>
      <c r="CJ13" s="127"/>
      <c r="CK13" s="127"/>
      <c r="CL13" s="127"/>
      <c r="CM13" s="127"/>
      <c r="CN13" s="156">
        <f t="shared" si="1"/>
        <v>27500</v>
      </c>
      <c r="CO13" s="127">
        <v>1200</v>
      </c>
      <c r="CP13" s="127"/>
      <c r="CQ13" s="127">
        <f>5981+10010+10309</f>
        <v>26300</v>
      </c>
      <c r="CR13" s="127"/>
      <c r="CS13" s="127"/>
      <c r="CT13" s="127"/>
      <c r="CU13" s="127"/>
      <c r="CV13" s="127"/>
      <c r="CW13" s="127"/>
      <c r="CX13" s="127"/>
      <c r="CY13" s="127"/>
      <c r="CZ13" s="127"/>
      <c r="DA13" s="127"/>
      <c r="DB13" s="127"/>
      <c r="DC13" s="127"/>
      <c r="DD13" s="127"/>
      <c r="DE13" s="127"/>
      <c r="DF13" s="127"/>
      <c r="DG13" s="127"/>
      <c r="DH13" s="127"/>
      <c r="DI13" s="127"/>
      <c r="DJ13" s="127"/>
      <c r="DK13" s="127"/>
      <c r="DL13" s="127"/>
      <c r="DM13" s="127"/>
      <c r="DN13" s="129"/>
      <c r="DO13" s="127"/>
      <c r="DP13" s="127"/>
      <c r="DQ13" s="127">
        <f>220+130</f>
        <v>350</v>
      </c>
      <c r="DR13" s="127"/>
      <c r="DS13" s="127"/>
      <c r="DT13" s="129"/>
      <c r="DU13" s="130"/>
      <c r="DV13" s="127">
        <v>39</v>
      </c>
      <c r="DW13" s="127"/>
      <c r="DX13" s="127"/>
      <c r="DY13" s="127"/>
      <c r="DZ13" s="127"/>
      <c r="EA13" s="127"/>
      <c r="EB13" s="127"/>
      <c r="EC13" s="127"/>
      <c r="ED13" s="127"/>
      <c r="EE13" s="127"/>
      <c r="EF13" s="127"/>
      <c r="EG13" s="127"/>
      <c r="EH13" s="127"/>
      <c r="EI13" s="129"/>
      <c r="EJ13" s="19">
        <v>24</v>
      </c>
      <c r="EK13" s="12">
        <v>24</v>
      </c>
      <c r="EL13" s="150">
        <f t="shared" si="2"/>
        <v>24</v>
      </c>
      <c r="EM13" s="151">
        <f t="shared" si="3"/>
        <v>1</v>
      </c>
      <c r="EN13" s="152">
        <f t="shared" si="4"/>
        <v>24</v>
      </c>
      <c r="EO13" s="127"/>
      <c r="EP13" s="127"/>
      <c r="EQ13" s="128"/>
      <c r="ER13" s="70">
        <f t="shared" si="5"/>
        <v>1145.8333333333333</v>
      </c>
      <c r="ES13" s="21">
        <f t="shared" si="6"/>
        <v>1145.8333333333333</v>
      </c>
      <c r="ET13" s="10" t="str">
        <f>IF(ISERROR(#REF!/#REF!)," ",#REF!/#REF!)</f>
        <v xml:space="preserve"> </v>
      </c>
      <c r="EU13" s="10"/>
      <c r="EV13" s="69" t="str">
        <f>IF(ISERROR(#REF!/#REF!)," ",#REF!/#REF!)</f>
        <v xml:space="preserve"> </v>
      </c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</row>
    <row r="14" spans="1:176" s="74" customFormat="1" x14ac:dyDescent="0.2">
      <c r="A14" s="18" t="e">
        <f>Lentilles!#REF!</f>
        <v>#REF!</v>
      </c>
      <c r="B14" s="20" t="e">
        <f>Lentilles!#REF!</f>
        <v>#REF!</v>
      </c>
      <c r="C14" s="139">
        <v>3</v>
      </c>
      <c r="D14" s="108">
        <f>5+7+10</f>
        <v>22</v>
      </c>
      <c r="E14" s="113"/>
      <c r="F14" s="113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5"/>
      <c r="U14" s="127">
        <f>5330+7610+10830</f>
        <v>23770</v>
      </c>
      <c r="V14" s="127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5"/>
      <c r="AR14" s="105"/>
      <c r="AS14" s="105"/>
      <c r="AT14" s="105">
        <f>10+10+10</f>
        <v>30</v>
      </c>
      <c r="AU14" s="105"/>
      <c r="AV14" s="113"/>
      <c r="AW14" s="105"/>
      <c r="AX14" s="105"/>
      <c r="AY14" s="106"/>
      <c r="AZ14" s="106"/>
      <c r="BA14" s="114"/>
      <c r="BB14" s="134"/>
      <c r="BC14" s="114"/>
      <c r="BD14" s="114"/>
      <c r="BE14" s="114"/>
      <c r="BF14" s="113"/>
      <c r="BG14" s="113"/>
      <c r="BH14" s="114"/>
      <c r="BI14" s="113"/>
      <c r="BJ14" s="113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6"/>
      <c r="BZ14" s="143">
        <v>1</v>
      </c>
      <c r="CA14" s="106"/>
      <c r="CB14" s="114"/>
      <c r="CC14" s="114"/>
      <c r="CD14" s="114"/>
      <c r="CE14" s="115"/>
      <c r="CF14" s="80">
        <f t="shared" si="0"/>
        <v>29335</v>
      </c>
      <c r="CG14" s="127">
        <f>10019+9310+10006</f>
        <v>29335</v>
      </c>
      <c r="CH14" s="114"/>
      <c r="CI14" s="114"/>
      <c r="CJ14" s="114"/>
      <c r="CK14" s="114"/>
      <c r="CL14" s="114"/>
      <c r="CM14" s="114"/>
      <c r="CN14" s="156">
        <f t="shared" si="1"/>
        <v>29335</v>
      </c>
      <c r="CO14" s="127"/>
      <c r="CP14" s="127"/>
      <c r="CQ14" s="127">
        <f>10019+9310+10006</f>
        <v>29335</v>
      </c>
      <c r="CR14" s="127"/>
      <c r="CS14" s="114"/>
      <c r="CT14" s="114"/>
      <c r="CU14" s="127"/>
      <c r="CV14" s="127"/>
      <c r="CW14" s="127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5"/>
      <c r="DO14" s="127">
        <v>575</v>
      </c>
      <c r="DP14" s="127"/>
      <c r="DQ14" s="127">
        <f>20+50+370</f>
        <v>440</v>
      </c>
      <c r="DR14" s="114"/>
      <c r="DS14" s="114"/>
      <c r="DT14" s="115"/>
      <c r="DU14" s="130"/>
      <c r="DV14" s="127">
        <v>78</v>
      </c>
      <c r="DW14" s="127"/>
      <c r="DX14" s="114"/>
      <c r="DY14" s="114"/>
      <c r="DZ14" s="127"/>
      <c r="EA14" s="127"/>
      <c r="EB14" s="114"/>
      <c r="EC14" s="114"/>
      <c r="ED14" s="114"/>
      <c r="EE14" s="114"/>
      <c r="EF14" s="106"/>
      <c r="EG14" s="106"/>
      <c r="EH14" s="106"/>
      <c r="EI14" s="107"/>
      <c r="EJ14" s="19">
        <v>24</v>
      </c>
      <c r="EK14" s="12">
        <v>24</v>
      </c>
      <c r="EL14" s="150">
        <f t="shared" si="2"/>
        <v>24</v>
      </c>
      <c r="EM14" s="151">
        <f t="shared" si="3"/>
        <v>1</v>
      </c>
      <c r="EN14" s="152">
        <f t="shared" si="4"/>
        <v>24</v>
      </c>
      <c r="EO14" s="127"/>
      <c r="EP14" s="127"/>
      <c r="EQ14" s="128"/>
      <c r="ER14" s="70">
        <f t="shared" si="5"/>
        <v>1222.2916666666667</v>
      </c>
      <c r="ES14" s="21">
        <f t="shared" si="6"/>
        <v>1222.2916666666667</v>
      </c>
      <c r="ET14" s="10" t="str">
        <f>IF(ISERROR(#REF!/#REF!)," ",#REF!/#REF!)</f>
        <v xml:space="preserve"> </v>
      </c>
      <c r="EU14" s="10"/>
      <c r="EV14" s="69" t="str">
        <f>IF(ISERROR(#REF!/#REF!)," ",#REF!/#REF!)</f>
        <v xml:space="preserve"> </v>
      </c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</row>
    <row r="15" spans="1:176" s="74" customFormat="1" x14ac:dyDescent="0.2">
      <c r="A15" s="18" t="e">
        <f>Lentilles!#REF!</f>
        <v>#REF!</v>
      </c>
      <c r="B15" s="20" t="e">
        <f>Lentilles!#REF!</f>
        <v>#REF!</v>
      </c>
      <c r="C15" s="139">
        <v>3</v>
      </c>
      <c r="D15" s="108">
        <f>9+5+5</f>
        <v>19</v>
      </c>
      <c r="E15" s="113"/>
      <c r="F15" s="113"/>
      <c r="G15" s="134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6"/>
      <c r="U15" s="127">
        <f>9930+5550+5740</f>
        <v>21220</v>
      </c>
      <c r="V15" s="127"/>
      <c r="W15" s="113"/>
      <c r="X15" s="134"/>
      <c r="Y15" s="134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6"/>
      <c r="AR15" s="105"/>
      <c r="AS15" s="105"/>
      <c r="AT15" s="105">
        <f>9+10+9</f>
        <v>28</v>
      </c>
      <c r="AU15" s="105"/>
      <c r="AV15" s="113"/>
      <c r="AW15" s="105"/>
      <c r="AX15" s="105"/>
      <c r="AY15" s="106"/>
      <c r="AZ15" s="106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34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6"/>
      <c r="BZ15" s="143"/>
      <c r="CA15" s="106"/>
      <c r="CB15" s="134"/>
      <c r="CC15" s="134"/>
      <c r="CD15" s="134"/>
      <c r="CE15" s="116"/>
      <c r="CF15" s="80">
        <f t="shared" si="0"/>
        <v>27328</v>
      </c>
      <c r="CG15" s="127">
        <f>9010+9309+9009</f>
        <v>27328</v>
      </c>
      <c r="CH15" s="113"/>
      <c r="CI15" s="134"/>
      <c r="CJ15" s="134"/>
      <c r="CK15" s="134"/>
      <c r="CL15" s="134"/>
      <c r="CM15" s="134"/>
      <c r="CN15" s="156">
        <f t="shared" si="1"/>
        <v>27328</v>
      </c>
      <c r="CO15" s="127"/>
      <c r="CP15" s="127"/>
      <c r="CQ15" s="127">
        <f>9010+9309+9009</f>
        <v>27328</v>
      </c>
      <c r="CR15" s="127"/>
      <c r="CS15" s="134"/>
      <c r="CT15" s="113"/>
      <c r="CU15" s="127"/>
      <c r="CV15" s="127"/>
      <c r="CW15" s="127"/>
      <c r="CX15" s="113"/>
      <c r="CY15" s="134"/>
      <c r="CZ15" s="113"/>
      <c r="DA15" s="113"/>
      <c r="DB15" s="113"/>
      <c r="DC15" s="113"/>
      <c r="DD15" s="113"/>
      <c r="DE15" s="134"/>
      <c r="DF15" s="134"/>
      <c r="DG15" s="134"/>
      <c r="DH15" s="134"/>
      <c r="DI15" s="134"/>
      <c r="DJ15" s="113"/>
      <c r="DK15" s="134"/>
      <c r="DL15" s="113"/>
      <c r="DM15" s="134"/>
      <c r="DN15" s="116"/>
      <c r="DO15" s="127"/>
      <c r="DP15" s="127"/>
      <c r="DQ15" s="127">
        <f>50+50</f>
        <v>100</v>
      </c>
      <c r="DR15" s="134"/>
      <c r="DS15" s="134"/>
      <c r="DT15" s="116"/>
      <c r="DU15" s="130"/>
      <c r="DV15" s="127">
        <v>39</v>
      </c>
      <c r="DW15" s="127"/>
      <c r="DX15" s="113"/>
      <c r="DY15" s="113"/>
      <c r="DZ15" s="127"/>
      <c r="EA15" s="127"/>
      <c r="EB15" s="113"/>
      <c r="EC15" s="134"/>
      <c r="ED15" s="134"/>
      <c r="EE15" s="134"/>
      <c r="EF15" s="131"/>
      <c r="EG15" s="105"/>
      <c r="EH15" s="131"/>
      <c r="EI15" s="112"/>
      <c r="EJ15" s="19">
        <v>24</v>
      </c>
      <c r="EK15" s="12">
        <v>24</v>
      </c>
      <c r="EL15" s="150">
        <f t="shared" si="2"/>
        <v>24</v>
      </c>
      <c r="EM15" s="151">
        <f t="shared" si="3"/>
        <v>1</v>
      </c>
      <c r="EN15" s="152">
        <f t="shared" si="4"/>
        <v>24</v>
      </c>
      <c r="EO15" s="127"/>
      <c r="EP15" s="127"/>
      <c r="EQ15" s="128"/>
      <c r="ER15" s="70">
        <f t="shared" si="5"/>
        <v>1138.6666666666667</v>
      </c>
      <c r="ES15" s="21">
        <f t="shared" si="6"/>
        <v>1138.6666666666667</v>
      </c>
      <c r="ET15" s="10" t="str">
        <f>IF(ISERROR(#REF!/#REF!)," ",#REF!/#REF!)</f>
        <v xml:space="preserve"> </v>
      </c>
      <c r="EU15" s="10"/>
      <c r="EV15" s="69" t="str">
        <f>IF(ISERROR(#REF!/#REF!)," ",#REF!/#REF!)</f>
        <v xml:space="preserve"> </v>
      </c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</row>
    <row r="16" spans="1:176" s="74" customFormat="1" x14ac:dyDescent="0.2">
      <c r="A16" s="18" t="e">
        <f>Lentilles!#REF!</f>
        <v>#REF!</v>
      </c>
      <c r="B16" s="20" t="e">
        <f>Lentilles!#REF!</f>
        <v>#REF!</v>
      </c>
      <c r="C16" s="139">
        <v>3</v>
      </c>
      <c r="D16" s="108">
        <f>7+2</f>
        <v>9</v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5"/>
      <c r="U16" s="127">
        <f>7820+2250+3900+11740+6000</f>
        <v>31710</v>
      </c>
      <c r="V16" s="127"/>
      <c r="W16" s="127"/>
      <c r="X16" s="127"/>
      <c r="Y16" s="127"/>
      <c r="Z16" s="127"/>
      <c r="AA16" s="127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5"/>
      <c r="AR16" s="105">
        <v>1</v>
      </c>
      <c r="AS16" s="105"/>
      <c r="AT16" s="105">
        <f>11+10+5</f>
        <v>26</v>
      </c>
      <c r="AU16" s="105"/>
      <c r="AV16" s="113"/>
      <c r="AW16" s="105"/>
      <c r="AX16" s="105"/>
      <c r="AY16" s="106"/>
      <c r="AZ16" s="106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5"/>
      <c r="BZ16" s="142"/>
      <c r="CA16" s="106"/>
      <c r="CB16" s="127"/>
      <c r="CC16" s="127"/>
      <c r="CD16" s="127"/>
      <c r="CE16" s="129"/>
      <c r="CF16" s="80">
        <f t="shared" si="0"/>
        <v>25824</v>
      </c>
      <c r="CG16" s="127">
        <f>10309+10009+5506</f>
        <v>25824</v>
      </c>
      <c r="CH16" s="127"/>
      <c r="CI16" s="127"/>
      <c r="CJ16" s="127"/>
      <c r="CK16" s="127"/>
      <c r="CL16" s="127"/>
      <c r="CM16" s="127"/>
      <c r="CN16" s="156">
        <f t="shared" si="1"/>
        <v>25824</v>
      </c>
      <c r="CO16" s="127">
        <v>1201</v>
      </c>
      <c r="CP16" s="127"/>
      <c r="CQ16" s="127">
        <f>10309+10009+4305</f>
        <v>24623</v>
      </c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9"/>
      <c r="DO16" s="127"/>
      <c r="DP16" s="127"/>
      <c r="DQ16" s="127">
        <f>100+350</f>
        <v>450</v>
      </c>
      <c r="DR16" s="127"/>
      <c r="DS16" s="127"/>
      <c r="DT16" s="129"/>
      <c r="DU16" s="130"/>
      <c r="DV16" s="127">
        <v>52</v>
      </c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9"/>
      <c r="EJ16" s="19">
        <v>24</v>
      </c>
      <c r="EK16" s="12">
        <v>24</v>
      </c>
      <c r="EL16" s="150">
        <f t="shared" si="2"/>
        <v>24</v>
      </c>
      <c r="EM16" s="151">
        <f t="shared" si="3"/>
        <v>1</v>
      </c>
      <c r="EN16" s="152">
        <f t="shared" si="4"/>
        <v>24</v>
      </c>
      <c r="EO16" s="127"/>
      <c r="EP16" s="127"/>
      <c r="EQ16" s="128"/>
      <c r="ER16" s="70">
        <f t="shared" si="5"/>
        <v>1076</v>
      </c>
      <c r="ES16" s="21">
        <f t="shared" si="6"/>
        <v>1076</v>
      </c>
      <c r="ET16" s="10" t="str">
        <f>IF(ISERROR(#REF!/#REF!)," ",#REF!/#REF!)</f>
        <v xml:space="preserve"> </v>
      </c>
      <c r="EU16" s="10"/>
      <c r="EV16" s="69" t="str">
        <f>IF(ISERROR(#REF!/#REF!)," ",#REF!/#REF!)</f>
        <v xml:space="preserve"> </v>
      </c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</row>
    <row r="17" spans="1:176" s="74" customFormat="1" x14ac:dyDescent="0.2">
      <c r="A17" s="18" t="e">
        <f>Lentilles!#REF!</f>
        <v>#REF!</v>
      </c>
      <c r="B17" s="20" t="e">
        <f>Lentilles!#REF!</f>
        <v>#REF!</v>
      </c>
      <c r="C17" s="139">
        <v>3</v>
      </c>
      <c r="D17" s="108"/>
      <c r="E17" s="113"/>
      <c r="F17" s="114"/>
      <c r="G17" s="113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5"/>
      <c r="U17" s="108">
        <f>7700+8170+7710</f>
        <v>23580</v>
      </c>
      <c r="V17" s="127"/>
      <c r="W17" s="127"/>
      <c r="X17" s="127"/>
      <c r="Y17" s="127"/>
      <c r="Z17" s="127"/>
      <c r="AA17" s="127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5"/>
      <c r="AR17" s="105">
        <f>7+7+6</f>
        <v>20</v>
      </c>
      <c r="AS17" s="105"/>
      <c r="AT17" s="105"/>
      <c r="AU17" s="105"/>
      <c r="AV17" s="114"/>
      <c r="AW17" s="105"/>
      <c r="AX17" s="105"/>
      <c r="AY17" s="106"/>
      <c r="AZ17" s="106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5"/>
      <c r="BZ17" s="142">
        <v>1</v>
      </c>
      <c r="CA17" s="106"/>
      <c r="CB17" s="127"/>
      <c r="CC17" s="127"/>
      <c r="CD17" s="127"/>
      <c r="CE17" s="129"/>
      <c r="CF17" s="80">
        <f t="shared" si="0"/>
        <v>23985</v>
      </c>
      <c r="CG17" s="127">
        <f>8382+8402+7201</f>
        <v>23985</v>
      </c>
      <c r="CH17" s="127"/>
      <c r="CI17" s="127"/>
      <c r="CJ17" s="127"/>
      <c r="CK17" s="127"/>
      <c r="CL17" s="127"/>
      <c r="CM17" s="127"/>
      <c r="CN17" s="156">
        <f t="shared" si="1"/>
        <v>23985</v>
      </c>
      <c r="CO17" s="127">
        <f>8382+8402+7201</f>
        <v>23985</v>
      </c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9"/>
      <c r="DO17" s="127">
        <v>740</v>
      </c>
      <c r="DP17" s="127"/>
      <c r="DQ17" s="127">
        <f>50+60</f>
        <v>110</v>
      </c>
      <c r="DR17" s="127"/>
      <c r="DS17" s="127"/>
      <c r="DT17" s="129"/>
      <c r="DU17" s="130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9"/>
      <c r="EJ17" s="19">
        <v>24</v>
      </c>
      <c r="EK17" s="12">
        <v>24</v>
      </c>
      <c r="EL17" s="150">
        <f t="shared" si="2"/>
        <v>24</v>
      </c>
      <c r="EM17" s="151">
        <f t="shared" si="3"/>
        <v>1</v>
      </c>
      <c r="EN17" s="152">
        <f t="shared" si="4"/>
        <v>24</v>
      </c>
      <c r="EO17" s="127"/>
      <c r="EP17" s="127"/>
      <c r="EQ17" s="128"/>
      <c r="ER17" s="70">
        <f t="shared" si="5"/>
        <v>999.375</v>
      </c>
      <c r="ES17" s="21">
        <f t="shared" si="6"/>
        <v>999.375</v>
      </c>
      <c r="ET17" s="10" t="str">
        <f>IF(ISERROR(#REF!/#REF!)," ",#REF!/#REF!)</f>
        <v xml:space="preserve"> </v>
      </c>
      <c r="EU17" s="10"/>
      <c r="EV17" s="69" t="str">
        <f>IF(ISERROR(#REF!/#REF!)," ",#REF!/#REF!)</f>
        <v xml:space="preserve"> </v>
      </c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</row>
    <row r="18" spans="1:176" s="74" customFormat="1" x14ac:dyDescent="0.2">
      <c r="A18" s="18" t="e">
        <f>Lentilles!#REF!</f>
        <v>#REF!</v>
      </c>
      <c r="B18" s="20" t="e">
        <f>Lentilles!#REF!</f>
        <v>#REF!</v>
      </c>
      <c r="C18" s="139">
        <v>3</v>
      </c>
      <c r="D18" s="108">
        <v>2</v>
      </c>
      <c r="E18" s="113"/>
      <c r="F18" s="134"/>
      <c r="G18" s="113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5"/>
      <c r="U18" s="127">
        <f>7940+6250+7900</f>
        <v>22090</v>
      </c>
      <c r="V18" s="127"/>
      <c r="W18" s="127"/>
      <c r="X18" s="127"/>
      <c r="Y18" s="127"/>
      <c r="Z18" s="127"/>
      <c r="AA18" s="127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  <c r="AR18" s="105">
        <f>6+7+7</f>
        <v>20</v>
      </c>
      <c r="AS18" s="105"/>
      <c r="AT18" s="105"/>
      <c r="AU18" s="105"/>
      <c r="AV18" s="113"/>
      <c r="AW18" s="105"/>
      <c r="AX18" s="105"/>
      <c r="AY18" s="106"/>
      <c r="AZ18" s="106"/>
      <c r="BA18" s="114"/>
      <c r="BB18" s="113"/>
      <c r="BC18" s="113"/>
      <c r="BD18" s="113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5"/>
      <c r="BZ18" s="143"/>
      <c r="CA18" s="106"/>
      <c r="CB18" s="127"/>
      <c r="CC18" s="127"/>
      <c r="CD18" s="127"/>
      <c r="CE18" s="129"/>
      <c r="CF18" s="80">
        <f t="shared" si="0"/>
        <v>24006</v>
      </c>
      <c r="CG18" s="127">
        <f>7201+8402+8403</f>
        <v>24006</v>
      </c>
      <c r="CH18" s="127"/>
      <c r="CI18" s="127"/>
      <c r="CJ18" s="127"/>
      <c r="CK18" s="127"/>
      <c r="CL18" s="127"/>
      <c r="CM18" s="127"/>
      <c r="CN18" s="156">
        <f t="shared" si="1"/>
        <v>24006</v>
      </c>
      <c r="CO18" s="127">
        <f>7201+8402+8403</f>
        <v>24006</v>
      </c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9"/>
      <c r="DO18" s="127"/>
      <c r="DP18" s="127"/>
      <c r="DQ18" s="127">
        <f>300+100+90</f>
        <v>490</v>
      </c>
      <c r="DR18" s="127"/>
      <c r="DS18" s="127"/>
      <c r="DT18" s="129"/>
      <c r="DU18" s="130"/>
      <c r="DV18" s="127"/>
      <c r="DW18" s="127"/>
      <c r="DX18" s="127"/>
      <c r="DY18" s="127"/>
      <c r="DZ18" s="127"/>
      <c r="EA18" s="127"/>
      <c r="EB18" s="127"/>
      <c r="EC18" s="127"/>
      <c r="ED18" s="127"/>
      <c r="EE18" s="127"/>
      <c r="EF18" s="127"/>
      <c r="EG18" s="127"/>
      <c r="EH18" s="127"/>
      <c r="EI18" s="129"/>
      <c r="EJ18" s="19">
        <v>24</v>
      </c>
      <c r="EK18" s="12">
        <v>24</v>
      </c>
      <c r="EL18" s="150">
        <f t="shared" si="2"/>
        <v>24</v>
      </c>
      <c r="EM18" s="151">
        <f t="shared" si="3"/>
        <v>1</v>
      </c>
      <c r="EN18" s="152">
        <f t="shared" si="4"/>
        <v>24</v>
      </c>
      <c r="EO18" s="127"/>
      <c r="EP18" s="127"/>
      <c r="EQ18" s="128"/>
      <c r="ER18" s="70">
        <f t="shared" si="5"/>
        <v>1000.25</v>
      </c>
      <c r="ES18" s="21">
        <f t="shared" si="6"/>
        <v>1000.25</v>
      </c>
      <c r="ET18" s="10" t="str">
        <f>IF(ISERROR(#REF!/#REF!)," ",#REF!/#REF!)</f>
        <v xml:space="preserve"> </v>
      </c>
      <c r="EU18" s="10"/>
      <c r="EV18" s="69" t="str">
        <f>IF(ISERROR(#REF!/#REF!)," ",#REF!/#REF!)</f>
        <v xml:space="preserve"> </v>
      </c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</row>
    <row r="19" spans="1:176" s="74" customFormat="1" x14ac:dyDescent="0.2">
      <c r="A19" s="18" t="e">
        <f>Lentilles!#REF!</f>
        <v>#REF!</v>
      </c>
      <c r="B19" s="20" t="e">
        <f>Lentilles!#REF!</f>
        <v>#REF!</v>
      </c>
      <c r="C19" s="139">
        <v>3</v>
      </c>
      <c r="D19" s="108"/>
      <c r="E19" s="134"/>
      <c r="F19" s="134"/>
      <c r="G19" s="113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5"/>
      <c r="U19" s="127">
        <f>6540+7620+7960</f>
        <v>22120</v>
      </c>
      <c r="V19" s="127"/>
      <c r="W19" s="127"/>
      <c r="X19" s="127"/>
      <c r="Y19" s="127"/>
      <c r="Z19" s="127"/>
      <c r="AA19" s="127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  <c r="AR19" s="105">
        <f>6+6+7</f>
        <v>19</v>
      </c>
      <c r="AS19" s="105"/>
      <c r="AT19" s="105"/>
      <c r="AU19" s="105"/>
      <c r="AV19" s="113"/>
      <c r="AW19" s="105"/>
      <c r="AX19" s="105"/>
      <c r="AY19" s="106"/>
      <c r="AZ19" s="106"/>
      <c r="BA19" s="113"/>
      <c r="BB19" s="113"/>
      <c r="BC19" s="113"/>
      <c r="BD19" s="113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5"/>
      <c r="BZ19" s="143"/>
      <c r="CA19" s="106"/>
      <c r="CB19" s="127"/>
      <c r="CC19" s="127"/>
      <c r="CD19" s="127"/>
      <c r="CE19" s="129"/>
      <c r="CF19" s="80">
        <f t="shared" si="0"/>
        <v>22805</v>
      </c>
      <c r="CG19" s="127">
        <f>7201+7200+8404</f>
        <v>22805</v>
      </c>
      <c r="CH19" s="127"/>
      <c r="CI19" s="127"/>
      <c r="CJ19" s="127"/>
      <c r="CK19" s="127"/>
      <c r="CL19" s="127"/>
      <c r="CM19" s="127"/>
      <c r="CN19" s="156">
        <f t="shared" si="1"/>
        <v>22805</v>
      </c>
      <c r="CO19" s="127">
        <f>7201+7200+8404</f>
        <v>22805</v>
      </c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9"/>
      <c r="DO19" s="127"/>
      <c r="DP19" s="127"/>
      <c r="DQ19" s="127">
        <f>50+40</f>
        <v>90</v>
      </c>
      <c r="DR19" s="127"/>
      <c r="DS19" s="127"/>
      <c r="DT19" s="129"/>
      <c r="DU19" s="130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9"/>
      <c r="EJ19" s="19">
        <v>24</v>
      </c>
      <c r="EK19" s="12">
        <v>24</v>
      </c>
      <c r="EL19" s="150">
        <f t="shared" si="2"/>
        <v>24</v>
      </c>
      <c r="EM19" s="151">
        <f t="shared" si="3"/>
        <v>1</v>
      </c>
      <c r="EN19" s="152">
        <f t="shared" si="4"/>
        <v>24</v>
      </c>
      <c r="EO19" s="127"/>
      <c r="EP19" s="127"/>
      <c r="EQ19" s="128"/>
      <c r="ER19" s="70">
        <f t="shared" si="5"/>
        <v>950.20833333333337</v>
      </c>
      <c r="ES19" s="21">
        <f t="shared" si="6"/>
        <v>950.20833333333337</v>
      </c>
      <c r="ET19" s="10" t="str">
        <f>IF(ISERROR(#REF!/#REF!)," ",#REF!/#REF!)</f>
        <v xml:space="preserve"> </v>
      </c>
      <c r="EU19" s="10"/>
      <c r="EV19" s="69" t="str">
        <f>IF(ISERROR(#REF!/#REF!)," ",#REF!/#REF!)</f>
        <v xml:space="preserve"> </v>
      </c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</row>
    <row r="20" spans="1:176" s="74" customFormat="1" x14ac:dyDescent="0.2">
      <c r="A20" s="18" t="e">
        <f>Lentilles!#REF!</f>
        <v>#REF!</v>
      </c>
      <c r="B20" s="20" t="e">
        <f>Lentilles!#REF!</f>
        <v>#REF!</v>
      </c>
      <c r="C20" s="139">
        <v>3</v>
      </c>
      <c r="D20" s="108">
        <f>2+2+10</f>
        <v>14</v>
      </c>
      <c r="E20" s="113"/>
      <c r="F20" s="113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5"/>
      <c r="U20" s="127">
        <f>2200+2370+11800+1350</f>
        <v>17720</v>
      </c>
      <c r="V20" s="127"/>
      <c r="W20" s="127"/>
      <c r="X20" s="127"/>
      <c r="Y20" s="127"/>
      <c r="Z20" s="127"/>
      <c r="AA20" s="127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5"/>
      <c r="AR20" s="105">
        <f>6+5+3</f>
        <v>14</v>
      </c>
      <c r="AS20" s="105"/>
      <c r="AT20" s="105"/>
      <c r="AU20" s="105"/>
      <c r="AV20" s="113">
        <v>2</v>
      </c>
      <c r="AW20" s="105"/>
      <c r="AX20" s="105"/>
      <c r="AY20" s="106"/>
      <c r="AZ20" s="106"/>
      <c r="BA20" s="114"/>
      <c r="BB20" s="113"/>
      <c r="BC20" s="114"/>
      <c r="BD20" s="114"/>
      <c r="BE20" s="114"/>
      <c r="BF20" s="113"/>
      <c r="BG20" s="113"/>
      <c r="BH20" s="114"/>
      <c r="BI20" s="113"/>
      <c r="BJ20" s="113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6"/>
      <c r="BZ20" s="143"/>
      <c r="CA20" s="106"/>
      <c r="CB20" s="127"/>
      <c r="CC20" s="127"/>
      <c r="CD20" s="127"/>
      <c r="CE20" s="129"/>
      <c r="CF20" s="80">
        <f t="shared" si="0"/>
        <v>19207</v>
      </c>
      <c r="CG20" s="127">
        <f>7201+6000+6006</f>
        <v>19207</v>
      </c>
      <c r="CH20" s="127"/>
      <c r="CI20" s="127"/>
      <c r="CJ20" s="127"/>
      <c r="CK20" s="127"/>
      <c r="CL20" s="127"/>
      <c r="CM20" s="127"/>
      <c r="CN20" s="156">
        <f t="shared" si="1"/>
        <v>19207</v>
      </c>
      <c r="CO20" s="127">
        <f>7201+6000+3600</f>
        <v>16801</v>
      </c>
      <c r="CP20" s="127"/>
      <c r="CQ20" s="127"/>
      <c r="CR20" s="127"/>
      <c r="CS20" s="127">
        <v>2406</v>
      </c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9"/>
      <c r="DO20" s="127"/>
      <c r="DP20" s="127"/>
      <c r="DQ20" s="127">
        <f>70+30</f>
        <v>100</v>
      </c>
      <c r="DR20" s="127"/>
      <c r="DS20" s="127"/>
      <c r="DT20" s="129"/>
      <c r="DU20" s="130"/>
      <c r="DV20" s="127">
        <v>13</v>
      </c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9"/>
      <c r="EJ20" s="19">
        <v>24</v>
      </c>
      <c r="EK20" s="12">
        <v>24</v>
      </c>
      <c r="EL20" s="150">
        <v>24</v>
      </c>
      <c r="EM20" s="151">
        <f t="shared" si="3"/>
        <v>1</v>
      </c>
      <c r="EN20" s="152">
        <f t="shared" si="4"/>
        <v>24</v>
      </c>
      <c r="EO20" s="127"/>
      <c r="EP20" s="127"/>
      <c r="EQ20" s="128"/>
      <c r="ER20" s="70">
        <f t="shared" si="5"/>
        <v>800.29166666666663</v>
      </c>
      <c r="ES20" s="21">
        <f t="shared" si="6"/>
        <v>800.29166666666663</v>
      </c>
      <c r="ET20" s="10" t="str">
        <f>IF(ISERROR(#REF!/#REF!)," ",#REF!/#REF!)</f>
        <v xml:space="preserve"> </v>
      </c>
      <c r="EU20" s="10"/>
      <c r="EV20" s="69" t="str">
        <f>IF(ISERROR(#REF!/#REF!)," ",#REF!/#REF!)</f>
        <v xml:space="preserve"> </v>
      </c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</row>
    <row r="21" spans="1:176" s="74" customFormat="1" x14ac:dyDescent="0.2">
      <c r="A21" s="18" t="e">
        <f>Lentilles!#REF!</f>
        <v>#REF!</v>
      </c>
      <c r="B21" s="20" t="e">
        <f>Lentilles!#REF!</f>
        <v>#REF!</v>
      </c>
      <c r="C21" s="139">
        <v>3</v>
      </c>
      <c r="D21" s="108">
        <f>7+8+8</f>
        <v>23</v>
      </c>
      <c r="E21" s="113"/>
      <c r="F21" s="113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5"/>
      <c r="U21" s="127">
        <f>7860+8690+8830</f>
        <v>25380</v>
      </c>
      <c r="V21" s="127"/>
      <c r="W21" s="114"/>
      <c r="X21" s="114"/>
      <c r="Y21" s="127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5"/>
      <c r="AR21" s="105"/>
      <c r="AS21" s="105"/>
      <c r="AT21" s="105"/>
      <c r="AU21" s="105">
        <v>2</v>
      </c>
      <c r="AV21" s="113">
        <f>6+7+5</f>
        <v>18</v>
      </c>
      <c r="AW21" s="105"/>
      <c r="AX21" s="105"/>
      <c r="AY21" s="106"/>
      <c r="AZ21" s="106"/>
      <c r="BA21" s="114"/>
      <c r="BB21" s="113"/>
      <c r="BC21" s="114"/>
      <c r="BD21" s="114"/>
      <c r="BE21" s="114"/>
      <c r="BF21" s="113"/>
      <c r="BG21" s="113"/>
      <c r="BH21" s="114"/>
      <c r="BI21" s="113"/>
      <c r="BJ21" s="113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6"/>
      <c r="BZ21" s="143"/>
      <c r="CA21" s="106"/>
      <c r="CB21" s="114"/>
      <c r="CC21" s="114"/>
      <c r="CD21" s="114"/>
      <c r="CE21" s="115"/>
      <c r="CF21" s="80">
        <f t="shared" si="0"/>
        <v>24004</v>
      </c>
      <c r="CG21" s="127">
        <f>8401+8403+7200</f>
        <v>24004</v>
      </c>
      <c r="CH21" s="114"/>
      <c r="CI21" s="114"/>
      <c r="CJ21" s="114"/>
      <c r="CK21" s="114"/>
      <c r="CL21" s="114"/>
      <c r="CM21" s="114"/>
      <c r="CN21" s="156">
        <f t="shared" si="1"/>
        <v>24004</v>
      </c>
      <c r="CO21" s="127"/>
      <c r="CP21" s="127"/>
      <c r="CQ21" s="127"/>
      <c r="CR21" s="127">
        <v>2400</v>
      </c>
      <c r="CS21" s="114">
        <f>7200+8403+6001</f>
        <v>21604</v>
      </c>
      <c r="CT21" s="114"/>
      <c r="CU21" s="127"/>
      <c r="CV21" s="127"/>
      <c r="CW21" s="127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5"/>
      <c r="DO21" s="127"/>
      <c r="DP21" s="127"/>
      <c r="DQ21" s="127">
        <f>80+110+280</f>
        <v>470</v>
      </c>
      <c r="DR21" s="114"/>
      <c r="DS21" s="114"/>
      <c r="DT21" s="115"/>
      <c r="DU21" s="130"/>
      <c r="DV21" s="127">
        <v>130</v>
      </c>
      <c r="DW21" s="127"/>
      <c r="DX21" s="114"/>
      <c r="DY21" s="114"/>
      <c r="DZ21" s="127"/>
      <c r="EA21" s="127"/>
      <c r="EB21" s="114"/>
      <c r="EC21" s="114">
        <v>1000</v>
      </c>
      <c r="ED21" s="114"/>
      <c r="EE21" s="114"/>
      <c r="EF21" s="106"/>
      <c r="EG21" s="106"/>
      <c r="EH21" s="106"/>
      <c r="EI21" s="107"/>
      <c r="EJ21" s="19">
        <v>24</v>
      </c>
      <c r="EK21" s="12">
        <v>24</v>
      </c>
      <c r="EL21" s="150">
        <f t="shared" si="2"/>
        <v>24</v>
      </c>
      <c r="EM21" s="151">
        <f t="shared" si="3"/>
        <v>1</v>
      </c>
      <c r="EN21" s="152">
        <f t="shared" si="4"/>
        <v>24</v>
      </c>
      <c r="EO21" s="127"/>
      <c r="EP21" s="127"/>
      <c r="EQ21" s="128"/>
      <c r="ER21" s="70">
        <f t="shared" si="5"/>
        <v>1000.1666666666666</v>
      </c>
      <c r="ES21" s="21">
        <f t="shared" si="6"/>
        <v>1000.1666666666666</v>
      </c>
      <c r="ET21" s="10" t="str">
        <f>IF(ISERROR(#REF!/#REF!)," ",#REF!/#REF!)</f>
        <v xml:space="preserve"> </v>
      </c>
      <c r="EU21" s="10"/>
      <c r="EV21" s="69" t="str">
        <f>IF(ISERROR(#REF!/#REF!)," ",#REF!/#REF!)</f>
        <v xml:space="preserve"> </v>
      </c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</row>
    <row r="22" spans="1:176" s="74" customFormat="1" x14ac:dyDescent="0.2">
      <c r="A22" s="18" t="e">
        <f>Lentilles!#REF!</f>
        <v>#REF!</v>
      </c>
      <c r="B22" s="20" t="e">
        <f>Lentilles!#REF!</f>
        <v>#REF!</v>
      </c>
      <c r="C22" s="139">
        <v>3</v>
      </c>
      <c r="D22" s="108">
        <f>5+7+3</f>
        <v>15</v>
      </c>
      <c r="E22" s="134"/>
      <c r="F22" s="113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5"/>
      <c r="U22" s="127">
        <f>5300+7430+3310</f>
        <v>16040</v>
      </c>
      <c r="V22" s="127"/>
      <c r="W22" s="134"/>
      <c r="X22" s="113"/>
      <c r="Y22" s="113"/>
      <c r="Z22" s="113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  <c r="AR22" s="105"/>
      <c r="AS22" s="105"/>
      <c r="AT22" s="105"/>
      <c r="AU22" s="105">
        <f>5+6+6</f>
        <v>17</v>
      </c>
      <c r="AV22" s="113"/>
      <c r="AW22" s="105"/>
      <c r="AX22" s="105"/>
      <c r="AY22" s="106"/>
      <c r="AZ22" s="106"/>
      <c r="BA22" s="113"/>
      <c r="BB22" s="113"/>
      <c r="BC22" s="113"/>
      <c r="BD22" s="113"/>
      <c r="BE22" s="113"/>
      <c r="BF22" s="113"/>
      <c r="BG22" s="113"/>
      <c r="BH22" s="134"/>
      <c r="BI22" s="134"/>
      <c r="BJ22" s="113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16"/>
      <c r="BZ22" s="143">
        <v>1</v>
      </c>
      <c r="CA22" s="106"/>
      <c r="CB22" s="113"/>
      <c r="CC22" s="113"/>
      <c r="CD22" s="113"/>
      <c r="CE22" s="135"/>
      <c r="CF22" s="80">
        <f t="shared" si="0"/>
        <v>20399</v>
      </c>
      <c r="CG22" s="127">
        <f>6000+7200+7199</f>
        <v>20399</v>
      </c>
      <c r="CH22" s="134"/>
      <c r="CI22" s="113"/>
      <c r="CJ22" s="113"/>
      <c r="CK22" s="113"/>
      <c r="CL22" s="113"/>
      <c r="CM22" s="113"/>
      <c r="CN22" s="156">
        <f t="shared" si="1"/>
        <v>20399</v>
      </c>
      <c r="CO22" s="127"/>
      <c r="CP22" s="127"/>
      <c r="CQ22" s="127"/>
      <c r="CR22" s="127">
        <f>6000+7200+7199</f>
        <v>20399</v>
      </c>
      <c r="CS22" s="113"/>
      <c r="CT22" s="134"/>
      <c r="CU22" s="127"/>
      <c r="CV22" s="127"/>
      <c r="CW22" s="127"/>
      <c r="CX22" s="134"/>
      <c r="CY22" s="113"/>
      <c r="CZ22" s="134"/>
      <c r="DA22" s="113"/>
      <c r="DB22" s="134"/>
      <c r="DC22" s="113"/>
      <c r="DD22" s="134"/>
      <c r="DE22" s="113"/>
      <c r="DF22" s="113"/>
      <c r="DG22" s="113"/>
      <c r="DH22" s="113"/>
      <c r="DI22" s="113"/>
      <c r="DJ22" s="134"/>
      <c r="DK22" s="113"/>
      <c r="DL22" s="134"/>
      <c r="DM22" s="113"/>
      <c r="DN22" s="135"/>
      <c r="DO22" s="127">
        <v>730</v>
      </c>
      <c r="DP22" s="127"/>
      <c r="DQ22" s="127">
        <f>20+20</f>
        <v>40</v>
      </c>
      <c r="DR22" s="113"/>
      <c r="DS22" s="113"/>
      <c r="DT22" s="135"/>
      <c r="DU22" s="130"/>
      <c r="DV22" s="127">
        <v>130</v>
      </c>
      <c r="DW22" s="127"/>
      <c r="DX22" s="134"/>
      <c r="DY22" s="113"/>
      <c r="DZ22" s="127"/>
      <c r="EA22" s="127"/>
      <c r="EB22" s="113"/>
      <c r="EC22" s="113"/>
      <c r="ED22" s="113"/>
      <c r="EE22" s="113"/>
      <c r="EF22" s="105"/>
      <c r="EG22" s="131"/>
      <c r="EH22" s="105"/>
      <c r="EI22" s="132"/>
      <c r="EJ22" s="19">
        <v>24</v>
      </c>
      <c r="EK22" s="12">
        <v>24</v>
      </c>
      <c r="EL22" s="153">
        <f t="shared" si="2"/>
        <v>24</v>
      </c>
      <c r="EM22" s="151">
        <f t="shared" si="3"/>
        <v>1</v>
      </c>
      <c r="EN22" s="152">
        <f t="shared" si="4"/>
        <v>24</v>
      </c>
      <c r="EO22" s="127"/>
      <c r="EP22" s="127"/>
      <c r="EQ22" s="128"/>
      <c r="ER22" s="70">
        <f t="shared" si="5"/>
        <v>849.95833333333337</v>
      </c>
      <c r="ES22" s="21">
        <f t="shared" si="6"/>
        <v>849.95833333333337</v>
      </c>
      <c r="ET22" s="10" t="str">
        <f>IF(ISERROR(#REF!/#REF!)," ",#REF!/#REF!)</f>
        <v xml:space="preserve"> </v>
      </c>
      <c r="EU22" s="10"/>
      <c r="EV22" s="69" t="str">
        <f>IF(ISERROR(#REF!/#REF!)," ",#REF!/#REF!)</f>
        <v xml:space="preserve"> </v>
      </c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</row>
    <row r="23" spans="1:176" s="74" customFormat="1" x14ac:dyDescent="0.2">
      <c r="A23" s="18" t="e">
        <f>Lentilles!#REF!</f>
        <v>#REF!</v>
      </c>
      <c r="B23" s="20" t="e">
        <f>Lentilles!#REF!</f>
        <v>#REF!</v>
      </c>
      <c r="C23" s="139">
        <v>3</v>
      </c>
      <c r="D23" s="108">
        <v>1</v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5"/>
      <c r="U23" s="127">
        <f>1120+5180+11760+7970</f>
        <v>26030</v>
      </c>
      <c r="V23" s="127"/>
      <c r="W23" s="127"/>
      <c r="X23" s="127"/>
      <c r="Y23" s="127"/>
      <c r="Z23" s="127"/>
      <c r="AA23" s="127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5"/>
      <c r="AR23" s="105">
        <f>4+6+7</f>
        <v>17</v>
      </c>
      <c r="AS23" s="105"/>
      <c r="AT23" s="105"/>
      <c r="AU23" s="105">
        <v>1</v>
      </c>
      <c r="AV23" s="113"/>
      <c r="AW23" s="105"/>
      <c r="AX23" s="105"/>
      <c r="AY23" s="106"/>
      <c r="AZ23" s="106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5"/>
      <c r="BZ23" s="142"/>
      <c r="CA23" s="106"/>
      <c r="CB23" s="127"/>
      <c r="CC23" s="127"/>
      <c r="CD23" s="127"/>
      <c r="CE23" s="129"/>
      <c r="CF23" s="80">
        <f t="shared" si="0"/>
        <v>21601</v>
      </c>
      <c r="CG23" s="127">
        <f>6000+7200+8401</f>
        <v>21601</v>
      </c>
      <c r="CH23" s="106"/>
      <c r="CI23" s="127"/>
      <c r="CJ23" s="127"/>
      <c r="CK23" s="127"/>
      <c r="CL23" s="127"/>
      <c r="CM23" s="127"/>
      <c r="CN23" s="156">
        <f t="shared" si="1"/>
        <v>21601</v>
      </c>
      <c r="CO23" s="127">
        <f>4800+7200+8401</f>
        <v>20401</v>
      </c>
      <c r="CP23" s="127"/>
      <c r="CQ23" s="127"/>
      <c r="CR23" s="127">
        <v>1200</v>
      </c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9"/>
      <c r="DO23" s="127"/>
      <c r="DP23" s="127"/>
      <c r="DQ23" s="127">
        <f>120+40</f>
        <v>160</v>
      </c>
      <c r="DR23" s="127"/>
      <c r="DS23" s="127"/>
      <c r="DT23" s="129"/>
      <c r="DU23" s="130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9"/>
      <c r="EJ23" s="158">
        <v>24</v>
      </c>
      <c r="EK23" s="12">
        <v>24</v>
      </c>
      <c r="EL23" s="150">
        <f t="shared" si="2"/>
        <v>24</v>
      </c>
      <c r="EM23" s="151">
        <f t="shared" si="3"/>
        <v>1</v>
      </c>
      <c r="EN23" s="152">
        <f t="shared" si="4"/>
        <v>24</v>
      </c>
      <c r="EO23" s="127"/>
      <c r="EP23" s="127"/>
      <c r="EQ23" s="128"/>
      <c r="ER23" s="70">
        <f t="shared" si="5"/>
        <v>900.04166666666663</v>
      </c>
      <c r="ES23" s="21">
        <f t="shared" si="6"/>
        <v>900.04166666666663</v>
      </c>
      <c r="ET23" s="10" t="str">
        <f>IF(ISERROR(#REF!/#REF!)," ",#REF!/#REF!)</f>
        <v xml:space="preserve"> </v>
      </c>
      <c r="EU23" s="10"/>
      <c r="EV23" s="69" t="str">
        <f>IF(ISERROR(#REF!/#REF!)," ",#REF!/#REF!)</f>
        <v xml:space="preserve"> </v>
      </c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</row>
    <row r="24" spans="1:176" s="74" customFormat="1" x14ac:dyDescent="0.2">
      <c r="A24" s="18" t="e">
        <f>Lentilles!#REF!</f>
        <v>#REF!</v>
      </c>
      <c r="B24" s="20" t="e">
        <f>Lentilles!#REF!</f>
        <v>#REF!</v>
      </c>
      <c r="C24" s="139">
        <v>3</v>
      </c>
      <c r="D24" s="108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3"/>
      <c r="T24" s="115"/>
      <c r="U24" s="127">
        <f>8430+8590+7940</f>
        <v>24960</v>
      </c>
      <c r="V24" s="127"/>
      <c r="W24" s="127"/>
      <c r="X24" s="127"/>
      <c r="Y24" s="127"/>
      <c r="Z24" s="127"/>
      <c r="AA24" s="127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5"/>
      <c r="AR24" s="105">
        <f>7+7+7</f>
        <v>21</v>
      </c>
      <c r="AS24" s="105"/>
      <c r="AT24" s="105"/>
      <c r="AU24" s="105"/>
      <c r="AV24" s="113"/>
      <c r="AW24" s="105"/>
      <c r="AX24" s="105"/>
      <c r="AY24" s="106"/>
      <c r="AZ24" s="106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3"/>
      <c r="BX24" s="114"/>
      <c r="BY24" s="115"/>
      <c r="BZ24" s="142">
        <v>1</v>
      </c>
      <c r="CA24" s="106"/>
      <c r="CB24" s="127"/>
      <c r="CC24" s="127"/>
      <c r="CD24" s="127"/>
      <c r="CE24" s="129"/>
      <c r="CF24" s="80">
        <f t="shared" si="0"/>
        <v>25201</v>
      </c>
      <c r="CG24" s="127">
        <f>8402+8401+8398</f>
        <v>25201</v>
      </c>
      <c r="CH24" s="106"/>
      <c r="CI24" s="127"/>
      <c r="CJ24" s="127"/>
      <c r="CK24" s="127"/>
      <c r="CL24" s="127"/>
      <c r="CM24" s="127"/>
      <c r="CN24" s="156">
        <f t="shared" si="1"/>
        <v>25201</v>
      </c>
      <c r="CO24" s="127">
        <f>8402+8401+8398</f>
        <v>25201</v>
      </c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27"/>
      <c r="DD24" s="127"/>
      <c r="DE24" s="127"/>
      <c r="DF24" s="127"/>
      <c r="DG24" s="127"/>
      <c r="DH24" s="127"/>
      <c r="DI24" s="127"/>
      <c r="DJ24" s="127"/>
      <c r="DK24" s="127"/>
      <c r="DL24" s="127"/>
      <c r="DM24" s="127"/>
      <c r="DN24" s="129"/>
      <c r="DO24" s="127">
        <v>730</v>
      </c>
      <c r="DP24" s="127"/>
      <c r="DQ24" s="127">
        <f>100+80+10</f>
        <v>190</v>
      </c>
      <c r="DR24" s="127"/>
      <c r="DS24" s="127"/>
      <c r="DT24" s="129"/>
      <c r="DU24" s="130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9"/>
      <c r="EJ24" s="158">
        <v>24</v>
      </c>
      <c r="EK24" s="12">
        <v>24</v>
      </c>
      <c r="EL24" s="150">
        <f t="shared" si="2"/>
        <v>24</v>
      </c>
      <c r="EM24" s="151">
        <f t="shared" si="3"/>
        <v>1</v>
      </c>
      <c r="EN24" s="152">
        <f t="shared" si="4"/>
        <v>24</v>
      </c>
      <c r="EO24" s="127"/>
      <c r="EP24" s="127"/>
      <c r="EQ24" s="128"/>
      <c r="ER24" s="70">
        <f t="shared" si="5"/>
        <v>1050.0416666666667</v>
      </c>
      <c r="ES24" s="21">
        <f t="shared" si="6"/>
        <v>1050.0416666666667</v>
      </c>
      <c r="ET24" s="10" t="str">
        <f>IF(ISERROR(#REF!/#REF!)," ",#REF!/#REF!)</f>
        <v xml:space="preserve"> </v>
      </c>
      <c r="EU24" s="10"/>
      <c r="EV24" s="69" t="str">
        <f>IF(ISERROR(#REF!/#REF!)," ",#REF!/#REF!)</f>
        <v xml:space="preserve"> </v>
      </c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</row>
    <row r="25" spans="1:176" s="74" customFormat="1" x14ac:dyDescent="0.2">
      <c r="A25" s="18" t="e">
        <f>Lentilles!#REF!</f>
        <v>#REF!</v>
      </c>
      <c r="B25" s="20" t="e">
        <f>Lentilles!#REF!</f>
        <v>#REF!</v>
      </c>
      <c r="C25" s="139">
        <v>3</v>
      </c>
      <c r="D25" s="108"/>
      <c r="E25" s="134"/>
      <c r="F25" s="113"/>
      <c r="G25" s="134"/>
      <c r="H25" s="134"/>
      <c r="I25" s="113"/>
      <c r="J25" s="113"/>
      <c r="K25" s="113"/>
      <c r="L25" s="113"/>
      <c r="M25" s="134"/>
      <c r="N25" s="134"/>
      <c r="O25" s="134"/>
      <c r="P25" s="134"/>
      <c r="Q25" s="134"/>
      <c r="R25" s="113"/>
      <c r="S25" s="134"/>
      <c r="T25" s="135"/>
      <c r="U25" s="127">
        <f>7940+7320+250</f>
        <v>15510</v>
      </c>
      <c r="V25" s="127"/>
      <c r="W25" s="127"/>
      <c r="X25" s="127"/>
      <c r="Y25" s="127"/>
      <c r="Z25" s="127"/>
      <c r="AA25" s="127"/>
      <c r="AB25" s="127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5"/>
      <c r="AR25" s="105">
        <v>3</v>
      </c>
      <c r="AS25" s="105"/>
      <c r="AT25" s="105"/>
      <c r="AU25" s="105">
        <f>5+7+6</f>
        <v>18</v>
      </c>
      <c r="AV25" s="113"/>
      <c r="AW25" s="105"/>
      <c r="AX25" s="105"/>
      <c r="AY25" s="106"/>
      <c r="AZ25" s="106"/>
      <c r="BA25" s="114"/>
      <c r="BB25" s="134"/>
      <c r="BC25" s="113"/>
      <c r="BD25" s="113"/>
      <c r="BE25" s="134"/>
      <c r="BF25" s="134"/>
      <c r="BG25" s="113"/>
      <c r="BH25" s="134"/>
      <c r="BI25" s="134"/>
      <c r="BJ25" s="113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13"/>
      <c r="BW25" s="134"/>
      <c r="BX25" s="134"/>
      <c r="BY25" s="116"/>
      <c r="BZ25" s="143"/>
      <c r="CA25" s="106"/>
      <c r="CB25" s="127"/>
      <c r="CC25" s="127"/>
      <c r="CD25" s="127"/>
      <c r="CE25" s="129"/>
      <c r="CF25" s="80">
        <f t="shared" si="0"/>
        <v>25208</v>
      </c>
      <c r="CG25" s="127">
        <f>9603+8404+7201</f>
        <v>25208</v>
      </c>
      <c r="CH25" s="106"/>
      <c r="CI25" s="127"/>
      <c r="CJ25" s="127"/>
      <c r="CK25" s="127"/>
      <c r="CL25" s="127"/>
      <c r="CM25" s="127"/>
      <c r="CN25" s="156">
        <f t="shared" si="1"/>
        <v>25208</v>
      </c>
      <c r="CO25" s="127">
        <v>3602</v>
      </c>
      <c r="CP25" s="127"/>
      <c r="CQ25" s="127"/>
      <c r="CR25" s="127">
        <f>6001+8404+7201</f>
        <v>21606</v>
      </c>
      <c r="CS25" s="106"/>
      <c r="CT25" s="12"/>
      <c r="CU25" s="127"/>
      <c r="CV25" s="127"/>
      <c r="CW25" s="127"/>
      <c r="CX25" s="127"/>
      <c r="CY25" s="127"/>
      <c r="CZ25" s="127"/>
      <c r="DA25" s="127"/>
      <c r="DB25" s="127"/>
      <c r="DC25" s="127"/>
      <c r="DD25" s="127"/>
      <c r="DE25" s="127"/>
      <c r="DF25" s="127"/>
      <c r="DG25" s="127"/>
      <c r="DH25" s="127"/>
      <c r="DI25" s="127"/>
      <c r="DJ25" s="127"/>
      <c r="DK25" s="127"/>
      <c r="DL25" s="127"/>
      <c r="DM25" s="127"/>
      <c r="DN25" s="129"/>
      <c r="DO25" s="127"/>
      <c r="DP25" s="127"/>
      <c r="DQ25" s="127">
        <f>50+70+350</f>
        <v>470</v>
      </c>
      <c r="DR25" s="127"/>
      <c r="DS25" s="127"/>
      <c r="DT25" s="129"/>
      <c r="DU25" s="130"/>
      <c r="DV25" s="127">
        <v>78</v>
      </c>
      <c r="DW25" s="127"/>
      <c r="DX25" s="127"/>
      <c r="DY25" s="127"/>
      <c r="DZ25" s="127"/>
      <c r="EA25" s="127"/>
      <c r="EB25" s="127"/>
      <c r="EC25" s="127">
        <v>1000</v>
      </c>
      <c r="ED25" s="127"/>
      <c r="EE25" s="127"/>
      <c r="EF25" s="127"/>
      <c r="EG25" s="127"/>
      <c r="EH25" s="127"/>
      <c r="EI25" s="129"/>
      <c r="EJ25" s="19">
        <v>24</v>
      </c>
      <c r="EK25" s="12">
        <v>24</v>
      </c>
      <c r="EL25" s="150">
        <f t="shared" si="2"/>
        <v>24</v>
      </c>
      <c r="EM25" s="151">
        <f t="shared" si="3"/>
        <v>1</v>
      </c>
      <c r="EN25" s="152">
        <f t="shared" si="4"/>
        <v>24</v>
      </c>
      <c r="EO25" s="127"/>
      <c r="EP25" s="127"/>
      <c r="EQ25" s="128"/>
      <c r="ER25" s="70">
        <f t="shared" si="5"/>
        <v>1050.3333333333333</v>
      </c>
      <c r="ES25" s="21">
        <f t="shared" si="6"/>
        <v>1050.3333333333333</v>
      </c>
      <c r="ET25" s="10" t="str">
        <f>IF(ISERROR(#REF!/#REF!)," ",#REF!/#REF!)</f>
        <v xml:space="preserve"> </v>
      </c>
      <c r="EU25" s="10"/>
      <c r="EV25" s="69" t="str">
        <f>IF(ISERROR(#REF!/#REF!)," ",#REF!/#REF!)</f>
        <v xml:space="preserve"> </v>
      </c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</row>
    <row r="26" spans="1:176" s="74" customFormat="1" x14ac:dyDescent="0.2">
      <c r="A26" s="18" t="e">
        <f>Lentilles!#REF!</f>
        <v>#REF!</v>
      </c>
      <c r="B26" s="20" t="e">
        <f>Lentilles!#REF!</f>
        <v>#REF!</v>
      </c>
      <c r="C26" s="139">
        <v>3</v>
      </c>
      <c r="D26" s="108">
        <v>6</v>
      </c>
      <c r="E26" s="134"/>
      <c r="F26" s="113"/>
      <c r="G26" s="134"/>
      <c r="H26" s="134"/>
      <c r="I26" s="113"/>
      <c r="J26" s="113"/>
      <c r="K26" s="113"/>
      <c r="L26" s="113"/>
      <c r="M26" s="134"/>
      <c r="N26" s="134"/>
      <c r="O26" s="134"/>
      <c r="P26" s="134"/>
      <c r="Q26" s="134"/>
      <c r="R26" s="134"/>
      <c r="S26" s="134"/>
      <c r="T26" s="135"/>
      <c r="U26" s="127">
        <f>6670+1670+7320+6540</f>
        <v>22200</v>
      </c>
      <c r="V26" s="127"/>
      <c r="W26" s="127"/>
      <c r="X26" s="127"/>
      <c r="Y26" s="127"/>
      <c r="Z26" s="127"/>
      <c r="AA26" s="127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  <c r="AR26" s="105">
        <f>2+3+7</f>
        <v>12</v>
      </c>
      <c r="AS26" s="105"/>
      <c r="AT26" s="105"/>
      <c r="AU26" s="105">
        <v>2</v>
      </c>
      <c r="AV26" s="113"/>
      <c r="AW26" s="105"/>
      <c r="AX26" s="105"/>
      <c r="AY26" s="106"/>
      <c r="AZ26" s="106"/>
      <c r="BA26" s="113"/>
      <c r="BB26" s="113"/>
      <c r="BC26" s="113"/>
      <c r="BD26" s="113"/>
      <c r="BE26" s="134"/>
      <c r="BF26" s="134"/>
      <c r="BG26" s="113"/>
      <c r="BH26" s="134"/>
      <c r="BI26" s="134"/>
      <c r="BJ26" s="113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16"/>
      <c r="BZ26" s="143">
        <v>1</v>
      </c>
      <c r="CA26" s="106"/>
      <c r="CB26" s="127"/>
      <c r="CC26" s="127"/>
      <c r="CD26" s="127"/>
      <c r="CE26" s="129"/>
      <c r="CF26" s="80">
        <f t="shared" si="0"/>
        <v>16742</v>
      </c>
      <c r="CG26" s="127">
        <f>4800+3600+8342</f>
        <v>16742</v>
      </c>
      <c r="CH26" s="127"/>
      <c r="CI26" s="127"/>
      <c r="CJ26" s="127"/>
      <c r="CK26" s="127"/>
      <c r="CL26" s="127"/>
      <c r="CM26" s="127"/>
      <c r="CN26" s="156">
        <f t="shared" si="1"/>
        <v>16742</v>
      </c>
      <c r="CO26" s="127">
        <f>2400+3600+8342</f>
        <v>14342</v>
      </c>
      <c r="CP26" s="127"/>
      <c r="CQ26" s="127"/>
      <c r="CR26" s="127">
        <v>2400</v>
      </c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9"/>
      <c r="DO26" s="127">
        <v>730</v>
      </c>
      <c r="DP26" s="127"/>
      <c r="DQ26" s="127">
        <v>70</v>
      </c>
      <c r="DR26" s="127"/>
      <c r="DS26" s="127"/>
      <c r="DT26" s="129"/>
      <c r="DU26" s="130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9"/>
      <c r="EJ26" s="19">
        <v>24</v>
      </c>
      <c r="EK26" s="12">
        <v>18</v>
      </c>
      <c r="EL26" s="150">
        <f t="shared" si="2"/>
        <v>18</v>
      </c>
      <c r="EM26" s="151">
        <f t="shared" si="3"/>
        <v>0.75</v>
      </c>
      <c r="EN26" s="152">
        <f t="shared" si="4"/>
        <v>18</v>
      </c>
      <c r="EO26" s="127"/>
      <c r="EP26" s="127"/>
      <c r="EQ26" s="128"/>
      <c r="ER26" s="70">
        <f t="shared" si="5"/>
        <v>930.11111111111109</v>
      </c>
      <c r="ES26" s="21">
        <f t="shared" si="6"/>
        <v>930.11111111111109</v>
      </c>
      <c r="ET26" s="10" t="str">
        <f>IF(ISERROR(#REF!/#REF!)," ",#REF!/#REF!)</f>
        <v xml:space="preserve"> </v>
      </c>
      <c r="EU26" s="10"/>
      <c r="EV26" s="69" t="str">
        <f>IF(ISERROR(#REF!/#REF!)," ",#REF!/#REF!)</f>
        <v xml:space="preserve"> </v>
      </c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</row>
    <row r="27" spans="1:176" s="74" customFormat="1" x14ac:dyDescent="0.2">
      <c r="A27" s="18" t="e">
        <f>Lentilles!#REF!</f>
        <v>#REF!</v>
      </c>
      <c r="B27" s="20" t="e">
        <f>Lentilles!#REF!</f>
        <v>#REF!</v>
      </c>
      <c r="C27" s="139">
        <v>3</v>
      </c>
      <c r="D27" s="108">
        <f>6+5+8</f>
        <v>19</v>
      </c>
      <c r="E27" s="113"/>
      <c r="F27" s="113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5"/>
      <c r="U27" s="127">
        <f>6740+5010+9050+2790</f>
        <v>23590</v>
      </c>
      <c r="V27" s="127"/>
      <c r="W27" s="127"/>
      <c r="X27" s="127"/>
      <c r="Y27" s="127"/>
      <c r="Z27" s="127"/>
      <c r="AA27" s="127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5"/>
      <c r="AR27" s="105">
        <v>5</v>
      </c>
      <c r="AS27" s="105"/>
      <c r="AT27" s="105"/>
      <c r="AU27" s="105"/>
      <c r="AV27" s="113"/>
      <c r="AW27" s="105"/>
      <c r="AX27" s="105"/>
      <c r="AY27" s="106">
        <f>2+6+7</f>
        <v>15</v>
      </c>
      <c r="AZ27" s="106"/>
      <c r="BA27" s="114"/>
      <c r="BB27" s="113"/>
      <c r="BC27" s="114"/>
      <c r="BD27" s="114"/>
      <c r="BE27" s="114"/>
      <c r="BF27" s="113"/>
      <c r="BG27" s="113"/>
      <c r="BH27" s="114"/>
      <c r="BI27" s="113"/>
      <c r="BJ27" s="113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6"/>
      <c r="BZ27" s="143"/>
      <c r="CA27" s="106"/>
      <c r="CB27" s="127"/>
      <c r="CC27" s="127"/>
      <c r="CD27" s="127"/>
      <c r="CE27" s="129"/>
      <c r="CF27" s="80">
        <f t="shared" si="0"/>
        <v>23996</v>
      </c>
      <c r="CG27" s="127">
        <f>8394+7200+8402</f>
        <v>23996</v>
      </c>
      <c r="CH27" s="127"/>
      <c r="CI27" s="127"/>
      <c r="CJ27" s="127"/>
      <c r="CK27" s="127"/>
      <c r="CL27" s="127"/>
      <c r="CM27" s="127"/>
      <c r="CN27" s="156">
        <f t="shared" si="1"/>
        <v>23996</v>
      </c>
      <c r="CO27" s="127">
        <v>5994</v>
      </c>
      <c r="CP27" s="127"/>
      <c r="CQ27" s="127"/>
      <c r="CR27" s="127"/>
      <c r="CS27" s="127"/>
      <c r="CT27" s="127"/>
      <c r="CU27" s="127"/>
      <c r="CV27" s="127">
        <f>2400+7200+8402</f>
        <v>18002</v>
      </c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9"/>
      <c r="DO27" s="127"/>
      <c r="DP27" s="127"/>
      <c r="DQ27" s="127">
        <f>20+60</f>
        <v>80</v>
      </c>
      <c r="DR27" s="127"/>
      <c r="DS27" s="127"/>
      <c r="DT27" s="129"/>
      <c r="DU27" s="130"/>
      <c r="DV27" s="127"/>
      <c r="DW27" s="127"/>
      <c r="DX27" s="127"/>
      <c r="DY27" s="127"/>
      <c r="DZ27" s="127">
        <v>332</v>
      </c>
      <c r="EA27" s="127"/>
      <c r="EB27" s="127"/>
      <c r="EC27" s="127"/>
      <c r="ED27" s="127"/>
      <c r="EE27" s="127"/>
      <c r="EF27" s="127"/>
      <c r="EG27" s="127"/>
      <c r="EH27" s="127"/>
      <c r="EI27" s="129"/>
      <c r="EJ27" s="19">
        <v>24</v>
      </c>
      <c r="EK27" s="12">
        <v>24</v>
      </c>
      <c r="EL27" s="150">
        <f t="shared" si="2"/>
        <v>24</v>
      </c>
      <c r="EM27" s="151">
        <f t="shared" si="3"/>
        <v>1</v>
      </c>
      <c r="EN27" s="152">
        <f t="shared" si="4"/>
        <v>24</v>
      </c>
      <c r="EO27" s="127"/>
      <c r="EP27" s="127"/>
      <c r="EQ27" s="128"/>
      <c r="ER27" s="70">
        <f t="shared" si="5"/>
        <v>999.83333333333337</v>
      </c>
      <c r="ES27" s="21">
        <f t="shared" si="6"/>
        <v>999.83333333333337</v>
      </c>
      <c r="ET27" s="10" t="str">
        <f>IF(ISERROR(#REF!/#REF!)," ",#REF!/#REF!)</f>
        <v xml:space="preserve"> </v>
      </c>
      <c r="EU27" s="10"/>
      <c r="EV27" s="69" t="str">
        <f>IF(ISERROR(#REF!/#REF!)," ",#REF!/#REF!)</f>
        <v xml:space="preserve"> </v>
      </c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</row>
    <row r="28" spans="1:176" s="74" customFormat="1" x14ac:dyDescent="0.2">
      <c r="A28" s="18" t="e">
        <f>Lentilles!#REF!</f>
        <v>#REF!</v>
      </c>
      <c r="B28" s="20" t="e">
        <f>Lentilles!#REF!</f>
        <v>#REF!</v>
      </c>
      <c r="C28" s="139">
        <v>3</v>
      </c>
      <c r="D28" s="108">
        <f>10+8+8</f>
        <v>26</v>
      </c>
      <c r="E28" s="113"/>
      <c r="F28" s="113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127">
        <f>10920+8610+8750</f>
        <v>28280</v>
      </c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5"/>
      <c r="AR28" s="105">
        <f>1+8+7</f>
        <v>16</v>
      </c>
      <c r="AS28" s="105"/>
      <c r="AT28" s="105"/>
      <c r="AU28" s="105"/>
      <c r="AV28" s="113"/>
      <c r="AW28" s="105"/>
      <c r="AX28" s="105"/>
      <c r="AY28" s="106">
        <v>5</v>
      </c>
      <c r="AZ28" s="106"/>
      <c r="BA28" s="114"/>
      <c r="BB28" s="113"/>
      <c r="BC28" s="114"/>
      <c r="BD28" s="114"/>
      <c r="BE28" s="114"/>
      <c r="BF28" s="113"/>
      <c r="BG28" s="113"/>
      <c r="BH28" s="114"/>
      <c r="BI28" s="113"/>
      <c r="BJ28" s="113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6"/>
      <c r="BZ28" s="143"/>
      <c r="CA28" s="106"/>
      <c r="CB28" s="114"/>
      <c r="CC28" s="114"/>
      <c r="CD28" s="114"/>
      <c r="CE28" s="115"/>
      <c r="CF28" s="80">
        <f t="shared" si="0"/>
        <v>25139</v>
      </c>
      <c r="CG28" s="127">
        <f>7199+9597+8343</f>
        <v>25139</v>
      </c>
      <c r="CH28" s="114"/>
      <c r="CI28" s="114"/>
      <c r="CJ28" s="114"/>
      <c r="CK28" s="114"/>
      <c r="CL28" s="114"/>
      <c r="CM28" s="114"/>
      <c r="CN28" s="156">
        <f t="shared" si="1"/>
        <v>25139</v>
      </c>
      <c r="CO28" s="127">
        <f>1200+9597+8343</f>
        <v>19140</v>
      </c>
      <c r="CP28" s="127"/>
      <c r="CQ28" s="127"/>
      <c r="CR28" s="127"/>
      <c r="CS28" s="106"/>
      <c r="CT28" s="114"/>
      <c r="CU28" s="127"/>
      <c r="CV28" s="127">
        <v>5999</v>
      </c>
      <c r="CW28" s="127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5"/>
      <c r="DO28" s="127"/>
      <c r="DP28" s="127"/>
      <c r="DQ28" s="127">
        <f>10+80</f>
        <v>90</v>
      </c>
      <c r="DR28" s="114"/>
      <c r="DS28" s="114"/>
      <c r="DT28" s="115"/>
      <c r="DU28" s="130"/>
      <c r="DV28" s="127"/>
      <c r="DW28" s="127"/>
      <c r="DX28" s="114"/>
      <c r="DY28" s="114"/>
      <c r="DZ28" s="127">
        <v>65</v>
      </c>
      <c r="EA28" s="127"/>
      <c r="EB28" s="114"/>
      <c r="EC28" s="114"/>
      <c r="ED28" s="114"/>
      <c r="EE28" s="114"/>
      <c r="EF28" s="106"/>
      <c r="EG28" s="106"/>
      <c r="EH28" s="106"/>
      <c r="EI28" s="107"/>
      <c r="EJ28" s="19">
        <v>24</v>
      </c>
      <c r="EK28" s="12">
        <v>24</v>
      </c>
      <c r="EL28" s="150">
        <f t="shared" si="2"/>
        <v>24</v>
      </c>
      <c r="EM28" s="151">
        <f t="shared" si="3"/>
        <v>1</v>
      </c>
      <c r="EN28" s="152">
        <f t="shared" si="4"/>
        <v>24</v>
      </c>
      <c r="EO28" s="127"/>
      <c r="EP28" s="127"/>
      <c r="EQ28" s="128"/>
      <c r="ER28" s="70">
        <f t="shared" si="5"/>
        <v>1047.4583333333333</v>
      </c>
      <c r="ES28" s="21">
        <f t="shared" si="6"/>
        <v>1047.4583333333333</v>
      </c>
      <c r="ET28" s="10" t="str">
        <f>IF(ISERROR(#REF!/#REF!)," ",#REF!/#REF!)</f>
        <v xml:space="preserve"> </v>
      </c>
      <c r="EU28" s="10"/>
      <c r="EV28" s="69" t="str">
        <f>IF(ISERROR(#REF!/#REF!)," ",#REF!/#REF!)</f>
        <v xml:space="preserve"> </v>
      </c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</row>
    <row r="29" spans="1:176" s="74" customFormat="1" x14ac:dyDescent="0.2">
      <c r="A29" s="18" t="e">
        <f>Lentilles!#REF!</f>
        <v>#REF!</v>
      </c>
      <c r="B29" s="20" t="e">
        <f>Lentilles!#REF!</f>
        <v>#REF!</v>
      </c>
      <c r="C29" s="139">
        <v>3</v>
      </c>
      <c r="D29" s="108">
        <f>9+8+3</f>
        <v>20</v>
      </c>
      <c r="E29" s="134"/>
      <c r="F29" s="134"/>
      <c r="G29" s="134"/>
      <c r="H29" s="134"/>
      <c r="I29" s="113"/>
      <c r="J29" s="113"/>
      <c r="K29" s="113"/>
      <c r="L29" s="113"/>
      <c r="M29" s="113"/>
      <c r="N29" s="134"/>
      <c r="O29" s="134"/>
      <c r="P29" s="134"/>
      <c r="Q29" s="134"/>
      <c r="R29" s="134"/>
      <c r="S29" s="134"/>
      <c r="T29" s="135"/>
      <c r="U29" s="127">
        <f>9770+8760+3200</f>
        <v>21730</v>
      </c>
      <c r="V29" s="113"/>
      <c r="W29" s="134"/>
      <c r="X29" s="113"/>
      <c r="Y29" s="113"/>
      <c r="Z29" s="113"/>
      <c r="AA29" s="134"/>
      <c r="AB29" s="134"/>
      <c r="AC29" s="134"/>
      <c r="AD29" s="113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  <c r="AR29" s="105">
        <f>6+2</f>
        <v>8</v>
      </c>
      <c r="AS29" s="105">
        <f>6+7</f>
        <v>13</v>
      </c>
      <c r="AT29" s="105"/>
      <c r="AU29" s="105"/>
      <c r="AV29" s="113"/>
      <c r="AW29" s="105"/>
      <c r="AX29" s="105"/>
      <c r="AY29" s="106"/>
      <c r="AZ29" s="106"/>
      <c r="BA29" s="113"/>
      <c r="BB29" s="113"/>
      <c r="BC29" s="113"/>
      <c r="BD29" s="113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5"/>
      <c r="BZ29" s="143">
        <v>1</v>
      </c>
      <c r="CA29" s="106"/>
      <c r="CB29" s="113"/>
      <c r="CC29" s="113"/>
      <c r="CD29" s="113"/>
      <c r="CE29" s="135"/>
      <c r="CF29" s="80">
        <f t="shared" si="0"/>
        <v>25179</v>
      </c>
      <c r="CG29" s="127">
        <f>7175+9603+8401</f>
        <v>25179</v>
      </c>
      <c r="CH29" s="134"/>
      <c r="CI29" s="113"/>
      <c r="CJ29" s="113"/>
      <c r="CK29" s="113"/>
      <c r="CL29" s="113"/>
      <c r="CM29" s="113"/>
      <c r="CN29" s="156">
        <f t="shared" si="1"/>
        <v>25179</v>
      </c>
      <c r="CO29" s="127">
        <f>7175+2401</f>
        <v>9576</v>
      </c>
      <c r="CP29" s="127">
        <f>7202+8401</f>
        <v>15603</v>
      </c>
      <c r="CQ29" s="127"/>
      <c r="CR29" s="127"/>
      <c r="CS29" s="105"/>
      <c r="CT29" s="134"/>
      <c r="CU29" s="127"/>
      <c r="CV29" s="127"/>
      <c r="CW29" s="127"/>
      <c r="CX29" s="134"/>
      <c r="CY29" s="113"/>
      <c r="CZ29" s="134"/>
      <c r="DA29" s="113"/>
      <c r="DB29" s="134"/>
      <c r="DC29" s="113"/>
      <c r="DD29" s="134"/>
      <c r="DE29" s="113"/>
      <c r="DF29" s="113"/>
      <c r="DG29" s="113"/>
      <c r="DH29" s="113"/>
      <c r="DI29" s="113"/>
      <c r="DJ29" s="134"/>
      <c r="DK29" s="113"/>
      <c r="DL29" s="134"/>
      <c r="DM29" s="113"/>
      <c r="DN29" s="135"/>
      <c r="DO29" s="127">
        <v>682</v>
      </c>
      <c r="DP29" s="127"/>
      <c r="DQ29" s="127">
        <v>30</v>
      </c>
      <c r="DR29" s="113"/>
      <c r="DS29" s="113"/>
      <c r="DT29" s="135"/>
      <c r="DU29" s="130"/>
      <c r="DV29" s="127"/>
      <c r="DW29" s="127"/>
      <c r="DX29" s="134"/>
      <c r="DY29" s="113"/>
      <c r="DZ29" s="127"/>
      <c r="EA29" s="127"/>
      <c r="EB29" s="113"/>
      <c r="EC29" s="113"/>
      <c r="ED29" s="113"/>
      <c r="EE29" s="113"/>
      <c r="EF29" s="105"/>
      <c r="EG29" s="131"/>
      <c r="EH29" s="105"/>
      <c r="EI29" s="132"/>
      <c r="EJ29" s="19">
        <v>24</v>
      </c>
      <c r="EK29" s="12">
        <v>24</v>
      </c>
      <c r="EL29" s="150">
        <f t="shared" si="2"/>
        <v>24</v>
      </c>
      <c r="EM29" s="151">
        <f t="shared" si="3"/>
        <v>1</v>
      </c>
      <c r="EN29" s="152">
        <f t="shared" si="4"/>
        <v>24</v>
      </c>
      <c r="EO29" s="127"/>
      <c r="EP29" s="127"/>
      <c r="EQ29" s="128"/>
      <c r="ER29" s="70">
        <f t="shared" si="5"/>
        <v>1049.125</v>
      </c>
      <c r="ES29" s="21">
        <f t="shared" si="6"/>
        <v>1049.125</v>
      </c>
      <c r="ET29" s="10" t="str">
        <f>IF(ISERROR(#REF!/#REF!)," ",#REF!/#REF!)</f>
        <v xml:space="preserve"> </v>
      </c>
      <c r="EU29" s="10"/>
      <c r="EV29" s="69" t="str">
        <f>IF(ISERROR(#REF!/#REF!)," ",#REF!/#REF!)</f>
        <v xml:space="preserve"> </v>
      </c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</row>
    <row r="30" spans="1:176" s="74" customFormat="1" x14ac:dyDescent="0.2">
      <c r="A30" s="18" t="e">
        <f>Lentilles!#REF!</f>
        <v>#REF!</v>
      </c>
      <c r="B30" s="20" t="e">
        <f>Lentilles!#REF!</f>
        <v>#REF!</v>
      </c>
      <c r="C30" s="139">
        <v>3</v>
      </c>
      <c r="D30" s="108">
        <v>3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5"/>
      <c r="U30" s="127">
        <f>3300+6370+11760+8550</f>
        <v>29980</v>
      </c>
      <c r="V30" s="127"/>
      <c r="W30" s="127"/>
      <c r="X30" s="127"/>
      <c r="Y30" s="127"/>
      <c r="Z30" s="127"/>
      <c r="AA30" s="127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5"/>
      <c r="AR30" s="105">
        <v>4</v>
      </c>
      <c r="AS30" s="105">
        <f>6+7+4</f>
        <v>17</v>
      </c>
      <c r="AT30" s="105"/>
      <c r="AU30" s="105"/>
      <c r="AV30" s="113"/>
      <c r="AW30" s="105"/>
      <c r="AX30" s="105"/>
      <c r="AY30" s="106"/>
      <c r="AZ30" s="106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5"/>
      <c r="BZ30" s="144"/>
      <c r="CA30" s="106"/>
      <c r="CB30" s="127"/>
      <c r="CC30" s="127"/>
      <c r="CD30" s="127"/>
      <c r="CE30" s="129"/>
      <c r="CF30" s="80">
        <f t="shared" si="0"/>
        <v>25180</v>
      </c>
      <c r="CG30" s="127">
        <f>7201+8403+9576</f>
        <v>25180</v>
      </c>
      <c r="CH30" s="127"/>
      <c r="CI30" s="127"/>
      <c r="CJ30" s="127"/>
      <c r="CK30" s="127"/>
      <c r="CL30" s="127"/>
      <c r="CM30" s="127"/>
      <c r="CN30" s="156">
        <f t="shared" si="1"/>
        <v>25180</v>
      </c>
      <c r="CO30" s="127">
        <v>4789</v>
      </c>
      <c r="CP30" s="127">
        <f>7201+8403+4787</f>
        <v>20391</v>
      </c>
      <c r="CQ30" s="127"/>
      <c r="CR30" s="127"/>
      <c r="CS30" s="127"/>
      <c r="CT30" s="127"/>
      <c r="CU30" s="127"/>
      <c r="CV30" s="127"/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9"/>
      <c r="DO30" s="127"/>
      <c r="DP30" s="127"/>
      <c r="DQ30" s="127">
        <v>30</v>
      </c>
      <c r="DR30" s="127"/>
      <c r="DS30" s="127"/>
      <c r="DT30" s="129"/>
      <c r="DU30" s="130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9"/>
      <c r="EJ30" s="19">
        <v>24</v>
      </c>
      <c r="EK30" s="12">
        <v>24</v>
      </c>
      <c r="EL30" s="150">
        <f t="shared" si="2"/>
        <v>24</v>
      </c>
      <c r="EM30" s="151">
        <f t="shared" si="3"/>
        <v>1</v>
      </c>
      <c r="EN30" s="152">
        <f t="shared" si="4"/>
        <v>24</v>
      </c>
      <c r="EO30" s="127"/>
      <c r="EP30" s="127"/>
      <c r="EQ30" s="128"/>
      <c r="ER30" s="70">
        <f t="shared" si="5"/>
        <v>1049.1666666666667</v>
      </c>
      <c r="ES30" s="21">
        <f t="shared" si="6"/>
        <v>1049.1666666666667</v>
      </c>
      <c r="ET30" s="10" t="str">
        <f>IF(ISERROR(#REF!/#REF!)," ",#REF!/#REF!)</f>
        <v xml:space="preserve"> </v>
      </c>
      <c r="EU30" s="10"/>
      <c r="EV30" s="69" t="str">
        <f>IF(ISERROR(#REF!/#REF!)," ",#REF!/#REF!)</f>
        <v xml:space="preserve"> </v>
      </c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</row>
    <row r="31" spans="1:176" s="74" customFormat="1" x14ac:dyDescent="0.2">
      <c r="A31" s="18" t="e">
        <f>Lentilles!#REF!</f>
        <v>#REF!</v>
      </c>
      <c r="B31" s="20" t="e">
        <f>Lentilles!#REF!</f>
        <v>#REF!</v>
      </c>
      <c r="C31" s="139">
        <v>3</v>
      </c>
      <c r="D31" s="108">
        <v>2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7"/>
      <c r="U31" s="127">
        <f>2020+9010+8290+3960</f>
        <v>23280</v>
      </c>
      <c r="V31" s="127"/>
      <c r="W31" s="127"/>
      <c r="X31" s="127"/>
      <c r="Y31" s="127"/>
      <c r="Z31" s="127"/>
      <c r="AA31" s="127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7"/>
      <c r="AR31" s="105">
        <f>8+7+1</f>
        <v>16</v>
      </c>
      <c r="AS31" s="105"/>
      <c r="AT31" s="105">
        <v>5</v>
      </c>
      <c r="AU31" s="105"/>
      <c r="AV31" s="105"/>
      <c r="AW31" s="105"/>
      <c r="AX31" s="105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7"/>
      <c r="BZ31" s="130"/>
      <c r="CA31" s="106"/>
      <c r="CB31" s="127"/>
      <c r="CC31" s="127"/>
      <c r="CD31" s="127"/>
      <c r="CE31" s="129"/>
      <c r="CF31" s="80">
        <f t="shared" si="0"/>
        <v>24147</v>
      </c>
      <c r="CG31" s="127">
        <f>9568+8373+6206</f>
        <v>24147</v>
      </c>
      <c r="CH31" s="127"/>
      <c r="CI31" s="127"/>
      <c r="CJ31" s="127"/>
      <c r="CK31" s="127"/>
      <c r="CL31" s="127"/>
      <c r="CM31" s="127"/>
      <c r="CN31" s="156">
        <f t="shared" si="1"/>
        <v>24147</v>
      </c>
      <c r="CO31" s="127">
        <f>9568+8373+1200</f>
        <v>19141</v>
      </c>
      <c r="CP31" s="127"/>
      <c r="CQ31" s="127">
        <v>5006</v>
      </c>
      <c r="CR31" s="127"/>
      <c r="CS31" s="127"/>
      <c r="CT31" s="127"/>
      <c r="CU31" s="127"/>
      <c r="CV31" s="127"/>
      <c r="CW31" s="127"/>
      <c r="CX31" s="127"/>
      <c r="CY31" s="127"/>
      <c r="CZ31" s="127"/>
      <c r="DA31" s="127"/>
      <c r="DB31" s="127"/>
      <c r="DC31" s="127"/>
      <c r="DD31" s="127"/>
      <c r="DE31" s="127"/>
      <c r="DF31" s="127"/>
      <c r="DG31" s="127"/>
      <c r="DH31" s="127"/>
      <c r="DI31" s="127"/>
      <c r="DJ31" s="127"/>
      <c r="DK31" s="127"/>
      <c r="DL31" s="127"/>
      <c r="DM31" s="127"/>
      <c r="DN31" s="129"/>
      <c r="DO31" s="127"/>
      <c r="DP31" s="127"/>
      <c r="DQ31" s="127">
        <f>100+10+110</f>
        <v>220</v>
      </c>
      <c r="DR31" s="127"/>
      <c r="DS31" s="127"/>
      <c r="DT31" s="129"/>
      <c r="DU31" s="130">
        <v>1250</v>
      </c>
      <c r="DV31" s="127">
        <v>26</v>
      </c>
      <c r="DW31" s="127"/>
      <c r="DX31" s="127"/>
      <c r="DY31" s="127"/>
      <c r="DZ31" s="127"/>
      <c r="EA31" s="127"/>
      <c r="EB31" s="127"/>
      <c r="EC31" s="127"/>
      <c r="ED31" s="127"/>
      <c r="EE31" s="127"/>
      <c r="EF31" s="127"/>
      <c r="EG31" s="127"/>
      <c r="EH31" s="127"/>
      <c r="EI31" s="129"/>
      <c r="EJ31" s="19">
        <v>24</v>
      </c>
      <c r="EK31" s="12">
        <v>24</v>
      </c>
      <c r="EL31" s="150">
        <f t="shared" si="2"/>
        <v>24</v>
      </c>
      <c r="EM31" s="151">
        <f t="shared" si="3"/>
        <v>1</v>
      </c>
      <c r="EN31" s="152">
        <f t="shared" si="4"/>
        <v>24</v>
      </c>
      <c r="EO31" s="127"/>
      <c r="EP31" s="127"/>
      <c r="EQ31" s="128"/>
      <c r="ER31" s="70">
        <f t="shared" si="5"/>
        <v>1006.125</v>
      </c>
      <c r="ES31" s="21">
        <f t="shared" si="6"/>
        <v>1006.125</v>
      </c>
      <c r="ET31" s="10" t="str">
        <f>IF(ISERROR(#REF!/#REF!)," ",#REF!/#REF!)</f>
        <v xml:space="preserve"> </v>
      </c>
      <c r="EU31" s="10"/>
      <c r="EV31" s="69" t="str">
        <f>IF(ISERROR(#REF!/#REF!)," ",#REF!/#REF!)</f>
        <v xml:space="preserve"> </v>
      </c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</row>
    <row r="32" spans="1:176" s="74" customFormat="1" x14ac:dyDescent="0.2">
      <c r="A32" s="18" t="e">
        <f>Lentilles!#REF!</f>
        <v>#REF!</v>
      </c>
      <c r="B32" s="20" t="e">
        <f>Lentilles!#REF!</f>
        <v>#REF!</v>
      </c>
      <c r="C32" s="139">
        <v>3</v>
      </c>
      <c r="D32" s="108">
        <f>1+2+2</f>
        <v>5</v>
      </c>
      <c r="E32" s="131"/>
      <c r="F32" s="145"/>
      <c r="G32" s="131"/>
      <c r="H32" s="131"/>
      <c r="I32" s="105"/>
      <c r="J32" s="105"/>
      <c r="K32" s="105"/>
      <c r="L32" s="105"/>
      <c r="M32" s="131"/>
      <c r="N32" s="131"/>
      <c r="O32" s="131"/>
      <c r="P32" s="131"/>
      <c r="Q32" s="131"/>
      <c r="R32" s="131"/>
      <c r="S32" s="131"/>
      <c r="T32" s="132"/>
      <c r="U32" s="127">
        <f>830+1780+1930+6860+6750+6880</f>
        <v>25030</v>
      </c>
      <c r="V32" s="127"/>
      <c r="W32" s="127"/>
      <c r="X32" s="127"/>
      <c r="Y32" s="127"/>
      <c r="Z32" s="127"/>
      <c r="AA32" s="127"/>
      <c r="AB32" s="131"/>
      <c r="AC32" s="105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131"/>
      <c r="AO32" s="131"/>
      <c r="AP32" s="131"/>
      <c r="AQ32" s="132"/>
      <c r="AR32" s="105"/>
      <c r="AS32" s="105"/>
      <c r="AT32" s="105">
        <f>9+9+10</f>
        <v>28</v>
      </c>
      <c r="AU32" s="105"/>
      <c r="AV32" s="105"/>
      <c r="AW32" s="105"/>
      <c r="AX32" s="105"/>
      <c r="AY32" s="106"/>
      <c r="AZ32" s="106"/>
      <c r="BA32" s="106"/>
      <c r="BB32" s="105"/>
      <c r="BC32" s="131"/>
      <c r="BD32" s="131"/>
      <c r="BE32" s="131"/>
      <c r="BF32" s="131"/>
      <c r="BG32" s="131"/>
      <c r="BH32" s="131"/>
      <c r="BI32" s="131"/>
      <c r="BJ32" s="145"/>
      <c r="BK32" s="131"/>
      <c r="BL32" s="131"/>
      <c r="BM32" s="131"/>
      <c r="BN32" s="131"/>
      <c r="BO32" s="131"/>
      <c r="BP32" s="131"/>
      <c r="BQ32" s="131"/>
      <c r="BR32" s="131"/>
      <c r="BS32" s="131"/>
      <c r="BT32" s="131"/>
      <c r="BU32" s="131"/>
      <c r="BV32" s="131"/>
      <c r="BW32" s="131"/>
      <c r="BX32" s="131"/>
      <c r="BY32" s="132"/>
      <c r="BZ32" s="130">
        <v>1</v>
      </c>
      <c r="CA32" s="106"/>
      <c r="CB32" s="127"/>
      <c r="CC32" s="127"/>
      <c r="CD32" s="127"/>
      <c r="CE32" s="129"/>
      <c r="CF32" s="80">
        <f t="shared" si="0"/>
        <v>26624</v>
      </c>
      <c r="CG32" s="127">
        <f>8304+9011+9309</f>
        <v>26624</v>
      </c>
      <c r="CH32" s="127"/>
      <c r="CI32" s="127"/>
      <c r="CJ32" s="127"/>
      <c r="CK32" s="127"/>
      <c r="CL32" s="127"/>
      <c r="CM32" s="127"/>
      <c r="CN32" s="156">
        <f t="shared" si="1"/>
        <v>26624</v>
      </c>
      <c r="CO32" s="127"/>
      <c r="CP32" s="127"/>
      <c r="CQ32" s="127">
        <f>8304+9011+9309</f>
        <v>26624</v>
      </c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27"/>
      <c r="DD32" s="127"/>
      <c r="DE32" s="127"/>
      <c r="DF32" s="127"/>
      <c r="DG32" s="127"/>
      <c r="DH32" s="127"/>
      <c r="DI32" s="127"/>
      <c r="DJ32" s="127"/>
      <c r="DK32" s="127"/>
      <c r="DL32" s="127"/>
      <c r="DM32" s="127"/>
      <c r="DN32" s="129"/>
      <c r="DO32" s="127">
        <v>542</v>
      </c>
      <c r="DP32" s="127"/>
      <c r="DQ32" s="127">
        <f>60+20+250</f>
        <v>330</v>
      </c>
      <c r="DR32" s="127"/>
      <c r="DS32" s="127"/>
      <c r="DT32" s="129"/>
      <c r="DU32" s="130"/>
      <c r="DV32" s="127">
        <v>39</v>
      </c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9"/>
      <c r="EJ32" s="19">
        <v>24</v>
      </c>
      <c r="EK32" s="12">
        <v>24</v>
      </c>
      <c r="EL32" s="153">
        <f t="shared" si="2"/>
        <v>24</v>
      </c>
      <c r="EM32" s="151">
        <f t="shared" si="3"/>
        <v>1</v>
      </c>
      <c r="EN32" s="152">
        <f t="shared" si="4"/>
        <v>24</v>
      </c>
      <c r="EO32" s="127"/>
      <c r="EP32" s="127"/>
      <c r="EQ32" s="128"/>
      <c r="ER32" s="70">
        <f t="shared" si="5"/>
        <v>1109.3333333333333</v>
      </c>
      <c r="ES32" s="21">
        <f t="shared" si="6"/>
        <v>1109.3333333333333</v>
      </c>
      <c r="ET32" s="10" t="str">
        <f>IF(ISERROR(#REF!/#REF!)," ",#REF!/#REF!)</f>
        <v xml:space="preserve"> </v>
      </c>
      <c r="EU32" s="10"/>
      <c r="EV32" s="69" t="str">
        <f>IF(ISERROR(#REF!/#REF!)," ",#REF!/#REF!)</f>
        <v xml:space="preserve"> </v>
      </c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</row>
    <row r="33" spans="1:176" s="74" customFormat="1" x14ac:dyDescent="0.2">
      <c r="A33" s="18" t="e">
        <f>Lentilles!#REF!</f>
        <v>#REF!</v>
      </c>
      <c r="B33" s="20" t="e">
        <f>Lentilles!#REF!</f>
        <v>#REF!</v>
      </c>
      <c r="C33" s="139">
        <v>3</v>
      </c>
      <c r="D33" s="108">
        <f>2+5</f>
        <v>7</v>
      </c>
      <c r="E33" s="131"/>
      <c r="F33" s="105"/>
      <c r="G33" s="131"/>
      <c r="H33" s="131"/>
      <c r="I33" s="105"/>
      <c r="J33" s="105"/>
      <c r="K33" s="105"/>
      <c r="L33" s="105"/>
      <c r="M33" s="131"/>
      <c r="N33" s="131"/>
      <c r="O33" s="131"/>
      <c r="P33" s="131"/>
      <c r="Q33" s="131"/>
      <c r="R33" s="131"/>
      <c r="S33" s="131"/>
      <c r="T33" s="132"/>
      <c r="U33" s="127">
        <f>2150+5430+5950+7490+2460</f>
        <v>23480</v>
      </c>
      <c r="V33" s="127"/>
      <c r="W33" s="127"/>
      <c r="X33" s="127"/>
      <c r="Y33" s="127"/>
      <c r="Z33" s="127"/>
      <c r="AA33" s="127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2"/>
      <c r="AR33" s="105"/>
      <c r="AS33" s="105"/>
      <c r="AT33" s="105">
        <f>9+7+8</f>
        <v>24</v>
      </c>
      <c r="AU33" s="105"/>
      <c r="AV33" s="105"/>
      <c r="AW33" s="105"/>
      <c r="AX33" s="105"/>
      <c r="AY33" s="106"/>
      <c r="AZ33" s="106"/>
      <c r="BA33" s="105"/>
      <c r="BB33" s="105"/>
      <c r="BC33" s="131"/>
      <c r="BD33" s="131"/>
      <c r="BE33" s="131"/>
      <c r="BF33" s="131"/>
      <c r="BG33" s="131"/>
      <c r="BH33" s="131"/>
      <c r="BI33" s="131"/>
      <c r="BJ33" s="105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2"/>
      <c r="BZ33" s="130"/>
      <c r="CA33" s="106"/>
      <c r="CB33" s="127"/>
      <c r="CC33" s="127"/>
      <c r="CD33" s="127"/>
      <c r="CE33" s="129"/>
      <c r="CF33" s="80">
        <f t="shared" si="0"/>
        <v>23309</v>
      </c>
      <c r="CG33" s="127">
        <f>9008+7000+7301</f>
        <v>23309</v>
      </c>
      <c r="CH33" s="127"/>
      <c r="CI33" s="127"/>
      <c r="CJ33" s="127"/>
      <c r="CK33" s="127"/>
      <c r="CL33" s="127"/>
      <c r="CM33" s="127"/>
      <c r="CN33" s="156">
        <f t="shared" si="1"/>
        <v>23309</v>
      </c>
      <c r="CO33" s="127"/>
      <c r="CP33" s="127"/>
      <c r="CQ33" s="127">
        <f>9008+7000+7301</f>
        <v>23309</v>
      </c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9"/>
      <c r="DO33" s="127"/>
      <c r="DP33" s="127"/>
      <c r="DQ33" s="127">
        <f>60+70</f>
        <v>130</v>
      </c>
      <c r="DR33" s="127"/>
      <c r="DS33" s="127"/>
      <c r="DT33" s="129"/>
      <c r="DU33" s="130"/>
      <c r="DV33" s="127">
        <v>26</v>
      </c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9"/>
      <c r="EJ33" s="19">
        <v>24</v>
      </c>
      <c r="EK33" s="12">
        <v>24</v>
      </c>
      <c r="EL33" s="150">
        <f t="shared" si="2"/>
        <v>24</v>
      </c>
      <c r="EM33" s="151">
        <f t="shared" si="3"/>
        <v>1</v>
      </c>
      <c r="EN33" s="152">
        <f t="shared" si="4"/>
        <v>24</v>
      </c>
      <c r="EO33" s="127"/>
      <c r="EP33" s="127"/>
      <c r="EQ33" s="128"/>
      <c r="ER33" s="70">
        <f t="shared" si="5"/>
        <v>971.20833333333337</v>
      </c>
      <c r="ES33" s="21">
        <f t="shared" si="6"/>
        <v>971.20833333333337</v>
      </c>
      <c r="ET33" s="10" t="str">
        <f>IF(ISERROR(#REF!/#REF!)," ",#REF!/#REF!)</f>
        <v xml:space="preserve"> </v>
      </c>
      <c r="EU33" s="10"/>
      <c r="EV33" s="69" t="str">
        <f>IF(ISERROR(#REF!/#REF!)," ",#REF!/#REF!)</f>
        <v xml:space="preserve"> </v>
      </c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</row>
    <row r="34" spans="1:176" s="74" customFormat="1" x14ac:dyDescent="0.2">
      <c r="A34" s="18" t="e">
        <f>Lentilles!#REF!</f>
        <v>#REF!</v>
      </c>
      <c r="B34" s="20" t="e">
        <f>Lentilles!#REF!</f>
        <v>#REF!</v>
      </c>
      <c r="C34" s="139"/>
      <c r="D34" s="108"/>
      <c r="E34" s="105"/>
      <c r="F34" s="10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7"/>
      <c r="U34" s="127"/>
      <c r="V34" s="127"/>
      <c r="W34" s="127"/>
      <c r="X34" s="127"/>
      <c r="Y34" s="127"/>
      <c r="Z34" s="127"/>
      <c r="AA34" s="127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7"/>
      <c r="AR34" s="105"/>
      <c r="AS34" s="105"/>
      <c r="AT34" s="105"/>
      <c r="AU34" s="105"/>
      <c r="AV34" s="105"/>
      <c r="AW34" s="105"/>
      <c r="AX34" s="105"/>
      <c r="AY34" s="106"/>
      <c r="AZ34" s="106"/>
      <c r="BA34" s="106"/>
      <c r="BB34" s="105"/>
      <c r="BC34" s="106"/>
      <c r="BD34" s="106"/>
      <c r="BE34" s="106"/>
      <c r="BF34" s="105"/>
      <c r="BG34" s="105"/>
      <c r="BH34" s="106"/>
      <c r="BI34" s="105"/>
      <c r="BJ34" s="105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12"/>
      <c r="BZ34" s="130"/>
      <c r="CA34" s="106"/>
      <c r="CB34" s="127"/>
      <c r="CC34" s="127"/>
      <c r="CD34" s="127"/>
      <c r="CE34" s="129"/>
      <c r="CF34" s="80">
        <f t="shared" si="0"/>
        <v>0</v>
      </c>
      <c r="CG34" s="127"/>
      <c r="CH34" s="127"/>
      <c r="CI34" s="127"/>
      <c r="CJ34" s="127"/>
      <c r="CK34" s="127"/>
      <c r="CL34" s="127"/>
      <c r="CM34" s="127"/>
      <c r="CN34" s="156">
        <f t="shared" si="1"/>
        <v>0</v>
      </c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27"/>
      <c r="DD34" s="127"/>
      <c r="DE34" s="127"/>
      <c r="DF34" s="127"/>
      <c r="DG34" s="127"/>
      <c r="DH34" s="127"/>
      <c r="DI34" s="127"/>
      <c r="DJ34" s="127"/>
      <c r="DK34" s="127"/>
      <c r="DL34" s="127"/>
      <c r="DM34" s="127"/>
      <c r="DN34" s="129"/>
      <c r="DO34" s="127"/>
      <c r="DP34" s="127"/>
      <c r="DQ34" s="127"/>
      <c r="DR34" s="127"/>
      <c r="DS34" s="127"/>
      <c r="DT34" s="129"/>
      <c r="DU34" s="130"/>
      <c r="DV34" s="127"/>
      <c r="DW34" s="127"/>
      <c r="DX34" s="127"/>
      <c r="DY34" s="127"/>
      <c r="DZ34" s="127"/>
      <c r="EA34" s="127"/>
      <c r="EB34" s="127"/>
      <c r="EC34" s="127"/>
      <c r="ED34" s="127"/>
      <c r="EE34" s="127"/>
      <c r="EF34" s="127"/>
      <c r="EG34" s="127"/>
      <c r="EH34" s="127"/>
      <c r="EI34" s="129"/>
      <c r="EJ34" s="19"/>
      <c r="EK34" s="12"/>
      <c r="EL34" s="21" t="str">
        <f t="shared" si="2"/>
        <v xml:space="preserve"> </v>
      </c>
      <c r="EM34" s="68" t="str">
        <f t="shared" si="3"/>
        <v xml:space="preserve"> </v>
      </c>
      <c r="EN34" s="10" t="str">
        <f t="shared" si="4"/>
        <v/>
      </c>
      <c r="EO34" s="127"/>
      <c r="EP34" s="127"/>
      <c r="EQ34" s="128"/>
      <c r="ER34" s="70" t="str">
        <f t="shared" si="5"/>
        <v xml:space="preserve"> </v>
      </c>
      <c r="ES34" s="21" t="str">
        <f t="shared" si="6"/>
        <v xml:space="preserve"> </v>
      </c>
      <c r="ET34" s="10" t="str">
        <f>IF(ISERROR(#REF!/#REF!)," ",#REF!/#REF!)</f>
        <v xml:space="preserve"> </v>
      </c>
      <c r="EU34" s="10"/>
      <c r="EV34" s="69" t="str">
        <f>IF(ISERROR(#REF!/#REF!)," ",#REF!/#REF!)</f>
        <v xml:space="preserve"> </v>
      </c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</row>
    <row r="35" spans="1:176" s="74" customFormat="1" x14ac:dyDescent="0.2">
      <c r="A35" s="18"/>
      <c r="B35" s="20"/>
      <c r="C35" s="139"/>
      <c r="D35" s="108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12"/>
      <c r="U35" s="127"/>
      <c r="V35" s="127"/>
      <c r="W35" s="127"/>
      <c r="X35" s="127"/>
      <c r="Y35" s="127"/>
      <c r="Z35" s="127"/>
      <c r="AA35" s="127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12"/>
      <c r="AR35" s="105"/>
      <c r="AS35" s="105"/>
      <c r="AT35" s="105"/>
      <c r="AU35" s="105"/>
      <c r="AV35" s="103"/>
      <c r="AW35" s="105"/>
      <c r="AX35" s="105"/>
      <c r="AY35" s="106"/>
      <c r="AZ35" s="106"/>
      <c r="BA35" s="103"/>
      <c r="BB35" s="105"/>
      <c r="BC35" s="105"/>
      <c r="BD35" s="105"/>
      <c r="BE35" s="105"/>
      <c r="BF35" s="103"/>
      <c r="BG35" s="105"/>
      <c r="BH35" s="105"/>
      <c r="BI35" s="105"/>
      <c r="BJ35" s="105"/>
      <c r="BK35" s="105"/>
      <c r="BL35" s="105"/>
      <c r="BM35" s="105"/>
      <c r="BN35" s="105"/>
      <c r="BO35" s="105"/>
      <c r="BP35" s="105"/>
      <c r="BQ35" s="105"/>
      <c r="BR35" s="105"/>
      <c r="BS35" s="105"/>
      <c r="BT35" s="105"/>
      <c r="BU35" s="105"/>
      <c r="BV35" s="105"/>
      <c r="BW35" s="105"/>
      <c r="BX35" s="105"/>
      <c r="BY35" s="112"/>
      <c r="BZ35" s="130"/>
      <c r="CA35" s="106"/>
      <c r="CB35" s="127"/>
      <c r="CC35" s="127"/>
      <c r="CD35" s="127"/>
      <c r="CE35" s="129"/>
      <c r="CF35" s="80">
        <f t="shared" si="0"/>
        <v>0</v>
      </c>
      <c r="CG35" s="127"/>
      <c r="CH35" s="127"/>
      <c r="CI35" s="127"/>
      <c r="CJ35" s="127"/>
      <c r="CK35" s="127"/>
      <c r="CL35" s="127"/>
      <c r="CM35" s="127"/>
      <c r="CN35" s="156">
        <f t="shared" si="1"/>
        <v>0</v>
      </c>
      <c r="CO35" s="127"/>
      <c r="CP35" s="127"/>
      <c r="CQ35" s="127"/>
      <c r="CR35" s="127"/>
      <c r="CS35" s="127"/>
      <c r="CT35" s="127"/>
      <c r="CU35" s="127"/>
      <c r="CV35" s="127"/>
      <c r="CW35" s="127"/>
      <c r="CX35" s="127"/>
      <c r="CY35" s="127"/>
      <c r="CZ35" s="127"/>
      <c r="DA35" s="127"/>
      <c r="DB35" s="127"/>
      <c r="DC35" s="127"/>
      <c r="DD35" s="127"/>
      <c r="DE35" s="127"/>
      <c r="DF35" s="127"/>
      <c r="DG35" s="127"/>
      <c r="DH35" s="127"/>
      <c r="DI35" s="127"/>
      <c r="DJ35" s="127"/>
      <c r="DK35" s="127"/>
      <c r="DL35" s="127"/>
      <c r="DM35" s="127"/>
      <c r="DN35" s="129"/>
      <c r="DO35" s="127"/>
      <c r="DP35" s="127"/>
      <c r="DQ35" s="127"/>
      <c r="DR35" s="127"/>
      <c r="DS35" s="127"/>
      <c r="DT35" s="129"/>
      <c r="DU35" s="130"/>
      <c r="DV35" s="127"/>
      <c r="DW35" s="127"/>
      <c r="DX35" s="127"/>
      <c r="DY35" s="127"/>
      <c r="DZ35" s="127"/>
      <c r="EA35" s="127"/>
      <c r="EB35" s="127"/>
      <c r="EC35" s="127"/>
      <c r="ED35" s="127"/>
      <c r="EE35" s="127"/>
      <c r="EF35" s="127"/>
      <c r="EG35" s="127"/>
      <c r="EH35" s="127"/>
      <c r="EI35" s="129"/>
      <c r="EJ35" s="19"/>
      <c r="EK35" s="12"/>
      <c r="EL35" s="21" t="str">
        <f t="shared" si="2"/>
        <v xml:space="preserve"> </v>
      </c>
      <c r="EM35" s="68" t="str">
        <f t="shared" si="3"/>
        <v xml:space="preserve"> </v>
      </c>
      <c r="EN35" s="10" t="str">
        <f t="shared" si="4"/>
        <v/>
      </c>
      <c r="EO35" s="127"/>
      <c r="EP35" s="127"/>
      <c r="EQ35" s="128"/>
      <c r="ER35" s="70" t="str">
        <f t="shared" si="5"/>
        <v xml:space="preserve"> </v>
      </c>
      <c r="ES35" s="21" t="str">
        <f t="shared" si="6"/>
        <v xml:space="preserve"> </v>
      </c>
      <c r="ET35" s="10" t="str">
        <f>IF(ISERROR(#REF!/#REF!)," ",#REF!/#REF!)</f>
        <v xml:space="preserve"> </v>
      </c>
      <c r="EU35" s="10"/>
      <c r="EV35" s="69" t="str">
        <f>IF(ISERROR(#REF!/#REF!)," ",#REF!/#REF!)</f>
        <v xml:space="preserve"> </v>
      </c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</row>
    <row r="36" spans="1:176" s="74" customFormat="1" ht="13.5" thickBot="1" x14ac:dyDescent="0.25">
      <c r="A36" s="46" t="s">
        <v>2</v>
      </c>
      <c r="B36" s="82"/>
      <c r="C36" s="146">
        <f t="shared" ref="C36:BX36" si="7">SUM(C4:C35)</f>
        <v>90</v>
      </c>
      <c r="D36" s="147">
        <f t="shared" si="7"/>
        <v>263</v>
      </c>
      <c r="E36" s="125">
        <f t="shared" si="7"/>
        <v>0</v>
      </c>
      <c r="F36" s="125">
        <f t="shared" si="7"/>
        <v>0</v>
      </c>
      <c r="G36" s="125">
        <f>SUM(G4:G35)</f>
        <v>0</v>
      </c>
      <c r="H36" s="125">
        <f t="shared" si="7"/>
        <v>0</v>
      </c>
      <c r="I36" s="125">
        <f t="shared" si="7"/>
        <v>0</v>
      </c>
      <c r="J36" s="125">
        <f t="shared" si="7"/>
        <v>0</v>
      </c>
      <c r="K36" s="125">
        <f t="shared" si="7"/>
        <v>0</v>
      </c>
      <c r="L36" s="125">
        <f t="shared" si="7"/>
        <v>0</v>
      </c>
      <c r="M36" s="125">
        <f t="shared" si="7"/>
        <v>0</v>
      </c>
      <c r="N36" s="125">
        <f t="shared" si="7"/>
        <v>0</v>
      </c>
      <c r="O36" s="125">
        <f t="shared" si="7"/>
        <v>0</v>
      </c>
      <c r="P36" s="125">
        <f t="shared" si="7"/>
        <v>0</v>
      </c>
      <c r="Q36" s="125">
        <f t="shared" si="7"/>
        <v>0</v>
      </c>
      <c r="R36" s="125">
        <f t="shared" si="7"/>
        <v>0</v>
      </c>
      <c r="S36" s="125">
        <f t="shared" si="7"/>
        <v>0</v>
      </c>
      <c r="T36" s="126">
        <f t="shared" si="7"/>
        <v>0</v>
      </c>
      <c r="U36" s="138">
        <f t="shared" ref="U36:AQ36" si="8">SUM(U4:U35)</f>
        <v>697040</v>
      </c>
      <c r="V36" s="136">
        <f t="shared" si="8"/>
        <v>0</v>
      </c>
      <c r="W36" s="136">
        <f t="shared" si="8"/>
        <v>0</v>
      </c>
      <c r="X36" s="136">
        <f t="shared" si="8"/>
        <v>0</v>
      </c>
      <c r="Y36" s="136">
        <f t="shared" si="8"/>
        <v>0</v>
      </c>
      <c r="Z36" s="136">
        <f t="shared" si="8"/>
        <v>0</v>
      </c>
      <c r="AA36" s="136">
        <f t="shared" si="8"/>
        <v>0</v>
      </c>
      <c r="AB36" s="136">
        <f t="shared" si="8"/>
        <v>0</v>
      </c>
      <c r="AC36" s="136">
        <f t="shared" si="8"/>
        <v>0</v>
      </c>
      <c r="AD36" s="136">
        <f t="shared" si="8"/>
        <v>0</v>
      </c>
      <c r="AE36" s="136">
        <f t="shared" si="8"/>
        <v>0</v>
      </c>
      <c r="AF36" s="136">
        <f t="shared" si="8"/>
        <v>0</v>
      </c>
      <c r="AG36" s="136">
        <f t="shared" si="8"/>
        <v>0</v>
      </c>
      <c r="AH36" s="136">
        <f t="shared" si="8"/>
        <v>0</v>
      </c>
      <c r="AI36" s="136">
        <f t="shared" si="8"/>
        <v>0</v>
      </c>
      <c r="AJ36" s="136">
        <f t="shared" si="8"/>
        <v>0</v>
      </c>
      <c r="AK36" s="136">
        <f t="shared" si="8"/>
        <v>0</v>
      </c>
      <c r="AL36" s="136">
        <f t="shared" si="8"/>
        <v>0</v>
      </c>
      <c r="AM36" s="136">
        <f t="shared" si="8"/>
        <v>0</v>
      </c>
      <c r="AN36" s="136">
        <f t="shared" si="8"/>
        <v>0</v>
      </c>
      <c r="AO36" s="136">
        <f t="shared" si="8"/>
        <v>0</v>
      </c>
      <c r="AP36" s="136">
        <f t="shared" si="8"/>
        <v>0</v>
      </c>
      <c r="AQ36" s="137">
        <f t="shared" si="8"/>
        <v>0</v>
      </c>
      <c r="AR36" s="124">
        <f t="shared" si="7"/>
        <v>205</v>
      </c>
      <c r="AS36" s="125">
        <f t="shared" si="7"/>
        <v>59</v>
      </c>
      <c r="AT36" s="125">
        <f t="shared" si="7"/>
        <v>235</v>
      </c>
      <c r="AU36" s="125">
        <f t="shared" si="7"/>
        <v>61</v>
      </c>
      <c r="AV36" s="125">
        <f t="shared" si="7"/>
        <v>20</v>
      </c>
      <c r="AW36" s="125">
        <f t="shared" si="7"/>
        <v>0</v>
      </c>
      <c r="AX36" s="125">
        <f t="shared" si="7"/>
        <v>26</v>
      </c>
      <c r="AY36" s="125">
        <f>SUM(AY4:AY35)</f>
        <v>27</v>
      </c>
      <c r="AZ36" s="125">
        <f t="shared" si="7"/>
        <v>11</v>
      </c>
      <c r="BA36" s="125">
        <f t="shared" si="7"/>
        <v>0</v>
      </c>
      <c r="BB36" s="125">
        <f t="shared" si="7"/>
        <v>0</v>
      </c>
      <c r="BC36" s="125">
        <f t="shared" si="7"/>
        <v>0</v>
      </c>
      <c r="BD36" s="125">
        <f t="shared" si="7"/>
        <v>0</v>
      </c>
      <c r="BE36" s="125">
        <f t="shared" si="7"/>
        <v>0</v>
      </c>
      <c r="BF36" s="125">
        <f t="shared" si="7"/>
        <v>0</v>
      </c>
      <c r="BG36" s="125">
        <f t="shared" si="7"/>
        <v>0</v>
      </c>
      <c r="BH36" s="125">
        <f t="shared" si="7"/>
        <v>0</v>
      </c>
      <c r="BI36" s="125">
        <f t="shared" si="7"/>
        <v>0</v>
      </c>
      <c r="BJ36" s="125">
        <f t="shared" si="7"/>
        <v>0</v>
      </c>
      <c r="BK36" s="125">
        <f t="shared" si="7"/>
        <v>0</v>
      </c>
      <c r="BL36" s="125">
        <f t="shared" si="7"/>
        <v>0</v>
      </c>
      <c r="BM36" s="125">
        <f t="shared" si="7"/>
        <v>0</v>
      </c>
      <c r="BN36" s="125">
        <f t="shared" si="7"/>
        <v>0</v>
      </c>
      <c r="BO36" s="125">
        <f t="shared" si="7"/>
        <v>0</v>
      </c>
      <c r="BP36" s="125">
        <f t="shared" si="7"/>
        <v>0</v>
      </c>
      <c r="BQ36" s="125">
        <f t="shared" si="7"/>
        <v>0</v>
      </c>
      <c r="BR36" s="125">
        <f t="shared" si="7"/>
        <v>0</v>
      </c>
      <c r="BS36" s="125">
        <f t="shared" si="7"/>
        <v>0</v>
      </c>
      <c r="BT36" s="125">
        <f t="shared" si="7"/>
        <v>0</v>
      </c>
      <c r="BU36" s="125">
        <f t="shared" si="7"/>
        <v>0</v>
      </c>
      <c r="BV36" s="125">
        <f t="shared" si="7"/>
        <v>0</v>
      </c>
      <c r="BW36" s="125">
        <f t="shared" si="7"/>
        <v>0</v>
      </c>
      <c r="BX36" s="125">
        <f t="shared" si="7"/>
        <v>0</v>
      </c>
      <c r="BY36" s="126">
        <f>SUM(BY4:BY35)</f>
        <v>0</v>
      </c>
      <c r="BZ36" s="138">
        <f t="shared" ref="BZ36:CE36" si="9">SUM(BZ4:BZ35)</f>
        <v>11</v>
      </c>
      <c r="CA36" s="136">
        <f t="shared" si="9"/>
        <v>0</v>
      </c>
      <c r="CB36" s="136">
        <f t="shared" si="9"/>
        <v>0</v>
      </c>
      <c r="CC36" s="136">
        <f t="shared" si="9"/>
        <v>0</v>
      </c>
      <c r="CD36" s="136">
        <f t="shared" si="9"/>
        <v>0</v>
      </c>
      <c r="CE36" s="137">
        <f t="shared" si="9"/>
        <v>0</v>
      </c>
      <c r="CF36" s="46">
        <f t="shared" ref="CF36:CN36" si="10">SUM(CF4:CF35)</f>
        <v>712512</v>
      </c>
      <c r="CG36" s="136">
        <f t="shared" si="10"/>
        <v>712512</v>
      </c>
      <c r="CH36" s="136">
        <f t="shared" si="10"/>
        <v>0</v>
      </c>
      <c r="CI36" s="136">
        <f t="shared" si="10"/>
        <v>0</v>
      </c>
      <c r="CJ36" s="136">
        <f t="shared" si="10"/>
        <v>0</v>
      </c>
      <c r="CK36" s="136">
        <f t="shared" si="10"/>
        <v>0</v>
      </c>
      <c r="CL36" s="136">
        <f t="shared" si="10"/>
        <v>0</v>
      </c>
      <c r="CM36" s="136">
        <f t="shared" si="10"/>
        <v>0</v>
      </c>
      <c r="CN36" s="137">
        <f t="shared" si="10"/>
        <v>712512</v>
      </c>
      <c r="CO36" s="138">
        <f>SUM(CO4:CO35)</f>
        <v>245599</v>
      </c>
      <c r="CP36" s="136">
        <f t="shared" ref="CP36:DT36" si="11">SUM(CP4:CP35)</f>
        <v>69699</v>
      </c>
      <c r="CQ36" s="136">
        <f t="shared" si="11"/>
        <v>226185</v>
      </c>
      <c r="CR36" s="136">
        <f t="shared" si="11"/>
        <v>72409</v>
      </c>
      <c r="CS36" s="136">
        <f t="shared" si="11"/>
        <v>24010</v>
      </c>
      <c r="CT36" s="136">
        <f t="shared" si="11"/>
        <v>0</v>
      </c>
      <c r="CU36" s="136">
        <f t="shared" si="11"/>
        <v>31204</v>
      </c>
      <c r="CV36" s="136">
        <f t="shared" si="11"/>
        <v>32401</v>
      </c>
      <c r="CW36" s="136">
        <f t="shared" si="11"/>
        <v>11005</v>
      </c>
      <c r="CX36" s="136">
        <f t="shared" si="11"/>
        <v>0</v>
      </c>
      <c r="CY36" s="136">
        <f t="shared" si="11"/>
        <v>0</v>
      </c>
      <c r="CZ36" s="136">
        <f t="shared" si="11"/>
        <v>0</v>
      </c>
      <c r="DA36" s="136">
        <f t="shared" si="11"/>
        <v>0</v>
      </c>
      <c r="DB36" s="136">
        <f t="shared" si="11"/>
        <v>0</v>
      </c>
      <c r="DC36" s="136">
        <f t="shared" si="11"/>
        <v>0</v>
      </c>
      <c r="DD36" s="136">
        <f t="shared" si="11"/>
        <v>0</v>
      </c>
      <c r="DE36" s="136">
        <f t="shared" si="11"/>
        <v>0</v>
      </c>
      <c r="DF36" s="136">
        <f t="shared" si="11"/>
        <v>0</v>
      </c>
      <c r="DG36" s="136">
        <f t="shared" si="11"/>
        <v>0</v>
      </c>
      <c r="DH36" s="136">
        <f t="shared" si="11"/>
        <v>0</v>
      </c>
      <c r="DI36" s="136">
        <f t="shared" si="11"/>
        <v>0</v>
      </c>
      <c r="DJ36" s="136">
        <f t="shared" si="11"/>
        <v>0</v>
      </c>
      <c r="DK36" s="136">
        <f t="shared" si="11"/>
        <v>0</v>
      </c>
      <c r="DL36" s="136">
        <f t="shared" si="11"/>
        <v>0</v>
      </c>
      <c r="DM36" s="136">
        <f t="shared" si="11"/>
        <v>0</v>
      </c>
      <c r="DN36" s="137">
        <f t="shared" si="11"/>
        <v>0</v>
      </c>
      <c r="DO36" s="138">
        <f t="shared" si="11"/>
        <v>7432</v>
      </c>
      <c r="DP36" s="136">
        <f t="shared" si="11"/>
        <v>0</v>
      </c>
      <c r="DQ36" s="136">
        <f t="shared" si="11"/>
        <v>5400</v>
      </c>
      <c r="DR36" s="136">
        <f t="shared" si="11"/>
        <v>0</v>
      </c>
      <c r="DS36" s="136">
        <f t="shared" si="11"/>
        <v>0</v>
      </c>
      <c r="DT36" s="137">
        <f t="shared" si="11"/>
        <v>0</v>
      </c>
      <c r="DU36" s="138">
        <f t="shared" ref="DU36:EI36" si="12">SUM(DU4:DU35)</f>
        <v>2500</v>
      </c>
      <c r="DV36" s="136">
        <f t="shared" si="12"/>
        <v>1066</v>
      </c>
      <c r="DW36" s="136">
        <f t="shared" si="12"/>
        <v>195</v>
      </c>
      <c r="DX36" s="136">
        <f t="shared" si="12"/>
        <v>0</v>
      </c>
      <c r="DY36" s="136">
        <f t="shared" si="12"/>
        <v>0</v>
      </c>
      <c r="DZ36" s="136">
        <f t="shared" si="12"/>
        <v>540</v>
      </c>
      <c r="EA36" s="136">
        <f t="shared" si="12"/>
        <v>104</v>
      </c>
      <c r="EB36" s="136">
        <f t="shared" si="12"/>
        <v>0</v>
      </c>
      <c r="EC36" s="136">
        <f t="shared" si="12"/>
        <v>3000</v>
      </c>
      <c r="ED36" s="136">
        <f t="shared" si="12"/>
        <v>0</v>
      </c>
      <c r="EE36" s="136">
        <f t="shared" si="12"/>
        <v>0</v>
      </c>
      <c r="EF36" s="136">
        <f t="shared" si="12"/>
        <v>0</v>
      </c>
      <c r="EG36" s="136">
        <f t="shared" si="12"/>
        <v>0</v>
      </c>
      <c r="EH36" s="136">
        <f t="shared" si="12"/>
        <v>0</v>
      </c>
      <c r="EI36" s="137">
        <f t="shared" si="12"/>
        <v>0</v>
      </c>
      <c r="EJ36" s="46">
        <f>SUM(EJ4:EJ35)</f>
        <v>720</v>
      </c>
      <c r="EK36" s="47">
        <f>SUM(EK4:EK35)</f>
        <v>702</v>
      </c>
      <c r="EL36" s="47">
        <f>SUM(EL4:EL35)</f>
        <v>702</v>
      </c>
      <c r="EM36" s="157">
        <f>EK36/EJ36</f>
        <v>0.97499999999999998</v>
      </c>
      <c r="EN36" s="63">
        <f>SUM(EN4:EN35)</f>
        <v>702</v>
      </c>
      <c r="EO36" s="63">
        <f>SUM(EO4:EO35)</f>
        <v>0</v>
      </c>
      <c r="EP36" s="63">
        <f>SUM(EP4:EP35)</f>
        <v>0</v>
      </c>
      <c r="EQ36" s="64">
        <f>SUM(EQ4:EQ35)</f>
        <v>0</v>
      </c>
      <c r="ER36" s="94">
        <f>CF36/EL36</f>
        <v>1014.974358974359</v>
      </c>
      <c r="ES36" s="95">
        <f>CF36/EN36</f>
        <v>1014.974358974359</v>
      </c>
      <c r="ET36" s="95" t="e">
        <f>CG36/EO36</f>
        <v>#DIV/0!</v>
      </c>
      <c r="EU36" s="95" t="e">
        <f>CH36/EP36</f>
        <v>#DIV/0!</v>
      </c>
      <c r="EV36" s="48">
        <f>SUM(EV4:EV35)</f>
        <v>0</v>
      </c>
      <c r="EW36" s="83"/>
      <c r="EX36" s="83"/>
      <c r="EY36" s="83"/>
      <c r="EZ36" s="83"/>
      <c r="FA36" s="83"/>
      <c r="FB36" s="83"/>
      <c r="FC36" s="83"/>
      <c r="FD36" s="83"/>
      <c r="FE36" s="83"/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</row>
    <row r="37" spans="1:176" x14ac:dyDescent="0.2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83"/>
      <c r="EO37" s="83"/>
      <c r="EP37" s="83"/>
      <c r="EQ37" s="83"/>
      <c r="ER37" s="83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</row>
    <row r="38" spans="1:176" x14ac:dyDescent="0.2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83"/>
      <c r="EO38" s="83"/>
      <c r="EP38" s="83"/>
      <c r="EQ38" s="83"/>
      <c r="ER38" s="83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</row>
    <row r="39" spans="1:176" x14ac:dyDescent="0.2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83"/>
      <c r="EO39" s="83"/>
      <c r="EP39" s="83"/>
      <c r="EQ39" s="83"/>
      <c r="ER39" s="83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</row>
    <row r="40" spans="1:176" x14ac:dyDescent="0.2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83"/>
      <c r="EO40" s="83"/>
      <c r="EP40" s="83"/>
      <c r="EQ40" s="83"/>
      <c r="ER40" s="83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</row>
    <row r="41" spans="1:176" x14ac:dyDescent="0.2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83"/>
      <c r="EO41" s="83"/>
      <c r="EP41" s="83"/>
      <c r="EQ41" s="83"/>
      <c r="ER41" s="83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</row>
    <row r="42" spans="1:176" x14ac:dyDescent="0.2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83"/>
      <c r="EO42" s="83"/>
      <c r="EP42" s="83"/>
      <c r="EQ42" s="83"/>
      <c r="ER42" s="83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</row>
    <row r="43" spans="1:176" x14ac:dyDescent="0.2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83"/>
      <c r="EO43" s="83"/>
      <c r="EP43" s="83"/>
      <c r="EQ43" s="83"/>
      <c r="ER43" s="83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</row>
    <row r="44" spans="1:176" x14ac:dyDescent="0.2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83"/>
      <c r="EO44" s="83"/>
      <c r="EP44" s="83"/>
      <c r="EQ44" s="83"/>
      <c r="ER44" s="83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</row>
    <row r="45" spans="1:176" x14ac:dyDescent="0.2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83"/>
      <c r="EO45" s="83"/>
      <c r="EP45" s="83"/>
      <c r="EQ45" s="83"/>
      <c r="ER45" s="83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</row>
    <row r="46" spans="1:176" x14ac:dyDescent="0.2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83"/>
      <c r="EO46" s="83"/>
      <c r="EP46" s="83"/>
      <c r="EQ46" s="83"/>
      <c r="ER46" s="83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/>
      <c r="FS46" s="67"/>
      <c r="FT46" s="67"/>
    </row>
    <row r="47" spans="1:176" x14ac:dyDescent="0.2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83"/>
      <c r="EO47" s="83"/>
      <c r="EP47" s="83"/>
      <c r="EQ47" s="83"/>
      <c r="ER47" s="83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</row>
    <row r="48" spans="1:176" x14ac:dyDescent="0.2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83"/>
      <c r="EO48" s="83"/>
      <c r="EP48" s="83"/>
      <c r="EQ48" s="83"/>
      <c r="ER48" s="83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</row>
    <row r="49" spans="1:176" x14ac:dyDescent="0.2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83"/>
      <c r="EO49" s="83"/>
      <c r="EP49" s="83"/>
      <c r="EQ49" s="83"/>
      <c r="ER49" s="83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</row>
    <row r="50" spans="1:176" x14ac:dyDescent="0.2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83"/>
      <c r="EO50" s="83"/>
      <c r="EP50" s="83"/>
      <c r="EQ50" s="83"/>
      <c r="ER50" s="83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</row>
    <row r="51" spans="1:176" x14ac:dyDescent="0.2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83"/>
      <c r="EO51" s="83"/>
      <c r="EP51" s="83"/>
      <c r="EQ51" s="83"/>
      <c r="ER51" s="83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</row>
    <row r="52" spans="1:176" x14ac:dyDescent="0.2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83"/>
      <c r="EO52" s="83"/>
      <c r="EP52" s="83"/>
      <c r="EQ52" s="83"/>
      <c r="ER52" s="83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</row>
    <row r="53" spans="1:176" x14ac:dyDescent="0.2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83"/>
      <c r="EO53" s="83"/>
      <c r="EP53" s="83"/>
      <c r="EQ53" s="83"/>
      <c r="ER53" s="83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</row>
    <row r="54" spans="1:176" x14ac:dyDescent="0.2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83"/>
      <c r="EO54" s="83"/>
      <c r="EP54" s="83"/>
      <c r="EQ54" s="83"/>
      <c r="ER54" s="83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</row>
    <row r="55" spans="1:176" x14ac:dyDescent="0.2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83"/>
      <c r="EO55" s="83"/>
      <c r="EP55" s="83"/>
      <c r="EQ55" s="83"/>
      <c r="ER55" s="83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</row>
    <row r="56" spans="1:176" x14ac:dyDescent="0.2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83"/>
      <c r="EO56" s="83"/>
      <c r="EP56" s="83"/>
      <c r="EQ56" s="83"/>
      <c r="ER56" s="83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</row>
    <row r="57" spans="1:176" x14ac:dyDescent="0.2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83"/>
      <c r="EO57" s="83"/>
      <c r="EP57" s="83"/>
      <c r="EQ57" s="83"/>
      <c r="ER57" s="83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</row>
    <row r="58" spans="1:176" x14ac:dyDescent="0.2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83"/>
      <c r="EO58" s="83"/>
      <c r="EP58" s="83"/>
      <c r="EQ58" s="83"/>
      <c r="ER58" s="83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</row>
    <row r="59" spans="1:176" x14ac:dyDescent="0.2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83"/>
      <c r="EO59" s="83"/>
      <c r="EP59" s="83"/>
      <c r="EQ59" s="83"/>
      <c r="ER59" s="83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</row>
    <row r="60" spans="1:176" x14ac:dyDescent="0.2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83"/>
      <c r="EO60" s="83"/>
      <c r="EP60" s="83"/>
      <c r="EQ60" s="83"/>
      <c r="ER60" s="83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</row>
    <row r="61" spans="1:176" x14ac:dyDescent="0.2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83"/>
      <c r="EO61" s="83"/>
      <c r="EP61" s="83"/>
      <c r="EQ61" s="83"/>
      <c r="ER61" s="83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</row>
    <row r="62" spans="1:176" x14ac:dyDescent="0.2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83"/>
      <c r="EO62" s="83"/>
      <c r="EP62" s="83"/>
      <c r="EQ62" s="83"/>
      <c r="ER62" s="83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</row>
    <row r="63" spans="1:176" x14ac:dyDescent="0.2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83"/>
      <c r="EO63" s="83"/>
      <c r="EP63" s="83"/>
      <c r="EQ63" s="83"/>
      <c r="ER63" s="83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</row>
    <row r="64" spans="1:176" x14ac:dyDescent="0.2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83"/>
      <c r="EO64" s="83"/>
      <c r="EP64" s="83"/>
      <c r="EQ64" s="83"/>
      <c r="ER64" s="83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</row>
    <row r="65" spans="1:176" x14ac:dyDescent="0.2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83"/>
      <c r="EO65" s="83"/>
      <c r="EP65" s="83"/>
      <c r="EQ65" s="83"/>
      <c r="ER65" s="83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</row>
    <row r="66" spans="1:176" x14ac:dyDescent="0.2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83"/>
      <c r="EO66" s="83"/>
      <c r="EP66" s="83"/>
      <c r="EQ66" s="83"/>
      <c r="ER66" s="83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</row>
    <row r="67" spans="1:176" x14ac:dyDescent="0.2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83"/>
      <c r="EO67" s="83"/>
      <c r="EP67" s="83"/>
      <c r="EQ67" s="83"/>
      <c r="ER67" s="83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</row>
    <row r="68" spans="1:176" x14ac:dyDescent="0.2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83"/>
      <c r="EO68" s="83"/>
      <c r="EP68" s="83"/>
      <c r="EQ68" s="83"/>
      <c r="ER68" s="83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/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</row>
    <row r="69" spans="1:176" x14ac:dyDescent="0.2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83"/>
      <c r="EO69" s="83"/>
      <c r="EP69" s="83"/>
      <c r="EQ69" s="83"/>
      <c r="ER69" s="83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/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</row>
    <row r="70" spans="1:176" x14ac:dyDescent="0.2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83"/>
      <c r="EO70" s="83"/>
      <c r="EP70" s="83"/>
      <c r="EQ70" s="83"/>
      <c r="ER70" s="83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/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</row>
    <row r="71" spans="1:176" x14ac:dyDescent="0.2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83"/>
      <c r="EO71" s="83"/>
      <c r="EP71" s="83"/>
      <c r="EQ71" s="83"/>
      <c r="ER71" s="83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/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</row>
    <row r="72" spans="1:176" x14ac:dyDescent="0.2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83"/>
      <c r="EO72" s="83"/>
      <c r="EP72" s="83"/>
      <c r="EQ72" s="83"/>
      <c r="ER72" s="83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/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</row>
    <row r="73" spans="1:176" x14ac:dyDescent="0.2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83"/>
      <c r="EO73" s="83"/>
      <c r="EP73" s="83"/>
      <c r="EQ73" s="83"/>
      <c r="ER73" s="83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/>
      <c r="FS73" s="67"/>
      <c r="FT73" s="67"/>
    </row>
    <row r="74" spans="1:176" x14ac:dyDescent="0.2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83"/>
      <c r="EO74" s="83"/>
      <c r="EP74" s="83"/>
      <c r="EQ74" s="83"/>
      <c r="ER74" s="83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</row>
    <row r="75" spans="1:176" x14ac:dyDescent="0.2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83"/>
      <c r="EO75" s="83"/>
      <c r="EP75" s="83"/>
      <c r="EQ75" s="83"/>
      <c r="ER75" s="83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</row>
    <row r="76" spans="1:176" x14ac:dyDescent="0.2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83"/>
      <c r="EO76" s="83"/>
      <c r="EP76" s="83"/>
      <c r="EQ76" s="83"/>
      <c r="ER76" s="83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</row>
    <row r="77" spans="1:176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83"/>
      <c r="EO77" s="83"/>
      <c r="EP77" s="83"/>
      <c r="EQ77" s="83"/>
      <c r="ER77" s="83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</row>
    <row r="78" spans="1:176" x14ac:dyDescent="0.2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83"/>
      <c r="EO78" s="83"/>
      <c r="EP78" s="83"/>
      <c r="EQ78" s="83"/>
      <c r="ER78" s="83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</row>
    <row r="79" spans="1:176" x14ac:dyDescent="0.2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83"/>
      <c r="EO79" s="83"/>
      <c r="EP79" s="83"/>
      <c r="EQ79" s="83"/>
      <c r="ER79" s="83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</row>
    <row r="80" spans="1:176" x14ac:dyDescent="0.2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83"/>
      <c r="EO80" s="83"/>
      <c r="EP80" s="83"/>
      <c r="EQ80" s="83"/>
      <c r="ER80" s="83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</row>
    <row r="81" spans="1:176" x14ac:dyDescent="0.2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83"/>
      <c r="EO81" s="83"/>
      <c r="EP81" s="83"/>
      <c r="EQ81" s="83"/>
      <c r="ER81" s="83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</row>
    <row r="82" spans="1:176" x14ac:dyDescent="0.2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83"/>
      <c r="EO82" s="83"/>
      <c r="EP82" s="83"/>
      <c r="EQ82" s="83"/>
      <c r="ER82" s="83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</row>
    <row r="83" spans="1:176" x14ac:dyDescent="0.2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83"/>
      <c r="EO83" s="83"/>
      <c r="EP83" s="83"/>
      <c r="EQ83" s="83"/>
      <c r="ER83" s="83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</row>
    <row r="84" spans="1:176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83"/>
      <c r="EO84" s="83"/>
      <c r="EP84" s="83"/>
      <c r="EQ84" s="83"/>
      <c r="ER84" s="83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</row>
    <row r="85" spans="1:176" x14ac:dyDescent="0.2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83"/>
      <c r="EO85" s="83"/>
      <c r="EP85" s="83"/>
      <c r="EQ85" s="83"/>
      <c r="ER85" s="83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</row>
    <row r="86" spans="1:176" x14ac:dyDescent="0.2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83"/>
      <c r="EO86" s="83"/>
      <c r="EP86" s="83"/>
      <c r="EQ86" s="83"/>
      <c r="ER86" s="83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</row>
    <row r="87" spans="1:176" x14ac:dyDescent="0.2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83"/>
      <c r="EO87" s="83"/>
      <c r="EP87" s="83"/>
      <c r="EQ87" s="83"/>
      <c r="ER87" s="83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</row>
    <row r="88" spans="1:176" x14ac:dyDescent="0.2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83"/>
      <c r="EO88" s="83"/>
      <c r="EP88" s="83"/>
      <c r="EQ88" s="83"/>
      <c r="ER88" s="83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</row>
    <row r="89" spans="1:176" x14ac:dyDescent="0.2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83"/>
      <c r="EO89" s="83"/>
      <c r="EP89" s="83"/>
      <c r="EQ89" s="83"/>
      <c r="ER89" s="83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</row>
    <row r="90" spans="1:176" x14ac:dyDescent="0.2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83"/>
      <c r="EO90" s="83"/>
      <c r="EP90" s="83"/>
      <c r="EQ90" s="83"/>
      <c r="ER90" s="83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</row>
    <row r="91" spans="1:176" x14ac:dyDescent="0.2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83"/>
      <c r="EO91" s="83"/>
      <c r="EP91" s="83"/>
      <c r="EQ91" s="83"/>
      <c r="ER91" s="83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</row>
    <row r="92" spans="1:176" x14ac:dyDescent="0.2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83"/>
      <c r="EO92" s="83"/>
      <c r="EP92" s="83"/>
      <c r="EQ92" s="83"/>
      <c r="ER92" s="83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</row>
    <row r="93" spans="1:176" x14ac:dyDescent="0.2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83"/>
      <c r="EO93" s="83"/>
      <c r="EP93" s="83"/>
      <c r="EQ93" s="83"/>
      <c r="ER93" s="83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</row>
    <row r="94" spans="1:176" x14ac:dyDescent="0.2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7"/>
      <c r="BN94" s="67"/>
      <c r="BO94" s="67"/>
      <c r="BP94" s="67"/>
      <c r="BQ94" s="67"/>
      <c r="BR94" s="67"/>
      <c r="BS94" s="67"/>
      <c r="BT94" s="67"/>
      <c r="BU94" s="67"/>
      <c r="BV94" s="67"/>
      <c r="BW94" s="67"/>
      <c r="BX94" s="67"/>
      <c r="BY94" s="67"/>
      <c r="BZ94" s="67"/>
      <c r="CA94" s="67"/>
      <c r="CB94" s="67"/>
      <c r="CC94" s="67"/>
      <c r="CD94" s="67"/>
      <c r="CE94" s="67"/>
      <c r="CF94" s="67"/>
      <c r="CG94" s="67"/>
      <c r="CH94" s="67"/>
      <c r="CI94" s="67"/>
      <c r="CJ94" s="67"/>
      <c r="CK94" s="67"/>
      <c r="CL94" s="67"/>
      <c r="CM94" s="67"/>
      <c r="CN94" s="67"/>
      <c r="CO94" s="67"/>
      <c r="CP94" s="67"/>
      <c r="CQ94" s="67"/>
      <c r="CR94" s="67"/>
      <c r="CS94" s="67"/>
      <c r="CT94" s="67"/>
      <c r="CU94" s="67"/>
      <c r="CV94" s="67"/>
      <c r="CW94" s="67"/>
      <c r="CX94" s="67"/>
      <c r="CY94" s="67"/>
      <c r="CZ94" s="67"/>
      <c r="DA94" s="67"/>
      <c r="DB94" s="67"/>
      <c r="DC94" s="67"/>
      <c r="DD94" s="67"/>
      <c r="DE94" s="67"/>
      <c r="DF94" s="67"/>
      <c r="DG94" s="67"/>
      <c r="DH94" s="67"/>
      <c r="DI94" s="67"/>
      <c r="DJ94" s="67"/>
      <c r="DK94" s="67"/>
      <c r="DL94" s="67"/>
      <c r="DM94" s="67"/>
      <c r="DN94" s="67"/>
      <c r="DO94" s="67"/>
      <c r="DP94" s="67"/>
      <c r="DQ94" s="67"/>
      <c r="DR94" s="67"/>
      <c r="DS94" s="67"/>
      <c r="DT94" s="67"/>
      <c r="DU94" s="67"/>
      <c r="DV94" s="67"/>
      <c r="DW94" s="67"/>
      <c r="DX94" s="67"/>
      <c r="DY94" s="67"/>
      <c r="DZ94" s="67"/>
      <c r="EA94" s="67"/>
      <c r="EB94" s="67"/>
      <c r="EC94" s="67"/>
      <c r="ED94" s="67"/>
      <c r="EE94" s="67"/>
      <c r="EF94" s="67"/>
      <c r="EG94" s="67"/>
      <c r="EH94" s="67"/>
      <c r="EI94" s="67"/>
      <c r="EJ94" s="67"/>
      <c r="EK94" s="67"/>
      <c r="EL94" s="67"/>
      <c r="EM94" s="67"/>
      <c r="EN94" s="83"/>
      <c r="EO94" s="83"/>
      <c r="EP94" s="83"/>
      <c r="EQ94" s="83"/>
      <c r="ER94" s="83"/>
      <c r="ES94" s="67"/>
      <c r="ET94" s="67"/>
      <c r="EU94" s="67"/>
      <c r="EV94" s="67"/>
      <c r="EW94" s="67"/>
      <c r="EX94" s="67"/>
      <c r="EY94" s="67"/>
      <c r="EZ94" s="67"/>
      <c r="FA94" s="67"/>
      <c r="FB94" s="67"/>
      <c r="FC94" s="67"/>
      <c r="FD94" s="67"/>
      <c r="FE94" s="67"/>
      <c r="FF94" s="67"/>
      <c r="FG94" s="67"/>
      <c r="FH94" s="67"/>
      <c r="FI94" s="67"/>
      <c r="FJ94" s="67"/>
      <c r="FK94" s="67"/>
      <c r="FL94" s="67"/>
      <c r="FM94" s="67"/>
      <c r="FN94" s="67"/>
      <c r="FO94" s="67"/>
      <c r="FP94" s="67"/>
      <c r="FQ94" s="67"/>
      <c r="FR94" s="67"/>
      <c r="FS94" s="67"/>
      <c r="FT94" s="67"/>
    </row>
    <row r="95" spans="1:176" x14ac:dyDescent="0.2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  <c r="BM95" s="67"/>
      <c r="BN95" s="67"/>
      <c r="BO95" s="67"/>
      <c r="BP95" s="67"/>
      <c r="BQ95" s="67"/>
      <c r="BR95" s="67"/>
      <c r="BS95" s="67"/>
      <c r="BT95" s="67"/>
      <c r="BU95" s="67"/>
      <c r="BV95" s="67"/>
      <c r="BW95" s="67"/>
      <c r="BX95" s="67"/>
      <c r="BY95" s="67"/>
      <c r="BZ95" s="67"/>
      <c r="CA95" s="67"/>
      <c r="CB95" s="67"/>
      <c r="CC95" s="67"/>
      <c r="CD95" s="67"/>
      <c r="CE95" s="67"/>
      <c r="CF95" s="67"/>
      <c r="CG95" s="67"/>
      <c r="CH95" s="67"/>
      <c r="CI95" s="67"/>
      <c r="CJ95" s="67"/>
      <c r="CK95" s="67"/>
      <c r="CL95" s="67"/>
      <c r="CM95" s="67"/>
      <c r="CN95" s="67"/>
      <c r="CO95" s="67"/>
      <c r="CP95" s="67"/>
      <c r="CQ95" s="67"/>
      <c r="CR95" s="67"/>
      <c r="CS95" s="67"/>
      <c r="CT95" s="67"/>
      <c r="CU95" s="67"/>
      <c r="CV95" s="67"/>
      <c r="CW95" s="67"/>
      <c r="CX95" s="67"/>
      <c r="CY95" s="67"/>
      <c r="CZ95" s="67"/>
      <c r="DA95" s="67"/>
      <c r="DB95" s="67"/>
      <c r="DC95" s="67"/>
      <c r="DD95" s="67"/>
      <c r="DE95" s="67"/>
      <c r="DF95" s="67"/>
      <c r="DG95" s="67"/>
      <c r="DH95" s="67"/>
      <c r="DI95" s="67"/>
      <c r="DJ95" s="67"/>
      <c r="DK95" s="67"/>
      <c r="DL95" s="67"/>
      <c r="DM95" s="67"/>
      <c r="DN95" s="67"/>
      <c r="DO95" s="67"/>
      <c r="DP95" s="67"/>
      <c r="DQ95" s="67"/>
      <c r="DR95" s="67"/>
      <c r="DS95" s="67"/>
      <c r="DT95" s="67"/>
      <c r="DU95" s="67"/>
      <c r="DV95" s="67"/>
      <c r="DW95" s="67"/>
      <c r="DX95" s="67"/>
      <c r="DY95" s="67"/>
      <c r="DZ95" s="67"/>
      <c r="EA95" s="67"/>
      <c r="EB95" s="67"/>
      <c r="EC95" s="67"/>
      <c r="ED95" s="67"/>
      <c r="EE95" s="67"/>
      <c r="EF95" s="67"/>
      <c r="EG95" s="67"/>
      <c r="EH95" s="67"/>
      <c r="EI95" s="67"/>
      <c r="EJ95" s="67"/>
      <c r="EK95" s="67"/>
      <c r="EL95" s="67"/>
      <c r="EM95" s="67"/>
      <c r="EN95" s="83"/>
      <c r="EO95" s="83"/>
      <c r="EP95" s="83"/>
      <c r="EQ95" s="83"/>
      <c r="ER95" s="83"/>
      <c r="ES95" s="67"/>
      <c r="ET95" s="67"/>
      <c r="EU95" s="67"/>
      <c r="EV95" s="67"/>
      <c r="EW95" s="67"/>
      <c r="EX95" s="67"/>
      <c r="EY95" s="67"/>
      <c r="EZ95" s="67"/>
      <c r="FA95" s="67"/>
      <c r="FB95" s="67"/>
      <c r="FC95" s="67"/>
      <c r="FD95" s="67"/>
      <c r="FE95" s="67"/>
      <c r="FF95" s="67"/>
      <c r="FG95" s="67"/>
      <c r="FH95" s="67"/>
      <c r="FI95" s="67"/>
      <c r="FJ95" s="67"/>
      <c r="FK95" s="67"/>
      <c r="FL95" s="67"/>
      <c r="FM95" s="67"/>
      <c r="FN95" s="67"/>
      <c r="FO95" s="67"/>
      <c r="FP95" s="67"/>
      <c r="FQ95" s="67"/>
      <c r="FR95" s="67"/>
      <c r="FS95" s="67"/>
      <c r="FT95" s="67"/>
    </row>
    <row r="96" spans="1:176" x14ac:dyDescent="0.2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  <c r="BM96" s="67"/>
      <c r="BN96" s="67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67"/>
      <c r="CA96" s="67"/>
      <c r="CB96" s="67"/>
      <c r="CC96" s="67"/>
      <c r="CD96" s="67"/>
      <c r="CE96" s="67"/>
      <c r="CF96" s="67"/>
      <c r="CG96" s="67"/>
      <c r="CH96" s="67"/>
      <c r="CI96" s="67"/>
      <c r="CJ96" s="67"/>
      <c r="CK96" s="67"/>
      <c r="CL96" s="67"/>
      <c r="CM96" s="67"/>
      <c r="CN96" s="67"/>
      <c r="CO96" s="67"/>
      <c r="CP96" s="67"/>
      <c r="CQ96" s="67"/>
      <c r="CR96" s="67"/>
      <c r="CS96" s="67"/>
      <c r="CT96" s="67"/>
      <c r="CU96" s="67"/>
      <c r="CV96" s="67"/>
      <c r="CW96" s="67"/>
      <c r="CX96" s="67"/>
      <c r="CY96" s="67"/>
      <c r="CZ96" s="67"/>
      <c r="DA96" s="67"/>
      <c r="DB96" s="67"/>
      <c r="DC96" s="67"/>
      <c r="DD96" s="67"/>
      <c r="DE96" s="67"/>
      <c r="DF96" s="67"/>
      <c r="DG96" s="67"/>
      <c r="DH96" s="67"/>
      <c r="DI96" s="67"/>
      <c r="DJ96" s="67"/>
      <c r="DK96" s="67"/>
      <c r="DL96" s="67"/>
      <c r="DM96" s="67"/>
      <c r="DN96" s="67"/>
      <c r="DO96" s="67"/>
      <c r="DP96" s="67"/>
      <c r="DQ96" s="67"/>
      <c r="DR96" s="67"/>
      <c r="DS96" s="67"/>
      <c r="DT96" s="67"/>
      <c r="DU96" s="67"/>
      <c r="DV96" s="67"/>
      <c r="DW96" s="67"/>
      <c r="DX96" s="67"/>
      <c r="DY96" s="67"/>
      <c r="DZ96" s="67"/>
      <c r="EA96" s="67"/>
      <c r="EB96" s="67"/>
      <c r="EC96" s="67"/>
      <c r="ED96" s="67"/>
      <c r="EE96" s="67"/>
      <c r="EF96" s="67"/>
      <c r="EG96" s="67"/>
      <c r="EH96" s="67"/>
      <c r="EI96" s="67"/>
      <c r="EJ96" s="67"/>
      <c r="EK96" s="67"/>
      <c r="EL96" s="67"/>
      <c r="EM96" s="67"/>
      <c r="EN96" s="83"/>
      <c r="EO96" s="83"/>
      <c r="EP96" s="83"/>
      <c r="EQ96" s="83"/>
      <c r="ER96" s="83"/>
      <c r="ES96" s="67"/>
      <c r="ET96" s="67"/>
      <c r="EU96" s="67"/>
      <c r="EV96" s="67"/>
      <c r="EW96" s="67"/>
      <c r="EX96" s="67"/>
      <c r="EY96" s="67"/>
      <c r="EZ96" s="67"/>
      <c r="FA96" s="67"/>
      <c r="FB96" s="67"/>
      <c r="FC96" s="67"/>
      <c r="FD96" s="67"/>
      <c r="FE96" s="67"/>
      <c r="FF96" s="67"/>
      <c r="FG96" s="67"/>
      <c r="FH96" s="67"/>
      <c r="FI96" s="67"/>
      <c r="FJ96" s="67"/>
      <c r="FK96" s="67"/>
      <c r="FL96" s="67"/>
      <c r="FM96" s="67"/>
      <c r="FN96" s="67"/>
      <c r="FO96" s="67"/>
      <c r="FP96" s="67"/>
      <c r="FQ96" s="67"/>
      <c r="FR96" s="67"/>
      <c r="FS96" s="67"/>
      <c r="FT96" s="67"/>
    </row>
    <row r="97" spans="1:176" x14ac:dyDescent="0.2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67"/>
      <c r="BY97" s="67"/>
      <c r="BZ97" s="67"/>
      <c r="CA97" s="67"/>
      <c r="CB97" s="67"/>
      <c r="CC97" s="67"/>
      <c r="CD97" s="67"/>
      <c r="CE97" s="67"/>
      <c r="CF97" s="67"/>
      <c r="CG97" s="67"/>
      <c r="CH97" s="67"/>
      <c r="CI97" s="67"/>
      <c r="CJ97" s="67"/>
      <c r="CK97" s="67"/>
      <c r="CL97" s="67"/>
      <c r="CM97" s="67"/>
      <c r="CN97" s="67"/>
      <c r="CO97" s="67"/>
      <c r="CP97" s="67"/>
      <c r="CQ97" s="67"/>
      <c r="CR97" s="67"/>
      <c r="CS97" s="67"/>
      <c r="CT97" s="67"/>
      <c r="CU97" s="67"/>
      <c r="CV97" s="67"/>
      <c r="CW97" s="67"/>
      <c r="CX97" s="67"/>
      <c r="CY97" s="67"/>
      <c r="CZ97" s="67"/>
      <c r="DA97" s="67"/>
      <c r="DB97" s="67"/>
      <c r="DC97" s="67"/>
      <c r="DD97" s="67"/>
      <c r="DE97" s="67"/>
      <c r="DF97" s="67"/>
      <c r="DG97" s="67"/>
      <c r="DH97" s="67"/>
      <c r="DI97" s="67"/>
      <c r="DJ97" s="67"/>
      <c r="DK97" s="67"/>
      <c r="DL97" s="67"/>
      <c r="DM97" s="67"/>
      <c r="DN97" s="67"/>
      <c r="DO97" s="67"/>
      <c r="DP97" s="67"/>
      <c r="DQ97" s="67"/>
      <c r="DR97" s="67"/>
      <c r="DS97" s="67"/>
      <c r="DT97" s="67"/>
      <c r="DU97" s="67"/>
      <c r="DV97" s="67"/>
      <c r="DW97" s="67"/>
      <c r="DX97" s="67"/>
      <c r="DY97" s="67"/>
      <c r="DZ97" s="67"/>
      <c r="EA97" s="67"/>
      <c r="EB97" s="67"/>
      <c r="EC97" s="67"/>
      <c r="ED97" s="67"/>
      <c r="EE97" s="67"/>
      <c r="EF97" s="67"/>
      <c r="EG97" s="67"/>
      <c r="EH97" s="67"/>
      <c r="EI97" s="67"/>
      <c r="EJ97" s="67"/>
      <c r="EK97" s="67"/>
      <c r="EL97" s="67"/>
      <c r="EM97" s="67"/>
      <c r="EN97" s="83"/>
      <c r="EO97" s="83"/>
      <c r="EP97" s="83"/>
      <c r="EQ97" s="83"/>
      <c r="ER97" s="83"/>
      <c r="ES97" s="67"/>
      <c r="ET97" s="67"/>
      <c r="EU97" s="67"/>
      <c r="EV97" s="67"/>
      <c r="EW97" s="67"/>
      <c r="EX97" s="67"/>
      <c r="EY97" s="67"/>
      <c r="EZ97" s="67"/>
      <c r="FA97" s="67"/>
      <c r="FB97" s="67"/>
      <c r="FC97" s="67"/>
      <c r="FD97" s="67"/>
      <c r="FE97" s="67"/>
      <c r="FF97" s="67"/>
      <c r="FG97" s="67"/>
      <c r="FH97" s="67"/>
      <c r="FI97" s="67"/>
      <c r="FJ97" s="67"/>
      <c r="FK97" s="67"/>
      <c r="FL97" s="67"/>
      <c r="FM97" s="67"/>
      <c r="FN97" s="67"/>
      <c r="FO97" s="67"/>
      <c r="FP97" s="67"/>
      <c r="FQ97" s="67"/>
      <c r="FR97" s="67"/>
      <c r="FS97" s="67"/>
      <c r="FT97" s="67"/>
    </row>
    <row r="98" spans="1:176" x14ac:dyDescent="0.2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67"/>
      <c r="BT98" s="67"/>
      <c r="BU98" s="67"/>
      <c r="BV98" s="67"/>
      <c r="BW98" s="67"/>
      <c r="BX98" s="67"/>
      <c r="BY98" s="67"/>
      <c r="BZ98" s="67"/>
      <c r="CA98" s="67"/>
      <c r="CB98" s="67"/>
      <c r="CC98" s="67"/>
      <c r="CD98" s="67"/>
      <c r="CE98" s="67"/>
      <c r="CF98" s="67"/>
      <c r="CG98" s="67"/>
      <c r="CH98" s="67"/>
      <c r="CI98" s="67"/>
      <c r="CJ98" s="67"/>
      <c r="CK98" s="67"/>
      <c r="CL98" s="67"/>
      <c r="CM98" s="67"/>
      <c r="CN98" s="67"/>
      <c r="CO98" s="67"/>
      <c r="CP98" s="67"/>
      <c r="CQ98" s="67"/>
      <c r="CR98" s="67"/>
      <c r="CS98" s="67"/>
      <c r="CT98" s="67"/>
      <c r="CU98" s="67"/>
      <c r="CV98" s="67"/>
      <c r="CW98" s="67"/>
      <c r="CX98" s="67"/>
      <c r="CY98" s="67"/>
      <c r="CZ98" s="67"/>
      <c r="DA98" s="67"/>
      <c r="DB98" s="67"/>
      <c r="DC98" s="67"/>
      <c r="DD98" s="67"/>
      <c r="DE98" s="67"/>
      <c r="DF98" s="67"/>
      <c r="DG98" s="67"/>
      <c r="DH98" s="67"/>
      <c r="DI98" s="67"/>
      <c r="DJ98" s="67"/>
      <c r="DK98" s="67"/>
      <c r="DL98" s="67"/>
      <c r="DM98" s="67"/>
      <c r="DN98" s="67"/>
      <c r="DO98" s="67"/>
      <c r="DP98" s="67"/>
      <c r="DQ98" s="67"/>
      <c r="DR98" s="67"/>
      <c r="DS98" s="67"/>
      <c r="DT98" s="67"/>
      <c r="DU98" s="67"/>
      <c r="DV98" s="67"/>
      <c r="DW98" s="67"/>
      <c r="DX98" s="67"/>
      <c r="DY98" s="67"/>
      <c r="DZ98" s="67"/>
      <c r="EA98" s="67"/>
      <c r="EB98" s="67"/>
      <c r="EC98" s="67"/>
      <c r="ED98" s="67"/>
      <c r="EE98" s="67"/>
      <c r="EF98" s="67"/>
      <c r="EG98" s="67"/>
      <c r="EH98" s="67"/>
      <c r="EI98" s="67"/>
      <c r="EJ98" s="67"/>
      <c r="EK98" s="67"/>
      <c r="EL98" s="67"/>
      <c r="EM98" s="67"/>
      <c r="EN98" s="83"/>
      <c r="EO98" s="83"/>
      <c r="EP98" s="83"/>
      <c r="EQ98" s="83"/>
      <c r="ER98" s="83"/>
      <c r="ES98" s="67"/>
      <c r="ET98" s="67"/>
      <c r="EU98" s="67"/>
      <c r="EV98" s="67"/>
      <c r="EW98" s="67"/>
      <c r="EX98" s="67"/>
      <c r="EY98" s="67"/>
      <c r="EZ98" s="67"/>
      <c r="FA98" s="67"/>
      <c r="FB98" s="67"/>
      <c r="FC98" s="67"/>
      <c r="FD98" s="67"/>
      <c r="FE98" s="67"/>
      <c r="FF98" s="67"/>
      <c r="FG98" s="67"/>
      <c r="FH98" s="67"/>
      <c r="FI98" s="67"/>
      <c r="FJ98" s="67"/>
      <c r="FK98" s="67"/>
      <c r="FL98" s="67"/>
      <c r="FM98" s="67"/>
      <c r="FN98" s="67"/>
      <c r="FO98" s="67"/>
      <c r="FP98" s="67"/>
      <c r="FQ98" s="67"/>
      <c r="FR98" s="67"/>
      <c r="FS98" s="67"/>
      <c r="FT98" s="67"/>
    </row>
    <row r="99" spans="1:176" x14ac:dyDescent="0.2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83"/>
      <c r="EO99" s="83"/>
      <c r="EP99" s="83"/>
      <c r="EQ99" s="83"/>
      <c r="ER99" s="83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</row>
    <row r="100" spans="1:176" x14ac:dyDescent="0.2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83"/>
      <c r="EO100" s="83"/>
      <c r="EP100" s="83"/>
      <c r="EQ100" s="83"/>
      <c r="ER100" s="83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</row>
    <row r="101" spans="1:176" x14ac:dyDescent="0.2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7"/>
      <c r="DC101" s="67"/>
      <c r="DD101" s="67"/>
      <c r="DE101" s="67"/>
      <c r="DF101" s="67"/>
      <c r="DG101" s="67"/>
      <c r="DH101" s="67"/>
      <c r="DI101" s="67"/>
      <c r="DJ101" s="67"/>
      <c r="DK101" s="67"/>
      <c r="DL101" s="67"/>
      <c r="DM101" s="67"/>
      <c r="DN101" s="67"/>
      <c r="DO101" s="67"/>
      <c r="DP101" s="67"/>
      <c r="DQ101" s="67"/>
      <c r="DR101" s="67"/>
      <c r="DS101" s="67"/>
      <c r="DT101" s="67"/>
      <c r="DU101" s="67"/>
      <c r="DV101" s="67"/>
      <c r="DW101" s="67"/>
      <c r="DX101" s="67"/>
      <c r="DY101" s="67"/>
      <c r="DZ101" s="67"/>
      <c r="EA101" s="67"/>
      <c r="EB101" s="67"/>
      <c r="EC101" s="67"/>
      <c r="ED101" s="67"/>
      <c r="EE101" s="67"/>
      <c r="EF101" s="67"/>
      <c r="EG101" s="67"/>
      <c r="EH101" s="67"/>
      <c r="EI101" s="67"/>
      <c r="EJ101" s="67"/>
      <c r="EK101" s="67"/>
      <c r="EL101" s="67"/>
      <c r="EM101" s="67"/>
      <c r="EN101" s="83"/>
      <c r="EO101" s="83"/>
      <c r="EP101" s="83"/>
      <c r="EQ101" s="83"/>
      <c r="ER101" s="83"/>
      <c r="ES101" s="67"/>
      <c r="ET101" s="67"/>
      <c r="EU101" s="67"/>
      <c r="EV101" s="67"/>
      <c r="EW101" s="67"/>
      <c r="EX101" s="67"/>
      <c r="EY101" s="67"/>
      <c r="EZ101" s="67"/>
      <c r="FA101" s="67"/>
      <c r="FB101" s="67"/>
      <c r="FC101" s="67"/>
      <c r="FD101" s="67"/>
      <c r="FE101" s="67"/>
      <c r="FF101" s="67"/>
      <c r="FG101" s="67"/>
      <c r="FH101" s="67"/>
      <c r="FI101" s="67"/>
      <c r="FJ101" s="67"/>
      <c r="FK101" s="67"/>
      <c r="FL101" s="67"/>
      <c r="FM101" s="67"/>
      <c r="FN101" s="67"/>
      <c r="FO101" s="67"/>
      <c r="FP101" s="67"/>
      <c r="FQ101" s="67"/>
      <c r="FR101" s="67"/>
      <c r="FS101" s="67"/>
      <c r="FT101" s="67"/>
    </row>
    <row r="102" spans="1:176" x14ac:dyDescent="0.2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83"/>
      <c r="EO102" s="83"/>
      <c r="EP102" s="83"/>
      <c r="EQ102" s="83"/>
      <c r="ER102" s="83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</row>
    <row r="103" spans="1:176" x14ac:dyDescent="0.2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83"/>
      <c r="EO103" s="83"/>
      <c r="EP103" s="83"/>
      <c r="EQ103" s="83"/>
      <c r="ER103" s="83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</row>
    <row r="104" spans="1:176" x14ac:dyDescent="0.2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83"/>
      <c r="EO104" s="83"/>
      <c r="EP104" s="83"/>
      <c r="EQ104" s="83"/>
      <c r="ER104" s="83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</row>
    <row r="105" spans="1:176" x14ac:dyDescent="0.2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83"/>
      <c r="EO105" s="83"/>
      <c r="EP105" s="83"/>
      <c r="EQ105" s="83"/>
      <c r="ER105" s="83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</row>
    <row r="106" spans="1:176" x14ac:dyDescent="0.2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83"/>
      <c r="EO106" s="83"/>
      <c r="EP106" s="83"/>
      <c r="EQ106" s="83"/>
      <c r="ER106" s="83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</row>
    <row r="107" spans="1:176" x14ac:dyDescent="0.2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83"/>
      <c r="EO107" s="83"/>
      <c r="EP107" s="83"/>
      <c r="EQ107" s="83"/>
      <c r="ER107" s="83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</row>
    <row r="108" spans="1:176" x14ac:dyDescent="0.2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</row>
    <row r="109" spans="1:176" x14ac:dyDescent="0.2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</row>
    <row r="110" spans="1:176" x14ac:dyDescent="0.2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</row>
    <row r="111" spans="1:176" x14ac:dyDescent="0.2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67"/>
      <c r="BJ111" s="67"/>
      <c r="BK111" s="67"/>
      <c r="BL111" s="67"/>
      <c r="BM111" s="67"/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FG111" s="67"/>
      <c r="FH111" s="67"/>
      <c r="FI111" s="67"/>
      <c r="FJ111" s="67"/>
      <c r="FK111" s="67"/>
      <c r="FL111" s="67"/>
      <c r="FM111" s="67"/>
      <c r="FN111" s="67"/>
      <c r="FO111" s="67"/>
      <c r="FP111" s="67"/>
      <c r="FQ111" s="67"/>
      <c r="FR111" s="67"/>
      <c r="FS111" s="67"/>
      <c r="FT111" s="67"/>
    </row>
    <row r="112" spans="1:176" x14ac:dyDescent="0.2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</row>
    <row r="113" spans="1:82" x14ac:dyDescent="0.2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</row>
  </sheetData>
  <sheetProtection selectLockedCells="1"/>
  <protectedRanges>
    <protectedRange sqref="B4:B34" name="Bereich2_7_2_1_1"/>
    <protectedRange sqref="A4:A34" name="Bereich2_7_2_3"/>
  </protectedRanges>
  <mergeCells count="13">
    <mergeCell ref="ER1:EV1"/>
    <mergeCell ref="EJ1:EQ1"/>
    <mergeCell ref="A1:A2"/>
    <mergeCell ref="B1:B2"/>
    <mergeCell ref="A3:B3"/>
    <mergeCell ref="AR1:BY1"/>
    <mergeCell ref="DU1:EI1"/>
    <mergeCell ref="CO1:DC1"/>
    <mergeCell ref="BZ1:CE1"/>
    <mergeCell ref="CF1:CN1"/>
    <mergeCell ref="D1:T1"/>
    <mergeCell ref="U1:AQ1"/>
    <mergeCell ref="DO1:DT1"/>
  </mergeCells>
  <conditionalFormatting sqref="EJ6:EM35 EL4:EM5">
    <cfRule type="expression" dxfId="101" priority="125" stopIfTrue="1">
      <formula>OR($EK4="dimanche",$EK4="samedi")</formula>
    </cfRule>
  </conditionalFormatting>
  <conditionalFormatting sqref="DX6:DY6 DX9:DY13 DX16:DY20 DX30:DY34 DX23:DY27 EB9:EI13 EB6:EI6 EB16:EI20 EB23:EI27 EB30:EI34">
    <cfRule type="expression" dxfId="100" priority="124" stopIfTrue="1">
      <formula>OR($DL6="dimanche",$DL6="samedi")</formula>
    </cfRule>
  </conditionalFormatting>
  <conditionalFormatting sqref="CS23:CT24 CS30:CT34 DE9:DN13 DE6:DN6 CS9:CT13 CX6:DC6 CX9:DC13 CS16:CT20 CS6:CT6 CQ6:CR35 CX30:DN34 CX23:DN27 CX16:DN20 CS26:CT27 CS25">
    <cfRule type="expression" dxfId="99" priority="123" stopIfTrue="1">
      <formula>OR($CP6="dimanche",$CP6="samedi")</formula>
    </cfRule>
  </conditionalFormatting>
  <conditionalFormatting sqref="CH9:CM13 CH30:CM34 CH16:CM20 CF4:CF35 CH4:CN4 CH23:CM27 CH5:CM6 CN5:CN35">
    <cfRule type="expression" dxfId="98" priority="601" stopIfTrue="1">
      <formula>OR(#REF!="dimanche",#REF!="samedi")</formula>
    </cfRule>
  </conditionalFormatting>
  <conditionalFormatting sqref="A4:B34 DX14:DY15 DX21:DY22 DX28:DY29 DX7:DY8 CH7:CM7 CH28:CM29 CH21:CM22 CH14:CM15 CS7:CT8 DE7:DN8 CX14:DN15 CX7:DC8 EB7:EI8 EB21:EI22 EB14:EI15 AV6:AV34 AS6:AU35 BA6:BX34 CS14:CT15 CS21:CT22 CS28:CT29 CX28:DN29 CX21:DN22 EB28:EI29 AW6:AZ35 I8 K8:CM8 CO8:EV8">
    <cfRule type="expression" dxfId="97" priority="117" stopIfTrue="1">
      <formula>OR($B4="dimanche",$B4="samedi")</formula>
    </cfRule>
  </conditionalFormatting>
  <conditionalFormatting sqref="BY6:BY34">
    <cfRule type="expression" dxfId="96" priority="107" stopIfTrue="1">
      <formula>OR($B6="dimanche",$B6="samedi")</formula>
    </cfRule>
  </conditionalFormatting>
  <conditionalFormatting sqref="AB6:AQ24 E6:T7 E20:T34 F17:F18 E19:F19 H17:T19 AB26:AQ34 AC25:AQ25 E9:T16 E8:H8">
    <cfRule type="expression" dxfId="95" priority="106" stopIfTrue="1">
      <formula>OR($B6="dimanche",$B6="samedi")</formula>
    </cfRule>
  </conditionalFormatting>
  <conditionalFormatting sqref="V30:AA34 V26:AA27 V25:X25 Z24:AA24 AA25 W24:X24 W16:X16 W23:AA23 W9:AA13 W6:AA6 W20:X20 W17:W19 Z16:AA20">
    <cfRule type="expression" dxfId="94" priority="105" stopIfTrue="1">
      <formula>OR(#REF!="dimanche",#REF!="samedi")</formula>
    </cfRule>
  </conditionalFormatting>
  <conditionalFormatting sqref="V28:AA29 W14:AA15 W22:AA22 W7:AA8 W21:X21 Z21:AA21">
    <cfRule type="expression" dxfId="93" priority="104" stopIfTrue="1">
      <formula>OR($B7="dimanche",$B7="samedi")</formula>
    </cfRule>
  </conditionalFormatting>
  <conditionalFormatting sqref="DT9:DT13 DT6 DR30:DT34 DR16:DT20 DR23:DT27">
    <cfRule type="expression" dxfId="92" priority="103" stopIfTrue="1">
      <formula>OR(#REF!="dimanche",#REF!="samedi")</formula>
    </cfRule>
  </conditionalFormatting>
  <conditionalFormatting sqref="DT7:DT8 DR28:DT29 DR21:DT22 DR14:DT15">
    <cfRule type="expression" dxfId="91" priority="102" stopIfTrue="1">
      <formula>OR($B7="dimanche",$B7="samedi")</formula>
    </cfRule>
  </conditionalFormatting>
  <conditionalFormatting sqref="DR9:DS13 DR6:DS6">
    <cfRule type="expression" dxfId="90" priority="101" stopIfTrue="1">
      <formula>OR(#REF!="dimanche",#REF!="samedi")</formula>
    </cfRule>
  </conditionalFormatting>
  <conditionalFormatting sqref="DR7:DS8">
    <cfRule type="expression" dxfId="89" priority="100" stopIfTrue="1">
      <formula>OR($B7="dimanche",$B7="samedi")</formula>
    </cfRule>
  </conditionalFormatting>
  <conditionalFormatting sqref="CE9:CE13 CE6 BZ30:BZ34 CB16:CE20 CB23:CE27 CB30:CE34">
    <cfRule type="expression" dxfId="88" priority="99" stopIfTrue="1">
      <formula>OR(#REF!="dimanche",#REF!="samedi")</formula>
    </cfRule>
  </conditionalFormatting>
  <conditionalFormatting sqref="CE7:CE8 CB28:CE29 CB14:CE15 CB21:CE22">
    <cfRule type="expression" dxfId="87" priority="98" stopIfTrue="1">
      <formula>OR($B7="dimanche",$B7="samedi")</formula>
    </cfRule>
  </conditionalFormatting>
  <conditionalFormatting sqref="CB9:CD13 CB6:CD6">
    <cfRule type="expression" dxfId="86" priority="97" stopIfTrue="1">
      <formula>OR(#REF!="dimanche",#REF!="samedi")</formula>
    </cfRule>
  </conditionalFormatting>
  <conditionalFormatting sqref="CB7:CD8">
    <cfRule type="expression" dxfId="85" priority="96" stopIfTrue="1">
      <formula>OR($B7="dimanche",$B7="samedi")</formula>
    </cfRule>
  </conditionalFormatting>
  <conditionalFormatting sqref="EN4:EQ4 EO5:EQ34 EN5:EN35">
    <cfRule type="expression" dxfId="84" priority="95" stopIfTrue="1">
      <formula>OR($B4="dimanche",$B4="samedi")</formula>
    </cfRule>
  </conditionalFormatting>
  <conditionalFormatting sqref="AR6:AR35">
    <cfRule type="expression" dxfId="83" priority="94" stopIfTrue="1">
      <formula>OR($B6="dimanche",$B6="samedi")</formula>
    </cfRule>
  </conditionalFormatting>
  <conditionalFormatting sqref="CA6:CA35">
    <cfRule type="expression" dxfId="82" priority="86" stopIfTrue="1">
      <formula>OR($B6="dimanche",$B6="samedi")</formula>
    </cfRule>
  </conditionalFormatting>
  <conditionalFormatting sqref="BZ6:BZ29">
    <cfRule type="expression" dxfId="81" priority="85" stopIfTrue="1">
      <formula>OR($B6="dimanche",$B6="samedi")</formula>
    </cfRule>
  </conditionalFormatting>
  <conditionalFormatting sqref="C8:H8 C6:CM7 CO6:EV7 CN5:CN35 CO9:EV35 C9:CM35 CF4:CF5 CH5:CM5 CH4:CN4 EL4:EV5">
    <cfRule type="expression" dxfId="80" priority="84" stopIfTrue="1">
      <formula>OR($B4="dimanche",$B4="samedi")</formula>
    </cfRule>
  </conditionalFormatting>
  <conditionalFormatting sqref="E17:E18">
    <cfRule type="expression" dxfId="79" priority="83" stopIfTrue="1">
      <formula>OR($B17="dimanche",$B17="samedi")</formula>
    </cfRule>
  </conditionalFormatting>
  <conditionalFormatting sqref="G17:G18">
    <cfRule type="expression" dxfId="78" priority="82" stopIfTrue="1">
      <formula>OR($B17="dimanche",$B17="samedi")</formula>
    </cfRule>
  </conditionalFormatting>
  <conditionalFormatting sqref="G19">
    <cfRule type="expression" dxfId="77" priority="80" stopIfTrue="1">
      <formula>OR($B19="dimanche",$B19="samedi")</formula>
    </cfRule>
  </conditionalFormatting>
  <conditionalFormatting sqref="Y24">
    <cfRule type="expression" dxfId="76" priority="79" stopIfTrue="1">
      <formula>OR($B24="dimanche",$B24="samedi")</formula>
    </cfRule>
  </conditionalFormatting>
  <conditionalFormatting sqref="Y25">
    <cfRule type="expression" dxfId="75" priority="78" stopIfTrue="1">
      <formula>OR($B25="dimanche",$B25="samedi")</formula>
    </cfRule>
  </conditionalFormatting>
  <conditionalFormatting sqref="Z25">
    <cfRule type="expression" dxfId="74" priority="77" stopIfTrue="1">
      <formula>OR($B25="dimanche",$B25="samedi")</formula>
    </cfRule>
  </conditionalFormatting>
  <conditionalFormatting sqref="C6:C35">
    <cfRule type="expression" dxfId="73" priority="76" stopIfTrue="1">
      <formula>OR($B6="dimanche",$B6="samedi")</formula>
    </cfRule>
  </conditionalFormatting>
  <conditionalFormatting sqref="DO6:DO35">
    <cfRule type="expression" dxfId="72" priority="75" stopIfTrue="1">
      <formula>OR($B6="dimanche",$B6="samedi")</formula>
    </cfRule>
  </conditionalFormatting>
  <conditionalFormatting sqref="DP6:DP35">
    <cfRule type="expression" dxfId="71" priority="74" stopIfTrue="1">
      <formula>OR($B6="dimanche",$B6="samedi")</formula>
    </cfRule>
  </conditionalFormatting>
  <conditionalFormatting sqref="DQ6:DQ35">
    <cfRule type="expression" dxfId="70" priority="73" stopIfTrue="1">
      <formula>OR($B6="dimanche",$B6="samedi")</formula>
    </cfRule>
  </conditionalFormatting>
  <conditionalFormatting sqref="CG6:CG35">
    <cfRule type="expression" dxfId="69" priority="72" stopIfTrue="1">
      <formula>OR($B6="dimanche",$B6="samedi")</formula>
    </cfRule>
  </conditionalFormatting>
  <conditionalFormatting sqref="V6:V24">
    <cfRule type="expression" dxfId="68" priority="71" stopIfTrue="1">
      <formula>OR($B6="dimanche",$B6="samedi")</formula>
    </cfRule>
  </conditionalFormatting>
  <conditionalFormatting sqref="X17:X19">
    <cfRule type="expression" dxfId="67" priority="70" stopIfTrue="1">
      <formula>OR($B17="dimanche",$B17="samedi")</formula>
    </cfRule>
  </conditionalFormatting>
  <conditionalFormatting sqref="U6:U35">
    <cfRule type="expression" dxfId="66" priority="69" stopIfTrue="1">
      <formula>OR($B6="dimanche",$B6="samedi")</formula>
    </cfRule>
  </conditionalFormatting>
  <conditionalFormatting sqref="Y16:Y21">
    <cfRule type="expression" dxfId="65" priority="68" stopIfTrue="1">
      <formula>OR($B16="dimanche",$B16="samedi")</formula>
    </cfRule>
  </conditionalFormatting>
  <conditionalFormatting sqref="CO6:CO35">
    <cfRule type="expression" dxfId="64" priority="67" stopIfTrue="1">
      <formula>OR($B6="dimanche",$B6="samedi")</formula>
    </cfRule>
  </conditionalFormatting>
  <conditionalFormatting sqref="DD6:DD13">
    <cfRule type="expression" dxfId="63" priority="66" stopIfTrue="1">
      <formula>OR($B6="dimanche",$B6="samedi")</formula>
    </cfRule>
  </conditionalFormatting>
  <conditionalFormatting sqref="CP6:CP35">
    <cfRule type="expression" dxfId="62" priority="64" stopIfTrue="1">
      <formula>OR($B6="dimanche",$B6="samedi")</formula>
    </cfRule>
  </conditionalFormatting>
  <conditionalFormatting sqref="CU6:CU35">
    <cfRule type="expression" dxfId="61" priority="63" stopIfTrue="1">
      <formula>OR($B6="dimanche",$B6="samedi")</formula>
    </cfRule>
  </conditionalFormatting>
  <conditionalFormatting sqref="CW6:CW35">
    <cfRule type="expression" dxfId="60" priority="62" stopIfTrue="1">
      <formula>OR($B6="dimanche",$B6="samedi")</formula>
    </cfRule>
  </conditionalFormatting>
  <conditionalFormatting sqref="CV6:CV35">
    <cfRule type="expression" dxfId="59" priority="61" stopIfTrue="1">
      <formula>OR($B6="dimanche",$B6="samedi")</formula>
    </cfRule>
  </conditionalFormatting>
  <conditionalFormatting sqref="DU6:DU35">
    <cfRule type="expression" dxfId="58" priority="60" stopIfTrue="1">
      <formula>OR($B6="dimanche",$B6="samedi")</formula>
    </cfRule>
  </conditionalFormatting>
  <conditionalFormatting sqref="DV6:DV35">
    <cfRule type="expression" dxfId="57" priority="59" stopIfTrue="1">
      <formula>OR($B6="dimanche",$B6="samedi")</formula>
    </cfRule>
  </conditionalFormatting>
  <conditionalFormatting sqref="DW6:DW35">
    <cfRule type="expression" dxfId="56" priority="58" stopIfTrue="1">
      <formula>OR($B6="dimanche",$B6="samedi")</formula>
    </cfRule>
  </conditionalFormatting>
  <conditionalFormatting sqref="DZ6:DZ35">
    <cfRule type="expression" dxfId="55" priority="57" stopIfTrue="1">
      <formula>OR($B6="dimanche",$B6="samedi")</formula>
    </cfRule>
  </conditionalFormatting>
  <conditionalFormatting sqref="EA6:EA35">
    <cfRule type="expression" dxfId="54" priority="56" stopIfTrue="1">
      <formula>OR($B6="dimanche",$B6="samedi")</formula>
    </cfRule>
  </conditionalFormatting>
  <conditionalFormatting sqref="EU16:EU34 ER3:ES3 ER4:EV4 ET5:EV15 ER5:ES35 EV16:EV35 ET16:ET35">
    <cfRule type="expression" dxfId="53" priority="54" stopIfTrue="1">
      <formula>OR($B3="dimanche",$B3="samedi")</formula>
    </cfRule>
  </conditionalFormatting>
  <conditionalFormatting sqref="AB25">
    <cfRule type="expression" dxfId="52" priority="53" stopIfTrue="1">
      <formula>OR(#REF!="dimanche",#REF!="samedi")</formula>
    </cfRule>
  </conditionalFormatting>
  <conditionalFormatting sqref="CT25">
    <cfRule type="expression" dxfId="51" priority="52" stopIfTrue="1">
      <formula>OR($B25="dimanche",$B25="samedi")</formula>
    </cfRule>
  </conditionalFormatting>
  <conditionalFormatting sqref="CN4:CN35">
    <cfRule type="cellIs" dxfId="50" priority="47" operator="equal">
      <formula>CG4</formula>
    </cfRule>
    <cfRule type="cellIs" dxfId="49" priority="48" operator="equal">
      <formula>15610.5</formula>
    </cfRule>
    <cfRule type="cellIs" dxfId="48" priority="49" operator="equal">
      <formula>CG4</formula>
    </cfRule>
    <cfRule type="cellIs" dxfId="47" priority="50" operator="equal">
      <formula>$CG$4</formula>
    </cfRule>
    <cfRule type="cellIs" dxfId="46" priority="51" operator="equal">
      <formula>15610.5</formula>
    </cfRule>
  </conditionalFormatting>
  <conditionalFormatting sqref="CO20">
    <cfRule type="expression" dxfId="45" priority="46" stopIfTrue="1">
      <formula>OR($B20="dimanche",$B20="samedi")</formula>
    </cfRule>
  </conditionalFormatting>
  <conditionalFormatting sqref="CP22">
    <cfRule type="expression" dxfId="44" priority="45" stopIfTrue="1">
      <formula>OR($B22="dimanche",$B22="samedi")</formula>
    </cfRule>
  </conditionalFormatting>
  <conditionalFormatting sqref="CQ23">
    <cfRule type="expression" dxfId="43" priority="44" stopIfTrue="1">
      <formula>OR($B23="dimanche",$B23="samedi")</formula>
    </cfRule>
  </conditionalFormatting>
  <conditionalFormatting sqref="CQ23">
    <cfRule type="expression" dxfId="42" priority="43" stopIfTrue="1">
      <formula>OR($B23="dimanche",$B23="samedi")</formula>
    </cfRule>
  </conditionalFormatting>
  <conditionalFormatting sqref="CQ24">
    <cfRule type="expression" dxfId="41" priority="42" stopIfTrue="1">
      <formula>OR($B24="dimanche",$B24="samedi")</formula>
    </cfRule>
  </conditionalFormatting>
  <conditionalFormatting sqref="CQ24">
    <cfRule type="expression" dxfId="40" priority="41" stopIfTrue="1">
      <formula>OR($B24="dimanche",$B24="samedi")</formula>
    </cfRule>
  </conditionalFormatting>
  <conditionalFormatting sqref="CQ25">
    <cfRule type="expression" dxfId="39" priority="40" stopIfTrue="1">
      <formula>OR($B25="dimanche",$B25="samedi")</formula>
    </cfRule>
  </conditionalFormatting>
  <conditionalFormatting sqref="CQ26">
    <cfRule type="expression" dxfId="38" priority="39" stopIfTrue="1">
      <formula>OR($B26="dimanche",$B26="samedi")</formula>
    </cfRule>
  </conditionalFormatting>
  <conditionalFormatting sqref="J8">
    <cfRule type="expression" dxfId="37" priority="38" stopIfTrue="1">
      <formula>OR($B8="dimanche",$B8="samedi")</formula>
    </cfRule>
  </conditionalFormatting>
  <conditionalFormatting sqref="CQ22">
    <cfRule type="expression" dxfId="36" priority="37" stopIfTrue="1">
      <formula>OR($B22="dimanche",$B22="samedi")</formula>
    </cfRule>
  </conditionalFormatting>
  <conditionalFormatting sqref="CQ22">
    <cfRule type="expression" dxfId="35" priority="36" stopIfTrue="1">
      <formula>OR($B22="dimanche",$B22="samedi")</formula>
    </cfRule>
  </conditionalFormatting>
  <conditionalFormatting sqref="AS4:BX5">
    <cfRule type="expression" dxfId="34" priority="35" stopIfTrue="1">
      <formula>OR($B4="dimanche",$B4="samedi")</formula>
    </cfRule>
  </conditionalFormatting>
  <conditionalFormatting sqref="BY4:BY5">
    <cfRule type="expression" dxfId="33" priority="34" stopIfTrue="1">
      <formula>OR($B4="dimanche",$B4="samedi")</formula>
    </cfRule>
  </conditionalFormatting>
  <conditionalFormatting sqref="AB4:AQ5 E4:T5">
    <cfRule type="expression" dxfId="32" priority="33" stopIfTrue="1">
      <formula>OR($B4="dimanche",$B4="samedi")</formula>
    </cfRule>
  </conditionalFormatting>
  <conditionalFormatting sqref="W4:AA5">
    <cfRule type="expression" dxfId="31" priority="32" stopIfTrue="1">
      <formula>OR(#REF!="dimanche",#REF!="samedi")</formula>
    </cfRule>
  </conditionalFormatting>
  <conditionalFormatting sqref="CE4:CE5">
    <cfRule type="expression" dxfId="30" priority="31" stopIfTrue="1">
      <formula>OR(#REF!="dimanche",#REF!="samedi")</formula>
    </cfRule>
  </conditionalFormatting>
  <conditionalFormatting sqref="CB4:CD5">
    <cfRule type="expression" dxfId="29" priority="30" stopIfTrue="1">
      <formula>OR(#REF!="dimanche",#REF!="samedi")</formula>
    </cfRule>
  </conditionalFormatting>
  <conditionalFormatting sqref="AR4:AR5">
    <cfRule type="expression" dxfId="28" priority="29" stopIfTrue="1">
      <formula>OR($B4="dimanche",$B4="samedi")</formula>
    </cfRule>
  </conditionalFormatting>
  <conditionalFormatting sqref="CA4:CA5">
    <cfRule type="expression" dxfId="27" priority="28" stopIfTrue="1">
      <formula>OR($B4="dimanche",$B4="samedi")</formula>
    </cfRule>
  </conditionalFormatting>
  <conditionalFormatting sqref="BZ4:BZ5">
    <cfRule type="expression" dxfId="26" priority="27" stopIfTrue="1">
      <formula>OR($B4="dimanche",$B4="samedi")</formula>
    </cfRule>
  </conditionalFormatting>
  <conditionalFormatting sqref="C4:CE5">
    <cfRule type="expression" dxfId="25" priority="26" stopIfTrue="1">
      <formula>OR($B4="dimanche",$B4="samedi")</formula>
    </cfRule>
  </conditionalFormatting>
  <conditionalFormatting sqref="C4:C5">
    <cfRule type="expression" dxfId="24" priority="25" stopIfTrue="1">
      <formula>OR($B4="dimanche",$B4="samedi")</formula>
    </cfRule>
  </conditionalFormatting>
  <conditionalFormatting sqref="V4:V5">
    <cfRule type="expression" dxfId="23" priority="24" stopIfTrue="1">
      <formula>OR($B4="dimanche",$B4="samedi")</formula>
    </cfRule>
  </conditionalFormatting>
  <conditionalFormatting sqref="U4:U5">
    <cfRule type="expression" dxfId="22" priority="23" stopIfTrue="1">
      <formula>OR($B4="dimanche",$B4="samedi")</formula>
    </cfRule>
  </conditionalFormatting>
  <conditionalFormatting sqref="CG4:CG5">
    <cfRule type="expression" dxfId="21" priority="22" stopIfTrue="1">
      <formula>OR($B4="dimanche",$B4="samedi")</formula>
    </cfRule>
  </conditionalFormatting>
  <conditionalFormatting sqref="CG4:CG5">
    <cfRule type="expression" dxfId="20" priority="21" stopIfTrue="1">
      <formula>OR($B4="dimanche",$B4="samedi")</formula>
    </cfRule>
  </conditionalFormatting>
  <conditionalFormatting sqref="EJ4:EK5">
    <cfRule type="expression" dxfId="19" priority="20" stopIfTrue="1">
      <formula>OR($EK4="dimanche",$EK4="samedi")</formula>
    </cfRule>
  </conditionalFormatting>
  <conditionalFormatting sqref="DX4:DY5 EB4:EI5">
    <cfRule type="expression" dxfId="18" priority="19" stopIfTrue="1">
      <formula>OR($DL4="dimanche",$DL4="samedi")</formula>
    </cfRule>
  </conditionalFormatting>
  <conditionalFormatting sqref="DE4:DN5 CX4:DC5 CQ4:CT5">
    <cfRule type="expression" dxfId="17" priority="18" stopIfTrue="1">
      <formula>OR($CP4="dimanche",$CP4="samedi")</formula>
    </cfRule>
  </conditionalFormatting>
  <conditionalFormatting sqref="DT4:DT5">
    <cfRule type="expression" dxfId="16" priority="17" stopIfTrue="1">
      <formula>OR(#REF!="dimanche",#REF!="samedi")</formula>
    </cfRule>
  </conditionalFormatting>
  <conditionalFormatting sqref="DR4:DS5">
    <cfRule type="expression" dxfId="15" priority="16" stopIfTrue="1">
      <formula>OR(#REF!="dimanche",#REF!="samedi")</formula>
    </cfRule>
  </conditionalFormatting>
  <conditionalFormatting sqref="CO4:EK5">
    <cfRule type="expression" dxfId="14" priority="15" stopIfTrue="1">
      <formula>OR($B4="dimanche",$B4="samedi")</formula>
    </cfRule>
  </conditionalFormatting>
  <conditionalFormatting sqref="DO4:DO5">
    <cfRule type="expression" dxfId="13" priority="14" stopIfTrue="1">
      <formula>OR($B4="dimanche",$B4="samedi")</formula>
    </cfRule>
  </conditionalFormatting>
  <conditionalFormatting sqref="DP4:DP5">
    <cfRule type="expression" dxfId="12" priority="13" stopIfTrue="1">
      <formula>OR($B4="dimanche",$B4="samedi")</formula>
    </cfRule>
  </conditionalFormatting>
  <conditionalFormatting sqref="DQ4:DQ5">
    <cfRule type="expression" dxfId="11" priority="12" stopIfTrue="1">
      <formula>OR($B4="dimanche",$B4="samedi")</formula>
    </cfRule>
  </conditionalFormatting>
  <conditionalFormatting sqref="CO4:CO5">
    <cfRule type="expression" dxfId="10" priority="11" stopIfTrue="1">
      <formula>OR($B4="dimanche",$B4="samedi")</formula>
    </cfRule>
  </conditionalFormatting>
  <conditionalFormatting sqref="DD4:DD5">
    <cfRule type="expression" dxfId="9" priority="10" stopIfTrue="1">
      <formula>OR($B4="dimanche",$B4="samedi")</formula>
    </cfRule>
  </conditionalFormatting>
  <conditionalFormatting sqref="CP4:CP5">
    <cfRule type="expression" dxfId="8" priority="9" stopIfTrue="1">
      <formula>OR($B4="dimanche",$B4="samedi")</formula>
    </cfRule>
  </conditionalFormatting>
  <conditionalFormatting sqref="CU4:CU5">
    <cfRule type="expression" dxfId="7" priority="8" stopIfTrue="1">
      <formula>OR($B4="dimanche",$B4="samedi")</formula>
    </cfRule>
  </conditionalFormatting>
  <conditionalFormatting sqref="CW4:CW5">
    <cfRule type="expression" dxfId="6" priority="7" stopIfTrue="1">
      <formula>OR($B4="dimanche",$B4="samedi")</formula>
    </cfRule>
  </conditionalFormatting>
  <conditionalFormatting sqref="CV4:CV5">
    <cfRule type="expression" dxfId="5" priority="6" stopIfTrue="1">
      <formula>OR($B4="dimanche",$B4="samedi")</formula>
    </cfRule>
  </conditionalFormatting>
  <conditionalFormatting sqref="DU4:DU5">
    <cfRule type="expression" dxfId="4" priority="5" stopIfTrue="1">
      <formula>OR($B4="dimanche",$B4="samedi")</formula>
    </cfRule>
  </conditionalFormatting>
  <conditionalFormatting sqref="DV4:DV5">
    <cfRule type="expression" dxfId="3" priority="4" stopIfTrue="1">
      <formula>OR($B4="dimanche",$B4="samedi")</formula>
    </cfRule>
  </conditionalFormatting>
  <conditionalFormatting sqref="DW4:DW5">
    <cfRule type="expression" dxfId="2" priority="3" stopIfTrue="1">
      <formula>OR($B4="dimanche",$B4="samedi")</formula>
    </cfRule>
  </conditionalFormatting>
  <conditionalFormatting sqref="DZ4:DZ5">
    <cfRule type="expression" dxfId="1" priority="2" stopIfTrue="1">
      <formula>OR($B4="dimanche",$B4="samedi")</formula>
    </cfRule>
  </conditionalFormatting>
  <conditionalFormatting sqref="EA4:EA5">
    <cfRule type="expression" dxfId="0" priority="1" stopIfTrue="1">
      <formula>OR($B4="dimanche",$B4="samedi")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94090" r:id="rId3" name="CommandButton1">
          <controlPr defaultSize="0" autoFill="0" autoLine="0" r:id="rId4">
            <anchor moveWithCells="1">
              <from>
                <xdr:col>2</xdr:col>
                <xdr:colOff>28575</xdr:colOff>
                <xdr:row>0</xdr:row>
                <xdr:rowOff>19050</xdr:rowOff>
              </from>
              <to>
                <xdr:col>150</xdr:col>
                <xdr:colOff>342900</xdr:colOff>
                <xdr:row>1</xdr:row>
                <xdr:rowOff>19050</xdr:rowOff>
              </to>
            </anchor>
          </controlPr>
        </control>
      </mc:Choice>
      <mc:Fallback>
        <control shapeId="3089409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Prog</vt:lpstr>
      <vt:lpstr>Lentilles</vt:lpstr>
      <vt:lpstr>Out</vt:lpstr>
      <vt:lpstr>L3</vt:lpstr>
      <vt:lpstr>Lentilles!Criteres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cp:lastPrinted>2018-12-11T11:09:30Z</cp:lastPrinted>
  <dcterms:created xsi:type="dcterms:W3CDTF">2008-11-28T09:56:25Z</dcterms:created>
  <dcterms:modified xsi:type="dcterms:W3CDTF">2019-02-08T13:07:36Z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