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E\Desktop\TOP 2018 Version 210218\"/>
    </mc:Choice>
  </mc:AlternateContent>
  <bookViews>
    <workbookView xWindow="0" yWindow="0" windowWidth="15480" windowHeight="7455" tabRatio="695" firstSheet="3" activeTab="3"/>
  </bookViews>
  <sheets>
    <sheet name="Aide" sheetId="11" r:id="rId1"/>
    <sheet name="REGION" sheetId="7" r:id="rId2"/>
    <sheet name="Synthèse DR" sheetId="16" state="hidden" r:id="rId3"/>
    <sheet name="Renouvel_mois" sheetId="9" r:id="rId4"/>
    <sheet name="      " sheetId="14" r:id="rId5"/>
    <sheet name="011_NANTES" sheetId="20" r:id="rId6"/>
    <sheet name="048_BOURGES" sheetId="22" r:id="rId7"/>
    <sheet name="049_ORLEANS" sheetId="23" r:id="rId8"/>
    <sheet name="052_CHAURAY" sheetId="24" r:id="rId9"/>
    <sheet name="057_RENNES TERTIAIRE" sheetId="19" r:id="rId10"/>
    <sheet name="083_RENNES INDUSTRIE" sheetId="18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'011_NANTES'!$A$11:$DB$11</definedName>
    <definedName name="_xlnm._FilterDatabase" localSheetId="10" hidden="1">'083_RENNES INDUSTRIE'!$A$11:$EF$103</definedName>
    <definedName name="Chauray" localSheetId="8">[1]Aide!$E$44:$E$56</definedName>
    <definedName name="Chauray">Aide!$E$44:$E$56</definedName>
    <definedName name="civilité" localSheetId="5">[2]Aide!$C$16:$C$21</definedName>
    <definedName name="civilité" localSheetId="6">[3]Aide!$C$16:$C$21</definedName>
    <definedName name="civilité" localSheetId="7">[4]Aide!$C$16:$C$21</definedName>
    <definedName name="civilité" localSheetId="8">[1]Aide!$C$16:$C$21</definedName>
    <definedName name="civilité" localSheetId="9">[5]Aide!$C$16:$C$21</definedName>
    <definedName name="civilité" localSheetId="10">[6]Aide!$C$16:$C$21</definedName>
    <definedName name="civilité">Aide!$C$16:$C$21</definedName>
    <definedName name="Durée" localSheetId="5">[2]Aide!#REF!</definedName>
    <definedName name="Durée" localSheetId="6">[3]Aide!#REF!</definedName>
    <definedName name="Durée" localSheetId="7">[4]Aide!#REF!</definedName>
    <definedName name="Durée" localSheetId="8">[1]Aide!#REF!</definedName>
    <definedName name="Durée" localSheetId="9">[5]Aide!#REF!</definedName>
    <definedName name="Durée" localSheetId="10">[6]Aide!#REF!</definedName>
    <definedName name="Durée">Aide!#REF!</definedName>
    <definedName name="Origine" localSheetId="5">[2]Aide!$C$7:$C$12</definedName>
    <definedName name="Origine" localSheetId="6">[3]Aide!$C$7:$C$12</definedName>
    <definedName name="Origine" localSheetId="7">[4]Aide!$C$7:$C$12</definedName>
    <definedName name="Origine" localSheetId="8">[1]Aide!$C$7:$C$12</definedName>
    <definedName name="Origine" localSheetId="10">[6]Aide!$C$7:$C$12</definedName>
    <definedName name="Origine">Aide!$C$7:$C$12</definedName>
    <definedName name="Orléans_CdS" localSheetId="7">[4]Aide!$C$26:$C$38</definedName>
    <definedName name="Orléans_CdS">Aide!$C$26:$C$38</definedName>
    <definedName name="OuiNon" localSheetId="5">[2]Aide!$I$7:$I$10</definedName>
    <definedName name="OuiNon" localSheetId="6">[3]Aide!$I$7:$I$10</definedName>
    <definedName name="OuiNon" localSheetId="7">[4]Aide!$I$7:$I$10</definedName>
    <definedName name="OuiNon" localSheetId="8">[1]Aide!$I$7:$I$10</definedName>
    <definedName name="OuiNon" localSheetId="9">[5]Aide!$I$7:$I$10</definedName>
    <definedName name="OuiNon" localSheetId="10">[6]Aide!$I$7:$I$10</definedName>
    <definedName name="OuiNon">Aide!$I$7:$I$10</definedName>
    <definedName name="Reconduction" localSheetId="5">[2]Aide!$G$7:$G$12</definedName>
    <definedName name="Reconduction" localSheetId="6">[3]Aide!$G$7:$G$12</definedName>
    <definedName name="Reconduction" localSheetId="7">[4]Aide!$G$7:$G$12</definedName>
    <definedName name="Reconduction" localSheetId="8">[1]Aide!$G$7:$G$12</definedName>
    <definedName name="Reconduction" localSheetId="9">[5]Aide!$G$7:$G$12</definedName>
    <definedName name="Reconduction" localSheetId="10">[6]Aide!$G$7:$G$12</definedName>
    <definedName name="Reconduction">Aide!$G$7:$G$12</definedName>
    <definedName name="Risque" localSheetId="5">[2]Aide!$E$7:$E$12</definedName>
    <definedName name="Risque" localSheetId="6">[3]Aide!$E$7:$E$12</definedName>
    <definedName name="Risque" localSheetId="7">[4]Aide!$E$7:$E$12</definedName>
    <definedName name="Risque" localSheetId="8">[1]Aide!$E$7:$E$12</definedName>
    <definedName name="Risque" localSheetId="9">[5]Aide!$E$7:$E$12</definedName>
    <definedName name="Risque" localSheetId="10">[6]Aide!$E$7:$E$12</definedName>
    <definedName name="Risque">Aide!$E$7:$E$12</definedName>
    <definedName name="Statut" localSheetId="5">[2]Aide!$A$7:$A$12</definedName>
    <definedName name="Statut" localSheetId="6">[3]Aide!$A$7:$A$12</definedName>
    <definedName name="Statut" localSheetId="7">[4]Aide!$A$7:$A$12</definedName>
    <definedName name="Statut" localSheetId="8">[1]Aide!$A$7:$A$12</definedName>
    <definedName name="Statut" localSheetId="9">[5]Aide!$A$7:$A$12</definedName>
    <definedName name="Statut" localSheetId="10">[6]Aide!$A$7:$A$12</definedName>
    <definedName name="Statut">Aide!$A$7:$A$12</definedName>
    <definedName name="_xlnm.Print_Area" localSheetId="6">'048_BOURGES'!$A$1:$AB$45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9" l="1"/>
  <c r="B44" i="9" l="1"/>
  <c r="M15" i="18"/>
  <c r="H57" i="24"/>
  <c r="B57" i="24"/>
  <c r="A57" i="24"/>
  <c r="H56" i="24"/>
  <c r="B56" i="24"/>
  <c r="A56" i="24"/>
  <c r="H55" i="24"/>
  <c r="B55" i="24"/>
  <c r="A55" i="24"/>
  <c r="H54" i="24"/>
  <c r="B54" i="24"/>
  <c r="A54" i="24"/>
  <c r="L53" i="24"/>
  <c r="H53" i="24"/>
  <c r="B53" i="24"/>
  <c r="A53" i="24"/>
  <c r="H52" i="24"/>
  <c r="B52" i="24"/>
  <c r="A52" i="24"/>
  <c r="Y51" i="24"/>
  <c r="H51" i="24"/>
  <c r="B51" i="24"/>
  <c r="A51" i="24"/>
  <c r="H50" i="24"/>
  <c r="B50" i="24"/>
  <c r="A50" i="24"/>
  <c r="H49" i="24"/>
  <c r="B49" i="24"/>
  <c r="A49" i="24"/>
  <c r="L48" i="24"/>
  <c r="H48" i="24"/>
  <c r="B48" i="24"/>
  <c r="A48" i="24"/>
  <c r="L47" i="24"/>
  <c r="H47" i="24"/>
  <c r="B47" i="24"/>
  <c r="A47" i="24"/>
  <c r="L46" i="24"/>
  <c r="H46" i="24"/>
  <c r="B46" i="24"/>
  <c r="A46" i="24"/>
  <c r="L45" i="24"/>
  <c r="H45" i="24"/>
  <c r="B45" i="24"/>
  <c r="A45" i="24"/>
  <c r="Y44" i="24"/>
  <c r="H44" i="24"/>
  <c r="B44" i="24"/>
  <c r="A44" i="24"/>
  <c r="L43" i="24"/>
  <c r="H43" i="24"/>
  <c r="B43" i="24"/>
  <c r="A43" i="24"/>
  <c r="L42" i="24"/>
  <c r="H42" i="24"/>
  <c r="B42" i="24"/>
  <c r="A42" i="24"/>
  <c r="L41" i="24"/>
  <c r="H41" i="24"/>
  <c r="B41" i="24"/>
  <c r="A41" i="24"/>
  <c r="L40" i="24"/>
  <c r="H40" i="24"/>
  <c r="B40" i="24"/>
  <c r="A40" i="24"/>
  <c r="L39" i="24"/>
  <c r="H39" i="24"/>
  <c r="B39" i="24"/>
  <c r="A39" i="24"/>
  <c r="L38" i="24"/>
  <c r="H38" i="24"/>
  <c r="B38" i="24"/>
  <c r="A38" i="24"/>
  <c r="L37" i="24"/>
  <c r="H37" i="24"/>
  <c r="B37" i="24"/>
  <c r="A37" i="24"/>
  <c r="L36" i="24"/>
  <c r="H36" i="24"/>
  <c r="B36" i="24"/>
  <c r="A36" i="24"/>
  <c r="L35" i="24"/>
  <c r="H35" i="24"/>
  <c r="B35" i="24"/>
  <c r="A35" i="24"/>
  <c r="L34" i="24"/>
  <c r="H34" i="24"/>
  <c r="B34" i="24"/>
  <c r="A34" i="24"/>
  <c r="L33" i="24"/>
  <c r="H33" i="24"/>
  <c r="B33" i="24"/>
  <c r="A33" i="24"/>
  <c r="L32" i="24"/>
  <c r="H32" i="24"/>
  <c r="B32" i="24"/>
  <c r="A32" i="24"/>
  <c r="L31" i="24"/>
  <c r="H31" i="24"/>
  <c r="B31" i="24"/>
  <c r="A31" i="24"/>
  <c r="L30" i="24"/>
  <c r="H30" i="24"/>
  <c r="B30" i="24"/>
  <c r="A30" i="24"/>
  <c r="Y29" i="24"/>
  <c r="L29" i="24"/>
  <c r="H29" i="24"/>
  <c r="B29" i="24"/>
  <c r="A29" i="24"/>
  <c r="Y28" i="24"/>
  <c r="L28" i="24"/>
  <c r="H28" i="24"/>
  <c r="B28" i="24"/>
  <c r="A28" i="24"/>
  <c r="L27" i="24"/>
  <c r="H27" i="24"/>
  <c r="B27" i="24"/>
  <c r="A27" i="24"/>
  <c r="G26" i="24"/>
  <c r="L26" i="24" s="1"/>
  <c r="B26" i="24"/>
  <c r="A26" i="24"/>
  <c r="H25" i="24"/>
  <c r="G25" i="24"/>
  <c r="L25" i="24" s="1"/>
  <c r="B25" i="24"/>
  <c r="A25" i="24"/>
  <c r="G24" i="24"/>
  <c r="L24" i="24" s="1"/>
  <c r="B24" i="24"/>
  <c r="A24" i="24"/>
  <c r="G23" i="24"/>
  <c r="B23" i="24"/>
  <c r="A23" i="24"/>
  <c r="G22" i="24"/>
  <c r="L22" i="24" s="1"/>
  <c r="B22" i="24"/>
  <c r="A22" i="24"/>
  <c r="L21" i="24"/>
  <c r="H21" i="24"/>
  <c r="B21" i="24"/>
  <c r="A21" i="24"/>
  <c r="L20" i="24"/>
  <c r="H20" i="24"/>
  <c r="B20" i="24"/>
  <c r="A20" i="24"/>
  <c r="L19" i="24"/>
  <c r="H19" i="24"/>
  <c r="B19" i="24"/>
  <c r="A19" i="24"/>
  <c r="L18" i="24"/>
  <c r="H18" i="24"/>
  <c r="B18" i="24"/>
  <c r="A18" i="24"/>
  <c r="Y17" i="24"/>
  <c r="B17" i="24"/>
  <c r="A17" i="24"/>
  <c r="L16" i="24"/>
  <c r="H16" i="24"/>
  <c r="B16" i="24"/>
  <c r="A16" i="24"/>
  <c r="Y15" i="24"/>
  <c r="L15" i="24"/>
  <c r="H15" i="24"/>
  <c r="B15" i="24"/>
  <c r="A15" i="24"/>
  <c r="Y14" i="24"/>
  <c r="B14" i="24"/>
  <c r="A14" i="24"/>
  <c r="L13" i="24"/>
  <c r="H13" i="24"/>
  <c r="B13" i="24"/>
  <c r="A13" i="24"/>
  <c r="W7" i="24"/>
  <c r="R7" i="24"/>
  <c r="W6" i="24"/>
  <c r="W8" i="24" s="1"/>
  <c r="R6" i="24"/>
  <c r="R8" i="24" s="1"/>
  <c r="G4" i="24"/>
  <c r="W3" i="24"/>
  <c r="T3" i="24"/>
  <c r="I3" i="24"/>
  <c r="W2" i="24"/>
  <c r="W4" i="24" s="1"/>
  <c r="I2" i="24"/>
  <c r="I4" i="24" s="1"/>
  <c r="G1" i="24"/>
  <c r="S15" i="24" s="1"/>
  <c r="H22" i="24" l="1"/>
  <c r="H26" i="24"/>
  <c r="S14" i="24"/>
  <c r="S16" i="24"/>
  <c r="Y16" i="24" s="1"/>
  <c r="T16" i="24" s="1"/>
  <c r="R2" i="24"/>
  <c r="R4" i="24" s="1"/>
  <c r="L23" i="24"/>
  <c r="H23" i="24"/>
  <c r="T51" i="24"/>
  <c r="S23" i="24"/>
  <c r="Y23" i="24" s="1"/>
  <c r="T23" i="24" s="1"/>
  <c r="O24" i="24"/>
  <c r="T44" i="24"/>
  <c r="S55" i="24"/>
  <c r="Y55" i="24" s="1"/>
  <c r="T55" i="24" s="1"/>
  <c r="O54" i="24"/>
  <c r="S50" i="24"/>
  <c r="Y50" i="24" s="1"/>
  <c r="T50" i="24" s="1"/>
  <c r="O49" i="24"/>
  <c r="S38" i="24"/>
  <c r="Y38" i="24" s="1"/>
  <c r="S37" i="24"/>
  <c r="Y37" i="24" s="1"/>
  <c r="T37" i="24" s="1"/>
  <c r="S36" i="24"/>
  <c r="Y36" i="24" s="1"/>
  <c r="T36" i="24" s="1"/>
  <c r="S35" i="24"/>
  <c r="Y35" i="24" s="1"/>
  <c r="T35" i="24" s="1"/>
  <c r="S34" i="24"/>
  <c r="Y34" i="24" s="1"/>
  <c r="T34" i="24" s="1"/>
  <c r="S33" i="24"/>
  <c r="Y33" i="24" s="1"/>
  <c r="T33" i="24" s="1"/>
  <c r="S32" i="24"/>
  <c r="Y32" i="24" s="1"/>
  <c r="T32" i="24" s="1"/>
  <c r="S31" i="24"/>
  <c r="Y31" i="24" s="1"/>
  <c r="T31" i="24" s="1"/>
  <c r="S30" i="24"/>
  <c r="Y30" i="24" s="1"/>
  <c r="T30" i="24" s="1"/>
  <c r="S29" i="24"/>
  <c r="S28" i="24"/>
  <c r="S27" i="24"/>
  <c r="Y27" i="24" s="1"/>
  <c r="T27" i="24" s="1"/>
  <c r="S26" i="24"/>
  <c r="Y26" i="24" s="1"/>
  <c r="T26" i="24" s="1"/>
  <c r="O23" i="24"/>
  <c r="S22" i="24"/>
  <c r="Y22" i="24" s="1"/>
  <c r="T22" i="24" s="1"/>
  <c r="O16" i="24"/>
  <c r="O15" i="24"/>
  <c r="O14" i="24"/>
  <c r="O42" i="24"/>
  <c r="O41" i="24"/>
  <c r="O40" i="24"/>
  <c r="O39" i="24"/>
  <c r="O20" i="24"/>
  <c r="O19" i="24"/>
  <c r="O18" i="24"/>
  <c r="T15" i="24"/>
  <c r="T14" i="24"/>
  <c r="O13" i="24"/>
  <c r="O57" i="24"/>
  <c r="S54" i="24"/>
  <c r="Y54" i="24" s="1"/>
  <c r="T54" i="24" s="1"/>
  <c r="O53" i="24"/>
  <c r="O52" i="24"/>
  <c r="S49" i="24"/>
  <c r="Y49" i="24" s="1"/>
  <c r="T49" i="24" s="1"/>
  <c r="O48" i="24"/>
  <c r="O47" i="24"/>
  <c r="O46" i="24"/>
  <c r="O45" i="24"/>
  <c r="O44" i="24"/>
  <c r="S56" i="24"/>
  <c r="Y56" i="24" s="1"/>
  <c r="T56" i="24" s="1"/>
  <c r="O55" i="24"/>
  <c r="S51" i="24"/>
  <c r="O50" i="24"/>
  <c r="S43" i="24"/>
  <c r="Y43" i="24" s="1"/>
  <c r="T43" i="24" s="1"/>
  <c r="S42" i="24"/>
  <c r="Y42" i="24" s="1"/>
  <c r="T42" i="24" s="1"/>
  <c r="S41" i="24"/>
  <c r="Y41" i="24" s="1"/>
  <c r="T41" i="24" s="1"/>
  <c r="S40" i="24"/>
  <c r="Y40" i="24" s="1"/>
  <c r="T40" i="24" s="1"/>
  <c r="S39" i="24"/>
  <c r="Y39" i="24" s="1"/>
  <c r="T39" i="24" s="1"/>
  <c r="O38" i="24"/>
  <c r="O37" i="24"/>
  <c r="O36" i="24"/>
  <c r="O35" i="24"/>
  <c r="O34" i="24"/>
  <c r="O33" i="24"/>
  <c r="O32" i="24"/>
  <c r="O31" i="24"/>
  <c r="O30" i="24"/>
  <c r="O29" i="24"/>
  <c r="O28" i="24"/>
  <c r="O27" i="24"/>
  <c r="O26" i="24"/>
  <c r="S25" i="24"/>
  <c r="Y25" i="24" s="1"/>
  <c r="T25" i="24" s="1"/>
  <c r="O22" i="24"/>
  <c r="S21" i="24"/>
  <c r="Y21" i="24" s="1"/>
  <c r="T21" i="24" s="1"/>
  <c r="S20" i="24"/>
  <c r="Y20" i="24" s="1"/>
  <c r="T20" i="24" s="1"/>
  <c r="S19" i="24"/>
  <c r="Y19" i="24" s="1"/>
  <c r="T19" i="24" s="1"/>
  <c r="S18" i="24"/>
  <c r="Y18" i="24" s="1"/>
  <c r="T18" i="24" s="1"/>
  <c r="S17" i="24"/>
  <c r="S13" i="24"/>
  <c r="Y13" i="24" s="1"/>
  <c r="T13" i="24" s="1"/>
  <c r="S57" i="24"/>
  <c r="Y57" i="24" s="1"/>
  <c r="T57" i="24" s="1"/>
  <c r="O56" i="24"/>
  <c r="S53" i="24"/>
  <c r="Y53" i="24" s="1"/>
  <c r="T53" i="24" s="1"/>
  <c r="S52" i="24"/>
  <c r="Y52" i="24" s="1"/>
  <c r="T52" i="24" s="1"/>
  <c r="O51" i="24"/>
  <c r="S48" i="24"/>
  <c r="Y48" i="24" s="1"/>
  <c r="T48" i="24" s="1"/>
  <c r="S47" i="24"/>
  <c r="Y47" i="24" s="1"/>
  <c r="T47" i="24" s="1"/>
  <c r="S46" i="24"/>
  <c r="Y46" i="24" s="1"/>
  <c r="T46" i="24" s="1"/>
  <c r="S45" i="24"/>
  <c r="Y45" i="24" s="1"/>
  <c r="T45" i="24" s="1"/>
  <c r="S44" i="24"/>
  <c r="O43" i="24"/>
  <c r="O25" i="24"/>
  <c r="S24" i="24"/>
  <c r="Y24" i="24" s="1"/>
  <c r="T24" i="24" s="1"/>
  <c r="O21" i="24"/>
  <c r="O17" i="24"/>
  <c r="T29" i="24"/>
  <c r="T28" i="24"/>
  <c r="T17" i="24"/>
  <c r="H24" i="24"/>
  <c r="X52" i="23" l="1"/>
  <c r="L52" i="23"/>
  <c r="H52" i="23"/>
  <c r="X51" i="23"/>
  <c r="L51" i="23"/>
  <c r="H51" i="23"/>
  <c r="X50" i="23"/>
  <c r="L50" i="23"/>
  <c r="H50" i="23"/>
  <c r="X49" i="23"/>
  <c r="L49" i="23"/>
  <c r="H49" i="23"/>
  <c r="X48" i="23"/>
  <c r="L48" i="23"/>
  <c r="H48" i="23"/>
  <c r="X47" i="23"/>
  <c r="L47" i="23"/>
  <c r="H47" i="23"/>
  <c r="X46" i="23"/>
  <c r="L46" i="23"/>
  <c r="H46" i="23"/>
  <c r="X45" i="23"/>
  <c r="L45" i="23"/>
  <c r="H45" i="23"/>
  <c r="X44" i="23"/>
  <c r="L44" i="23"/>
  <c r="H44" i="23"/>
  <c r="X43" i="23"/>
  <c r="L43" i="23"/>
  <c r="H43" i="23"/>
  <c r="X42" i="23"/>
  <c r="L42" i="23"/>
  <c r="H42" i="23"/>
  <c r="X41" i="23"/>
  <c r="L41" i="23"/>
  <c r="H41" i="23"/>
  <c r="X40" i="23"/>
  <c r="L40" i="23"/>
  <c r="H40" i="23"/>
  <c r="X39" i="23"/>
  <c r="L39" i="23"/>
  <c r="H39" i="23"/>
  <c r="X38" i="23"/>
  <c r="L38" i="23"/>
  <c r="H38" i="23"/>
  <c r="X37" i="23"/>
  <c r="L37" i="23"/>
  <c r="H37" i="23"/>
  <c r="X36" i="23"/>
  <c r="L36" i="23"/>
  <c r="H36" i="23"/>
  <c r="X35" i="23"/>
  <c r="L35" i="23"/>
  <c r="H35" i="23"/>
  <c r="X34" i="23"/>
  <c r="L34" i="23"/>
  <c r="H34" i="23"/>
  <c r="X33" i="23"/>
  <c r="L33" i="23"/>
  <c r="H33" i="23"/>
  <c r="X32" i="23"/>
  <c r="L32" i="23"/>
  <c r="H32" i="23"/>
  <c r="X31" i="23"/>
  <c r="L31" i="23"/>
  <c r="H31" i="23"/>
  <c r="X30" i="23"/>
  <c r="L30" i="23"/>
  <c r="H30" i="23"/>
  <c r="X29" i="23"/>
  <c r="L29" i="23"/>
  <c r="H29" i="23"/>
  <c r="X28" i="23"/>
  <c r="L28" i="23"/>
  <c r="H28" i="23"/>
  <c r="X27" i="23"/>
  <c r="L27" i="23"/>
  <c r="H27" i="23"/>
  <c r="X26" i="23"/>
  <c r="L26" i="23"/>
  <c r="H26" i="23"/>
  <c r="X25" i="23"/>
  <c r="L25" i="23"/>
  <c r="H25" i="23"/>
  <c r="X24" i="23"/>
  <c r="L24" i="23"/>
  <c r="H24" i="23"/>
  <c r="X23" i="23"/>
  <c r="L23" i="23"/>
  <c r="H23" i="23"/>
  <c r="X22" i="23"/>
  <c r="L22" i="23"/>
  <c r="H22" i="23"/>
  <c r="X21" i="23"/>
  <c r="L21" i="23"/>
  <c r="H21" i="23"/>
  <c r="X20" i="23"/>
  <c r="L20" i="23"/>
  <c r="H20" i="23"/>
  <c r="X19" i="23"/>
  <c r="L19" i="23"/>
  <c r="H19" i="23"/>
  <c r="X18" i="23"/>
  <c r="L18" i="23"/>
  <c r="H18" i="23"/>
  <c r="X17" i="23"/>
  <c r="L17" i="23"/>
  <c r="H17" i="23"/>
  <c r="X16" i="23"/>
  <c r="L16" i="23"/>
  <c r="H16" i="23"/>
  <c r="X15" i="23"/>
  <c r="L15" i="23"/>
  <c r="H15" i="23"/>
  <c r="X14" i="23"/>
  <c r="L14" i="23"/>
  <c r="H14" i="23"/>
  <c r="X13" i="23"/>
  <c r="L13" i="23"/>
  <c r="H13" i="23"/>
  <c r="V7" i="23"/>
  <c r="R7" i="23"/>
  <c r="V6" i="23"/>
  <c r="V8" i="23" s="1"/>
  <c r="R6" i="23"/>
  <c r="R8" i="23" s="1"/>
  <c r="G4" i="23"/>
  <c r="V3" i="23"/>
  <c r="R3" i="23"/>
  <c r="I3" i="23"/>
  <c r="V2" i="23"/>
  <c r="V4" i="23" s="1"/>
  <c r="R2" i="23"/>
  <c r="R4" i="23" s="1"/>
  <c r="I2" i="23"/>
  <c r="I4" i="23" s="1"/>
  <c r="G1" i="23"/>
  <c r="O50" i="23" s="1"/>
  <c r="S46" i="23" l="1"/>
  <c r="O47" i="23"/>
  <c r="O20" i="23"/>
  <c r="S15" i="23"/>
  <c r="O16" i="23"/>
  <c r="S19" i="23"/>
  <c r="S23" i="23"/>
  <c r="S32" i="23"/>
  <c r="O13" i="23"/>
  <c r="S14" i="23"/>
  <c r="S16" i="23"/>
  <c r="O17" i="23"/>
  <c r="S18" i="23"/>
  <c r="S20" i="23"/>
  <c r="O21" i="23"/>
  <c r="S22" i="23"/>
  <c r="S41" i="23"/>
  <c r="S38" i="23"/>
  <c r="O39" i="23"/>
  <c r="O24" i="23"/>
  <c r="S25" i="23"/>
  <c r="S33" i="23"/>
  <c r="S49" i="23"/>
  <c r="S13" i="23"/>
  <c r="S17" i="23"/>
  <c r="S21" i="23"/>
  <c r="S27" i="23"/>
  <c r="S28" i="23"/>
  <c r="S29" i="23"/>
  <c r="O30" i="23"/>
  <c r="S37" i="23"/>
  <c r="S45" i="23"/>
  <c r="S26" i="23"/>
  <c r="S34" i="23"/>
  <c r="O35" i="23"/>
  <c r="S42" i="23"/>
  <c r="O43" i="23"/>
  <c r="S50" i="23"/>
  <c r="O51" i="23"/>
  <c r="S52" i="23"/>
  <c r="S24" i="23"/>
  <c r="O25" i="23"/>
  <c r="S30" i="23"/>
  <c r="O31" i="23"/>
  <c r="S35" i="23"/>
  <c r="O36" i="23"/>
  <c r="S39" i="23"/>
  <c r="O40" i="23"/>
  <c r="S43" i="23"/>
  <c r="O44" i="23"/>
  <c r="S47" i="23"/>
  <c r="O48" i="23"/>
  <c r="S51" i="23"/>
  <c r="O52" i="23"/>
  <c r="O14" i="23"/>
  <c r="O18" i="23"/>
  <c r="O22" i="23"/>
  <c r="O26" i="23"/>
  <c r="S31" i="23"/>
  <c r="O32" i="23"/>
  <c r="S36" i="23"/>
  <c r="O37" i="23"/>
  <c r="S40" i="23"/>
  <c r="O41" i="23"/>
  <c r="S44" i="23"/>
  <c r="O45" i="23"/>
  <c r="S48" i="23"/>
  <c r="O49" i="23"/>
  <c r="O15" i="23"/>
  <c r="O19" i="23"/>
  <c r="O23" i="23"/>
  <c r="O27" i="23"/>
  <c r="O34" i="23"/>
  <c r="O38" i="23"/>
  <c r="O42" i="23"/>
  <c r="O46" i="23"/>
  <c r="X52" i="22" l="1"/>
  <c r="K52" i="22"/>
  <c r="L52" i="22" s="1"/>
  <c r="H52" i="22"/>
  <c r="X51" i="22"/>
  <c r="K51" i="22"/>
  <c r="L51" i="22" s="1"/>
  <c r="H51" i="22"/>
  <c r="X50" i="22"/>
  <c r="L50" i="22"/>
  <c r="K50" i="22"/>
  <c r="H50" i="22"/>
  <c r="X49" i="22"/>
  <c r="L49" i="22"/>
  <c r="K49" i="22"/>
  <c r="H49" i="22"/>
  <c r="X48" i="22"/>
  <c r="K48" i="22"/>
  <c r="L48" i="22" s="1"/>
  <c r="H48" i="22"/>
  <c r="X47" i="22"/>
  <c r="K47" i="22"/>
  <c r="L47" i="22" s="1"/>
  <c r="H47" i="22"/>
  <c r="X46" i="22"/>
  <c r="K46" i="22"/>
  <c r="L46" i="22" s="1"/>
  <c r="H46" i="22"/>
  <c r="X45" i="22"/>
  <c r="K45" i="22"/>
  <c r="L45" i="22" s="1"/>
  <c r="H45" i="22"/>
  <c r="X44" i="22"/>
  <c r="K44" i="22"/>
  <c r="L44" i="22" s="1"/>
  <c r="H44" i="22"/>
  <c r="X43" i="22"/>
  <c r="K43" i="22"/>
  <c r="L43" i="22" s="1"/>
  <c r="H43" i="22"/>
  <c r="X42" i="22"/>
  <c r="L42" i="22"/>
  <c r="K42" i="22"/>
  <c r="H42" i="22"/>
  <c r="X41" i="22"/>
  <c r="K41" i="22"/>
  <c r="L41" i="22" s="1"/>
  <c r="H41" i="22"/>
  <c r="X40" i="22"/>
  <c r="K40" i="22"/>
  <c r="L40" i="22" s="1"/>
  <c r="H40" i="22"/>
  <c r="X39" i="22"/>
  <c r="K39" i="22"/>
  <c r="L39" i="22" s="1"/>
  <c r="H39" i="22"/>
  <c r="X38" i="22"/>
  <c r="K38" i="22"/>
  <c r="L38" i="22" s="1"/>
  <c r="H38" i="22"/>
  <c r="X37" i="22"/>
  <c r="K37" i="22"/>
  <c r="L37" i="22" s="1"/>
  <c r="H37" i="22"/>
  <c r="X36" i="22"/>
  <c r="K36" i="22"/>
  <c r="L36" i="22" s="1"/>
  <c r="H36" i="22"/>
  <c r="X35" i="22"/>
  <c r="K35" i="22"/>
  <c r="L35" i="22" s="1"/>
  <c r="H35" i="22"/>
  <c r="X34" i="22"/>
  <c r="K34" i="22"/>
  <c r="L34" i="22" s="1"/>
  <c r="H34" i="22"/>
  <c r="X33" i="22"/>
  <c r="K33" i="22"/>
  <c r="L33" i="22" s="1"/>
  <c r="H33" i="22"/>
  <c r="X32" i="22"/>
  <c r="K32" i="22"/>
  <c r="L32" i="22" s="1"/>
  <c r="H32" i="22"/>
  <c r="X31" i="22"/>
  <c r="K31" i="22"/>
  <c r="L31" i="22" s="1"/>
  <c r="H31" i="22"/>
  <c r="X30" i="22"/>
  <c r="K30" i="22"/>
  <c r="L30" i="22" s="1"/>
  <c r="X29" i="22"/>
  <c r="K29" i="22"/>
  <c r="L29" i="22" s="1"/>
  <c r="H29" i="22"/>
  <c r="X28" i="22"/>
  <c r="K28" i="22"/>
  <c r="L28" i="22" s="1"/>
  <c r="H28" i="22"/>
  <c r="X27" i="22"/>
  <c r="K27" i="22"/>
  <c r="L27" i="22" s="1"/>
  <c r="H27" i="22"/>
  <c r="X26" i="22"/>
  <c r="K26" i="22"/>
  <c r="L26" i="22" s="1"/>
  <c r="H26" i="22"/>
  <c r="X25" i="22"/>
  <c r="L25" i="22"/>
  <c r="K25" i="22"/>
  <c r="H25" i="22"/>
  <c r="X24" i="22"/>
  <c r="K24" i="22"/>
  <c r="L24" i="22" s="1"/>
  <c r="H24" i="22"/>
  <c r="X23" i="22"/>
  <c r="K23" i="22"/>
  <c r="L23" i="22" s="1"/>
  <c r="H23" i="22"/>
  <c r="X22" i="22"/>
  <c r="K22" i="22"/>
  <c r="L22" i="22" s="1"/>
  <c r="H22" i="22"/>
  <c r="X21" i="22"/>
  <c r="K21" i="22"/>
  <c r="L21" i="22" s="1"/>
  <c r="H21" i="22"/>
  <c r="X20" i="22"/>
  <c r="K20" i="22"/>
  <c r="L20" i="22" s="1"/>
  <c r="H20" i="22"/>
  <c r="X19" i="22"/>
  <c r="K19" i="22"/>
  <c r="L19" i="22" s="1"/>
  <c r="H19" i="22"/>
  <c r="X18" i="22"/>
  <c r="K18" i="22"/>
  <c r="L18" i="22" s="1"/>
  <c r="H18" i="22"/>
  <c r="X17" i="22"/>
  <c r="K17" i="22"/>
  <c r="L17" i="22" s="1"/>
  <c r="H17" i="22"/>
  <c r="X16" i="22"/>
  <c r="K16" i="22"/>
  <c r="L16" i="22" s="1"/>
  <c r="H16" i="22"/>
  <c r="X15" i="22"/>
  <c r="K15" i="22"/>
  <c r="L15" i="22" s="1"/>
  <c r="H15" i="22"/>
  <c r="X14" i="22"/>
  <c r="K14" i="22"/>
  <c r="L14" i="22" s="1"/>
  <c r="H14" i="22"/>
  <c r="B14" i="22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A14" i="22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X13" i="22"/>
  <c r="K13" i="22"/>
  <c r="L13" i="22" s="1"/>
  <c r="H13" i="22"/>
  <c r="V7" i="22"/>
  <c r="S7" i="22"/>
  <c r="V6" i="22"/>
  <c r="V8" i="22" s="1"/>
  <c r="S6" i="22"/>
  <c r="S8" i="22" s="1"/>
  <c r="I4" i="22"/>
  <c r="G4" i="22"/>
  <c r="V3" i="22"/>
  <c r="S3" i="22"/>
  <c r="I3" i="22"/>
  <c r="V2" i="22"/>
  <c r="V4" i="22" s="1"/>
  <c r="S2" i="22"/>
  <c r="S4" i="22" s="1"/>
  <c r="I2" i="22"/>
  <c r="G1" i="22"/>
  <c r="O51" i="22" s="1"/>
  <c r="S15" i="22" l="1"/>
  <c r="S19" i="22"/>
  <c r="S23" i="22"/>
  <c r="S28" i="22"/>
  <c r="S32" i="22"/>
  <c r="S36" i="22"/>
  <c r="S40" i="22"/>
  <c r="S14" i="22"/>
  <c r="S18" i="22"/>
  <c r="S22" i="22"/>
  <c r="S27" i="22"/>
  <c r="S31" i="22"/>
  <c r="S35" i="22"/>
  <c r="S39" i="22"/>
  <c r="S17" i="22"/>
  <c r="S21" i="22"/>
  <c r="S26" i="22"/>
  <c r="S34" i="22"/>
  <c r="S38" i="22"/>
  <c r="S47" i="22"/>
  <c r="S13" i="22"/>
  <c r="S16" i="22"/>
  <c r="S20" i="22"/>
  <c r="S29" i="22"/>
  <c r="S33" i="22"/>
  <c r="S37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S43" i="22"/>
  <c r="S44" i="22"/>
  <c r="S45" i="22"/>
  <c r="O50" i="22"/>
  <c r="O30" i="22"/>
  <c r="S41" i="22"/>
  <c r="O49" i="22"/>
  <c r="O13" i="22"/>
  <c r="O15" i="22"/>
  <c r="O16" i="22"/>
  <c r="O19" i="22"/>
  <c r="O26" i="22"/>
  <c r="O27" i="22"/>
  <c r="O28" i="22"/>
  <c r="O29" i="22"/>
  <c r="O47" i="22"/>
  <c r="O48" i="22"/>
  <c r="O52" i="22"/>
  <c r="O14" i="22"/>
  <c r="O17" i="22"/>
  <c r="O18" i="22"/>
  <c r="O20" i="22"/>
  <c r="O21" i="22"/>
  <c r="O22" i="22"/>
  <c r="O23" i="22"/>
  <c r="O24" i="22"/>
  <c r="O25" i="22"/>
  <c r="O43" i="22"/>
  <c r="O44" i="22"/>
  <c r="O45" i="22"/>
  <c r="O46" i="22"/>
  <c r="X68" i="20" l="1"/>
  <c r="L68" i="20"/>
  <c r="H68" i="20"/>
  <c r="X67" i="20"/>
  <c r="L67" i="20"/>
  <c r="H67" i="20"/>
  <c r="X66" i="20"/>
  <c r="L66" i="20"/>
  <c r="H66" i="20"/>
  <c r="X65" i="20"/>
  <c r="L65" i="20"/>
  <c r="H65" i="20"/>
  <c r="X64" i="20"/>
  <c r="L64" i="20"/>
  <c r="H64" i="20"/>
  <c r="X63" i="20"/>
  <c r="L63" i="20"/>
  <c r="H63" i="20"/>
  <c r="X62" i="20"/>
  <c r="L62" i="20"/>
  <c r="H62" i="20"/>
  <c r="X61" i="20"/>
  <c r="L61" i="20"/>
  <c r="H61" i="20"/>
  <c r="X60" i="20"/>
  <c r="L60" i="20"/>
  <c r="H60" i="20"/>
  <c r="X59" i="20"/>
  <c r="L59" i="20"/>
  <c r="H59" i="20"/>
  <c r="X58" i="20"/>
  <c r="L58" i="20"/>
  <c r="H58" i="20"/>
  <c r="X57" i="20"/>
  <c r="L57" i="20"/>
  <c r="H57" i="20"/>
  <c r="X56" i="20"/>
  <c r="L56" i="20"/>
  <c r="H56" i="20"/>
  <c r="X55" i="20"/>
  <c r="L55" i="20"/>
  <c r="H55" i="20"/>
  <c r="X54" i="20"/>
  <c r="L54" i="20"/>
  <c r="H54" i="20"/>
  <c r="X53" i="20"/>
  <c r="L53" i="20"/>
  <c r="H53" i="20"/>
  <c r="X52" i="20"/>
  <c r="L52" i="20"/>
  <c r="H52" i="20"/>
  <c r="X51" i="20"/>
  <c r="L51" i="20"/>
  <c r="H51" i="20"/>
  <c r="X50" i="20"/>
  <c r="L50" i="20"/>
  <c r="H50" i="20"/>
  <c r="X49" i="20"/>
  <c r="L49" i="20"/>
  <c r="H49" i="20"/>
  <c r="X48" i="20"/>
  <c r="L48" i="20"/>
  <c r="H48" i="20"/>
  <c r="X47" i="20"/>
  <c r="L47" i="20"/>
  <c r="H47" i="20"/>
  <c r="X46" i="20"/>
  <c r="L46" i="20"/>
  <c r="H46" i="20"/>
  <c r="X45" i="20"/>
  <c r="L45" i="20"/>
  <c r="H45" i="20"/>
  <c r="X44" i="20"/>
  <c r="L44" i="20"/>
  <c r="H44" i="20"/>
  <c r="X43" i="20"/>
  <c r="L43" i="20"/>
  <c r="H43" i="20"/>
  <c r="X42" i="20"/>
  <c r="L42" i="20"/>
  <c r="H42" i="20"/>
  <c r="X41" i="20"/>
  <c r="L41" i="20"/>
  <c r="H41" i="20"/>
  <c r="X40" i="20"/>
  <c r="L40" i="20"/>
  <c r="H40" i="20"/>
  <c r="X39" i="20"/>
  <c r="L39" i="20"/>
  <c r="H39" i="20"/>
  <c r="X38" i="20"/>
  <c r="L38" i="20"/>
  <c r="H38" i="20"/>
  <c r="X37" i="20"/>
  <c r="L37" i="20"/>
  <c r="H37" i="20"/>
  <c r="X36" i="20"/>
  <c r="L36" i="20"/>
  <c r="H36" i="20"/>
  <c r="X35" i="20"/>
  <c r="L35" i="20"/>
  <c r="H35" i="20"/>
  <c r="X34" i="20"/>
  <c r="L34" i="20"/>
  <c r="H34" i="20"/>
  <c r="X33" i="20"/>
  <c r="L33" i="20"/>
  <c r="H33" i="20"/>
  <c r="X32" i="20"/>
  <c r="L32" i="20"/>
  <c r="H32" i="20"/>
  <c r="X31" i="20"/>
  <c r="L31" i="20"/>
  <c r="H31" i="20"/>
  <c r="X30" i="20"/>
  <c r="L30" i="20"/>
  <c r="H30" i="20"/>
  <c r="X29" i="20"/>
  <c r="L29" i="20"/>
  <c r="H29" i="20"/>
  <c r="X28" i="20"/>
  <c r="L28" i="20"/>
  <c r="H28" i="20"/>
  <c r="X27" i="20"/>
  <c r="L27" i="20"/>
  <c r="H27" i="20"/>
  <c r="X26" i="20"/>
  <c r="L26" i="20"/>
  <c r="H26" i="20"/>
  <c r="X25" i="20"/>
  <c r="L25" i="20"/>
  <c r="H25" i="20"/>
  <c r="X24" i="20"/>
  <c r="L24" i="20"/>
  <c r="H24" i="20"/>
  <c r="X23" i="20"/>
  <c r="L23" i="20"/>
  <c r="H23" i="20"/>
  <c r="X22" i="20"/>
  <c r="L22" i="20"/>
  <c r="H22" i="20"/>
  <c r="X21" i="20"/>
  <c r="L21" i="20"/>
  <c r="H21" i="20"/>
  <c r="X20" i="20"/>
  <c r="L20" i="20"/>
  <c r="H20" i="20"/>
  <c r="X19" i="20"/>
  <c r="L19" i="20"/>
  <c r="H19" i="20"/>
  <c r="X18" i="20"/>
  <c r="L18" i="20"/>
  <c r="H18" i="20"/>
  <c r="X17" i="20"/>
  <c r="L17" i="20"/>
  <c r="H17" i="20"/>
  <c r="X16" i="20"/>
  <c r="L16" i="20"/>
  <c r="H16" i="20"/>
  <c r="X15" i="20"/>
  <c r="L15" i="20"/>
  <c r="H15" i="20"/>
  <c r="X14" i="20"/>
  <c r="L14" i="20"/>
  <c r="H14" i="20"/>
  <c r="X13" i="20"/>
  <c r="L13" i="20"/>
  <c r="H13" i="20"/>
  <c r="V7" i="20"/>
  <c r="S7" i="20"/>
  <c r="V6" i="20"/>
  <c r="V8" i="20" s="1"/>
  <c r="S6" i="20"/>
  <c r="S8" i="20" s="1"/>
  <c r="G4" i="20"/>
  <c r="V3" i="20"/>
  <c r="S3" i="20"/>
  <c r="I3" i="20"/>
  <c r="V2" i="20"/>
  <c r="V4" i="20" s="1"/>
  <c r="S2" i="20"/>
  <c r="S4" i="20" s="1"/>
  <c r="I2" i="20"/>
  <c r="I4" i="20" s="1"/>
  <c r="G1" i="20"/>
  <c r="S16" i="20" l="1"/>
  <c r="S28" i="20"/>
  <c r="S40" i="20"/>
  <c r="S48" i="20"/>
  <c r="S64" i="20"/>
  <c r="S35" i="20"/>
  <c r="S39" i="20"/>
  <c r="S43" i="20"/>
  <c r="S47" i="20"/>
  <c r="S51" i="20"/>
  <c r="S55" i="20"/>
  <c r="S59" i="20"/>
  <c r="S63" i="20"/>
  <c r="S67" i="20"/>
  <c r="S24" i="20"/>
  <c r="S36" i="20"/>
  <c r="S52" i="20"/>
  <c r="S60" i="20"/>
  <c r="S27" i="20"/>
  <c r="S62" i="20"/>
  <c r="S66" i="20"/>
  <c r="S20" i="20"/>
  <c r="S32" i="20"/>
  <c r="S44" i="20"/>
  <c r="S56" i="20"/>
  <c r="S68" i="20"/>
  <c r="S31" i="20"/>
  <c r="O30" i="20"/>
  <c r="O42" i="20"/>
  <c r="O50" i="20"/>
  <c r="S53" i="20"/>
  <c r="O54" i="20"/>
  <c r="S61" i="20"/>
  <c r="O62" i="20"/>
  <c r="S14" i="20"/>
  <c r="O15" i="20"/>
  <c r="S18" i="20"/>
  <c r="O19" i="20"/>
  <c r="S22" i="20"/>
  <c r="O23" i="20"/>
  <c r="S26" i="20"/>
  <c r="O27" i="20"/>
  <c r="S30" i="20"/>
  <c r="O31" i="20"/>
  <c r="S34" i="20"/>
  <c r="O35" i="20"/>
  <c r="S38" i="20"/>
  <c r="O39" i="20"/>
  <c r="S42" i="20"/>
  <c r="O43" i="20"/>
  <c r="S46" i="20"/>
  <c r="O47" i="20"/>
  <c r="S50" i="20"/>
  <c r="O51" i="20"/>
  <c r="S54" i="20"/>
  <c r="O55" i="20"/>
  <c r="S58" i="20"/>
  <c r="O59" i="20"/>
  <c r="O63" i="20"/>
  <c r="O67" i="20"/>
  <c r="S17" i="20"/>
  <c r="O18" i="20"/>
  <c r="O26" i="20"/>
  <c r="S33" i="20"/>
  <c r="O34" i="20"/>
  <c r="S37" i="20"/>
  <c r="S15" i="20"/>
  <c r="O16" i="20"/>
  <c r="S19" i="20"/>
  <c r="O20" i="20"/>
  <c r="S23" i="20"/>
  <c r="O24" i="20"/>
  <c r="O28" i="20"/>
  <c r="O32" i="20"/>
  <c r="O36" i="20"/>
  <c r="O40" i="20"/>
  <c r="O44" i="20"/>
  <c r="O48" i="20"/>
  <c r="O52" i="20"/>
  <c r="O56" i="20"/>
  <c r="O60" i="20"/>
  <c r="O64" i="20"/>
  <c r="O68" i="20"/>
  <c r="S13" i="20"/>
  <c r="O14" i="20"/>
  <c r="S21" i="20"/>
  <c r="O22" i="20"/>
  <c r="S25" i="20"/>
  <c r="S29" i="20"/>
  <c r="O38" i="20"/>
  <c r="S41" i="20"/>
  <c r="S45" i="20"/>
  <c r="O46" i="20"/>
  <c r="S49" i="20"/>
  <c r="S57" i="20"/>
  <c r="O58" i="20"/>
  <c r="S65" i="20"/>
  <c r="O66" i="20"/>
  <c r="O13" i="20"/>
  <c r="O17" i="20"/>
  <c r="O21" i="20"/>
  <c r="O25" i="20"/>
  <c r="O29" i="20"/>
  <c r="O33" i="20"/>
  <c r="O37" i="20"/>
  <c r="O41" i="20"/>
  <c r="O45" i="20"/>
  <c r="O49" i="20"/>
  <c r="O53" i="20"/>
  <c r="O57" i="20"/>
  <c r="O61" i="20"/>
  <c r="O65" i="20"/>
  <c r="B8" i="9" l="1" a="1"/>
  <c r="B8" i="9" s="1"/>
  <c r="F10" i="9" a="1"/>
  <c r="F10" i="9" s="1"/>
  <c r="D10" i="9" a="1"/>
  <c r="D10" i="9" s="1"/>
  <c r="X51" i="19"/>
  <c r="X52" i="19"/>
  <c r="X53" i="19"/>
  <c r="X54" i="19"/>
  <c r="X55" i="19"/>
  <c r="V46" i="19"/>
  <c r="V45" i="19"/>
  <c r="X45" i="19" s="1"/>
  <c r="X46" i="19"/>
  <c r="V44" i="19"/>
  <c r="X44" i="19"/>
  <c r="V39" i="19"/>
  <c r="V38" i="19"/>
  <c r="X38" i="19" s="1"/>
  <c r="X37" i="19"/>
  <c r="V33" i="19"/>
  <c r="X50" i="19"/>
  <c r="L50" i="19"/>
  <c r="H50" i="19"/>
  <c r="X49" i="19"/>
  <c r="L49" i="19"/>
  <c r="H49" i="19"/>
  <c r="X48" i="19"/>
  <c r="L48" i="19"/>
  <c r="H48" i="19"/>
  <c r="X47" i="19"/>
  <c r="L47" i="19"/>
  <c r="H47" i="19"/>
  <c r="X43" i="19"/>
  <c r="L43" i="19"/>
  <c r="H43" i="19"/>
  <c r="X42" i="19"/>
  <c r="L42" i="19"/>
  <c r="H42" i="19"/>
  <c r="X41" i="19"/>
  <c r="L41" i="19"/>
  <c r="H41" i="19"/>
  <c r="X40" i="19"/>
  <c r="L40" i="19"/>
  <c r="H40" i="19"/>
  <c r="X39" i="19"/>
  <c r="L39" i="19"/>
  <c r="H39" i="19"/>
  <c r="L38" i="19"/>
  <c r="H38" i="19"/>
  <c r="L37" i="19"/>
  <c r="H37" i="19"/>
  <c r="X36" i="19"/>
  <c r="L36" i="19"/>
  <c r="H36" i="19"/>
  <c r="X35" i="19"/>
  <c r="L35" i="19"/>
  <c r="H35" i="19"/>
  <c r="X34" i="19"/>
  <c r="L34" i="19"/>
  <c r="H34" i="19"/>
  <c r="X33" i="19"/>
  <c r="L33" i="19"/>
  <c r="H33" i="19"/>
  <c r="X32" i="19"/>
  <c r="L32" i="19"/>
  <c r="H32" i="19"/>
  <c r="X31" i="19"/>
  <c r="L31" i="19"/>
  <c r="H31" i="19"/>
  <c r="X30" i="19"/>
  <c r="X29" i="19"/>
  <c r="L29" i="19"/>
  <c r="H29" i="19"/>
  <c r="X28" i="19"/>
  <c r="L28" i="19"/>
  <c r="H28" i="19"/>
  <c r="X27" i="19"/>
  <c r="L27" i="19"/>
  <c r="H27" i="19"/>
  <c r="X26" i="19"/>
  <c r="L26" i="19"/>
  <c r="H26" i="19"/>
  <c r="X25" i="19"/>
  <c r="L25" i="19"/>
  <c r="H25" i="19"/>
  <c r="X24" i="19"/>
  <c r="L24" i="19"/>
  <c r="H24" i="19"/>
  <c r="X23" i="19"/>
  <c r="L23" i="19"/>
  <c r="H23" i="19"/>
  <c r="X22" i="19"/>
  <c r="L22" i="19"/>
  <c r="X21" i="19"/>
  <c r="L21" i="19"/>
  <c r="H21" i="19"/>
  <c r="X20" i="19"/>
  <c r="L20" i="19"/>
  <c r="H20" i="19"/>
  <c r="X19" i="19"/>
  <c r="L19" i="19"/>
  <c r="H19" i="19"/>
  <c r="X18" i="19"/>
  <c r="L18" i="19"/>
  <c r="H18" i="19"/>
  <c r="X17" i="19"/>
  <c r="L17" i="19"/>
  <c r="H17" i="19"/>
  <c r="X16" i="19"/>
  <c r="L16" i="19"/>
  <c r="H16" i="19"/>
  <c r="X15" i="19"/>
  <c r="L15" i="19"/>
  <c r="H15" i="19"/>
  <c r="G13" i="19"/>
  <c r="H13" i="19" s="1"/>
  <c r="V7" i="19"/>
  <c r="R7" i="19"/>
  <c r="V6" i="19"/>
  <c r="V8" i="19" s="1"/>
  <c r="R6" i="19"/>
  <c r="R8" i="19" s="1"/>
  <c r="G4" i="19"/>
  <c r="V3" i="19"/>
  <c r="R3" i="19"/>
  <c r="I3" i="19"/>
  <c r="V2" i="19"/>
  <c r="V4" i="19" s="1"/>
  <c r="R2" i="19"/>
  <c r="R4" i="19" s="1"/>
  <c r="I2" i="19"/>
  <c r="I4" i="19" s="1"/>
  <c r="G1" i="19"/>
  <c r="O47" i="19" l="1"/>
  <c r="O51" i="19"/>
  <c r="O55" i="19"/>
  <c r="O52" i="19"/>
  <c r="O53" i="19"/>
  <c r="O54" i="19"/>
  <c r="S55" i="19"/>
  <c r="S54" i="19"/>
  <c r="S53" i="19"/>
  <c r="S52" i="19"/>
  <c r="S51" i="19"/>
  <c r="S48" i="19"/>
  <c r="S46" i="19"/>
  <c r="S45" i="19"/>
  <c r="S44" i="19"/>
  <c r="S30" i="19"/>
  <c r="S29" i="19"/>
  <c r="O15" i="19"/>
  <c r="S27" i="19"/>
  <c r="O28" i="19"/>
  <c r="S31" i="19"/>
  <c r="O32" i="19"/>
  <c r="S33" i="19"/>
  <c r="S39" i="19"/>
  <c r="S41" i="19"/>
  <c r="S17" i="19"/>
  <c r="S22" i="19"/>
  <c r="S40" i="19"/>
  <c r="S42" i="19"/>
  <c r="S15" i="19"/>
  <c r="S21" i="19"/>
  <c r="S26" i="19"/>
  <c r="S28" i="19"/>
  <c r="S32" i="19"/>
  <c r="S36" i="19"/>
  <c r="O37" i="19"/>
  <c r="S47" i="19"/>
  <c r="S19" i="19"/>
  <c r="S24" i="19"/>
  <c r="O41" i="19"/>
  <c r="S49" i="19"/>
  <c r="S18" i="19"/>
  <c r="O19" i="19"/>
  <c r="S23" i="19"/>
  <c r="O24" i="19"/>
  <c r="S35" i="19"/>
  <c r="S43" i="19"/>
  <c r="S50" i="19"/>
  <c r="O18" i="19"/>
  <c r="O23" i="19"/>
  <c r="O27" i="19"/>
  <c r="O30" i="19"/>
  <c r="O31" i="19"/>
  <c r="O36" i="19"/>
  <c r="O40" i="19"/>
  <c r="O46" i="19"/>
  <c r="O48" i="19"/>
  <c r="O49" i="19"/>
  <c r="O50" i="19"/>
  <c r="O16" i="19"/>
  <c r="O20" i="19"/>
  <c r="O25" i="19"/>
  <c r="O29" i="19"/>
  <c r="O33" i="19"/>
  <c r="S37" i="19"/>
  <c r="O38" i="19"/>
  <c r="O42" i="19"/>
  <c r="O44" i="19"/>
  <c r="S16" i="19"/>
  <c r="O17" i="19"/>
  <c r="S20" i="19"/>
  <c r="O21" i="19"/>
  <c r="O22" i="19"/>
  <c r="S25" i="19"/>
  <c r="O26" i="19"/>
  <c r="O34" i="19"/>
  <c r="O35" i="19"/>
  <c r="S38" i="19"/>
  <c r="O39" i="19"/>
  <c r="O43" i="19"/>
  <c r="O45" i="19"/>
  <c r="J103" i="18" l="1"/>
  <c r="N16" i="18"/>
  <c r="Z103" i="18"/>
  <c r="N103" i="18"/>
  <c r="M103" i="18"/>
  <c r="Z102" i="18"/>
  <c r="M102" i="18"/>
  <c r="N102" i="18" s="1"/>
  <c r="J102" i="18"/>
  <c r="Z101" i="18"/>
  <c r="N101" i="18"/>
  <c r="M101" i="18"/>
  <c r="J101" i="18"/>
  <c r="Z100" i="18"/>
  <c r="M100" i="18"/>
  <c r="N100" i="18" s="1"/>
  <c r="J100" i="18"/>
  <c r="Z99" i="18"/>
  <c r="N99" i="18"/>
  <c r="M99" i="18"/>
  <c r="J99" i="18"/>
  <c r="Z98" i="18"/>
  <c r="M98" i="18"/>
  <c r="N98" i="18" s="1"/>
  <c r="J98" i="18"/>
  <c r="Z97" i="18"/>
  <c r="N97" i="18"/>
  <c r="M97" i="18"/>
  <c r="J97" i="18"/>
  <c r="Z96" i="18"/>
  <c r="M96" i="18"/>
  <c r="N96" i="18" s="1"/>
  <c r="J96" i="18"/>
  <c r="Z95" i="18"/>
  <c r="N95" i="18"/>
  <c r="M95" i="18"/>
  <c r="J95" i="18"/>
  <c r="Z94" i="18"/>
  <c r="M94" i="18"/>
  <c r="N94" i="18" s="1"/>
  <c r="J94" i="18"/>
  <c r="Z93" i="18"/>
  <c r="N93" i="18"/>
  <c r="M93" i="18"/>
  <c r="J93" i="18"/>
  <c r="Z92" i="18"/>
  <c r="M92" i="18"/>
  <c r="N92" i="18" s="1"/>
  <c r="J92" i="18"/>
  <c r="Z91" i="18"/>
  <c r="N91" i="18"/>
  <c r="M91" i="18"/>
  <c r="J91" i="18"/>
  <c r="Z90" i="18"/>
  <c r="M90" i="18"/>
  <c r="N90" i="18" s="1"/>
  <c r="J90" i="18"/>
  <c r="Z89" i="18"/>
  <c r="N89" i="18"/>
  <c r="M89" i="18"/>
  <c r="J89" i="18"/>
  <c r="Z88" i="18"/>
  <c r="M88" i="18"/>
  <c r="N88" i="18" s="1"/>
  <c r="J88" i="18"/>
  <c r="Z87" i="18"/>
  <c r="N87" i="18"/>
  <c r="M87" i="18"/>
  <c r="J87" i="18"/>
  <c r="Z86" i="18"/>
  <c r="M86" i="18"/>
  <c r="N86" i="18" s="1"/>
  <c r="J86" i="18"/>
  <c r="Z85" i="18"/>
  <c r="N85" i="18"/>
  <c r="M85" i="18"/>
  <c r="J85" i="18"/>
  <c r="Z84" i="18"/>
  <c r="M84" i="18"/>
  <c r="N84" i="18" s="1"/>
  <c r="J84" i="18"/>
  <c r="Z83" i="18"/>
  <c r="N83" i="18"/>
  <c r="M83" i="18"/>
  <c r="J83" i="18"/>
  <c r="Z82" i="18"/>
  <c r="M82" i="18"/>
  <c r="N82" i="18" s="1"/>
  <c r="J82" i="18"/>
  <c r="Z81" i="18"/>
  <c r="N81" i="18"/>
  <c r="M81" i="18"/>
  <c r="J81" i="18"/>
  <c r="Z80" i="18"/>
  <c r="M80" i="18"/>
  <c r="N80" i="18" s="1"/>
  <c r="J80" i="18"/>
  <c r="Z79" i="18"/>
  <c r="N79" i="18"/>
  <c r="M79" i="18"/>
  <c r="J79" i="18"/>
  <c r="Z78" i="18"/>
  <c r="M78" i="18"/>
  <c r="N78" i="18" s="1"/>
  <c r="J78" i="18"/>
  <c r="Z77" i="18"/>
  <c r="N77" i="18"/>
  <c r="M77" i="18"/>
  <c r="J77" i="18"/>
  <c r="Z76" i="18"/>
  <c r="M76" i="18"/>
  <c r="N76" i="18" s="1"/>
  <c r="J76" i="18"/>
  <c r="Z75" i="18"/>
  <c r="N75" i="18"/>
  <c r="M75" i="18"/>
  <c r="J75" i="18"/>
  <c r="Z74" i="18"/>
  <c r="M74" i="18"/>
  <c r="N74" i="18" s="1"/>
  <c r="J74" i="18"/>
  <c r="Z73" i="18"/>
  <c r="N73" i="18"/>
  <c r="M73" i="18"/>
  <c r="J73" i="18"/>
  <c r="Z72" i="18"/>
  <c r="M72" i="18"/>
  <c r="N72" i="18" s="1"/>
  <c r="J72" i="18"/>
  <c r="Z71" i="18"/>
  <c r="N71" i="18"/>
  <c r="M71" i="18"/>
  <c r="J71" i="18"/>
  <c r="Z70" i="18"/>
  <c r="M70" i="18"/>
  <c r="N70" i="18" s="1"/>
  <c r="J70" i="18"/>
  <c r="Z69" i="18"/>
  <c r="N69" i="18"/>
  <c r="M69" i="18"/>
  <c r="J69" i="18"/>
  <c r="Z68" i="18"/>
  <c r="M68" i="18"/>
  <c r="N68" i="18" s="1"/>
  <c r="J68" i="18"/>
  <c r="Z67" i="18"/>
  <c r="N67" i="18"/>
  <c r="M67" i="18"/>
  <c r="J67" i="18"/>
  <c r="Z66" i="18"/>
  <c r="M66" i="18"/>
  <c r="N66" i="18" s="1"/>
  <c r="J66" i="18"/>
  <c r="Z65" i="18"/>
  <c r="N65" i="18"/>
  <c r="M65" i="18"/>
  <c r="J65" i="18"/>
  <c r="Z64" i="18"/>
  <c r="M64" i="18"/>
  <c r="N64" i="18" s="1"/>
  <c r="J64" i="18"/>
  <c r="Z63" i="18"/>
  <c r="N63" i="18"/>
  <c r="M63" i="18"/>
  <c r="J63" i="18"/>
  <c r="Z62" i="18"/>
  <c r="M62" i="18"/>
  <c r="N62" i="18" s="1"/>
  <c r="J62" i="18"/>
  <c r="Z61" i="18"/>
  <c r="N61" i="18"/>
  <c r="M61" i="18"/>
  <c r="J61" i="18"/>
  <c r="Z60" i="18"/>
  <c r="M60" i="18"/>
  <c r="N60" i="18" s="1"/>
  <c r="J60" i="18"/>
  <c r="Z59" i="18"/>
  <c r="N59" i="18"/>
  <c r="M59" i="18"/>
  <c r="J59" i="18"/>
  <c r="Z58" i="18"/>
  <c r="M58" i="18"/>
  <c r="N58" i="18" s="1"/>
  <c r="J58" i="18"/>
  <c r="Z57" i="18"/>
  <c r="N57" i="18"/>
  <c r="M57" i="18"/>
  <c r="J57" i="18"/>
  <c r="Z56" i="18"/>
  <c r="M56" i="18"/>
  <c r="N56" i="18" s="1"/>
  <c r="J56" i="18"/>
  <c r="Z55" i="18"/>
  <c r="N55" i="18"/>
  <c r="M55" i="18"/>
  <c r="J55" i="18"/>
  <c r="Z54" i="18"/>
  <c r="M54" i="18"/>
  <c r="N54" i="18" s="1"/>
  <c r="J54" i="18"/>
  <c r="Z53" i="18"/>
  <c r="N53" i="18"/>
  <c r="M53" i="18"/>
  <c r="J53" i="18"/>
  <c r="Z52" i="18"/>
  <c r="M52" i="18"/>
  <c r="N52" i="18" s="1"/>
  <c r="J52" i="18"/>
  <c r="Z51" i="18"/>
  <c r="M51" i="18"/>
  <c r="N51" i="18" s="1"/>
  <c r="J51" i="18"/>
  <c r="Z50" i="18"/>
  <c r="M50" i="18"/>
  <c r="N50" i="18" s="1"/>
  <c r="J50" i="18"/>
  <c r="Z49" i="18"/>
  <c r="M49" i="18"/>
  <c r="N49" i="18" s="1"/>
  <c r="J49" i="18"/>
  <c r="Z48" i="18"/>
  <c r="M48" i="18"/>
  <c r="N48" i="18" s="1"/>
  <c r="J48" i="18"/>
  <c r="Z47" i="18"/>
  <c r="M47" i="18"/>
  <c r="N47" i="18" s="1"/>
  <c r="J47" i="18"/>
  <c r="Z46" i="18"/>
  <c r="M46" i="18"/>
  <c r="N46" i="18" s="1"/>
  <c r="J46" i="18"/>
  <c r="Z45" i="18"/>
  <c r="M45" i="18"/>
  <c r="N45" i="18" s="1"/>
  <c r="J45" i="18"/>
  <c r="Z44" i="18"/>
  <c r="M44" i="18"/>
  <c r="N44" i="18" s="1"/>
  <c r="J44" i="18"/>
  <c r="Z43" i="18"/>
  <c r="M43" i="18"/>
  <c r="N43" i="18" s="1"/>
  <c r="J43" i="18"/>
  <c r="Z42" i="18"/>
  <c r="M42" i="18"/>
  <c r="N42" i="18" s="1"/>
  <c r="J42" i="18"/>
  <c r="Z41" i="18"/>
  <c r="M41" i="18"/>
  <c r="N41" i="18" s="1"/>
  <c r="J41" i="18"/>
  <c r="Z40" i="18"/>
  <c r="M40" i="18"/>
  <c r="N40" i="18" s="1"/>
  <c r="J40" i="18"/>
  <c r="Z39" i="18"/>
  <c r="M39" i="18"/>
  <c r="N39" i="18" s="1"/>
  <c r="J39" i="18"/>
  <c r="Z38" i="18"/>
  <c r="M38" i="18"/>
  <c r="N38" i="18" s="1"/>
  <c r="J38" i="18"/>
  <c r="Z37" i="18"/>
  <c r="M37" i="18"/>
  <c r="N37" i="18" s="1"/>
  <c r="J37" i="18"/>
  <c r="Z36" i="18"/>
  <c r="M36" i="18"/>
  <c r="N36" i="18" s="1"/>
  <c r="J36" i="18"/>
  <c r="Z35" i="18"/>
  <c r="M35" i="18"/>
  <c r="N35" i="18" s="1"/>
  <c r="J35" i="18"/>
  <c r="Z34" i="18"/>
  <c r="M34" i="18"/>
  <c r="N34" i="18" s="1"/>
  <c r="J34" i="18"/>
  <c r="Z33" i="18"/>
  <c r="M33" i="18"/>
  <c r="N33" i="18" s="1"/>
  <c r="J33" i="18"/>
  <c r="Z32" i="18"/>
  <c r="M32" i="18"/>
  <c r="N32" i="18" s="1"/>
  <c r="J32" i="18"/>
  <c r="Z31" i="18"/>
  <c r="M31" i="18"/>
  <c r="N31" i="18" s="1"/>
  <c r="J31" i="18"/>
  <c r="Z30" i="18"/>
  <c r="M30" i="18"/>
  <c r="N30" i="18" s="1"/>
  <c r="J30" i="18"/>
  <c r="Z29" i="18"/>
  <c r="M29" i="18"/>
  <c r="N29" i="18" s="1"/>
  <c r="J29" i="18"/>
  <c r="Z28" i="18"/>
  <c r="M28" i="18"/>
  <c r="N28" i="18" s="1"/>
  <c r="J28" i="18"/>
  <c r="Z27" i="18"/>
  <c r="M27" i="18"/>
  <c r="N27" i="18" s="1"/>
  <c r="J27" i="18"/>
  <c r="N26" i="18"/>
  <c r="M26" i="18"/>
  <c r="J26" i="18"/>
  <c r="Z25" i="18"/>
  <c r="M25" i="18"/>
  <c r="N25" i="18" s="1"/>
  <c r="J25" i="18"/>
  <c r="Z24" i="18"/>
  <c r="N24" i="18"/>
  <c r="M24" i="18"/>
  <c r="J24" i="18"/>
  <c r="Z23" i="18"/>
  <c r="N23" i="18"/>
  <c r="M23" i="18"/>
  <c r="J23" i="18"/>
  <c r="N22" i="18"/>
  <c r="M22" i="18"/>
  <c r="J22" i="18"/>
  <c r="Z21" i="18"/>
  <c r="M21" i="18"/>
  <c r="N21" i="18" s="1"/>
  <c r="J21" i="18"/>
  <c r="Z20" i="18"/>
  <c r="N20" i="18"/>
  <c r="M20" i="18"/>
  <c r="J20" i="18"/>
  <c r="Z19" i="18"/>
  <c r="M19" i="18"/>
  <c r="N19" i="18" s="1"/>
  <c r="J19" i="18"/>
  <c r="Z18" i="18"/>
  <c r="N18" i="18"/>
  <c r="M18" i="18"/>
  <c r="J18" i="18"/>
  <c r="Z17" i="18"/>
  <c r="M17" i="18"/>
  <c r="N17" i="18" s="1"/>
  <c r="J17" i="18"/>
  <c r="Z16" i="18"/>
  <c r="M16" i="18"/>
  <c r="J16" i="18"/>
  <c r="Z15" i="18"/>
  <c r="N15" i="18"/>
  <c r="J15" i="18"/>
  <c r="Z14" i="18"/>
  <c r="L14" i="18"/>
  <c r="K14" i="18"/>
  <c r="I14" i="18"/>
  <c r="I8" i="18" s="1"/>
  <c r="Z13" i="18"/>
  <c r="N13" i="18"/>
  <c r="M13" i="18"/>
  <c r="J13" i="18"/>
  <c r="Z12" i="18"/>
  <c r="N12" i="18"/>
  <c r="M12" i="18"/>
  <c r="J12" i="18"/>
  <c r="K8" i="18"/>
  <c r="X7" i="18"/>
  <c r="T7" i="18"/>
  <c r="K7" i="18"/>
  <c r="X6" i="18"/>
  <c r="X8" i="18" s="1"/>
  <c r="T6" i="18"/>
  <c r="T8" i="18" s="1"/>
  <c r="K6" i="18"/>
  <c r="K4" i="18"/>
  <c r="I4" i="18"/>
  <c r="X3" i="18"/>
  <c r="U3" i="18"/>
  <c r="K3" i="18"/>
  <c r="X2" i="18"/>
  <c r="X4" i="18" s="1"/>
  <c r="K2" i="18"/>
  <c r="I1" i="18"/>
  <c r="Q26" i="18" s="1"/>
  <c r="U16" i="18" l="1"/>
  <c r="U23" i="18"/>
  <c r="U32" i="18"/>
  <c r="U36" i="18"/>
  <c r="U40" i="18"/>
  <c r="U44" i="18"/>
  <c r="U48" i="18"/>
  <c r="U30" i="18"/>
  <c r="U28" i="18"/>
  <c r="U14" i="18"/>
  <c r="U34" i="18"/>
  <c r="U15" i="18"/>
  <c r="U38" i="18"/>
  <c r="U42" i="18"/>
  <c r="U46" i="18"/>
  <c r="U50" i="18"/>
  <c r="U12" i="18"/>
  <c r="M14" i="18"/>
  <c r="N14" i="18" s="1"/>
  <c r="Q15" i="18"/>
  <c r="U17" i="18"/>
  <c r="Q29" i="18"/>
  <c r="Q30" i="18"/>
  <c r="Q34" i="18"/>
  <c r="Q13" i="18"/>
  <c r="J14" i="18"/>
  <c r="Q18" i="18"/>
  <c r="Q19" i="18"/>
  <c r="Q22" i="18"/>
  <c r="U29" i="18"/>
  <c r="U33" i="18"/>
  <c r="U37" i="18"/>
  <c r="U41" i="18"/>
  <c r="U45" i="18"/>
  <c r="U49" i="18"/>
  <c r="Q102" i="18"/>
  <c r="Q100" i="18"/>
  <c r="Q98" i="18"/>
  <c r="Q96" i="18"/>
  <c r="Q94" i="18"/>
  <c r="Q92" i="18"/>
  <c r="Q90" i="18"/>
  <c r="Q88" i="18"/>
  <c r="Q86" i="18"/>
  <c r="Q84" i="18"/>
  <c r="Q82" i="18"/>
  <c r="Q80" i="18"/>
  <c r="Q78" i="18"/>
  <c r="Q76" i="18"/>
  <c r="Q74" i="18"/>
  <c r="Q72" i="18"/>
  <c r="Q70" i="18"/>
  <c r="Q68" i="18"/>
  <c r="Q66" i="18"/>
  <c r="Q64" i="18"/>
  <c r="Q62" i="18"/>
  <c r="Q60" i="18"/>
  <c r="Q58" i="18"/>
  <c r="Q56" i="18"/>
  <c r="Q54" i="18"/>
  <c r="Q52" i="18"/>
  <c r="Q25" i="18"/>
  <c r="Q23" i="18"/>
  <c r="U22" i="18"/>
  <c r="Q103" i="18"/>
  <c r="Q101" i="18"/>
  <c r="Q99" i="18"/>
  <c r="Q97" i="18"/>
  <c r="Q95" i="18"/>
  <c r="Q93" i="18"/>
  <c r="Q91" i="18"/>
  <c r="Q89" i="18"/>
  <c r="Q87" i="18"/>
  <c r="Q85" i="18"/>
  <c r="Q83" i="18"/>
  <c r="Q81" i="18"/>
  <c r="Q79" i="18"/>
  <c r="Q77" i="18"/>
  <c r="Q75" i="18"/>
  <c r="Q73" i="18"/>
  <c r="Q71" i="18"/>
  <c r="Q69" i="18"/>
  <c r="Q67" i="18"/>
  <c r="Q65" i="18"/>
  <c r="Q63" i="18"/>
  <c r="Q61" i="18"/>
  <c r="Q59" i="18"/>
  <c r="Q57" i="18"/>
  <c r="Q55" i="18"/>
  <c r="Q53" i="18"/>
  <c r="T2" i="18"/>
  <c r="U13" i="18"/>
  <c r="Q14" i="18"/>
  <c r="Q16" i="18"/>
  <c r="U18" i="18"/>
  <c r="U19" i="18"/>
  <c r="Q24" i="18"/>
  <c r="U26" i="18"/>
  <c r="Q27" i="18"/>
  <c r="Q28" i="18"/>
  <c r="Q31" i="18"/>
  <c r="Q32" i="18"/>
  <c r="Q35" i="18"/>
  <c r="Q36" i="18"/>
  <c r="Q39" i="18"/>
  <c r="Q40" i="18"/>
  <c r="Q43" i="18"/>
  <c r="Q44" i="18"/>
  <c r="Q47" i="18"/>
  <c r="Q48" i="18"/>
  <c r="Q51" i="18"/>
  <c r="U52" i="18"/>
  <c r="U54" i="18"/>
  <c r="U56" i="18"/>
  <c r="U58" i="18"/>
  <c r="U60" i="18"/>
  <c r="U62" i="18"/>
  <c r="U64" i="18"/>
  <c r="U66" i="18"/>
  <c r="U68" i="18"/>
  <c r="U70" i="18"/>
  <c r="U72" i="18"/>
  <c r="U74" i="18"/>
  <c r="U76" i="18"/>
  <c r="U78" i="18"/>
  <c r="U80" i="18"/>
  <c r="U82" i="18"/>
  <c r="U84" i="18"/>
  <c r="U86" i="18"/>
  <c r="U88" i="18"/>
  <c r="U90" i="18"/>
  <c r="U92" i="18"/>
  <c r="U94" i="18"/>
  <c r="U96" i="18"/>
  <c r="U98" i="18"/>
  <c r="U100" i="18"/>
  <c r="U102" i="18"/>
  <c r="U20" i="18"/>
  <c r="U21" i="18"/>
  <c r="U25" i="18"/>
  <c r="Q33" i="18"/>
  <c r="Q37" i="18"/>
  <c r="Q38" i="18"/>
  <c r="Q41" i="18"/>
  <c r="Q42" i="18"/>
  <c r="Q45" i="18"/>
  <c r="Q46" i="18"/>
  <c r="Q49" i="18"/>
  <c r="Q50" i="18"/>
  <c r="Q12" i="18"/>
  <c r="Q17" i="18"/>
  <c r="Q20" i="18"/>
  <c r="Q21" i="18"/>
  <c r="U24" i="18"/>
  <c r="U27" i="18"/>
  <c r="U31" i="18"/>
  <c r="U35" i="18"/>
  <c r="U39" i="18"/>
  <c r="U43" i="18"/>
  <c r="U47" i="18"/>
  <c r="U51" i="18"/>
  <c r="U53" i="18"/>
  <c r="U55" i="18"/>
  <c r="U57" i="18"/>
  <c r="U59" i="18"/>
  <c r="U61" i="18"/>
  <c r="U63" i="18"/>
  <c r="U65" i="18"/>
  <c r="U67" i="18"/>
  <c r="U69" i="18"/>
  <c r="U71" i="18"/>
  <c r="U73" i="18"/>
  <c r="U75" i="18"/>
  <c r="U77" i="18"/>
  <c r="U79" i="18"/>
  <c r="U81" i="18"/>
  <c r="U83" i="18"/>
  <c r="U85" i="18"/>
  <c r="U87" i="18"/>
  <c r="U89" i="18"/>
  <c r="U91" i="18"/>
  <c r="U93" i="18"/>
  <c r="U95" i="18"/>
  <c r="U97" i="18"/>
  <c r="U99" i="18"/>
  <c r="U101" i="18"/>
  <c r="U103" i="18"/>
  <c r="I9" i="18" l="1"/>
  <c r="I7" i="18"/>
  <c r="T4" i="18"/>
  <c r="H88" i="16" l="1"/>
  <c r="N88" i="16"/>
  <c r="AO6" i="16" l="1"/>
  <c r="AN6" i="16"/>
  <c r="S88" i="16" l="1" a="1"/>
  <c r="S88" i="16" s="1"/>
  <c r="O89" i="16" a="1"/>
  <c r="O89" i="16" s="1"/>
  <c r="S89" i="16" a="1"/>
  <c r="S89" i="16" s="1"/>
  <c r="Q90" i="16" a="1"/>
  <c r="Q90" i="16" s="1"/>
  <c r="O91" i="16" a="1"/>
  <c r="O91" i="16" s="1"/>
  <c r="S91" i="16" a="1"/>
  <c r="S91" i="16" s="1"/>
  <c r="Q92" i="16" a="1"/>
  <c r="Q92" i="16" s="1"/>
  <c r="O93" i="16" a="1"/>
  <c r="O93" i="16" s="1"/>
  <c r="S93" i="16" a="1"/>
  <c r="S93" i="16" s="1"/>
  <c r="Q94" i="16" a="1"/>
  <c r="Q94" i="16" s="1"/>
  <c r="O95" i="16" a="1"/>
  <c r="O95" i="16" s="1"/>
  <c r="S95" i="16" a="1"/>
  <c r="S95" i="16" s="1"/>
  <c r="Q96" i="16" a="1"/>
  <c r="Q96" i="16" s="1"/>
  <c r="O97" i="16" a="1"/>
  <c r="O97" i="16" s="1"/>
  <c r="S97" i="16" a="1"/>
  <c r="S97" i="16" s="1"/>
  <c r="Q98" i="16" a="1"/>
  <c r="Q98" i="16" s="1"/>
  <c r="O99" i="16" a="1"/>
  <c r="O99" i="16" s="1"/>
  <c r="S99" i="16" a="1"/>
  <c r="S99" i="16" s="1"/>
  <c r="Q100" i="16" a="1"/>
  <c r="Q100" i="16" s="1"/>
  <c r="O101" i="16" a="1"/>
  <c r="O101" i="16" s="1"/>
  <c r="O90" i="16" a="1"/>
  <c r="O90" i="16" s="1"/>
  <c r="S90" i="16" a="1"/>
  <c r="S90" i="16" s="1"/>
  <c r="O92" i="16" a="1"/>
  <c r="O92" i="16" s="1"/>
  <c r="Q93" i="16" a="1"/>
  <c r="Q93" i="16" s="1"/>
  <c r="S94" i="16" a="1"/>
  <c r="S94" i="16" s="1"/>
  <c r="O96" i="16" a="1"/>
  <c r="O96" i="16" s="1"/>
  <c r="Q97" i="16" a="1"/>
  <c r="Q97" i="16" s="1"/>
  <c r="S98" i="16" a="1"/>
  <c r="S98" i="16" s="1"/>
  <c r="O100" i="16" a="1"/>
  <c r="O100" i="16" s="1"/>
  <c r="Q101" i="16" a="1"/>
  <c r="Q101" i="16" s="1"/>
  <c r="S102" i="16" a="1"/>
  <c r="S102" i="16" s="1"/>
  <c r="O104" i="16" a="1"/>
  <c r="O104" i="16" s="1"/>
  <c r="Q105" i="16" a="1"/>
  <c r="Q105" i="16" s="1"/>
  <c r="S106" i="16" a="1"/>
  <c r="S106" i="16" s="1"/>
  <c r="O108" i="16" a="1"/>
  <c r="O108" i="16" s="1"/>
  <c r="Q109" i="16" a="1"/>
  <c r="Q109" i="16" s="1"/>
  <c r="S110" i="16" a="1"/>
  <c r="S110" i="16" s="1"/>
  <c r="O112" i="16" a="1"/>
  <c r="O112" i="16" s="1"/>
  <c r="Q89" i="16" a="1"/>
  <c r="Q89" i="16" s="1"/>
  <c r="Q91" i="16" a="1"/>
  <c r="Q91" i="16" s="1"/>
  <c r="S92" i="16" a="1"/>
  <c r="S92" i="16" s="1"/>
  <c r="O94" i="16" a="1"/>
  <c r="O94" i="16" s="1"/>
  <c r="Q95" i="16" a="1"/>
  <c r="Q95" i="16" s="1"/>
  <c r="S96" i="16" a="1"/>
  <c r="S96" i="16" s="1"/>
  <c r="O98" i="16" a="1"/>
  <c r="O98" i="16" s="1"/>
  <c r="Q99" i="16" a="1"/>
  <c r="Q99" i="16" s="1"/>
  <c r="S100" i="16" a="1"/>
  <c r="S100" i="16" s="1"/>
  <c r="O102" i="16" a="1"/>
  <c r="O102" i="16" s="1"/>
  <c r="Q103" i="16" a="1"/>
  <c r="Q103" i="16" s="1"/>
  <c r="S104" i="16" a="1"/>
  <c r="S104" i="16" s="1"/>
  <c r="O106" i="16" a="1"/>
  <c r="O106" i="16" s="1"/>
  <c r="Q107" i="16" a="1"/>
  <c r="Q107" i="16" s="1"/>
  <c r="S108" i="16" a="1"/>
  <c r="S108" i="16" s="1"/>
  <c r="O110" i="16" a="1"/>
  <c r="O110" i="16" s="1"/>
  <c r="Q111" i="16" a="1"/>
  <c r="Q111" i="16" s="1"/>
  <c r="S112" i="16" a="1"/>
  <c r="S112" i="16" s="1"/>
  <c r="S101" i="16" a="1"/>
  <c r="S101" i="16" s="1"/>
  <c r="Q104" i="16" a="1"/>
  <c r="Q104" i="16" s="1"/>
  <c r="O107" i="16" a="1"/>
  <c r="O107" i="16" s="1"/>
  <c r="S109" i="16" a="1"/>
  <c r="S109" i="16" s="1"/>
  <c r="Q106" i="16" a="1"/>
  <c r="Q106" i="16" s="1"/>
  <c r="O111" i="16" a="1"/>
  <c r="O111" i="16" s="1"/>
  <c r="Q102" i="16" a="1"/>
  <c r="Q102" i="16" s="1"/>
  <c r="O105" i="16" a="1"/>
  <c r="O105" i="16" s="1"/>
  <c r="S107" i="16" a="1"/>
  <c r="S107" i="16" s="1"/>
  <c r="Q110" i="16" a="1"/>
  <c r="Q110" i="16" s="1"/>
  <c r="S111" i="16" a="1"/>
  <c r="S111" i="16" s="1"/>
  <c r="Q112" i="16" a="1"/>
  <c r="Q112" i="16" s="1"/>
  <c r="O103" i="16" a="1"/>
  <c r="O103" i="16" s="1"/>
  <c r="S105" i="16" a="1"/>
  <c r="S105" i="16" s="1"/>
  <c r="Q108" i="16" a="1"/>
  <c r="Q108" i="16" s="1"/>
  <c r="S103" i="16" a="1"/>
  <c r="S103" i="16" s="1"/>
  <c r="O109" i="16" a="1"/>
  <c r="O109" i="16" s="1"/>
  <c r="O88" i="16" a="1"/>
  <c r="O88" i="16" s="1"/>
  <c r="Q88" i="16" a="1"/>
  <c r="Q88" i="16" s="1"/>
  <c r="I89" i="16" a="1"/>
  <c r="I89" i="16" s="1"/>
  <c r="M89" i="16" a="1"/>
  <c r="M89" i="16" s="1"/>
  <c r="K90" i="16" a="1"/>
  <c r="K90" i="16" s="1"/>
  <c r="I91" i="16" a="1"/>
  <c r="I91" i="16" s="1"/>
  <c r="M91" i="16" a="1"/>
  <c r="M91" i="16" s="1"/>
  <c r="K92" i="16" a="1"/>
  <c r="K92" i="16" s="1"/>
  <c r="I93" i="16" a="1"/>
  <c r="I93" i="16" s="1"/>
  <c r="M93" i="16" a="1"/>
  <c r="M93" i="16" s="1"/>
  <c r="K94" i="16" a="1"/>
  <c r="K94" i="16" s="1"/>
  <c r="I95" i="16" a="1"/>
  <c r="I95" i="16" s="1"/>
  <c r="M95" i="16" a="1"/>
  <c r="M95" i="16" s="1"/>
  <c r="K96" i="16" a="1"/>
  <c r="K96" i="16" s="1"/>
  <c r="I97" i="16" a="1"/>
  <c r="I97" i="16" s="1"/>
  <c r="M97" i="16" a="1"/>
  <c r="M97" i="16" s="1"/>
  <c r="K98" i="16" a="1"/>
  <c r="K98" i="16" s="1"/>
  <c r="I99" i="16" a="1"/>
  <c r="I99" i="16" s="1"/>
  <c r="M99" i="16" a="1"/>
  <c r="M99" i="16" s="1"/>
  <c r="K100" i="16" a="1"/>
  <c r="K100" i="16" s="1"/>
  <c r="I101" i="16" a="1"/>
  <c r="I101" i="16" s="1"/>
  <c r="I103" i="16" a="1"/>
  <c r="I103" i="16" s="1"/>
  <c r="I105" i="16" a="1"/>
  <c r="I105" i="16" s="1"/>
  <c r="K108" i="16" a="1"/>
  <c r="K108" i="16" s="1"/>
  <c r="K110" i="16" a="1"/>
  <c r="K110" i="16" s="1"/>
  <c r="K112" i="16" a="1"/>
  <c r="K112" i="16" s="1"/>
  <c r="I90" i="16" a="1"/>
  <c r="I90" i="16" s="1"/>
  <c r="M90" i="16" a="1"/>
  <c r="M90" i="16" s="1"/>
  <c r="M92" i="16" a="1"/>
  <c r="M92" i="16" s="1"/>
  <c r="K93" i="16" a="1"/>
  <c r="K93" i="16" s="1"/>
  <c r="K95" i="16" a="1"/>
  <c r="K95" i="16" s="1"/>
  <c r="I96" i="16" a="1"/>
  <c r="I96" i="16" s="1"/>
  <c r="I98" i="16" a="1"/>
  <c r="I98" i="16" s="1"/>
  <c r="K99" i="16" a="1"/>
  <c r="K99" i="16" s="1"/>
  <c r="M100" i="16" a="1"/>
  <c r="M100" i="16" s="1"/>
  <c r="I102" i="16" a="1"/>
  <c r="I102" i="16" s="1"/>
  <c r="K103" i="16" a="1"/>
  <c r="K103" i="16" s="1"/>
  <c r="I104" i="16" a="1"/>
  <c r="I104" i="16" s="1"/>
  <c r="I106" i="16" a="1"/>
  <c r="I106" i="16" s="1"/>
  <c r="M106" i="16" a="1"/>
  <c r="M106" i="16" s="1"/>
  <c r="M108" i="16" a="1"/>
  <c r="M108" i="16" s="1"/>
  <c r="I110" i="16" a="1"/>
  <c r="I110" i="16" s="1"/>
  <c r="M110" i="16" a="1"/>
  <c r="M110" i="16" s="1"/>
  <c r="I112" i="16" a="1"/>
  <c r="I112" i="16" s="1"/>
  <c r="K102" i="16" a="1"/>
  <c r="K102" i="16" s="1"/>
  <c r="M103" i="16" a="1"/>
  <c r="M103" i="16" s="1"/>
  <c r="K106" i="16" a="1"/>
  <c r="K106" i="16" s="1"/>
  <c r="I107" i="16" a="1"/>
  <c r="I107" i="16" s="1"/>
  <c r="M109" i="16" a="1"/>
  <c r="M109" i="16" s="1"/>
  <c r="M111" i="16" a="1"/>
  <c r="M111" i="16" s="1"/>
  <c r="K89" i="16" a="1"/>
  <c r="K89" i="16" s="1"/>
  <c r="K91" i="16" a="1"/>
  <c r="K91" i="16" s="1"/>
  <c r="I92" i="16" a="1"/>
  <c r="I92" i="16" s="1"/>
  <c r="I94" i="16" a="1"/>
  <c r="I94" i="16" s="1"/>
  <c r="M94" i="16" a="1"/>
  <c r="M94" i="16" s="1"/>
  <c r="M96" i="16" a="1"/>
  <c r="M96" i="16" s="1"/>
  <c r="K97" i="16" a="1"/>
  <c r="K97" i="16" s="1"/>
  <c r="M98" i="16" a="1"/>
  <c r="M98" i="16" s="1"/>
  <c r="I100" i="16" a="1"/>
  <c r="I100" i="16" s="1"/>
  <c r="K101" i="16" a="1"/>
  <c r="K101" i="16" s="1"/>
  <c r="M102" i="16" a="1"/>
  <c r="M102" i="16" s="1"/>
  <c r="M104" i="16" a="1"/>
  <c r="M104" i="16" s="1"/>
  <c r="K105" i="16" a="1"/>
  <c r="K105" i="16" s="1"/>
  <c r="K107" i="16" a="1"/>
  <c r="K107" i="16" s="1"/>
  <c r="I108" i="16" a="1"/>
  <c r="I108" i="16" s="1"/>
  <c r="K109" i="16" a="1"/>
  <c r="K109" i="16" s="1"/>
  <c r="K111" i="16" a="1"/>
  <c r="K111" i="16" s="1"/>
  <c r="M112" i="16" a="1"/>
  <c r="M112" i="16" s="1"/>
  <c r="M101" i="16" a="1"/>
  <c r="M101" i="16" s="1"/>
  <c r="K104" i="16" a="1"/>
  <c r="K104" i="16" s="1"/>
  <c r="M105" i="16" a="1"/>
  <c r="M105" i="16" s="1"/>
  <c r="M107" i="16" a="1"/>
  <c r="M107" i="16" s="1"/>
  <c r="I109" i="16" a="1"/>
  <c r="I109" i="16" s="1"/>
  <c r="I111" i="16" a="1"/>
  <c r="I111" i="16" s="1"/>
  <c r="K88" i="16" a="1"/>
  <c r="K88" i="16" s="1"/>
  <c r="M88" i="16" a="1"/>
  <c r="M88" i="16" s="1"/>
  <c r="I88" i="16" a="1"/>
  <c r="I88" i="16" s="1"/>
  <c r="C89" i="16" a="1"/>
  <c r="C89" i="16" s="1"/>
  <c r="G89" i="16" a="1"/>
  <c r="G89" i="16" s="1"/>
  <c r="E90" i="16" a="1"/>
  <c r="E90" i="16" s="1"/>
  <c r="C91" i="16" a="1"/>
  <c r="C91" i="16" s="1"/>
  <c r="G91" i="16" a="1"/>
  <c r="G91" i="16" s="1"/>
  <c r="E92" i="16" a="1"/>
  <c r="E92" i="16" s="1"/>
  <c r="C93" i="16" a="1"/>
  <c r="C93" i="16" s="1"/>
  <c r="G93" i="16" a="1"/>
  <c r="G93" i="16" s="1"/>
  <c r="E94" i="16" a="1"/>
  <c r="E94" i="16" s="1"/>
  <c r="C95" i="16" a="1"/>
  <c r="C95" i="16" s="1"/>
  <c r="G95" i="16" a="1"/>
  <c r="G95" i="16" s="1"/>
  <c r="E96" i="16" a="1"/>
  <c r="E96" i="16" s="1"/>
  <c r="C97" i="16" a="1"/>
  <c r="C97" i="16" s="1"/>
  <c r="G97" i="16" a="1"/>
  <c r="G97" i="16" s="1"/>
  <c r="E98" i="16" a="1"/>
  <c r="E98" i="16" s="1"/>
  <c r="C99" i="16" a="1"/>
  <c r="C99" i="16" s="1"/>
  <c r="G99" i="16" a="1"/>
  <c r="G99" i="16" s="1"/>
  <c r="E100" i="16" a="1"/>
  <c r="E100" i="16" s="1"/>
  <c r="C101" i="16" a="1"/>
  <c r="C101" i="16" s="1"/>
  <c r="C103" i="16" a="1"/>
  <c r="C103" i="16" s="1"/>
  <c r="C105" i="16" a="1"/>
  <c r="C105" i="16" s="1"/>
  <c r="C107" i="16" a="1"/>
  <c r="C107" i="16" s="1"/>
  <c r="C109" i="16" a="1"/>
  <c r="C109" i="16" s="1"/>
  <c r="E112" i="16" a="1"/>
  <c r="E112" i="16" s="1"/>
  <c r="C90" i="16" a="1"/>
  <c r="C90" i="16" s="1"/>
  <c r="G90" i="16" a="1"/>
  <c r="G90" i="16" s="1"/>
  <c r="G92" i="16" a="1"/>
  <c r="G92" i="16" s="1"/>
  <c r="E93" i="16" a="1"/>
  <c r="E93" i="16" s="1"/>
  <c r="E95" i="16" a="1"/>
  <c r="E95" i="16" s="1"/>
  <c r="G96" i="16" a="1"/>
  <c r="G96" i="16" s="1"/>
  <c r="C98" i="16" a="1"/>
  <c r="C98" i="16" s="1"/>
  <c r="E99" i="16" a="1"/>
  <c r="E99" i="16" s="1"/>
  <c r="C100" i="16" a="1"/>
  <c r="C100" i="16" s="1"/>
  <c r="C102" i="16" a="1"/>
  <c r="C102" i="16" s="1"/>
  <c r="G102" i="16" a="1"/>
  <c r="G102" i="16" s="1"/>
  <c r="G104" i="16" a="1"/>
  <c r="G104" i="16" s="1"/>
  <c r="C106" i="16" a="1"/>
  <c r="C106" i="16" s="1"/>
  <c r="E107" i="16" a="1"/>
  <c r="E107" i="16" s="1"/>
  <c r="C108" i="16" a="1"/>
  <c r="C108" i="16" s="1"/>
  <c r="C110" i="16" a="1"/>
  <c r="C110" i="16" s="1"/>
  <c r="G110" i="16" a="1"/>
  <c r="G110" i="16" s="1"/>
  <c r="G112" i="16" a="1"/>
  <c r="G112" i="16" s="1"/>
  <c r="E102" i="16" a="1"/>
  <c r="E102" i="16" s="1"/>
  <c r="G103" i="16" a="1"/>
  <c r="G103" i="16" s="1"/>
  <c r="E106" i="16" a="1"/>
  <c r="E106" i="16" s="1"/>
  <c r="E108" i="16" a="1"/>
  <c r="E108" i="16" s="1"/>
  <c r="G109" i="16" a="1"/>
  <c r="G109" i="16" s="1"/>
  <c r="G111" i="16" a="1"/>
  <c r="G111" i="16" s="1"/>
  <c r="E89" i="16" a="1"/>
  <c r="E89" i="16" s="1"/>
  <c r="E91" i="16" a="1"/>
  <c r="E91" i="16" s="1"/>
  <c r="C92" i="16" a="1"/>
  <c r="C92" i="16" s="1"/>
  <c r="C94" i="16" a="1"/>
  <c r="C94" i="16" s="1"/>
  <c r="G94" i="16" a="1"/>
  <c r="G94" i="16" s="1"/>
  <c r="C96" i="16" a="1"/>
  <c r="C96" i="16" s="1"/>
  <c r="E97" i="16" a="1"/>
  <c r="E97" i="16" s="1"/>
  <c r="G98" i="16" a="1"/>
  <c r="G98" i="16" s="1"/>
  <c r="G100" i="16" a="1"/>
  <c r="G100" i="16" s="1"/>
  <c r="E101" i="16" a="1"/>
  <c r="E101" i="16" s="1"/>
  <c r="E103" i="16" a="1"/>
  <c r="E103" i="16" s="1"/>
  <c r="C104" i="16" a="1"/>
  <c r="C104" i="16" s="1"/>
  <c r="E105" i="16" a="1"/>
  <c r="E105" i="16" s="1"/>
  <c r="G106" i="16" a="1"/>
  <c r="G106" i="16" s="1"/>
  <c r="G108" i="16" a="1"/>
  <c r="G108" i="16" s="1"/>
  <c r="E109" i="16" a="1"/>
  <c r="E109" i="16" s="1"/>
  <c r="E111" i="16" a="1"/>
  <c r="E111" i="16" s="1"/>
  <c r="C112" i="16" a="1"/>
  <c r="C112" i="16" s="1"/>
  <c r="G101" i="16" a="1"/>
  <c r="G101" i="16" s="1"/>
  <c r="E104" i="16" a="1"/>
  <c r="E104" i="16" s="1"/>
  <c r="G105" i="16" a="1"/>
  <c r="G105" i="16" s="1"/>
  <c r="G107" i="16" a="1"/>
  <c r="G107" i="16" s="1"/>
  <c r="E110" i="16" a="1"/>
  <c r="E110" i="16" s="1"/>
  <c r="C111" i="16" a="1"/>
  <c r="C111" i="16" s="1"/>
  <c r="E88" i="16" a="1"/>
  <c r="E88" i="16" s="1"/>
  <c r="G88" i="16" a="1"/>
  <c r="G88" i="16" s="1"/>
  <c r="C88" i="16" a="1"/>
  <c r="C88" i="16" s="1"/>
  <c r="H116" i="9"/>
  <c r="N116" i="9"/>
  <c r="B116" i="9"/>
  <c r="H111" i="9"/>
  <c r="H112" i="9"/>
  <c r="H110" i="9"/>
  <c r="R116" i="9" l="1"/>
  <c r="F116" i="9"/>
  <c r="L116" i="9"/>
  <c r="Z120" i="9"/>
  <c r="Z119" i="9"/>
  <c r="V11" i="7" l="1"/>
  <c r="V9" i="7"/>
  <c r="V6" i="7"/>
  <c r="V4" i="7"/>
  <c r="S11" i="7"/>
  <c r="S9" i="7"/>
  <c r="S6" i="7"/>
  <c r="S4" i="7"/>
  <c r="T22" i="7" l="1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21" i="7"/>
  <c r="F6" i="7"/>
  <c r="G26" i="7" s="1"/>
  <c r="F2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23" i="7"/>
  <c r="K21" i="7"/>
  <c r="H6" i="7"/>
  <c r="O21" i="7" l="1"/>
  <c r="G21" i="7"/>
  <c r="G79" i="7"/>
  <c r="G75" i="7"/>
  <c r="G71" i="7"/>
  <c r="G67" i="7"/>
  <c r="G63" i="7"/>
  <c r="G59" i="7"/>
  <c r="G55" i="7"/>
  <c r="G51" i="7"/>
  <c r="G47" i="7"/>
  <c r="G43" i="7"/>
  <c r="G39" i="7"/>
  <c r="G35" i="7"/>
  <c r="G31" i="7"/>
  <c r="G27" i="7"/>
  <c r="G23" i="7"/>
  <c r="G80" i="7"/>
  <c r="G68" i="7"/>
  <c r="G48" i="7"/>
  <c r="G22" i="7"/>
  <c r="G78" i="7"/>
  <c r="G74" i="7"/>
  <c r="G70" i="7"/>
  <c r="G66" i="7"/>
  <c r="G62" i="7"/>
  <c r="G58" i="7"/>
  <c r="G54" i="7"/>
  <c r="G50" i="7"/>
  <c r="G46" i="7"/>
  <c r="G42" i="7"/>
  <c r="G38" i="7"/>
  <c r="G34" i="7"/>
  <c r="G30" i="7"/>
  <c r="G76" i="7"/>
  <c r="G72" i="7"/>
  <c r="G64" i="7"/>
  <c r="G60" i="7"/>
  <c r="G56" i="7"/>
  <c r="G52" i="7"/>
  <c r="G44" i="7"/>
  <c r="G40" i="7"/>
  <c r="G36" i="7"/>
  <c r="G32" i="7"/>
  <c r="G28" i="7"/>
  <c r="G24" i="7"/>
  <c r="G81" i="7"/>
  <c r="G77" i="7"/>
  <c r="G73" i="7"/>
  <c r="G69" i="7"/>
  <c r="G65" i="7"/>
  <c r="G61" i="7"/>
  <c r="G57" i="7"/>
  <c r="G53" i="7"/>
  <c r="G49" i="7"/>
  <c r="G45" i="7"/>
  <c r="G41" i="7"/>
  <c r="G37" i="7"/>
  <c r="G33" i="7"/>
  <c r="G29" i="7"/>
  <c r="G25" i="7"/>
  <c r="O71" i="7"/>
  <c r="O55" i="7"/>
  <c r="O39" i="7"/>
  <c r="O67" i="7"/>
  <c r="O51" i="7"/>
  <c r="O35" i="7"/>
  <c r="O79" i="7"/>
  <c r="O63" i="7"/>
  <c r="O47" i="7"/>
  <c r="O31" i="7"/>
  <c r="O75" i="7"/>
  <c r="O59" i="7"/>
  <c r="O43" i="7"/>
  <c r="O27" i="7"/>
  <c r="O78" i="7"/>
  <c r="O74" i="7"/>
  <c r="O70" i="7"/>
  <c r="O66" i="7"/>
  <c r="O62" i="7"/>
  <c r="O58" i="7"/>
  <c r="O54" i="7"/>
  <c r="O50" i="7"/>
  <c r="O46" i="7"/>
  <c r="O42" i="7"/>
  <c r="O38" i="7"/>
  <c r="O34" i="7"/>
  <c r="O30" i="7"/>
  <c r="O26" i="7"/>
  <c r="O81" i="7"/>
  <c r="O77" i="7"/>
  <c r="O73" i="7"/>
  <c r="O69" i="7"/>
  <c r="O65" i="7"/>
  <c r="O61" i="7"/>
  <c r="O57" i="7"/>
  <c r="O53" i="7"/>
  <c r="O49" i="7"/>
  <c r="O45" i="7"/>
  <c r="O41" i="7"/>
  <c r="O37" i="7"/>
  <c r="O33" i="7"/>
  <c r="O29" i="7"/>
  <c r="O25" i="7"/>
  <c r="O80" i="7"/>
  <c r="O76" i="7"/>
  <c r="O72" i="7"/>
  <c r="O68" i="7"/>
  <c r="O64" i="7"/>
  <c r="O60" i="7"/>
  <c r="O56" i="7"/>
  <c r="O52" i="7"/>
  <c r="O48" i="7"/>
  <c r="O44" i="7"/>
  <c r="O40" i="7"/>
  <c r="O36" i="7"/>
  <c r="O32" i="7"/>
  <c r="O28" i="7"/>
  <c r="O24" i="7"/>
  <c r="O23" i="7"/>
  <c r="O22" i="7"/>
  <c r="C141" i="16" l="1" a="1"/>
  <c r="C141" i="16" s="1"/>
  <c r="E141" i="16" a="1"/>
  <c r="E141" i="16" s="1"/>
  <c r="K141" i="16" a="1"/>
  <c r="K141" i="16" s="1"/>
  <c r="Q141" i="16" a="1"/>
  <c r="Q141" i="16" s="1"/>
  <c r="I142" i="16" a="1"/>
  <c r="I142" i="16" s="1"/>
  <c r="O142" i="16" a="1"/>
  <c r="O142" i="16" s="1"/>
  <c r="G143" i="16" a="1"/>
  <c r="G143" i="16" s="1"/>
  <c r="M143" i="16" a="1"/>
  <c r="M143" i="16" s="1"/>
  <c r="E144" i="16" a="1"/>
  <c r="E144" i="16" s="1"/>
  <c r="K144" i="16" a="1"/>
  <c r="K144" i="16" s="1"/>
  <c r="C145" i="16" a="1"/>
  <c r="C145" i="16" s="1"/>
  <c r="I145" i="16" a="1"/>
  <c r="I145" i="16" s="1"/>
  <c r="S145" i="16" a="1"/>
  <c r="S145" i="16" s="1"/>
  <c r="G146" i="16" a="1"/>
  <c r="G146" i="16" s="1"/>
  <c r="Q146" i="16" a="1"/>
  <c r="Q146" i="16" s="1"/>
  <c r="E147" i="16" a="1"/>
  <c r="E147" i="16" s="1"/>
  <c r="O147" i="16" a="1"/>
  <c r="O147" i="16" s="1"/>
  <c r="C148" i="16" a="1"/>
  <c r="C148" i="16" s="1"/>
  <c r="M148" i="16" a="1"/>
  <c r="M148" i="16" s="1"/>
  <c r="S148" i="16" a="1"/>
  <c r="S148" i="16" s="1"/>
  <c r="K149" i="16" a="1"/>
  <c r="K149" i="16" s="1"/>
  <c r="Q149" i="16" a="1"/>
  <c r="Q149" i="16" s="1"/>
  <c r="I150" i="16" a="1"/>
  <c r="I150" i="16" s="1"/>
  <c r="O150" i="16" a="1"/>
  <c r="O150" i="16" s="1"/>
  <c r="G151" i="16" a="1"/>
  <c r="G151" i="16" s="1"/>
  <c r="M151" i="16" a="1"/>
  <c r="M151" i="16" s="1"/>
  <c r="E152" i="16" a="1"/>
  <c r="E152" i="16" s="1"/>
  <c r="K152" i="16" a="1"/>
  <c r="K152" i="16" s="1"/>
  <c r="C153" i="16" a="1"/>
  <c r="C153" i="16" s="1"/>
  <c r="I153" i="16" a="1"/>
  <c r="I153" i="16" s="1"/>
  <c r="S153" i="16" a="1"/>
  <c r="S153" i="16" s="1"/>
  <c r="G154" i="16" a="1"/>
  <c r="G154" i="16" s="1"/>
  <c r="Q154" i="16" a="1"/>
  <c r="Q154" i="16" s="1"/>
  <c r="E155" i="16" a="1"/>
  <c r="E155" i="16" s="1"/>
  <c r="O155" i="16" a="1"/>
  <c r="O155" i="16" s="1"/>
  <c r="C156" i="16" a="1"/>
  <c r="C156" i="16" s="1"/>
  <c r="M156" i="16" a="1"/>
  <c r="M156" i="16" s="1"/>
  <c r="S156" i="16" a="1"/>
  <c r="S156" i="16" s="1"/>
  <c r="K157" i="16" a="1"/>
  <c r="K157" i="16" s="1"/>
  <c r="Q157" i="16" a="1"/>
  <c r="Q157" i="16" s="1"/>
  <c r="I158" i="16" a="1"/>
  <c r="I158" i="16" s="1"/>
  <c r="O158" i="16" a="1"/>
  <c r="O158" i="16" s="1"/>
  <c r="G159" i="16" a="1"/>
  <c r="G159" i="16" s="1"/>
  <c r="M159" i="16" a="1"/>
  <c r="M159" i="16" s="1"/>
  <c r="G141" i="16" a="1"/>
  <c r="G141" i="16" s="1"/>
  <c r="M141" i="16" a="1"/>
  <c r="M141" i="16" s="1"/>
  <c r="E142" i="16" a="1"/>
  <c r="E142" i="16" s="1"/>
  <c r="K142" i="16" a="1"/>
  <c r="K142" i="16" s="1"/>
  <c r="C143" i="16" a="1"/>
  <c r="C143" i="16" s="1"/>
  <c r="I143" i="16" a="1"/>
  <c r="I143" i="16" s="1"/>
  <c r="S143" i="16" a="1"/>
  <c r="S143" i="16" s="1"/>
  <c r="G144" i="16" a="1"/>
  <c r="G144" i="16" s="1"/>
  <c r="Q144" i="16" a="1"/>
  <c r="Q144" i="16" s="1"/>
  <c r="E145" i="16" a="1"/>
  <c r="E145" i="16" s="1"/>
  <c r="O145" i="16" a="1"/>
  <c r="O145" i="16" s="1"/>
  <c r="C146" i="16" a="1"/>
  <c r="C146" i="16" s="1"/>
  <c r="M146" i="16" a="1"/>
  <c r="M146" i="16" s="1"/>
  <c r="S146" i="16" a="1"/>
  <c r="S146" i="16" s="1"/>
  <c r="K147" i="16" a="1"/>
  <c r="K147" i="16" s="1"/>
  <c r="Q147" i="16" a="1"/>
  <c r="Q147" i="16" s="1"/>
  <c r="I148" i="16" a="1"/>
  <c r="I148" i="16" s="1"/>
  <c r="O148" i="16" a="1"/>
  <c r="O148" i="16" s="1"/>
  <c r="G149" i="16" a="1"/>
  <c r="G149" i="16" s="1"/>
  <c r="M149" i="16" a="1"/>
  <c r="M149" i="16" s="1"/>
  <c r="E150" i="16" a="1"/>
  <c r="E150" i="16" s="1"/>
  <c r="K150" i="16" a="1"/>
  <c r="K150" i="16" s="1"/>
  <c r="C151" i="16" a="1"/>
  <c r="C151" i="16" s="1"/>
  <c r="I151" i="16" a="1"/>
  <c r="I151" i="16" s="1"/>
  <c r="S151" i="16" a="1"/>
  <c r="S151" i="16" s="1"/>
  <c r="G152" i="16" a="1"/>
  <c r="G152" i="16" s="1"/>
  <c r="Q152" i="16" a="1"/>
  <c r="Q152" i="16" s="1"/>
  <c r="E153" i="16" a="1"/>
  <c r="E153" i="16" s="1"/>
  <c r="O153" i="16" a="1"/>
  <c r="O153" i="16" s="1"/>
  <c r="C154" i="16" a="1"/>
  <c r="C154" i="16" s="1"/>
  <c r="M154" i="16" a="1"/>
  <c r="M154" i="16" s="1"/>
  <c r="S154" i="16" a="1"/>
  <c r="S154" i="16" s="1"/>
  <c r="K155" i="16" a="1"/>
  <c r="K155" i="16" s="1"/>
  <c r="Q155" i="16" a="1"/>
  <c r="Q155" i="16" s="1"/>
  <c r="I156" i="16" a="1"/>
  <c r="I156" i="16" s="1"/>
  <c r="O156" i="16" a="1"/>
  <c r="O156" i="16" s="1"/>
  <c r="G157" i="16" a="1"/>
  <c r="G157" i="16" s="1"/>
  <c r="M157" i="16" a="1"/>
  <c r="M157" i="16" s="1"/>
  <c r="E158" i="16" a="1"/>
  <c r="E158" i="16" s="1"/>
  <c r="K158" i="16" a="1"/>
  <c r="K158" i="16" s="1"/>
  <c r="C159" i="16" a="1"/>
  <c r="C159" i="16" s="1"/>
  <c r="I159" i="16" a="1"/>
  <c r="I159" i="16" s="1"/>
  <c r="S159" i="16" a="1"/>
  <c r="S159" i="16" s="1"/>
  <c r="I141" i="16" a="1"/>
  <c r="I141" i="16" s="1"/>
  <c r="S141" i="16" a="1"/>
  <c r="S141" i="16" s="1"/>
  <c r="G142" i="16" a="1"/>
  <c r="G142" i="16" s="1"/>
  <c r="Q142" i="16" a="1"/>
  <c r="Q142" i="16" s="1"/>
  <c r="E143" i="16" a="1"/>
  <c r="E143" i="16" s="1"/>
  <c r="O143" i="16" a="1"/>
  <c r="O143" i="16" s="1"/>
  <c r="C144" i="16" a="1"/>
  <c r="C144" i="16" s="1"/>
  <c r="M144" i="16" a="1"/>
  <c r="M144" i="16" s="1"/>
  <c r="S144" i="16" a="1"/>
  <c r="S144" i="16" s="1"/>
  <c r="K145" i="16" a="1"/>
  <c r="K145" i="16" s="1"/>
  <c r="Q145" i="16" a="1"/>
  <c r="Q145" i="16" s="1"/>
  <c r="I146" i="16" a="1"/>
  <c r="I146" i="16" s="1"/>
  <c r="O146" i="16" a="1"/>
  <c r="O146" i="16" s="1"/>
  <c r="G147" i="16" a="1"/>
  <c r="G147" i="16" s="1"/>
  <c r="M147" i="16" a="1"/>
  <c r="M147" i="16" s="1"/>
  <c r="E148" i="16" a="1"/>
  <c r="E148" i="16" s="1"/>
  <c r="K148" i="16" a="1"/>
  <c r="K148" i="16" s="1"/>
  <c r="C149" i="16" a="1"/>
  <c r="C149" i="16" s="1"/>
  <c r="I149" i="16" a="1"/>
  <c r="I149" i="16" s="1"/>
  <c r="S149" i="16" a="1"/>
  <c r="S149" i="16" s="1"/>
  <c r="G150" i="16" a="1"/>
  <c r="G150" i="16" s="1"/>
  <c r="Q150" i="16" a="1"/>
  <c r="Q150" i="16" s="1"/>
  <c r="E151" i="16" a="1"/>
  <c r="E151" i="16" s="1"/>
  <c r="O151" i="16" a="1"/>
  <c r="O151" i="16" s="1"/>
  <c r="C152" i="16" a="1"/>
  <c r="C152" i="16" s="1"/>
  <c r="M152" i="16" a="1"/>
  <c r="M152" i="16" s="1"/>
  <c r="S152" i="16" a="1"/>
  <c r="S152" i="16" s="1"/>
  <c r="K153" i="16" a="1"/>
  <c r="K153" i="16" s="1"/>
  <c r="Q153" i="16" a="1"/>
  <c r="Q153" i="16" s="1"/>
  <c r="I154" i="16" a="1"/>
  <c r="I154" i="16" s="1"/>
  <c r="O154" i="16" a="1"/>
  <c r="O154" i="16" s="1"/>
  <c r="G155" i="16" a="1"/>
  <c r="G155" i="16" s="1"/>
  <c r="M155" i="16" a="1"/>
  <c r="M155" i="16" s="1"/>
  <c r="E156" i="16" a="1"/>
  <c r="E156" i="16" s="1"/>
  <c r="K156" i="16" a="1"/>
  <c r="K156" i="16" s="1"/>
  <c r="C157" i="16" a="1"/>
  <c r="C157" i="16" s="1"/>
  <c r="I157" i="16" a="1"/>
  <c r="I157" i="16" s="1"/>
  <c r="S157" i="16" a="1"/>
  <c r="S157" i="16" s="1"/>
  <c r="G158" i="16" a="1"/>
  <c r="G158" i="16" s="1"/>
  <c r="Q158" i="16" a="1"/>
  <c r="Q158" i="16" s="1"/>
  <c r="E159" i="16" a="1"/>
  <c r="E159" i="16" s="1"/>
  <c r="O159" i="16" a="1"/>
  <c r="O159" i="16" s="1"/>
  <c r="M142" i="16" a="1"/>
  <c r="M142" i="16" s="1"/>
  <c r="Q143" i="16" a="1"/>
  <c r="Q143" i="16" s="1"/>
  <c r="E146" i="16" a="1"/>
  <c r="E146" i="16" s="1"/>
  <c r="I147" i="16" a="1"/>
  <c r="I147" i="16" s="1"/>
  <c r="O149" i="16" a="1"/>
  <c r="O149" i="16" s="1"/>
  <c r="S150" i="16" a="1"/>
  <c r="S150" i="16" s="1"/>
  <c r="G153" i="16" a="1"/>
  <c r="G153" i="16" s="1"/>
  <c r="K154" i="16" a="1"/>
  <c r="K154" i="16" s="1"/>
  <c r="Q156" i="16" a="1"/>
  <c r="Q156" i="16" s="1"/>
  <c r="C158" i="16" a="1"/>
  <c r="C158" i="16" s="1"/>
  <c r="C160" i="16" a="1"/>
  <c r="C160" i="16" s="1"/>
  <c r="M160" i="16" a="1"/>
  <c r="M160" i="16" s="1"/>
  <c r="S160" i="16" a="1"/>
  <c r="S160" i="16" s="1"/>
  <c r="K161" i="16" a="1"/>
  <c r="K161" i="16" s="1"/>
  <c r="Q161" i="16" a="1"/>
  <c r="Q161" i="16" s="1"/>
  <c r="I162" i="16" a="1"/>
  <c r="I162" i="16" s="1"/>
  <c r="O162" i="16" a="1"/>
  <c r="O162" i="16" s="1"/>
  <c r="G163" i="16" a="1"/>
  <c r="G163" i="16" s="1"/>
  <c r="M163" i="16" a="1"/>
  <c r="M163" i="16" s="1"/>
  <c r="E164" i="16" a="1"/>
  <c r="E164" i="16" s="1"/>
  <c r="K164" i="16" a="1"/>
  <c r="K164" i="16" s="1"/>
  <c r="M164" i="16" a="1"/>
  <c r="M164" i="16" s="1"/>
  <c r="C147" i="16" a="1"/>
  <c r="C147" i="16" s="1"/>
  <c r="Q151" i="16" a="1"/>
  <c r="Q151" i="16" s="1"/>
  <c r="O157" i="16" a="1"/>
  <c r="O157" i="16" s="1"/>
  <c r="E161" i="16" a="1"/>
  <c r="E161" i="16" s="1"/>
  <c r="M162" i="16" a="1"/>
  <c r="M162" i="16" s="1"/>
  <c r="Q163" i="16" a="1"/>
  <c r="Q163" i="16" s="1"/>
  <c r="S164" i="16" a="1"/>
  <c r="S164" i="16" s="1"/>
  <c r="O141" i="16" a="1"/>
  <c r="O141" i="16" s="1"/>
  <c r="S142" i="16" a="1"/>
  <c r="S142" i="16" s="1"/>
  <c r="G145" i="16" a="1"/>
  <c r="G145" i="16" s="1"/>
  <c r="K146" i="16" a="1"/>
  <c r="K146" i="16" s="1"/>
  <c r="Q148" i="16" a="1"/>
  <c r="Q148" i="16" s="1"/>
  <c r="C150" i="16" a="1"/>
  <c r="C150" i="16" s="1"/>
  <c r="I152" i="16" a="1"/>
  <c r="I152" i="16" s="1"/>
  <c r="M153" i="16" a="1"/>
  <c r="M153" i="16" s="1"/>
  <c r="S155" i="16" a="1"/>
  <c r="S155" i="16" s="1"/>
  <c r="E157" i="16" a="1"/>
  <c r="E157" i="16" s="1"/>
  <c r="K159" i="16" a="1"/>
  <c r="K159" i="16" s="1"/>
  <c r="I160" i="16" a="1"/>
  <c r="I160" i="16" s="1"/>
  <c r="O160" i="16" a="1"/>
  <c r="O160" i="16" s="1"/>
  <c r="G161" i="16" a="1"/>
  <c r="G161" i="16" s="1"/>
  <c r="M161" i="16" a="1"/>
  <c r="M161" i="16" s="1"/>
  <c r="E162" i="16" a="1"/>
  <c r="E162" i="16" s="1"/>
  <c r="K162" i="16" a="1"/>
  <c r="K162" i="16" s="1"/>
  <c r="C163" i="16" a="1"/>
  <c r="C163" i="16" s="1"/>
  <c r="I163" i="16" a="1"/>
  <c r="I163" i="16" s="1"/>
  <c r="S163" i="16" a="1"/>
  <c r="S163" i="16" s="1"/>
  <c r="G164" i="16" a="1"/>
  <c r="G164" i="16" s="1"/>
  <c r="Q164" i="16" a="1"/>
  <c r="Q164" i="16" s="1"/>
  <c r="O144" i="16" a="1"/>
  <c r="O144" i="16" s="1"/>
  <c r="M150" i="16" a="1"/>
  <c r="M150" i="16" s="1"/>
  <c r="E154" i="16" a="1"/>
  <c r="E154" i="16" s="1"/>
  <c r="S158" i="16" a="1"/>
  <c r="S158" i="16" s="1"/>
  <c r="Q160" i="16" a="1"/>
  <c r="Q160" i="16" s="1"/>
  <c r="C162" i="16" a="1"/>
  <c r="C162" i="16" s="1"/>
  <c r="K163" i="16" a="1"/>
  <c r="K163" i="16" s="1"/>
  <c r="O164" i="16" a="1"/>
  <c r="O164" i="16" s="1"/>
  <c r="C142" i="16" a="1"/>
  <c r="C142" i="16" s="1"/>
  <c r="I144" i="16" a="1"/>
  <c r="I144" i="16" s="1"/>
  <c r="M145" i="16" a="1"/>
  <c r="M145" i="16" s="1"/>
  <c r="S147" i="16" a="1"/>
  <c r="S147" i="16" s="1"/>
  <c r="E149" i="16" a="1"/>
  <c r="E149" i="16" s="1"/>
  <c r="K151" i="16" a="1"/>
  <c r="K151" i="16" s="1"/>
  <c r="O152" i="16" a="1"/>
  <c r="O152" i="16" s="1"/>
  <c r="C155" i="16" a="1"/>
  <c r="C155" i="16" s="1"/>
  <c r="G156" i="16" a="1"/>
  <c r="G156" i="16" s="1"/>
  <c r="M158" i="16" a="1"/>
  <c r="M158" i="16" s="1"/>
  <c r="Q159" i="16" a="1"/>
  <c r="Q159" i="16" s="1"/>
  <c r="E160" i="16" a="1"/>
  <c r="E160" i="16" s="1"/>
  <c r="K160" i="16" a="1"/>
  <c r="K160" i="16" s="1"/>
  <c r="C161" i="16" a="1"/>
  <c r="C161" i="16" s="1"/>
  <c r="I161" i="16" a="1"/>
  <c r="I161" i="16" s="1"/>
  <c r="S161" i="16" a="1"/>
  <c r="S161" i="16" s="1"/>
  <c r="G162" i="16" a="1"/>
  <c r="G162" i="16" s="1"/>
  <c r="Q162" i="16" a="1"/>
  <c r="Q162" i="16" s="1"/>
  <c r="E163" i="16" a="1"/>
  <c r="E163" i="16" s="1"/>
  <c r="O163" i="16" a="1"/>
  <c r="O163" i="16" s="1"/>
  <c r="C164" i="16" a="1"/>
  <c r="C164" i="16" s="1"/>
  <c r="K143" i="16" a="1"/>
  <c r="K143" i="16" s="1"/>
  <c r="G148" i="16" a="1"/>
  <c r="G148" i="16" s="1"/>
  <c r="I155" i="16" a="1"/>
  <c r="I155" i="16" s="1"/>
  <c r="G160" i="16" a="1"/>
  <c r="G160" i="16" s="1"/>
  <c r="O161" i="16" a="1"/>
  <c r="O161" i="16" s="1"/>
  <c r="S162" i="16" a="1"/>
  <c r="S162" i="16" s="1"/>
  <c r="I164" i="16" a="1"/>
  <c r="I164" i="16" s="1"/>
  <c r="S140" i="16" a="1"/>
  <c r="S140" i="16" s="1"/>
  <c r="Q140" i="16" a="1"/>
  <c r="Q140" i="16" s="1"/>
  <c r="O140" i="16" a="1"/>
  <c r="O140" i="16" s="1"/>
  <c r="M140" i="16" a="1"/>
  <c r="M140" i="16" s="1"/>
  <c r="K140" i="16" a="1"/>
  <c r="K140" i="16" s="1"/>
  <c r="I140" i="16" a="1"/>
  <c r="I140" i="16" s="1"/>
  <c r="G140" i="16" a="1"/>
  <c r="G140" i="16" s="1"/>
  <c r="E140" i="16" a="1"/>
  <c r="E140" i="16" s="1"/>
  <c r="C140" i="16" a="1"/>
  <c r="C140" i="16" s="1"/>
  <c r="S114" i="16" a="1"/>
  <c r="S114" i="16" s="1"/>
  <c r="O115" i="16" a="1"/>
  <c r="O115" i="16" s="1"/>
  <c r="S115" i="16" a="1"/>
  <c r="S115" i="16" s="1"/>
  <c r="Q116" i="16" a="1"/>
  <c r="Q116" i="16" s="1"/>
  <c r="O117" i="16" a="1"/>
  <c r="O117" i="16" s="1"/>
  <c r="S117" i="16" a="1"/>
  <c r="S117" i="16" s="1"/>
  <c r="Q118" i="16" a="1"/>
  <c r="Q118" i="16" s="1"/>
  <c r="O119" i="16" a="1"/>
  <c r="O119" i="16" s="1"/>
  <c r="S119" i="16" a="1"/>
  <c r="S119" i="16" s="1"/>
  <c r="Q120" i="16" a="1"/>
  <c r="Q120" i="16" s="1"/>
  <c r="O121" i="16" a="1"/>
  <c r="O121" i="16" s="1"/>
  <c r="S121" i="16" a="1"/>
  <c r="S121" i="16" s="1"/>
  <c r="Q122" i="16" a="1"/>
  <c r="Q122" i="16" s="1"/>
  <c r="O123" i="16" a="1"/>
  <c r="O123" i="16" s="1"/>
  <c r="S123" i="16" a="1"/>
  <c r="S123" i="16" s="1"/>
  <c r="Q124" i="16" a="1"/>
  <c r="Q124" i="16" s="1"/>
  <c r="O125" i="16" a="1"/>
  <c r="O125" i="16" s="1"/>
  <c r="S125" i="16" a="1"/>
  <c r="S125" i="16" s="1"/>
  <c r="Q126" i="16" a="1"/>
  <c r="Q126" i="16" s="1"/>
  <c r="Q128" i="16" a="1"/>
  <c r="Q128" i="16" s="1"/>
  <c r="Q130" i="16" a="1"/>
  <c r="Q130" i="16" s="1"/>
  <c r="Q132" i="16" a="1"/>
  <c r="Q132" i="16" s="1"/>
  <c r="Q134" i="16" a="1"/>
  <c r="Q134" i="16" s="1"/>
  <c r="Q136" i="16" a="1"/>
  <c r="Q136" i="16" s="1"/>
  <c r="Q138" i="16" a="1"/>
  <c r="Q138" i="16" s="1"/>
  <c r="O116" i="16" a="1"/>
  <c r="O116" i="16" s="1"/>
  <c r="S116" i="16" a="1"/>
  <c r="S116" i="16" s="1"/>
  <c r="S118" i="16" a="1"/>
  <c r="S118" i="16" s="1"/>
  <c r="O120" i="16" a="1"/>
  <c r="O120" i="16" s="1"/>
  <c r="S120" i="16" a="1"/>
  <c r="S120" i="16" s="1"/>
  <c r="O122" i="16" a="1"/>
  <c r="O122" i="16" s="1"/>
  <c r="Q123" i="16" a="1"/>
  <c r="Q123" i="16" s="1"/>
  <c r="S124" i="16" a="1"/>
  <c r="S124" i="16" s="1"/>
  <c r="O126" i="16" a="1"/>
  <c r="O126" i="16" s="1"/>
  <c r="Q127" i="16" a="1"/>
  <c r="Q127" i="16" s="1"/>
  <c r="S128" i="16" a="1"/>
  <c r="S128" i="16" s="1"/>
  <c r="O130" i="16" a="1"/>
  <c r="O130" i="16" s="1"/>
  <c r="Q131" i="16" a="1"/>
  <c r="Q131" i="16" s="1"/>
  <c r="Q133" i="16" a="1"/>
  <c r="Q133" i="16" s="1"/>
  <c r="S134" i="16" a="1"/>
  <c r="S134" i="16" s="1"/>
  <c r="O136" i="16" a="1"/>
  <c r="O136" i="16" s="1"/>
  <c r="S136" i="16" a="1"/>
  <c r="S136" i="16" s="1"/>
  <c r="S138" i="16" a="1"/>
  <c r="S138" i="16" s="1"/>
  <c r="S127" i="16" a="1"/>
  <c r="S127" i="16" s="1"/>
  <c r="S129" i="16" a="1"/>
  <c r="S129" i="16" s="1"/>
  <c r="S131" i="16" a="1"/>
  <c r="S131" i="16" s="1"/>
  <c r="S133" i="16" a="1"/>
  <c r="S133" i="16" s="1"/>
  <c r="S135" i="16" a="1"/>
  <c r="S135" i="16" s="1"/>
  <c r="S137" i="16" a="1"/>
  <c r="S137" i="16" s="1"/>
  <c r="Q115" i="16" a="1"/>
  <c r="Q115" i="16" s="1"/>
  <c r="Q117" i="16" a="1"/>
  <c r="Q117" i="16" s="1"/>
  <c r="O118" i="16" a="1"/>
  <c r="O118" i="16" s="1"/>
  <c r="Q119" i="16" a="1"/>
  <c r="Q119" i="16" s="1"/>
  <c r="Q121" i="16" a="1"/>
  <c r="Q121" i="16" s="1"/>
  <c r="S122" i="16" a="1"/>
  <c r="S122" i="16" s="1"/>
  <c r="O124" i="16" a="1"/>
  <c r="O124" i="16" s="1"/>
  <c r="Q125" i="16" a="1"/>
  <c r="Q125" i="16" s="1"/>
  <c r="S126" i="16" a="1"/>
  <c r="S126" i="16" s="1"/>
  <c r="O128" i="16" a="1"/>
  <c r="O128" i="16" s="1"/>
  <c r="Q129" i="16" a="1"/>
  <c r="Q129" i="16" s="1"/>
  <c r="S130" i="16" a="1"/>
  <c r="S130" i="16" s="1"/>
  <c r="O132" i="16" a="1"/>
  <c r="O132" i="16" s="1"/>
  <c r="S132" i="16" a="1"/>
  <c r="S132" i="16" s="1"/>
  <c r="O134" i="16" a="1"/>
  <c r="O134" i="16" s="1"/>
  <c r="Q135" i="16" a="1"/>
  <c r="Q135" i="16" s="1"/>
  <c r="Q137" i="16" a="1"/>
  <c r="Q137" i="16" s="1"/>
  <c r="O138" i="16" a="1"/>
  <c r="O138" i="16" s="1"/>
  <c r="O127" i="16" a="1"/>
  <c r="O127" i="16" s="1"/>
  <c r="O129" i="16" a="1"/>
  <c r="O129" i="16" s="1"/>
  <c r="O131" i="16" a="1"/>
  <c r="O131" i="16" s="1"/>
  <c r="O133" i="16" a="1"/>
  <c r="O133" i="16" s="1"/>
  <c r="O135" i="16" a="1"/>
  <c r="O135" i="16" s="1"/>
  <c r="O137" i="16" a="1"/>
  <c r="O137" i="16" s="1"/>
  <c r="O114" i="16" a="1"/>
  <c r="O114" i="16" s="1"/>
  <c r="Q114" i="16" a="1"/>
  <c r="Q114" i="16" s="1"/>
  <c r="I115" i="16" a="1"/>
  <c r="I115" i="16" s="1"/>
  <c r="M115" i="16" a="1"/>
  <c r="M115" i="16" s="1"/>
  <c r="K116" i="16" a="1"/>
  <c r="K116" i="16" s="1"/>
  <c r="I117" i="16" a="1"/>
  <c r="I117" i="16" s="1"/>
  <c r="M117" i="16" a="1"/>
  <c r="M117" i="16" s="1"/>
  <c r="K118" i="16" a="1"/>
  <c r="K118" i="16" s="1"/>
  <c r="I119" i="16" a="1"/>
  <c r="I119" i="16" s="1"/>
  <c r="M119" i="16" a="1"/>
  <c r="M119" i="16" s="1"/>
  <c r="K120" i="16" a="1"/>
  <c r="K120" i="16" s="1"/>
  <c r="I121" i="16" a="1"/>
  <c r="I121" i="16" s="1"/>
  <c r="M121" i="16" a="1"/>
  <c r="M121" i="16" s="1"/>
  <c r="K122" i="16" a="1"/>
  <c r="K122" i="16" s="1"/>
  <c r="I123" i="16" a="1"/>
  <c r="I123" i="16" s="1"/>
  <c r="M123" i="16" a="1"/>
  <c r="M123" i="16" s="1"/>
  <c r="K124" i="16" a="1"/>
  <c r="K124" i="16" s="1"/>
  <c r="I125" i="16" a="1"/>
  <c r="I125" i="16" s="1"/>
  <c r="M125" i="16" a="1"/>
  <c r="M125" i="16" s="1"/>
  <c r="K126" i="16" a="1"/>
  <c r="K126" i="16" s="1"/>
  <c r="I127" i="16" a="1"/>
  <c r="I127" i="16" s="1"/>
  <c r="I129" i="16" a="1"/>
  <c r="I129" i="16" s="1"/>
  <c r="I131" i="16" a="1"/>
  <c r="I131" i="16" s="1"/>
  <c r="I133" i="16" a="1"/>
  <c r="I133" i="16" s="1"/>
  <c r="I135" i="16" a="1"/>
  <c r="I135" i="16" s="1"/>
  <c r="I137" i="16" a="1"/>
  <c r="I137" i="16" s="1"/>
  <c r="I116" i="16" a="1"/>
  <c r="I116" i="16" s="1"/>
  <c r="M116" i="16" a="1"/>
  <c r="M116" i="16" s="1"/>
  <c r="M118" i="16" a="1"/>
  <c r="M118" i="16" s="1"/>
  <c r="I120" i="16" a="1"/>
  <c r="I120" i="16" s="1"/>
  <c r="M120" i="16" a="1"/>
  <c r="M120" i="16" s="1"/>
  <c r="I122" i="16" a="1"/>
  <c r="I122" i="16" s="1"/>
  <c r="I124" i="16" a="1"/>
  <c r="I124" i="16" s="1"/>
  <c r="K125" i="16" a="1"/>
  <c r="K125" i="16" s="1"/>
  <c r="M126" i="16" a="1"/>
  <c r="M126" i="16" s="1"/>
  <c r="I128" i="16" a="1"/>
  <c r="I128" i="16" s="1"/>
  <c r="M128" i="16" a="1"/>
  <c r="M128" i="16" s="1"/>
  <c r="M130" i="16" a="1"/>
  <c r="M130" i="16" s="1"/>
  <c r="I132" i="16" a="1"/>
  <c r="I132" i="16" s="1"/>
  <c r="K133" i="16" a="1"/>
  <c r="K133" i="16" s="1"/>
  <c r="I134" i="16" a="1"/>
  <c r="I134" i="16" s="1"/>
  <c r="K135" i="16" a="1"/>
  <c r="K135" i="16" s="1"/>
  <c r="M136" i="16" a="1"/>
  <c r="M136" i="16" s="1"/>
  <c r="I138" i="16" a="1"/>
  <c r="I138" i="16" s="1"/>
  <c r="K128" i="16" a="1"/>
  <c r="K128" i="16" s="1"/>
  <c r="M129" i="16" a="1"/>
  <c r="M129" i="16" s="1"/>
  <c r="M131" i="16" a="1"/>
  <c r="M131" i="16" s="1"/>
  <c r="K134" i="16" a="1"/>
  <c r="K134" i="16" s="1"/>
  <c r="K136" i="16" a="1"/>
  <c r="K136" i="16" s="1"/>
  <c r="M137" i="16" a="1"/>
  <c r="M137" i="16" s="1"/>
  <c r="K115" i="16" a="1"/>
  <c r="K115" i="16" s="1"/>
  <c r="K117" i="16" a="1"/>
  <c r="K117" i="16" s="1"/>
  <c r="I118" i="16" a="1"/>
  <c r="I118" i="16" s="1"/>
  <c r="K119" i="16" a="1"/>
  <c r="K119" i="16" s="1"/>
  <c r="K121" i="16" a="1"/>
  <c r="K121" i="16" s="1"/>
  <c r="M122" i="16" a="1"/>
  <c r="M122" i="16" s="1"/>
  <c r="K123" i="16" a="1"/>
  <c r="K123" i="16" s="1"/>
  <c r="M124" i="16" a="1"/>
  <c r="M124" i="16" s="1"/>
  <c r="I126" i="16" a="1"/>
  <c r="I126" i="16" s="1"/>
  <c r="K127" i="16" a="1"/>
  <c r="K127" i="16" s="1"/>
  <c r="K129" i="16" a="1"/>
  <c r="K129" i="16" s="1"/>
  <c r="I130" i="16" a="1"/>
  <c r="I130" i="16" s="1"/>
  <c r="K131" i="16" a="1"/>
  <c r="K131" i="16" s="1"/>
  <c r="M132" i="16" a="1"/>
  <c r="M132" i="16" s="1"/>
  <c r="M134" i="16" a="1"/>
  <c r="M134" i="16" s="1"/>
  <c r="I136" i="16" a="1"/>
  <c r="I136" i="16" s="1"/>
  <c r="K137" i="16" a="1"/>
  <c r="K137" i="16" s="1"/>
  <c r="M138" i="16" a="1"/>
  <c r="M138" i="16" s="1"/>
  <c r="M127" i="16" a="1"/>
  <c r="M127" i="16" s="1"/>
  <c r="K130" i="16" a="1"/>
  <c r="K130" i="16" s="1"/>
  <c r="K132" i="16" a="1"/>
  <c r="K132" i="16" s="1"/>
  <c r="M133" i="16" a="1"/>
  <c r="M133" i="16" s="1"/>
  <c r="M135" i="16" a="1"/>
  <c r="M135" i="16" s="1"/>
  <c r="K138" i="16" a="1"/>
  <c r="K138" i="16" s="1"/>
  <c r="M114" i="16" a="1"/>
  <c r="M114" i="16" s="1"/>
  <c r="I114" i="16" a="1"/>
  <c r="I114" i="16" s="1"/>
  <c r="K114" i="16" a="1"/>
  <c r="K114" i="16" s="1"/>
  <c r="C115" i="16" a="1"/>
  <c r="C115" i="16" s="1"/>
  <c r="G115" i="16" a="1"/>
  <c r="G115" i="16" s="1"/>
  <c r="E116" i="16" a="1"/>
  <c r="E116" i="16" s="1"/>
  <c r="C117" i="16" a="1"/>
  <c r="C117" i="16" s="1"/>
  <c r="G117" i="16" a="1"/>
  <c r="G117" i="16" s="1"/>
  <c r="E118" i="16" a="1"/>
  <c r="E118" i="16" s="1"/>
  <c r="C119" i="16" a="1"/>
  <c r="C119" i="16" s="1"/>
  <c r="G119" i="16" a="1"/>
  <c r="G119" i="16" s="1"/>
  <c r="E120" i="16" a="1"/>
  <c r="E120" i="16" s="1"/>
  <c r="C121" i="16" a="1"/>
  <c r="C121" i="16" s="1"/>
  <c r="G121" i="16" a="1"/>
  <c r="G121" i="16" s="1"/>
  <c r="E122" i="16" a="1"/>
  <c r="E122" i="16" s="1"/>
  <c r="C123" i="16" a="1"/>
  <c r="C123" i="16" s="1"/>
  <c r="G123" i="16" a="1"/>
  <c r="G123" i="16" s="1"/>
  <c r="E124" i="16" a="1"/>
  <c r="E124" i="16" s="1"/>
  <c r="C125" i="16" a="1"/>
  <c r="C125" i="16" s="1"/>
  <c r="G125" i="16" a="1"/>
  <c r="G125" i="16" s="1"/>
  <c r="E126" i="16" a="1"/>
  <c r="E126" i="16" s="1"/>
  <c r="C127" i="16" a="1"/>
  <c r="C127" i="16" s="1"/>
  <c r="C129" i="16" a="1"/>
  <c r="C129" i="16" s="1"/>
  <c r="C131" i="16" a="1"/>
  <c r="C131" i="16" s="1"/>
  <c r="C133" i="16" a="1"/>
  <c r="C133" i="16" s="1"/>
  <c r="C135" i="16" a="1"/>
  <c r="C135" i="16" s="1"/>
  <c r="C137" i="16" a="1"/>
  <c r="C137" i="16" s="1"/>
  <c r="C116" i="16" a="1"/>
  <c r="C116" i="16" s="1"/>
  <c r="G116" i="16" a="1"/>
  <c r="G116" i="16" s="1"/>
  <c r="C118" i="16" a="1"/>
  <c r="C118" i="16" s="1"/>
  <c r="E119" i="16" a="1"/>
  <c r="E119" i="16" s="1"/>
  <c r="G120" i="16" a="1"/>
  <c r="G120" i="16" s="1"/>
  <c r="C122" i="16" a="1"/>
  <c r="C122" i="16" s="1"/>
  <c r="C124" i="16" a="1"/>
  <c r="C124" i="16" s="1"/>
  <c r="E125" i="16" a="1"/>
  <c r="E125" i="16" s="1"/>
  <c r="G126" i="16" a="1"/>
  <c r="G126" i="16" s="1"/>
  <c r="C128" i="16" a="1"/>
  <c r="C128" i="16" s="1"/>
  <c r="E129" i="16" a="1"/>
  <c r="E129" i="16" s="1"/>
  <c r="G130" i="16" a="1"/>
  <c r="G130" i="16" s="1"/>
  <c r="C132" i="16" a="1"/>
  <c r="C132" i="16" s="1"/>
  <c r="E133" i="16" a="1"/>
  <c r="E133" i="16" s="1"/>
  <c r="G134" i="16" a="1"/>
  <c r="G134" i="16" s="1"/>
  <c r="C136" i="16" a="1"/>
  <c r="C136" i="16" s="1"/>
  <c r="E137" i="16" a="1"/>
  <c r="E137" i="16" s="1"/>
  <c r="G138" i="16" a="1"/>
  <c r="G138" i="16" s="1"/>
  <c r="E128" i="16" a="1"/>
  <c r="E128" i="16" s="1"/>
  <c r="E130" i="16" a="1"/>
  <c r="E130" i="16" s="1"/>
  <c r="E132" i="16" a="1"/>
  <c r="E132" i="16" s="1"/>
  <c r="E134" i="16" a="1"/>
  <c r="E134" i="16" s="1"/>
  <c r="E136" i="16" a="1"/>
  <c r="E136" i="16" s="1"/>
  <c r="E138" i="16" a="1"/>
  <c r="E138" i="16" s="1"/>
  <c r="E115" i="16" a="1"/>
  <c r="E115" i="16" s="1"/>
  <c r="E117" i="16" a="1"/>
  <c r="E117" i="16" s="1"/>
  <c r="G118" i="16" a="1"/>
  <c r="G118" i="16" s="1"/>
  <c r="C120" i="16" a="1"/>
  <c r="C120" i="16" s="1"/>
  <c r="E121" i="16" a="1"/>
  <c r="E121" i="16" s="1"/>
  <c r="G122" i="16" a="1"/>
  <c r="G122" i="16" s="1"/>
  <c r="E123" i="16" a="1"/>
  <c r="E123" i="16" s="1"/>
  <c r="G124" i="16" a="1"/>
  <c r="G124" i="16" s="1"/>
  <c r="C126" i="16" a="1"/>
  <c r="C126" i="16" s="1"/>
  <c r="E127" i="16" a="1"/>
  <c r="E127" i="16" s="1"/>
  <c r="G128" i="16" a="1"/>
  <c r="G128" i="16" s="1"/>
  <c r="C130" i="16" a="1"/>
  <c r="C130" i="16" s="1"/>
  <c r="E131" i="16" a="1"/>
  <c r="E131" i="16" s="1"/>
  <c r="G132" i="16" a="1"/>
  <c r="G132" i="16" s="1"/>
  <c r="C134" i="16" a="1"/>
  <c r="C134" i="16" s="1"/>
  <c r="E135" i="16" a="1"/>
  <c r="E135" i="16" s="1"/>
  <c r="G136" i="16" a="1"/>
  <c r="G136" i="16" s="1"/>
  <c r="C138" i="16" a="1"/>
  <c r="C138" i="16" s="1"/>
  <c r="G127" i="16" a="1"/>
  <c r="G127" i="16" s="1"/>
  <c r="G129" i="16" a="1"/>
  <c r="G129" i="16" s="1"/>
  <c r="G131" i="16" a="1"/>
  <c r="G131" i="16" s="1"/>
  <c r="G133" i="16" a="1"/>
  <c r="G133" i="16" s="1"/>
  <c r="G135" i="16" a="1"/>
  <c r="G135" i="16" s="1"/>
  <c r="G137" i="16" a="1"/>
  <c r="G137" i="16" s="1"/>
  <c r="G114" i="16" a="1"/>
  <c r="G114" i="16" s="1"/>
  <c r="E114" i="16" a="1"/>
  <c r="E114" i="16" s="1"/>
  <c r="C114" i="16" a="1"/>
  <c r="C114" i="16" s="1"/>
  <c r="H148" i="9"/>
  <c r="L148" i="9" s="1"/>
  <c r="N152" i="9"/>
  <c r="B152" i="9"/>
  <c r="H152" i="9"/>
  <c r="N188" i="9"/>
  <c r="H184" i="9"/>
  <c r="L184" i="9" s="1"/>
  <c r="H188" i="9"/>
  <c r="B188" i="9"/>
  <c r="T182" i="9"/>
  <c r="T184" i="9"/>
  <c r="T183" i="9"/>
  <c r="T148" i="9"/>
  <c r="T146" i="9"/>
  <c r="T147" i="9"/>
  <c r="H183" i="9"/>
  <c r="L183" i="9" s="1"/>
  <c r="H182" i="9"/>
  <c r="L182" i="9" s="1"/>
  <c r="H146" i="9"/>
  <c r="L146" i="9" s="1"/>
  <c r="H147" i="9"/>
  <c r="L147" i="9" s="1"/>
  <c r="C166" i="16" l="1"/>
  <c r="F188" i="9"/>
  <c r="R152" i="9"/>
  <c r="L152" i="9"/>
  <c r="F152" i="9"/>
  <c r="Z154" i="9"/>
  <c r="Z193" i="9"/>
  <c r="Z192" i="9"/>
  <c r="Z191" i="9"/>
  <c r="Z190" i="9"/>
  <c r="Z157" i="9"/>
  <c r="Z156" i="9"/>
  <c r="Z155" i="9"/>
  <c r="R188" i="9"/>
  <c r="L188" i="9"/>
  <c r="R182" i="9"/>
  <c r="S182" i="9"/>
  <c r="S184" i="9"/>
  <c r="R184" i="9"/>
  <c r="R183" i="9"/>
  <c r="S183" i="9"/>
  <c r="C51" i="16" l="1" a="1"/>
  <c r="C51" i="16" s="1"/>
  <c r="G51" i="16" a="1"/>
  <c r="G51" i="16" s="1"/>
  <c r="K51" i="16" a="1"/>
  <c r="K51" i="16" s="1"/>
  <c r="O51" i="16" a="1"/>
  <c r="O51" i="16" s="1"/>
  <c r="S51" i="16" a="1"/>
  <c r="S51" i="16" s="1"/>
  <c r="E52" i="16" a="1"/>
  <c r="E52" i="16" s="1"/>
  <c r="I52" i="16" a="1"/>
  <c r="I52" i="16" s="1"/>
  <c r="M52" i="16" a="1"/>
  <c r="M52" i="16" s="1"/>
  <c r="Q52" i="16" a="1"/>
  <c r="Q52" i="16" s="1"/>
  <c r="C53" i="16" a="1"/>
  <c r="C53" i="16" s="1"/>
  <c r="G53" i="16" a="1"/>
  <c r="G53" i="16" s="1"/>
  <c r="K53" i="16" a="1"/>
  <c r="K53" i="16" s="1"/>
  <c r="O53" i="16" a="1"/>
  <c r="O53" i="16" s="1"/>
  <c r="S53" i="16" a="1"/>
  <c r="S53" i="16" s="1"/>
  <c r="E54" i="16" a="1"/>
  <c r="E54" i="16" s="1"/>
  <c r="I54" i="16" a="1"/>
  <c r="I54" i="16" s="1"/>
  <c r="M54" i="16" a="1"/>
  <c r="M54" i="16" s="1"/>
  <c r="Q54" i="16" a="1"/>
  <c r="Q54" i="16" s="1"/>
  <c r="C55" i="16" a="1"/>
  <c r="C55" i="16" s="1"/>
  <c r="G55" i="16" a="1"/>
  <c r="G55" i="16" s="1"/>
  <c r="K55" i="16" a="1"/>
  <c r="K55" i="16" s="1"/>
  <c r="O55" i="16" a="1"/>
  <c r="O55" i="16" s="1"/>
  <c r="S55" i="16" a="1"/>
  <c r="S55" i="16" s="1"/>
  <c r="I51" i="16" a="1"/>
  <c r="I51" i="16" s="1"/>
  <c r="Q51" i="16" a="1"/>
  <c r="Q51" i="16" s="1"/>
  <c r="G52" i="16" a="1"/>
  <c r="G52" i="16" s="1"/>
  <c r="O52" i="16" a="1"/>
  <c r="O52" i="16" s="1"/>
  <c r="E53" i="16" a="1"/>
  <c r="E53" i="16" s="1"/>
  <c r="M53" i="16" a="1"/>
  <c r="M53" i="16" s="1"/>
  <c r="C54" i="16" a="1"/>
  <c r="C54" i="16" s="1"/>
  <c r="K54" i="16" a="1"/>
  <c r="K54" i="16" s="1"/>
  <c r="S54" i="16" a="1"/>
  <c r="S54" i="16" s="1"/>
  <c r="I55" i="16" a="1"/>
  <c r="I55" i="16" s="1"/>
  <c r="Q55" i="16" a="1"/>
  <c r="Q55" i="16" s="1"/>
  <c r="G56" i="16" a="1"/>
  <c r="G56" i="16" s="1"/>
  <c r="O56" i="16" a="1"/>
  <c r="O56" i="16" s="1"/>
  <c r="E57" i="16" a="1"/>
  <c r="E57" i="16" s="1"/>
  <c r="M57" i="16" a="1"/>
  <c r="M57" i="16" s="1"/>
  <c r="C58" i="16" a="1"/>
  <c r="C58" i="16" s="1"/>
  <c r="K58" i="16" a="1"/>
  <c r="K58" i="16" s="1"/>
  <c r="S58" i="16" a="1"/>
  <c r="S58" i="16" s="1"/>
  <c r="I59" i="16" a="1"/>
  <c r="I59" i="16" s="1"/>
  <c r="Q59" i="16" a="1"/>
  <c r="Q59" i="16" s="1"/>
  <c r="G60" i="16" a="1"/>
  <c r="G60" i="16" s="1"/>
  <c r="O60" i="16" a="1"/>
  <c r="O60" i="16" s="1"/>
  <c r="E51" i="16" a="1"/>
  <c r="E51" i="16" s="1"/>
  <c r="M51" i="16" a="1"/>
  <c r="M51" i="16" s="1"/>
  <c r="C52" i="16" a="1"/>
  <c r="C52" i="16" s="1"/>
  <c r="K52" i="16" a="1"/>
  <c r="K52" i="16" s="1"/>
  <c r="S52" i="16" a="1"/>
  <c r="S52" i="16" s="1"/>
  <c r="I53" i="16" a="1"/>
  <c r="I53" i="16" s="1"/>
  <c r="Q53" i="16" a="1"/>
  <c r="Q53" i="16" s="1"/>
  <c r="G54" i="16" a="1"/>
  <c r="G54" i="16" s="1"/>
  <c r="O54" i="16" a="1"/>
  <c r="O54" i="16" s="1"/>
  <c r="E55" i="16" a="1"/>
  <c r="E55" i="16" s="1"/>
  <c r="M55" i="16" a="1"/>
  <c r="M55" i="16" s="1"/>
  <c r="C56" i="16" a="1"/>
  <c r="C56" i="16" s="1"/>
  <c r="K56" i="16" a="1"/>
  <c r="K56" i="16" s="1"/>
  <c r="S56" i="16" a="1"/>
  <c r="S56" i="16" s="1"/>
  <c r="I57" i="16" a="1"/>
  <c r="I57" i="16" s="1"/>
  <c r="Q57" i="16" a="1"/>
  <c r="Q57" i="16" s="1"/>
  <c r="G58" i="16" a="1"/>
  <c r="G58" i="16" s="1"/>
  <c r="O58" i="16" a="1"/>
  <c r="O58" i="16" s="1"/>
  <c r="E59" i="16" a="1"/>
  <c r="E59" i="16" s="1"/>
  <c r="M59" i="16" a="1"/>
  <c r="M59" i="16" s="1"/>
  <c r="C60" i="16" a="1"/>
  <c r="C60" i="16" s="1"/>
  <c r="K60" i="16" a="1"/>
  <c r="K60" i="16" s="1"/>
  <c r="S60" i="16" a="1"/>
  <c r="S60" i="16" s="1"/>
  <c r="M56" i="16" a="1"/>
  <c r="M56" i="16" s="1"/>
  <c r="C57" i="16" a="1"/>
  <c r="C57" i="16" s="1"/>
  <c r="S57" i="16" a="1"/>
  <c r="S57" i="16" s="1"/>
  <c r="G59" i="16" a="1"/>
  <c r="G59" i="16" s="1"/>
  <c r="O59" i="16" a="1"/>
  <c r="O59" i="16" s="1"/>
  <c r="C59" i="16" a="1"/>
  <c r="C59" i="16" s="1"/>
  <c r="S59" i="16" a="1"/>
  <c r="S59" i="16" s="1"/>
  <c r="E56" i="16" a="1"/>
  <c r="E56" i="16" s="1"/>
  <c r="K57" i="16" a="1"/>
  <c r="K57" i="16" s="1"/>
  <c r="I58" i="16" a="1"/>
  <c r="I58" i="16" s="1"/>
  <c r="Q58" i="16" a="1"/>
  <c r="Q58" i="16" s="1"/>
  <c r="E60" i="16" a="1"/>
  <c r="E60" i="16" s="1"/>
  <c r="M60" i="16" a="1"/>
  <c r="M60" i="16" s="1"/>
  <c r="I60" i="16" a="1"/>
  <c r="I60" i="16" s="1"/>
  <c r="I56" i="16" a="1"/>
  <c r="I56" i="16" s="1"/>
  <c r="Q56" i="16" a="1"/>
  <c r="Q56" i="16" s="1"/>
  <c r="G57" i="16" a="1"/>
  <c r="G57" i="16" s="1"/>
  <c r="O57" i="16" a="1"/>
  <c r="O57" i="16" s="1"/>
  <c r="E58" i="16" a="1"/>
  <c r="E58" i="16" s="1"/>
  <c r="M58" i="16" a="1"/>
  <c r="M58" i="16" s="1"/>
  <c r="K59" i="16" a="1"/>
  <c r="K59" i="16" s="1"/>
  <c r="Q60" i="16" a="1"/>
  <c r="Q60" i="16" s="1"/>
  <c r="C47" i="16" a="1"/>
  <c r="C47" i="16" s="1"/>
  <c r="G47" i="16" a="1"/>
  <c r="G47" i="16" s="1"/>
  <c r="K47" i="16" a="1"/>
  <c r="K47" i="16" s="1"/>
  <c r="O47" i="16" a="1"/>
  <c r="O47" i="16" s="1"/>
  <c r="S47" i="16" a="1"/>
  <c r="S47" i="16" s="1"/>
  <c r="E48" i="16" a="1"/>
  <c r="E48" i="16" s="1"/>
  <c r="I48" i="16" a="1"/>
  <c r="I48" i="16" s="1"/>
  <c r="M48" i="16" a="1"/>
  <c r="M48" i="16" s="1"/>
  <c r="Q48" i="16" a="1"/>
  <c r="Q48" i="16" s="1"/>
  <c r="C49" i="16" a="1"/>
  <c r="C49" i="16" s="1"/>
  <c r="O49" i="16" a="1"/>
  <c r="O49" i="16" s="1"/>
  <c r="I50" i="16" a="1"/>
  <c r="I50" i="16" s="1"/>
  <c r="I47" i="16" a="1"/>
  <c r="I47" i="16" s="1"/>
  <c r="Q47" i="16" a="1"/>
  <c r="Q47" i="16" s="1"/>
  <c r="G48" i="16" a="1"/>
  <c r="G48" i="16" s="1"/>
  <c r="O48" i="16" a="1"/>
  <c r="O48" i="16" s="1"/>
  <c r="E49" i="16" a="1"/>
  <c r="E49" i="16" s="1"/>
  <c r="M49" i="16" a="1"/>
  <c r="M49" i="16" s="1"/>
  <c r="C50" i="16" a="1"/>
  <c r="C50" i="16" s="1"/>
  <c r="K50" i="16" a="1"/>
  <c r="K50" i="16" s="1"/>
  <c r="S50" i="16" a="1"/>
  <c r="S50" i="16" s="1"/>
  <c r="K49" i="16" a="1"/>
  <c r="K49" i="16" s="1"/>
  <c r="E50" i="16" a="1"/>
  <c r="E50" i="16" s="1"/>
  <c r="Q50" i="16" a="1"/>
  <c r="Q50" i="16" s="1"/>
  <c r="E47" i="16" a="1"/>
  <c r="E47" i="16" s="1"/>
  <c r="M47" i="16" a="1"/>
  <c r="M47" i="16" s="1"/>
  <c r="C48" i="16" a="1"/>
  <c r="C48" i="16" s="1"/>
  <c r="K48" i="16" a="1"/>
  <c r="K48" i="16" s="1"/>
  <c r="S48" i="16" a="1"/>
  <c r="S48" i="16" s="1"/>
  <c r="I49" i="16" a="1"/>
  <c r="I49" i="16" s="1"/>
  <c r="Q49" i="16" a="1"/>
  <c r="Q49" i="16" s="1"/>
  <c r="G50" i="16" a="1"/>
  <c r="G50" i="16" s="1"/>
  <c r="O50" i="16" a="1"/>
  <c r="O50" i="16" s="1"/>
  <c r="G49" i="16" a="1"/>
  <c r="G49" i="16" s="1"/>
  <c r="S49" i="16" a="1"/>
  <c r="S49" i="16" s="1"/>
  <c r="M50" i="16" a="1"/>
  <c r="M50" i="16" s="1"/>
  <c r="O46" i="16" a="1"/>
  <c r="O46" i="16" s="1"/>
  <c r="G46" i="16" a="1"/>
  <c r="G46" i="16" s="1"/>
  <c r="C46" i="16" a="1"/>
  <c r="C46" i="16" s="1"/>
  <c r="M45" i="16" a="1"/>
  <c r="M45" i="16" s="1"/>
  <c r="E45" i="16" a="1"/>
  <c r="E45" i="16" s="1"/>
  <c r="O44" i="16" a="1"/>
  <c r="O44" i="16" s="1"/>
  <c r="G44" i="16" a="1"/>
  <c r="G44" i="16" s="1"/>
  <c r="Q43" i="16" a="1"/>
  <c r="Q43" i="16" s="1"/>
  <c r="I43" i="16" a="1"/>
  <c r="I43" i="16" s="1"/>
  <c r="S42" i="16" a="1"/>
  <c r="S42" i="16" s="1"/>
  <c r="K42" i="16" a="1"/>
  <c r="K42" i="16" s="1"/>
  <c r="C42" i="16" a="1"/>
  <c r="C42" i="16" s="1"/>
  <c r="M41" i="16" a="1"/>
  <c r="M41" i="16" s="1"/>
  <c r="E41" i="16" a="1"/>
  <c r="E41" i="16" s="1"/>
  <c r="O40" i="16" a="1"/>
  <c r="O40" i="16" s="1"/>
  <c r="G40" i="16" a="1"/>
  <c r="G40" i="16" s="1"/>
  <c r="Q39" i="16" a="1"/>
  <c r="Q39" i="16" s="1"/>
  <c r="S46" i="16" a="1"/>
  <c r="S46" i="16" s="1"/>
  <c r="K46" i="16" a="1"/>
  <c r="K46" i="16" s="1"/>
  <c r="Q45" i="16" a="1"/>
  <c r="Q45" i="16" s="1"/>
  <c r="I45" i="16" a="1"/>
  <c r="I45" i="16" s="1"/>
  <c r="S44" i="16" a="1"/>
  <c r="S44" i="16" s="1"/>
  <c r="K44" i="16" a="1"/>
  <c r="K44" i="16" s="1"/>
  <c r="C44" i="16" a="1"/>
  <c r="C44" i="16" s="1"/>
  <c r="M43" i="16" a="1"/>
  <c r="M43" i="16" s="1"/>
  <c r="E43" i="16" a="1"/>
  <c r="E43" i="16" s="1"/>
  <c r="O42" i="16" a="1"/>
  <c r="O42" i="16" s="1"/>
  <c r="G42" i="16" a="1"/>
  <c r="G42" i="16" s="1"/>
  <c r="Q41" i="16" a="1"/>
  <c r="Q41" i="16" s="1"/>
  <c r="I41" i="16" a="1"/>
  <c r="I41" i="16" s="1"/>
  <c r="S40" i="16" a="1"/>
  <c r="S40" i="16" s="1"/>
  <c r="K40" i="16" a="1"/>
  <c r="K40" i="16" s="1"/>
  <c r="C40" i="16" a="1"/>
  <c r="C40" i="16" s="1"/>
  <c r="M39" i="16" a="1"/>
  <c r="M39" i="16" s="1"/>
  <c r="Q46" i="16" a="1"/>
  <c r="Q46" i="16" s="1"/>
  <c r="M46" i="16" a="1"/>
  <c r="M46" i="16" s="1"/>
  <c r="I46" i="16" a="1"/>
  <c r="I46" i="16" s="1"/>
  <c r="E46" i="16" a="1"/>
  <c r="E46" i="16" s="1"/>
  <c r="S45" i="16" a="1"/>
  <c r="S45" i="16" s="1"/>
  <c r="O45" i="16" a="1"/>
  <c r="O45" i="16" s="1"/>
  <c r="K45" i="16" a="1"/>
  <c r="K45" i="16" s="1"/>
  <c r="G45" i="16" a="1"/>
  <c r="G45" i="16" s="1"/>
  <c r="C45" i="16" a="1"/>
  <c r="C45" i="16" s="1"/>
  <c r="Q44" i="16" a="1"/>
  <c r="Q44" i="16" s="1"/>
  <c r="M44" i="16" a="1"/>
  <c r="M44" i="16" s="1"/>
  <c r="I44" i="16" a="1"/>
  <c r="I44" i="16" s="1"/>
  <c r="E44" i="16" a="1"/>
  <c r="E44" i="16" s="1"/>
  <c r="S43" i="16" a="1"/>
  <c r="S43" i="16" s="1"/>
  <c r="O43" i="16" a="1"/>
  <c r="O43" i="16" s="1"/>
  <c r="K43" i="16" a="1"/>
  <c r="K43" i="16" s="1"/>
  <c r="G43" i="16" a="1"/>
  <c r="G43" i="16" s="1"/>
  <c r="C43" i="16" a="1"/>
  <c r="C43" i="16" s="1"/>
  <c r="G39" i="16" a="1"/>
  <c r="G39" i="16" s="1"/>
  <c r="S38" i="16" a="1"/>
  <c r="S38" i="16" s="1"/>
  <c r="I38" i="16" a="1"/>
  <c r="I38" i="16" s="1"/>
  <c r="C38" i="16" a="1"/>
  <c r="C38" i="16" s="1"/>
  <c r="K37" i="16" a="1"/>
  <c r="K37" i="16" s="1"/>
  <c r="E37" i="16" a="1"/>
  <c r="E37" i="16" s="1"/>
  <c r="M36" i="16" a="1"/>
  <c r="M36" i="16" s="1"/>
  <c r="G36" i="16" a="1"/>
  <c r="G36" i="16" s="1"/>
  <c r="O39" i="16" a="1"/>
  <c r="O39" i="16" s="1"/>
  <c r="E38" i="16" a="1"/>
  <c r="E38" i="16" s="1"/>
  <c r="S36" i="16" a="1"/>
  <c r="S36" i="16" s="1"/>
  <c r="M42" i="16" a="1"/>
  <c r="M42" i="16" s="1"/>
  <c r="E42" i="16" a="1"/>
  <c r="E42" i="16" s="1"/>
  <c r="O41" i="16" a="1"/>
  <c r="O41" i="16" s="1"/>
  <c r="G41" i="16" a="1"/>
  <c r="G41" i="16" s="1"/>
  <c r="Q40" i="16" a="1"/>
  <c r="Q40" i="16" s="1"/>
  <c r="I40" i="16" a="1"/>
  <c r="I40" i="16" s="1"/>
  <c r="S39" i="16" a="1"/>
  <c r="S39" i="16" s="1"/>
  <c r="K39" i="16" a="1"/>
  <c r="K39" i="16" s="1"/>
  <c r="E39" i="16" a="1"/>
  <c r="E39" i="16" s="1"/>
  <c r="M38" i="16" a="1"/>
  <c r="M38" i="16" s="1"/>
  <c r="G38" i="16" a="1"/>
  <c r="G38" i="16" s="1"/>
  <c r="O37" i="16" a="1"/>
  <c r="O37" i="16" s="1"/>
  <c r="I37" i="16" a="1"/>
  <c r="I37" i="16" s="1"/>
  <c r="Q36" i="16" a="1"/>
  <c r="Q36" i="16" s="1"/>
  <c r="K36" i="16" a="1"/>
  <c r="K36" i="16" s="1"/>
  <c r="M40" i="16" a="1"/>
  <c r="M40" i="16" s="1"/>
  <c r="C39" i="16" a="1"/>
  <c r="C39" i="16" s="1"/>
  <c r="Q37" i="16" a="1"/>
  <c r="Q37" i="16" s="1"/>
  <c r="I36" i="16" a="1"/>
  <c r="I36" i="16" s="1"/>
  <c r="I39" i="16" a="1"/>
  <c r="I39" i="16" s="1"/>
  <c r="Q38" i="16" a="1"/>
  <c r="Q38" i="16" s="1"/>
  <c r="K38" i="16" a="1"/>
  <c r="K38" i="16" s="1"/>
  <c r="S37" i="16" a="1"/>
  <c r="S37" i="16" s="1"/>
  <c r="M37" i="16" a="1"/>
  <c r="M37" i="16" s="1"/>
  <c r="C37" i="16" a="1"/>
  <c r="C37" i="16" s="1"/>
  <c r="O36" i="16" a="1"/>
  <c r="O36" i="16" s="1"/>
  <c r="E36" i="16" a="1"/>
  <c r="E36" i="16" s="1"/>
  <c r="Q42" i="16" a="1"/>
  <c r="Q42" i="16" s="1"/>
  <c r="I42" i="16" a="1"/>
  <c r="I42" i="16" s="1"/>
  <c r="S41" i="16" a="1"/>
  <c r="S41" i="16" s="1"/>
  <c r="K41" i="16" a="1"/>
  <c r="K41" i="16" s="1"/>
  <c r="C41" i="16" a="1"/>
  <c r="C41" i="16" s="1"/>
  <c r="E40" i="16" a="1"/>
  <c r="E40" i="16" s="1"/>
  <c r="O38" i="16" a="1"/>
  <c r="O38" i="16" s="1"/>
  <c r="G37" i="16" a="1"/>
  <c r="G37" i="16" s="1"/>
  <c r="C36" i="16" a="1"/>
  <c r="C36" i="16" s="1"/>
  <c r="H40" i="9"/>
  <c r="H38" i="9"/>
  <c r="N44" i="9"/>
  <c r="H44" i="9"/>
  <c r="T38" i="9"/>
  <c r="T40" i="9"/>
  <c r="T39" i="9"/>
  <c r="H39" i="9"/>
  <c r="F44" i="9" l="1"/>
  <c r="L44" i="9"/>
  <c r="R44" i="9"/>
  <c r="Z46" i="9"/>
  <c r="Z49" i="9"/>
  <c r="Z48" i="9"/>
  <c r="Z47" i="9"/>
  <c r="L38" i="9"/>
  <c r="S38" i="9" s="1"/>
  <c r="R38" i="9"/>
  <c r="L40" i="9"/>
  <c r="S40" i="9" s="1"/>
  <c r="R40" i="9"/>
  <c r="T112" i="9" l="1"/>
  <c r="T111" i="9"/>
  <c r="T110" i="9"/>
  <c r="L39" i="9"/>
  <c r="L110" i="9"/>
  <c r="Z118" i="9" l="1"/>
  <c r="Z121" i="9"/>
  <c r="S148" i="9"/>
  <c r="R148" i="9"/>
  <c r="R146" i="9"/>
  <c r="S146" i="9"/>
  <c r="R147" i="9"/>
  <c r="S147" i="9"/>
  <c r="L112" i="9"/>
  <c r="S112" i="9" s="1"/>
  <c r="R112" i="9"/>
  <c r="R39" i="9"/>
  <c r="S39" i="9"/>
  <c r="B80" i="9" l="1"/>
  <c r="C69" i="16" a="1"/>
  <c r="C69" i="16" s="1"/>
  <c r="G69" i="16" a="1"/>
  <c r="G69" i="16" s="1"/>
  <c r="K69" i="16" a="1"/>
  <c r="K69" i="16" s="1"/>
  <c r="O69" i="16" a="1"/>
  <c r="O69" i="16" s="1"/>
  <c r="S69" i="16" a="1"/>
  <c r="S69" i="16" s="1"/>
  <c r="I69" i="16" a="1"/>
  <c r="I69" i="16" s="1"/>
  <c r="M69" i="16" a="1"/>
  <c r="M69" i="16" s="1"/>
  <c r="G70" i="16" a="1"/>
  <c r="G70" i="16" s="1"/>
  <c r="O70" i="16" a="1"/>
  <c r="O70" i="16" s="1"/>
  <c r="E69" i="16" a="1"/>
  <c r="E69" i="16" s="1"/>
  <c r="Q69" i="16" a="1"/>
  <c r="Q69" i="16" s="1"/>
  <c r="C70" i="16" a="1"/>
  <c r="C70" i="16" s="1"/>
  <c r="K70" i="16" a="1"/>
  <c r="K70" i="16" s="1"/>
  <c r="S70" i="16" a="1"/>
  <c r="S70" i="16" s="1"/>
  <c r="G71" i="16" a="1"/>
  <c r="G71" i="16" s="1"/>
  <c r="M71" i="16" a="1"/>
  <c r="M71" i="16" s="1"/>
  <c r="E72" i="16" a="1"/>
  <c r="E72" i="16" s="1"/>
  <c r="K72" i="16" a="1"/>
  <c r="K72" i="16" s="1"/>
  <c r="C73" i="16" a="1"/>
  <c r="C73" i="16" s="1"/>
  <c r="I73" i="16" a="1"/>
  <c r="I73" i="16" s="1"/>
  <c r="S73" i="16" a="1"/>
  <c r="S73" i="16" s="1"/>
  <c r="G74" i="16" a="1"/>
  <c r="G74" i="16" s="1"/>
  <c r="Q74" i="16" a="1"/>
  <c r="Q74" i="16" s="1"/>
  <c r="E75" i="16" a="1"/>
  <c r="E75" i="16" s="1"/>
  <c r="O75" i="16" a="1"/>
  <c r="O75" i="16" s="1"/>
  <c r="C76" i="16" a="1"/>
  <c r="C76" i="16" s="1"/>
  <c r="M76" i="16" a="1"/>
  <c r="M76" i="16" s="1"/>
  <c r="S76" i="16" a="1"/>
  <c r="S76" i="16" s="1"/>
  <c r="K77" i="16" a="1"/>
  <c r="K77" i="16" s="1"/>
  <c r="Q77" i="16" a="1"/>
  <c r="Q77" i="16" s="1"/>
  <c r="I78" i="16" a="1"/>
  <c r="I78" i="16" s="1"/>
  <c r="O78" i="16" a="1"/>
  <c r="O78" i="16" s="1"/>
  <c r="G79" i="16" a="1"/>
  <c r="G79" i="16" s="1"/>
  <c r="M79" i="16" a="1"/>
  <c r="M79" i="16" s="1"/>
  <c r="E80" i="16" a="1"/>
  <c r="E80" i="16" s="1"/>
  <c r="K80" i="16" a="1"/>
  <c r="K80" i="16" s="1"/>
  <c r="C81" i="16" a="1"/>
  <c r="C81" i="16" s="1"/>
  <c r="I81" i="16" a="1"/>
  <c r="I81" i="16" s="1"/>
  <c r="S81" i="16" a="1"/>
  <c r="S81" i="16" s="1"/>
  <c r="G82" i="16" a="1"/>
  <c r="G82" i="16" s="1"/>
  <c r="Q82" i="16" a="1"/>
  <c r="Q82" i="16" s="1"/>
  <c r="E83" i="16" a="1"/>
  <c r="E83" i="16" s="1"/>
  <c r="O83" i="16" a="1"/>
  <c r="O83" i="16" s="1"/>
  <c r="C84" i="16" a="1"/>
  <c r="C84" i="16" s="1"/>
  <c r="M84" i="16" a="1"/>
  <c r="M84" i="16" s="1"/>
  <c r="S84" i="16" a="1"/>
  <c r="S84" i="16" s="1"/>
  <c r="K85" i="16" a="1"/>
  <c r="K85" i="16" s="1"/>
  <c r="Q85" i="16" a="1"/>
  <c r="Q85" i="16" s="1"/>
  <c r="I86" i="16" a="1"/>
  <c r="I86" i="16" s="1"/>
  <c r="O86" i="16" a="1"/>
  <c r="O86" i="16" s="1"/>
  <c r="K86" i="16" a="1"/>
  <c r="K86" i="16" s="1"/>
  <c r="Q71" i="16" a="1"/>
  <c r="Q71" i="16" s="1"/>
  <c r="O72" i="16" a="1"/>
  <c r="O72" i="16" s="1"/>
  <c r="E74" i="16" a="1"/>
  <c r="E74" i="16" s="1"/>
  <c r="I75" i="16" a="1"/>
  <c r="I75" i="16" s="1"/>
  <c r="E77" i="16" a="1"/>
  <c r="E77" i="16" s="1"/>
  <c r="C78" i="16" a="1"/>
  <c r="C78" i="16" s="1"/>
  <c r="K79" i="16" a="1"/>
  <c r="K79" i="16" s="1"/>
  <c r="G81" i="16" a="1"/>
  <c r="G81" i="16" s="1"/>
  <c r="K82" i="16" a="1"/>
  <c r="K82" i="16" s="1"/>
  <c r="I83" i="16" a="1"/>
  <c r="I83" i="16" s="1"/>
  <c r="Q84" i="16" a="1"/>
  <c r="Q84" i="16" s="1"/>
  <c r="C86" i="16" a="1"/>
  <c r="C86" i="16" s="1"/>
  <c r="E70" i="16" a="1"/>
  <c r="E70" i="16" s="1"/>
  <c r="M70" i="16" a="1"/>
  <c r="M70" i="16" s="1"/>
  <c r="C71" i="16" a="1"/>
  <c r="C71" i="16" s="1"/>
  <c r="I71" i="16" a="1"/>
  <c r="I71" i="16" s="1"/>
  <c r="S71" i="16" a="1"/>
  <c r="S71" i="16" s="1"/>
  <c r="G72" i="16" a="1"/>
  <c r="G72" i="16" s="1"/>
  <c r="Q72" i="16" a="1"/>
  <c r="Q72" i="16" s="1"/>
  <c r="E73" i="16" a="1"/>
  <c r="E73" i="16" s="1"/>
  <c r="O73" i="16" a="1"/>
  <c r="O73" i="16" s="1"/>
  <c r="C74" i="16" a="1"/>
  <c r="C74" i="16" s="1"/>
  <c r="M74" i="16" a="1"/>
  <c r="M74" i="16" s="1"/>
  <c r="S74" i="16" a="1"/>
  <c r="S74" i="16" s="1"/>
  <c r="K75" i="16" a="1"/>
  <c r="K75" i="16" s="1"/>
  <c r="Q75" i="16" a="1"/>
  <c r="Q75" i="16" s="1"/>
  <c r="I76" i="16" a="1"/>
  <c r="I76" i="16" s="1"/>
  <c r="O76" i="16" a="1"/>
  <c r="O76" i="16" s="1"/>
  <c r="G77" i="16" a="1"/>
  <c r="G77" i="16" s="1"/>
  <c r="M77" i="16" a="1"/>
  <c r="M77" i="16" s="1"/>
  <c r="E78" i="16" a="1"/>
  <c r="E78" i="16" s="1"/>
  <c r="K78" i="16" a="1"/>
  <c r="K78" i="16" s="1"/>
  <c r="C79" i="16" a="1"/>
  <c r="C79" i="16" s="1"/>
  <c r="I79" i="16" a="1"/>
  <c r="I79" i="16" s="1"/>
  <c r="S79" i="16" a="1"/>
  <c r="S79" i="16" s="1"/>
  <c r="G80" i="16" a="1"/>
  <c r="G80" i="16" s="1"/>
  <c r="Q80" i="16" a="1"/>
  <c r="Q80" i="16" s="1"/>
  <c r="E81" i="16" a="1"/>
  <c r="E81" i="16" s="1"/>
  <c r="O81" i="16" a="1"/>
  <c r="O81" i="16" s="1"/>
  <c r="C82" i="16" a="1"/>
  <c r="C82" i="16" s="1"/>
  <c r="M82" i="16" a="1"/>
  <c r="M82" i="16" s="1"/>
  <c r="S82" i="16" a="1"/>
  <c r="S82" i="16" s="1"/>
  <c r="K83" i="16" a="1"/>
  <c r="K83" i="16" s="1"/>
  <c r="Q83" i="16" a="1"/>
  <c r="Q83" i="16" s="1"/>
  <c r="I84" i="16" a="1"/>
  <c r="I84" i="16" s="1"/>
  <c r="O84" i="16" a="1"/>
  <c r="O84" i="16" s="1"/>
  <c r="G85" i="16" a="1"/>
  <c r="G85" i="16" s="1"/>
  <c r="M85" i="16" a="1"/>
  <c r="M85" i="16" s="1"/>
  <c r="E86" i="16" a="1"/>
  <c r="E86" i="16" s="1"/>
  <c r="K71" i="16" a="1"/>
  <c r="K71" i="16" s="1"/>
  <c r="G73" i="16" a="1"/>
  <c r="G73" i="16" s="1"/>
  <c r="K74" i="16" a="1"/>
  <c r="K74" i="16" s="1"/>
  <c r="S75" i="16" a="1"/>
  <c r="S75" i="16" s="1"/>
  <c r="Q76" i="16" a="1"/>
  <c r="Q76" i="16" s="1"/>
  <c r="M78" i="16" a="1"/>
  <c r="M78" i="16" s="1"/>
  <c r="Q79" i="16" a="1"/>
  <c r="Q79" i="16" s="1"/>
  <c r="O80" i="16" a="1"/>
  <c r="O80" i="16" s="1"/>
  <c r="E82" i="16" a="1"/>
  <c r="E82" i="16" s="1"/>
  <c r="S83" i="16" a="1"/>
  <c r="S83" i="16" s="1"/>
  <c r="E85" i="16" a="1"/>
  <c r="E85" i="16" s="1"/>
  <c r="M86" i="16" a="1"/>
  <c r="M86" i="16" s="1"/>
  <c r="E71" i="16" a="1"/>
  <c r="E71" i="16" s="1"/>
  <c r="O71" i="16" a="1"/>
  <c r="O71" i="16" s="1"/>
  <c r="C72" i="16" a="1"/>
  <c r="C72" i="16" s="1"/>
  <c r="M72" i="16" a="1"/>
  <c r="M72" i="16" s="1"/>
  <c r="S72" i="16" a="1"/>
  <c r="S72" i="16" s="1"/>
  <c r="K73" i="16" a="1"/>
  <c r="K73" i="16" s="1"/>
  <c r="Q73" i="16" a="1"/>
  <c r="Q73" i="16" s="1"/>
  <c r="I74" i="16" a="1"/>
  <c r="I74" i="16" s="1"/>
  <c r="O74" i="16" a="1"/>
  <c r="O74" i="16" s="1"/>
  <c r="G75" i="16" a="1"/>
  <c r="G75" i="16" s="1"/>
  <c r="M75" i="16" a="1"/>
  <c r="M75" i="16" s="1"/>
  <c r="E76" i="16" a="1"/>
  <c r="E76" i="16" s="1"/>
  <c r="K76" i="16" a="1"/>
  <c r="K76" i="16" s="1"/>
  <c r="C77" i="16" a="1"/>
  <c r="C77" i="16" s="1"/>
  <c r="I77" i="16" a="1"/>
  <c r="I77" i="16" s="1"/>
  <c r="S77" i="16" a="1"/>
  <c r="S77" i="16" s="1"/>
  <c r="G78" i="16" a="1"/>
  <c r="G78" i="16" s="1"/>
  <c r="Q78" i="16" a="1"/>
  <c r="Q78" i="16" s="1"/>
  <c r="E79" i="16" a="1"/>
  <c r="E79" i="16" s="1"/>
  <c r="O79" i="16" a="1"/>
  <c r="O79" i="16" s="1"/>
  <c r="C80" i="16" a="1"/>
  <c r="C80" i="16" s="1"/>
  <c r="M80" i="16" a="1"/>
  <c r="M80" i="16" s="1"/>
  <c r="S80" i="16" a="1"/>
  <c r="S80" i="16" s="1"/>
  <c r="K81" i="16" a="1"/>
  <c r="K81" i="16" s="1"/>
  <c r="Q81" i="16" a="1"/>
  <c r="Q81" i="16" s="1"/>
  <c r="I82" i="16" a="1"/>
  <c r="I82" i="16" s="1"/>
  <c r="O82" i="16" a="1"/>
  <c r="O82" i="16" s="1"/>
  <c r="G83" i="16" a="1"/>
  <c r="G83" i="16" s="1"/>
  <c r="M83" i="16" a="1"/>
  <c r="M83" i="16" s="1"/>
  <c r="E84" i="16" a="1"/>
  <c r="E84" i="16" s="1"/>
  <c r="K84" i="16" a="1"/>
  <c r="K84" i="16" s="1"/>
  <c r="C85" i="16" a="1"/>
  <c r="C85" i="16" s="1"/>
  <c r="I85" i="16" a="1"/>
  <c r="I85" i="16" s="1"/>
  <c r="S85" i="16" a="1"/>
  <c r="S85" i="16" s="1"/>
  <c r="G86" i="16" a="1"/>
  <c r="G86" i="16" s="1"/>
  <c r="Q86" i="16" a="1"/>
  <c r="Q86" i="16" s="1"/>
  <c r="I70" i="16" a="1"/>
  <c r="I70" i="16" s="1"/>
  <c r="Q70" i="16" a="1"/>
  <c r="Q70" i="16" s="1"/>
  <c r="I72" i="16" a="1"/>
  <c r="I72" i="16" s="1"/>
  <c r="M73" i="16" a="1"/>
  <c r="M73" i="16" s="1"/>
  <c r="C75" i="16" a="1"/>
  <c r="C75" i="16" s="1"/>
  <c r="G76" i="16" a="1"/>
  <c r="G76" i="16" s="1"/>
  <c r="O77" i="16" a="1"/>
  <c r="O77" i="16" s="1"/>
  <c r="S78" i="16" a="1"/>
  <c r="S78" i="16" s="1"/>
  <c r="I80" i="16" a="1"/>
  <c r="I80" i="16" s="1"/>
  <c r="M81" i="16" a="1"/>
  <c r="M81" i="16" s="1"/>
  <c r="C83" i="16" a="1"/>
  <c r="C83" i="16" s="1"/>
  <c r="G84" i="16" a="1"/>
  <c r="G84" i="16" s="1"/>
  <c r="O85" i="16" a="1"/>
  <c r="O85" i="16" s="1"/>
  <c r="S86" i="16" a="1"/>
  <c r="S86" i="16" s="1"/>
  <c r="O68" i="16" a="1"/>
  <c r="O68" i="16" s="1"/>
  <c r="G68" i="16" a="1"/>
  <c r="G68" i="16" s="1"/>
  <c r="Q67" i="16" a="1"/>
  <c r="Q67" i="16" s="1"/>
  <c r="I67" i="16" a="1"/>
  <c r="I67" i="16" s="1"/>
  <c r="S66" i="16" a="1"/>
  <c r="S66" i="16" s="1"/>
  <c r="K66" i="16" a="1"/>
  <c r="K66" i="16" s="1"/>
  <c r="C66" i="16" a="1"/>
  <c r="C66" i="16" s="1"/>
  <c r="M65" i="16" a="1"/>
  <c r="M65" i="16" s="1"/>
  <c r="E65" i="16" a="1"/>
  <c r="E65" i="16" s="1"/>
  <c r="O64" i="16" a="1"/>
  <c r="O64" i="16" s="1"/>
  <c r="G64" i="16" a="1"/>
  <c r="G64" i="16" s="1"/>
  <c r="Q63" i="16" a="1"/>
  <c r="Q63" i="16" s="1"/>
  <c r="I63" i="16" a="1"/>
  <c r="I63" i="16" s="1"/>
  <c r="S62" i="16" a="1"/>
  <c r="S62" i="16" s="1"/>
  <c r="K62" i="16" a="1"/>
  <c r="K62" i="16" s="1"/>
  <c r="C62" i="16" a="1"/>
  <c r="C62" i="16" s="1"/>
  <c r="S68" i="16" a="1"/>
  <c r="S68" i="16" s="1"/>
  <c r="K68" i="16" a="1"/>
  <c r="K68" i="16" s="1"/>
  <c r="C68" i="16" a="1"/>
  <c r="C68" i="16" s="1"/>
  <c r="M67" i="16" a="1"/>
  <c r="M67" i="16" s="1"/>
  <c r="E67" i="16" a="1"/>
  <c r="E67" i="16" s="1"/>
  <c r="O66" i="16" a="1"/>
  <c r="O66" i="16" s="1"/>
  <c r="G66" i="16" a="1"/>
  <c r="G66" i="16" s="1"/>
  <c r="Q65" i="16" a="1"/>
  <c r="Q65" i="16" s="1"/>
  <c r="I65" i="16" a="1"/>
  <c r="I65" i="16" s="1"/>
  <c r="S64" i="16" a="1"/>
  <c r="S64" i="16" s="1"/>
  <c r="K64" i="16" a="1"/>
  <c r="K64" i="16" s="1"/>
  <c r="C64" i="16" a="1"/>
  <c r="C64" i="16" s="1"/>
  <c r="M63" i="16" a="1"/>
  <c r="M63" i="16" s="1"/>
  <c r="E63" i="16" a="1"/>
  <c r="E63" i="16" s="1"/>
  <c r="O62" i="16" a="1"/>
  <c r="O62" i="16" s="1"/>
  <c r="G62" i="16" a="1"/>
  <c r="G62" i="16" s="1"/>
  <c r="Q68" i="16" a="1"/>
  <c r="Q68" i="16" s="1"/>
  <c r="M68" i="16" a="1"/>
  <c r="M68" i="16" s="1"/>
  <c r="I68" i="16" a="1"/>
  <c r="I68" i="16" s="1"/>
  <c r="E68" i="16" a="1"/>
  <c r="E68" i="16" s="1"/>
  <c r="S67" i="16" a="1"/>
  <c r="S67" i="16" s="1"/>
  <c r="O67" i="16" a="1"/>
  <c r="O67" i="16" s="1"/>
  <c r="K67" i="16" a="1"/>
  <c r="K67" i="16" s="1"/>
  <c r="G67" i="16" a="1"/>
  <c r="G67" i="16" s="1"/>
  <c r="C67" i="16" a="1"/>
  <c r="C67" i="16" s="1"/>
  <c r="Q66" i="16" a="1"/>
  <c r="Q66" i="16" s="1"/>
  <c r="M66" i="16" a="1"/>
  <c r="M66" i="16" s="1"/>
  <c r="I66" i="16" a="1"/>
  <c r="I66" i="16" s="1"/>
  <c r="E66" i="16" a="1"/>
  <c r="E66" i="16" s="1"/>
  <c r="S65" i="16" a="1"/>
  <c r="S65" i="16" s="1"/>
  <c r="O65" i="16" a="1"/>
  <c r="O65" i="16" s="1"/>
  <c r="K65" i="16" a="1"/>
  <c r="K65" i="16" s="1"/>
  <c r="G65" i="16" a="1"/>
  <c r="G65" i="16" s="1"/>
  <c r="C65" i="16" a="1"/>
  <c r="C65" i="16" s="1"/>
  <c r="M64" i="16" a="1"/>
  <c r="M64" i="16" s="1"/>
  <c r="O63" i="16" a="1"/>
  <c r="O63" i="16" s="1"/>
  <c r="Q62" i="16" a="1"/>
  <c r="Q62" i="16" s="1"/>
  <c r="Q64" i="16" a="1"/>
  <c r="Q64" i="16" s="1"/>
  <c r="C63" i="16" a="1"/>
  <c r="C63" i="16" s="1"/>
  <c r="E62" i="16" a="1"/>
  <c r="E62" i="16" s="1"/>
  <c r="I64" i="16" a="1"/>
  <c r="I64" i="16" s="1"/>
  <c r="K63" i="16" a="1"/>
  <c r="K63" i="16" s="1"/>
  <c r="M62" i="16" a="1"/>
  <c r="M62" i="16" s="1"/>
  <c r="E64" i="16" a="1"/>
  <c r="E64" i="16" s="1"/>
  <c r="G63" i="16" a="1"/>
  <c r="G63" i="16" s="1"/>
  <c r="I62" i="16" a="1"/>
  <c r="I62" i="16" s="1"/>
  <c r="S63" i="16" a="1"/>
  <c r="S63" i="16" s="1"/>
  <c r="H80" i="9"/>
  <c r="H74" i="9"/>
  <c r="L74" i="9" s="1"/>
  <c r="N80" i="9"/>
  <c r="H76" i="9"/>
  <c r="T75" i="9"/>
  <c r="T76" i="9"/>
  <c r="T74" i="9"/>
  <c r="H75" i="9"/>
  <c r="L80" i="9" l="1"/>
  <c r="R80" i="9"/>
  <c r="F80" i="9"/>
  <c r="Z85" i="9"/>
  <c r="Z84" i="9"/>
  <c r="Z83" i="9"/>
  <c r="Z82" i="9"/>
  <c r="L76" i="9"/>
  <c r="S76" i="9" s="1"/>
  <c r="R76" i="9"/>
  <c r="L75" i="9"/>
  <c r="S75" i="9" s="1"/>
  <c r="R75" i="9"/>
  <c r="R74" i="9"/>
  <c r="S74" i="9"/>
  <c r="H3" i="9"/>
  <c r="C22" i="16" l="1" a="1"/>
  <c r="C22" i="16" s="1"/>
  <c r="S22" i="16" a="1"/>
  <c r="S22" i="16" s="1"/>
  <c r="Q23" i="16" a="1"/>
  <c r="Q23" i="16" s="1"/>
  <c r="O24" i="16" a="1"/>
  <c r="O24" i="16" s="1"/>
  <c r="M25" i="16" a="1"/>
  <c r="M25" i="16" s="1"/>
  <c r="K26" i="16" a="1"/>
  <c r="K26" i="16" s="1"/>
  <c r="I27" i="16" a="1"/>
  <c r="I27" i="16" s="1"/>
  <c r="Q22" i="16" a="1"/>
  <c r="Q22" i="16" s="1"/>
  <c r="M24" i="16" a="1"/>
  <c r="M24" i="16" s="1"/>
  <c r="I26" i="16" a="1"/>
  <c r="I26" i="16" s="1"/>
  <c r="E28" i="16" a="1"/>
  <c r="E28" i="16" s="1"/>
  <c r="S29" i="16" a="1"/>
  <c r="S29" i="16" s="1"/>
  <c r="O31" i="16" a="1"/>
  <c r="O31" i="16" s="1"/>
  <c r="K33" i="16" a="1"/>
  <c r="K33" i="16" s="1"/>
  <c r="K23" i="16" a="1"/>
  <c r="K23" i="16" s="1"/>
  <c r="G25" i="16" a="1"/>
  <c r="G25" i="16" s="1"/>
  <c r="C27" i="16" a="1"/>
  <c r="C27" i="16" s="1"/>
  <c r="Q28" i="16" a="1"/>
  <c r="Q28" i="16" s="1"/>
  <c r="M30" i="16" a="1"/>
  <c r="M30" i="16" s="1"/>
  <c r="I32" i="16" a="1"/>
  <c r="I32" i="16" s="1"/>
  <c r="S33" i="16" a="1"/>
  <c r="S33" i="16" s="1"/>
  <c r="S30" i="16" a="1"/>
  <c r="S30" i="16" s="1"/>
  <c r="G34" i="16" a="1"/>
  <c r="G34" i="16" s="1"/>
  <c r="O34" i="16" a="1"/>
  <c r="O34" i="16" s="1"/>
  <c r="M29" i="16" a="1"/>
  <c r="M29" i="16" s="1"/>
  <c r="E33" i="16" a="1"/>
  <c r="E33" i="16" s="1"/>
  <c r="E34" i="16" a="1"/>
  <c r="E34" i="16" s="1"/>
  <c r="C28" i="16" a="1"/>
  <c r="C28" i="16" s="1"/>
  <c r="Q29" i="16" a="1"/>
  <c r="Q29" i="16" s="1"/>
  <c r="Q33" i="16" a="1"/>
  <c r="Q33" i="16" s="1"/>
  <c r="I25" i="16" a="1"/>
  <c r="I25" i="16" s="1"/>
  <c r="I22" i="16" a="1"/>
  <c r="I22" i="16" s="1"/>
  <c r="O27" i="16" a="1"/>
  <c r="O27" i="16" s="1"/>
  <c r="C33" i="16" a="1"/>
  <c r="C33" i="16" s="1"/>
  <c r="M26" i="16" a="1"/>
  <c r="M26" i="16" s="1"/>
  <c r="S31" i="16" a="1"/>
  <c r="S31" i="16" s="1"/>
  <c r="M33" i="16" a="1"/>
  <c r="M33" i="16" s="1"/>
  <c r="G32" i="16" a="1"/>
  <c r="G32" i="16" s="1"/>
  <c r="I29" i="16" a="1"/>
  <c r="I29" i="16" s="1"/>
  <c r="G22" i="16" a="1"/>
  <c r="G22" i="16" s="1"/>
  <c r="E23" i="16" a="1"/>
  <c r="E23" i="16" s="1"/>
  <c r="C24" i="16" a="1"/>
  <c r="C24" i="16" s="1"/>
  <c r="S24" i="16" a="1"/>
  <c r="S24" i="16" s="1"/>
  <c r="Q25" i="16" a="1"/>
  <c r="Q25" i="16" s="1"/>
  <c r="O26" i="16" a="1"/>
  <c r="O26" i="16" s="1"/>
  <c r="M27" i="16" a="1"/>
  <c r="M27" i="16" s="1"/>
  <c r="G23" i="16" a="1"/>
  <c r="G23" i="16" s="1"/>
  <c r="C25" i="16" a="1"/>
  <c r="C25" i="16" s="1"/>
  <c r="Q26" i="16" a="1"/>
  <c r="Q26" i="16" s="1"/>
  <c r="M28" i="16" a="1"/>
  <c r="M28" i="16" s="1"/>
  <c r="I30" i="16" a="1"/>
  <c r="I30" i="16" s="1"/>
  <c r="E32" i="16" a="1"/>
  <c r="E32" i="16" s="1"/>
  <c r="E22" i="16" a="1"/>
  <c r="E22" i="16" s="1"/>
  <c r="S23" i="16" a="1"/>
  <c r="S23" i="16" s="1"/>
  <c r="O25" i="16" a="1"/>
  <c r="O25" i="16" s="1"/>
  <c r="K27" i="16" a="1"/>
  <c r="K27" i="16" s="1"/>
  <c r="G29" i="16" a="1"/>
  <c r="G29" i="16" s="1"/>
  <c r="C31" i="16" a="1"/>
  <c r="C31" i="16" s="1"/>
  <c r="Q32" i="16" a="1"/>
  <c r="Q32" i="16" s="1"/>
  <c r="K34" i="16" a="1"/>
  <c r="K34" i="16" s="1"/>
  <c r="Q31" i="16" a="1"/>
  <c r="Q31" i="16" s="1"/>
  <c r="E31" i="16" a="1"/>
  <c r="E31" i="16" s="1"/>
  <c r="G28" i="16" a="1"/>
  <c r="G28" i="16" s="1"/>
  <c r="K30" i="16" a="1"/>
  <c r="K30" i="16" s="1"/>
  <c r="M34" i="16" a="1"/>
  <c r="M34" i="16" s="1"/>
  <c r="C34" i="16" a="1"/>
  <c r="C34" i="16" s="1"/>
  <c r="K28" i="16" a="1"/>
  <c r="K28" i="16" s="1"/>
  <c r="G30" i="16" a="1"/>
  <c r="G30" i="16" s="1"/>
  <c r="K24" i="16" a="1"/>
  <c r="K24" i="16" s="1"/>
  <c r="E27" i="16" a="1"/>
  <c r="E27" i="16" s="1"/>
  <c r="S25" i="16" a="1"/>
  <c r="S25" i="16" s="1"/>
  <c r="G31" i="16" a="1"/>
  <c r="G31" i="16" s="1"/>
  <c r="Q24" i="16" a="1"/>
  <c r="Q24" i="16" s="1"/>
  <c r="E30" i="16" a="1"/>
  <c r="E30" i="16" s="1"/>
  <c r="C30" i="16" a="1"/>
  <c r="C30" i="16" s="1"/>
  <c r="E29" i="16" a="1"/>
  <c r="E29" i="16" s="1"/>
  <c r="S34" i="16" a="1"/>
  <c r="S34" i="16" s="1"/>
  <c r="K22" i="16" a="1"/>
  <c r="K22" i="16" s="1"/>
  <c r="I23" i="16" a="1"/>
  <c r="I23" i="16" s="1"/>
  <c r="G24" i="16" a="1"/>
  <c r="G24" i="16" s="1"/>
  <c r="E25" i="16" a="1"/>
  <c r="E25" i="16" s="1"/>
  <c r="C26" i="16" a="1"/>
  <c r="C26" i="16" s="1"/>
  <c r="S26" i="16" a="1"/>
  <c r="S26" i="16" s="1"/>
  <c r="Q27" i="16" a="1"/>
  <c r="Q27" i="16" s="1"/>
  <c r="O23" i="16" a="1"/>
  <c r="O23" i="16" s="1"/>
  <c r="K25" i="16" a="1"/>
  <c r="K25" i="16" s="1"/>
  <c r="G27" i="16" a="1"/>
  <c r="G27" i="16" s="1"/>
  <c r="C29" i="16" a="1"/>
  <c r="C29" i="16" s="1"/>
  <c r="Q30" i="16" a="1"/>
  <c r="Q30" i="16" s="1"/>
  <c r="M32" i="16" a="1"/>
  <c r="M32" i="16" s="1"/>
  <c r="M22" i="16" a="1"/>
  <c r="M22" i="16" s="1"/>
  <c r="I24" i="16" a="1"/>
  <c r="I24" i="16" s="1"/>
  <c r="E26" i="16" a="1"/>
  <c r="E26" i="16" s="1"/>
  <c r="S27" i="16" a="1"/>
  <c r="S27" i="16" s="1"/>
  <c r="O29" i="16" a="1"/>
  <c r="O29" i="16" s="1"/>
  <c r="K31" i="16" a="1"/>
  <c r="K31" i="16" s="1"/>
  <c r="G33" i="16" a="1"/>
  <c r="G33" i="16" s="1"/>
  <c r="Q34" i="16" a="1"/>
  <c r="Q34" i="16" s="1"/>
  <c r="O32" i="16" a="1"/>
  <c r="O32" i="16" s="1"/>
  <c r="C32" i="16" a="1"/>
  <c r="C32" i="16" s="1"/>
  <c r="O28" i="16" a="1"/>
  <c r="O28" i="16" s="1"/>
  <c r="I31" i="16" a="1"/>
  <c r="I31" i="16" s="1"/>
  <c r="M31" i="16" a="1"/>
  <c r="M31" i="16" s="1"/>
  <c r="I34" i="16" a="1"/>
  <c r="I34" i="16" s="1"/>
  <c r="S28" i="16" a="1"/>
  <c r="S28" i="16" s="1"/>
  <c r="O30" i="16" a="1"/>
  <c r="O30" i="16" s="1"/>
  <c r="O22" i="16" a="1"/>
  <c r="O22" i="16" s="1"/>
  <c r="M23" i="16" a="1"/>
  <c r="M23" i="16" s="1"/>
  <c r="G26" i="16" a="1"/>
  <c r="G26" i="16" s="1"/>
  <c r="E24" i="16" a="1"/>
  <c r="E24" i="16" s="1"/>
  <c r="K29" i="16" a="1"/>
  <c r="K29" i="16" s="1"/>
  <c r="C23" i="16" a="1"/>
  <c r="C23" i="16" s="1"/>
  <c r="I28" i="16" a="1"/>
  <c r="I28" i="16" s="1"/>
  <c r="O33" i="16" a="1"/>
  <c r="O33" i="16" s="1"/>
  <c r="I33" i="16" a="1"/>
  <c r="I33" i="16" s="1"/>
  <c r="S32" i="16" a="1"/>
  <c r="S32" i="16" s="1"/>
  <c r="K32" i="16" a="1"/>
  <c r="K32" i="16" s="1"/>
  <c r="C11" i="16" a="1"/>
  <c r="C11" i="16" s="1"/>
  <c r="S11" i="16" a="1"/>
  <c r="S11" i="16" s="1"/>
  <c r="Q12" i="16" a="1"/>
  <c r="Q12" i="16" s="1"/>
  <c r="O13" i="16" a="1"/>
  <c r="O13" i="16" s="1"/>
  <c r="M14" i="16" a="1"/>
  <c r="M14" i="16" s="1"/>
  <c r="K15" i="16" a="1"/>
  <c r="K15" i="16" s="1"/>
  <c r="I16" i="16" a="1"/>
  <c r="I16" i="16" s="1"/>
  <c r="Q18" i="16" a="1"/>
  <c r="Q18" i="16" s="1"/>
  <c r="G21" i="16" a="1"/>
  <c r="G21" i="16" s="1"/>
  <c r="K12" i="16" a="1"/>
  <c r="K12" i="16" s="1"/>
  <c r="G14" i="16" a="1"/>
  <c r="G14" i="16" s="1"/>
  <c r="C16" i="16" a="1"/>
  <c r="C16" i="16" s="1"/>
  <c r="Q17" i="16" a="1"/>
  <c r="Q17" i="16" s="1"/>
  <c r="M19" i="16" a="1"/>
  <c r="M19" i="16" s="1"/>
  <c r="I21" i="16" a="1"/>
  <c r="I21" i="16" s="1"/>
  <c r="I18" i="16" a="1"/>
  <c r="I18" i="16" s="1"/>
  <c r="C21" i="16" a="1"/>
  <c r="C21" i="16" s="1"/>
  <c r="M11" i="16" a="1"/>
  <c r="M11" i="16" s="1"/>
  <c r="M13" i="16" a="1"/>
  <c r="M13" i="16" s="1"/>
  <c r="I15" i="16" a="1"/>
  <c r="I15" i="16" s="1"/>
  <c r="E17" i="16" a="1"/>
  <c r="E17" i="16" s="1"/>
  <c r="S18" i="16" a="1"/>
  <c r="S18" i="16" s="1"/>
  <c r="O20" i="16" a="1"/>
  <c r="O20" i="16" s="1"/>
  <c r="G17" i="16" a="1"/>
  <c r="G17" i="16" s="1"/>
  <c r="S19" i="16" a="1"/>
  <c r="S19" i="16" s="1"/>
  <c r="Q20" i="16" a="1"/>
  <c r="Q20" i="16" s="1"/>
  <c r="G16" i="16" a="1"/>
  <c r="G16" i="16" s="1"/>
  <c r="Q19" i="16" a="1"/>
  <c r="Q19" i="16" s="1"/>
  <c r="K21" i="16" a="1"/>
  <c r="K21" i="16" s="1"/>
  <c r="K13" i="16" a="1"/>
  <c r="K13" i="16" s="1"/>
  <c r="E16" i="16" a="1"/>
  <c r="E16" i="16" s="1"/>
  <c r="C12" i="16" a="1"/>
  <c r="C12" i="16" s="1"/>
  <c r="I17" i="16" a="1"/>
  <c r="I17" i="16" s="1"/>
  <c r="O17" i="16" a="1"/>
  <c r="O17" i="16" s="1"/>
  <c r="E13" i="16" a="1"/>
  <c r="E13" i="16" s="1"/>
  <c r="K18" i="16" a="1"/>
  <c r="K18" i="16" s="1"/>
  <c r="G19" i="16" a="1"/>
  <c r="G19" i="16" s="1"/>
  <c r="G11" i="16" a="1"/>
  <c r="G11" i="16" s="1"/>
  <c r="E12" i="16" a="1"/>
  <c r="E12" i="16" s="1"/>
  <c r="C13" i="16" a="1"/>
  <c r="C13" i="16" s="1"/>
  <c r="S13" i="16" a="1"/>
  <c r="S13" i="16" s="1"/>
  <c r="Q14" i="16" a="1"/>
  <c r="Q14" i="16" s="1"/>
  <c r="O15" i="16" a="1"/>
  <c r="O15" i="16" s="1"/>
  <c r="Q16" i="16" a="1"/>
  <c r="Q16" i="16" s="1"/>
  <c r="K19" i="16" a="1"/>
  <c r="K19" i="16" s="1"/>
  <c r="I11" i="16" a="1"/>
  <c r="I11" i="16" s="1"/>
  <c r="S12" i="16" a="1"/>
  <c r="S12" i="16" s="1"/>
  <c r="O14" i="16" a="1"/>
  <c r="O14" i="16" s="1"/>
  <c r="K16" i="16" a="1"/>
  <c r="K16" i="16" s="1"/>
  <c r="G18" i="16" a="1"/>
  <c r="G18" i="16" s="1"/>
  <c r="C20" i="16" a="1"/>
  <c r="C20" i="16" s="1"/>
  <c r="Q21" i="16" a="1"/>
  <c r="Q21" i="16" s="1"/>
  <c r="C19" i="16" a="1"/>
  <c r="C19" i="16" s="1"/>
  <c r="O21" i="16" a="1"/>
  <c r="O21" i="16" s="1"/>
  <c r="G12" i="16" a="1"/>
  <c r="G12" i="16" s="1"/>
  <c r="C14" i="16" a="1"/>
  <c r="C14" i="16" s="1"/>
  <c r="Q15" i="16" a="1"/>
  <c r="Q15" i="16" s="1"/>
  <c r="M17" i="16" a="1"/>
  <c r="M17" i="16" s="1"/>
  <c r="I19" i="16" a="1"/>
  <c r="I19" i="16" s="1"/>
  <c r="E21" i="16" a="1"/>
  <c r="E21" i="16" s="1"/>
  <c r="S17" i="16" a="1"/>
  <c r="S17" i="16" s="1"/>
  <c r="K14" i="16" a="1"/>
  <c r="K14" i="16" s="1"/>
  <c r="M21" i="16" a="1"/>
  <c r="M21" i="16" s="1"/>
  <c r="O11" i="16" a="1"/>
  <c r="O11" i="16" s="1"/>
  <c r="I14" i="16" a="1"/>
  <c r="I14" i="16" s="1"/>
  <c r="E18" i="16" a="1"/>
  <c r="E18" i="16" s="1"/>
  <c r="Q13" i="16" a="1"/>
  <c r="Q13" i="16" s="1"/>
  <c r="E19" i="16" a="1"/>
  <c r="E19" i="16" s="1"/>
  <c r="I20" i="16" a="1"/>
  <c r="I20" i="16" s="1"/>
  <c r="S14" i="16" a="1"/>
  <c r="S14" i="16" s="1"/>
  <c r="G20" i="16" a="1"/>
  <c r="G20" i="16" s="1"/>
  <c r="K11" i="16" a="1"/>
  <c r="K11" i="16" s="1"/>
  <c r="I12" i="16" a="1"/>
  <c r="I12" i="16" s="1"/>
  <c r="G13" i="16" a="1"/>
  <c r="G13" i="16" s="1"/>
  <c r="E14" i="16" a="1"/>
  <c r="E14" i="16" s="1"/>
  <c r="C15" i="16" a="1"/>
  <c r="C15" i="16" s="1"/>
  <c r="S15" i="16" a="1"/>
  <c r="S15" i="16" s="1"/>
  <c r="K17" i="16" a="1"/>
  <c r="K17" i="16" s="1"/>
  <c r="E20" i="16" a="1"/>
  <c r="E20" i="16" s="1"/>
  <c r="Q11" i="16" a="1"/>
  <c r="Q11" i="16" s="1"/>
  <c r="I13" i="16" a="1"/>
  <c r="I13" i="16" s="1"/>
  <c r="E15" i="16" a="1"/>
  <c r="E15" i="16" s="1"/>
  <c r="S16" i="16" a="1"/>
  <c r="S16" i="16" s="1"/>
  <c r="O18" i="16" a="1"/>
  <c r="O18" i="16" s="1"/>
  <c r="K20" i="16" a="1"/>
  <c r="K20" i="16" s="1"/>
  <c r="C17" i="16" a="1"/>
  <c r="C17" i="16" s="1"/>
  <c r="O19" i="16" a="1"/>
  <c r="O19" i="16" s="1"/>
  <c r="S21" i="16" a="1"/>
  <c r="S21" i="16" s="1"/>
  <c r="O12" i="16" a="1"/>
  <c r="O12" i="16" s="1"/>
  <c r="C18" i="16" a="1"/>
  <c r="C18" i="16" s="1"/>
  <c r="M18" i="16" a="1"/>
  <c r="M18" i="16" s="1"/>
  <c r="M12" i="16" a="1"/>
  <c r="M12" i="16" s="1"/>
  <c r="G15" i="16" a="1"/>
  <c r="G15" i="16" s="1"/>
  <c r="M20" i="16" a="1"/>
  <c r="M20" i="16" s="1"/>
  <c r="M15" i="16" a="1"/>
  <c r="M15" i="16" s="1"/>
  <c r="S20" i="16" a="1"/>
  <c r="S20" i="16" s="1"/>
  <c r="E11" i="16" a="1"/>
  <c r="E11" i="16" s="1"/>
  <c r="O16" i="16" a="1"/>
  <c r="O16" i="16" s="1"/>
  <c r="M16" i="16" a="1"/>
  <c r="M16" i="16" s="1"/>
  <c r="O10" i="16" a="1"/>
  <c r="O10" i="16" s="1"/>
  <c r="Q10" i="16" a="1"/>
  <c r="Q10" i="16" s="1"/>
  <c r="G10" i="16" a="1"/>
  <c r="G10" i="16" s="1"/>
  <c r="K10" i="16" a="1"/>
  <c r="K10" i="16" s="1"/>
  <c r="M10" i="16" a="1"/>
  <c r="M10" i="16" s="1"/>
  <c r="C10" i="16" a="1"/>
  <c r="C10" i="16" s="1"/>
  <c r="E10" i="16" a="1"/>
  <c r="E10" i="16" s="1"/>
  <c r="S10" i="16" a="1"/>
  <c r="S10" i="16" s="1"/>
  <c r="I10" i="16" a="1"/>
  <c r="I10" i="16" s="1"/>
  <c r="H2" i="9"/>
  <c r="T4" i="9"/>
  <c r="N8" i="9"/>
  <c r="H4" i="9"/>
  <c r="L111" i="9"/>
  <c r="F8" i="9" l="1"/>
  <c r="AE2" i="16"/>
  <c r="G8" i="16"/>
  <c r="U2" i="16" s="1"/>
  <c r="R8" i="9"/>
  <c r="AD66" i="16"/>
  <c r="AD65" i="16"/>
  <c r="AD63" i="16"/>
  <c r="AD64" i="16"/>
  <c r="AD47" i="16"/>
  <c r="AD45" i="16"/>
  <c r="AD46" i="16"/>
  <c r="AD44" i="16"/>
  <c r="AD30" i="16"/>
  <c r="AD31" i="16"/>
  <c r="AD28" i="16"/>
  <c r="AD29" i="16"/>
  <c r="S8" i="16"/>
  <c r="U4" i="16" s="1"/>
  <c r="AD13" i="16"/>
  <c r="AD14" i="16"/>
  <c r="AD11" i="16"/>
  <c r="AD12" i="16"/>
  <c r="AE3" i="16"/>
  <c r="M8" i="16"/>
  <c r="U3" i="16" s="1"/>
  <c r="AE4" i="16"/>
  <c r="AD94" i="16"/>
  <c r="AD93" i="16"/>
  <c r="AD91" i="16"/>
  <c r="AD92" i="16"/>
  <c r="L2" i="9"/>
  <c r="S2" i="9" s="1"/>
  <c r="Z13" i="9"/>
  <c r="L4" i="9"/>
  <c r="S4" i="9" s="1"/>
  <c r="R4" i="9"/>
  <c r="S111" i="9"/>
  <c r="R111" i="9"/>
  <c r="S110" i="9"/>
  <c r="R110" i="9"/>
  <c r="F11" i="7"/>
  <c r="F12" i="7" s="1"/>
  <c r="AA63" i="16" l="1"/>
  <c r="AD15" i="16"/>
  <c r="AD48" i="16"/>
  <c r="AD3" i="16"/>
  <c r="AD4" i="16"/>
  <c r="AD67" i="16"/>
  <c r="AD68" i="16" s="1"/>
  <c r="AD32" i="16"/>
  <c r="AD33" i="16" s="1"/>
  <c r="U1" i="16"/>
  <c r="X2" i="16" s="1"/>
  <c r="AD2" i="16"/>
  <c r="W4" i="16"/>
  <c r="AA65" i="16"/>
  <c r="AA66" i="16"/>
  <c r="AA64" i="16"/>
  <c r="W3" i="16"/>
  <c r="W2" i="16"/>
  <c r="F9" i="7"/>
  <c r="J6" i="7"/>
  <c r="I6" i="7"/>
  <c r="AD49" i="16" l="1"/>
  <c r="X3" i="16"/>
  <c r="X4" i="16"/>
  <c r="AD6" i="16"/>
  <c r="AD16" i="16" s="1"/>
  <c r="Z67" i="16"/>
  <c r="V12" i="7"/>
  <c r="V7" i="7"/>
  <c r="S12" i="7"/>
  <c r="S7" i="7"/>
  <c r="K9" i="7"/>
  <c r="F7" i="7"/>
  <c r="G7" i="7" s="1"/>
  <c r="G6" i="7"/>
  <c r="J7" i="7"/>
  <c r="I7" i="7"/>
  <c r="H7" i="7"/>
  <c r="K6" i="7" l="1"/>
  <c r="K7" i="7" l="1"/>
  <c r="H8" i="9" l="1"/>
  <c r="T3" i="9"/>
  <c r="T2" i="9"/>
  <c r="R3" i="9"/>
  <c r="L8" i="9" l="1"/>
  <c r="Z10" i="9"/>
  <c r="Z11" i="9"/>
  <c r="Z12" i="9"/>
  <c r="R2" i="9"/>
  <c r="L3" i="9"/>
  <c r="S3" i="9" s="1"/>
</calcChain>
</file>

<file path=xl/comments1.xml><?xml version="1.0" encoding="utf-8"?>
<comments xmlns="http://schemas.openxmlformats.org/spreadsheetml/2006/main">
  <authors>
    <author>EVE François</author>
  </authors>
  <commentList>
    <comment ref="M46" authorId="0" shapeId="0">
      <text>
        <r>
          <rPr>
            <b/>
            <sz val="9"/>
            <color indexed="81"/>
            <rFont val="Tahoma"/>
            <family val="2"/>
          </rPr>
          <t>compte nat date anniversaire</t>
        </r>
      </text>
    </comment>
  </commentList>
</comments>
</file>

<file path=xl/comments2.xml><?xml version="1.0" encoding="utf-8"?>
<comments xmlns="http://schemas.openxmlformats.org/spreadsheetml/2006/main">
  <authors>
    <author>RAMOS Antonio</author>
    <author>EVE François</author>
  </authors>
  <commentList>
    <comment ref="Q13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date erronée 31/05/2019</t>
        </r>
      </text>
    </comment>
    <comment ref="Q14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16/02/17
date erronée 30/11/2017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tacite reconduction</t>
        </r>
      </text>
    </comment>
    <comment ref="Q16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prochaine vague en renouvellement 31/12/2017 puis l'autre vague en 31/12/2019</t>
        </r>
      </text>
    </comment>
    <comment ref="Q18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date erronée 31/12/2017</t>
        </r>
      </text>
    </comment>
    <comment ref="Q19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prolongation jusqu'au 31/12/2017</t>
        </r>
      </text>
    </comment>
    <comment ref="V19" authorId="1" shapeId="0">
      <text>
        <r>
          <rPr>
            <sz val="9"/>
            <color indexed="81"/>
            <rFont val="Tahoma"/>
            <family val="2"/>
          </rPr>
          <t>Antonio RAMOS
décalage d'un an de l'appel d'offres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date erronée 28/02/2018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Màj le 17/02/2017
renouvellement par tacite reconduction 31/12/2017</t>
        </r>
      </text>
    </comment>
    <comment ref="Q42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AO sur 2017</t>
        </r>
      </text>
    </comment>
    <comment ref="Q43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en AO 2017</t>
        </r>
      </text>
    </comment>
    <comment ref="Q48" authorId="0" shapeId="0">
      <text>
        <r>
          <rPr>
            <b/>
            <sz val="9"/>
            <color indexed="81"/>
            <rFont val="Tahoma"/>
            <family val="2"/>
          </rPr>
          <t>RAMOS Antonio:</t>
        </r>
        <r>
          <rPr>
            <sz val="9"/>
            <color indexed="81"/>
            <rFont val="Tahoma"/>
            <family val="2"/>
          </rPr>
          <t xml:space="preserve">
contrat renouvelable tous les ans pendant 3 ans donc jusqu'au 31/12/2018</t>
        </r>
      </text>
    </comment>
  </commentList>
</comments>
</file>

<file path=xl/comments3.xml><?xml version="1.0" encoding="utf-8"?>
<comments xmlns="http://schemas.openxmlformats.org/spreadsheetml/2006/main">
  <authors>
    <author>DERICHEBOURG</author>
    <author>EVE François</author>
    <author>MARCHAIS Natacha</author>
  </authors>
  <commentList>
    <comment ref="V15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dossier absent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3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4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6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V27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cadre - absence d'info en agence</t>
        </r>
      </text>
    </comment>
    <comment ref="Q32" authorId="1" shapeId="0">
      <text>
        <r>
          <rPr>
            <b/>
            <sz val="9"/>
            <color indexed="81"/>
            <rFont val="Tahoma"/>
            <family val="2"/>
          </rPr>
          <t>EVE François:</t>
        </r>
        <r>
          <rPr>
            <sz val="9"/>
            <color indexed="81"/>
            <rFont val="Tahoma"/>
            <family val="2"/>
          </rPr>
          <t xml:space="preserve">
A valider selon Commentaire Natacha</t>
        </r>
      </text>
    </comment>
    <comment ref="V32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terme au 31/03/2020</t>
        </r>
      </text>
    </comment>
    <comment ref="V35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renouvelable jusqu'au 28/02/2020</t>
        </r>
      </text>
    </comment>
    <comment ref="V40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renouvellement tacite sans durée - résiliable à tous moment</t>
        </r>
      </text>
    </comment>
    <comment ref="Q45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Absence de contrat</t>
        </r>
      </text>
    </comment>
    <comment ref="V46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renouvellement tacite sans durée - résiliable à tous moment (préavis de 3 mois)</t>
        </r>
      </text>
    </comment>
    <comment ref="V51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Contrat siège - clauses inonnues en agence
</t>
        </r>
      </text>
    </comment>
    <comment ref="Q52" authorId="2" shapeId="0">
      <text>
        <r>
          <rPr>
            <b/>
            <sz val="9"/>
            <color indexed="81"/>
            <rFont val="Tahoma"/>
            <family val="2"/>
          </rPr>
          <t>MARCHAIS Natacha:</t>
        </r>
        <r>
          <rPr>
            <sz val="9"/>
            <color indexed="81"/>
            <rFont val="Tahoma"/>
            <family val="2"/>
          </rPr>
          <t xml:space="preserve">
inconnue (aucune CGV au contrat)</t>
        </r>
      </text>
    </comment>
    <comment ref="V52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pas de clauses au contrat</t>
        </r>
      </text>
    </comment>
    <comment ref="V55" authorId="0" shapeId="0">
      <text>
        <r>
          <rPr>
            <b/>
            <sz val="9"/>
            <color indexed="81"/>
            <rFont val="Tahoma"/>
            <family val="2"/>
          </rPr>
          <t>DERICHEBOURG:</t>
        </r>
        <r>
          <rPr>
            <sz val="9"/>
            <color indexed="81"/>
            <rFont val="Tahoma"/>
            <family val="2"/>
          </rPr>
          <t xml:space="preserve">
indeterminé</t>
        </r>
      </text>
    </comment>
  </commentList>
</comments>
</file>

<file path=xl/comments4.xml><?xml version="1.0" encoding="utf-8"?>
<comments xmlns="http://schemas.openxmlformats.org/spreadsheetml/2006/main">
  <authors>
    <author>CARRIE Amandine</author>
  </authors>
  <commentList>
    <comment ref="AK15" authorId="0" shapeId="0">
      <text>
        <r>
          <rPr>
            <b/>
            <sz val="9"/>
            <color indexed="81"/>
            <rFont val="Tahoma"/>
            <family val="2"/>
          </rPr>
          <t>CARRIE Amandine:</t>
        </r>
        <r>
          <rPr>
            <sz val="9"/>
            <color indexed="81"/>
            <rFont val="Tahoma"/>
            <family val="2"/>
          </rPr>
          <t xml:space="preserve">
ok le 04/01</t>
        </r>
      </text>
    </comment>
  </commentList>
</comments>
</file>

<file path=xl/sharedStrings.xml><?xml version="1.0" encoding="utf-8"?>
<sst xmlns="http://schemas.openxmlformats.org/spreadsheetml/2006/main" count="5238" uniqueCount="1335">
  <si>
    <t>Chiffre d'Affaire</t>
  </si>
  <si>
    <t>Coût MO</t>
  </si>
  <si>
    <t>Coûts directs</t>
  </si>
  <si>
    <t>Marge MO&amp;CD</t>
  </si>
  <si>
    <t>Taux Marge MO/CD</t>
  </si>
  <si>
    <t>CENTRE HOSPITALIER GUILLAUME REGNIE</t>
  </si>
  <si>
    <t>POLE EMPLOI BASSE NORMANDI</t>
  </si>
  <si>
    <t>REGION GRAND OUEST</t>
  </si>
  <si>
    <t>Repas</t>
  </si>
  <si>
    <t xml:space="preserve">Faible </t>
  </si>
  <si>
    <t>Vistie commerciale</t>
  </si>
  <si>
    <t xml:space="preserve">Moyen </t>
  </si>
  <si>
    <t>Réunion d'activité</t>
  </si>
  <si>
    <t>Elevé</t>
  </si>
  <si>
    <t>Audit</t>
  </si>
  <si>
    <t>Mars</t>
  </si>
  <si>
    <t>Avril</t>
  </si>
  <si>
    <t>Mai</t>
  </si>
  <si>
    <t>Juin</t>
  </si>
  <si>
    <t>Juillet</t>
  </si>
  <si>
    <t>Aout</t>
  </si>
  <si>
    <t>Septembre</t>
  </si>
  <si>
    <t>Type de rdv</t>
  </si>
  <si>
    <t>Risque client</t>
  </si>
  <si>
    <t>Date rdv</t>
  </si>
  <si>
    <t>Interlocuteur interne</t>
  </si>
  <si>
    <t>Interlocuteur client</t>
  </si>
  <si>
    <t>31/12/2016</t>
  </si>
  <si>
    <t>31/12/2018</t>
  </si>
  <si>
    <t>31/12/2017</t>
  </si>
  <si>
    <t>Janvier 2016</t>
  </si>
  <si>
    <t>Date  fin contrat</t>
  </si>
  <si>
    <t>31/03/2017</t>
  </si>
  <si>
    <t>30/06/2017</t>
  </si>
  <si>
    <t>JC</t>
  </si>
  <si>
    <t>AR</t>
  </si>
  <si>
    <t>TDC</t>
  </si>
  <si>
    <t>CM</t>
  </si>
  <si>
    <t>AG</t>
  </si>
  <si>
    <t>Radreaux</t>
  </si>
  <si>
    <t>Octobre 2015</t>
  </si>
  <si>
    <t>07/10/2015</t>
  </si>
  <si>
    <t>Cédric</t>
  </si>
  <si>
    <t>06-16-18-24</t>
  </si>
  <si>
    <t>3-7-9-17</t>
  </si>
  <si>
    <t>4-6-11-18-19-29</t>
  </si>
  <si>
    <t>1-3-8-12</t>
  </si>
  <si>
    <t>2-9-16-26-30</t>
  </si>
  <si>
    <t>Cornefert</t>
  </si>
  <si>
    <t>2-4-9-10-16-19-24-25-27-30</t>
  </si>
  <si>
    <t>1-4-8-10-15-17-18-31</t>
  </si>
  <si>
    <t>Novembre 2015</t>
  </si>
  <si>
    <t>Décembre 2015</t>
  </si>
  <si>
    <t>Février 2016</t>
  </si>
  <si>
    <t>4-6-8-12-15-20-22-25-28</t>
  </si>
  <si>
    <t>1-2-4-5-8-9-11</t>
  </si>
  <si>
    <t>Cédric/Antonio</t>
  </si>
  <si>
    <t>Revue de contrat</t>
  </si>
  <si>
    <t>Gestionnaire contrat</t>
  </si>
  <si>
    <t>faible</t>
  </si>
  <si>
    <t>Tessier</t>
  </si>
  <si>
    <t>Pineau/Gatefait/Bodin</t>
  </si>
  <si>
    <t>VBK/CT + les chefs de secteurs</t>
  </si>
  <si>
    <t>Mr Primault/Md Charlery/Md Menoret/Mr Bretel</t>
  </si>
  <si>
    <t>19</t>
  </si>
  <si>
    <t>machado</t>
  </si>
  <si>
    <t>C.Sire</t>
  </si>
  <si>
    <t>f guibert</t>
  </si>
  <si>
    <t>Mr trehello/Mr Longepe</t>
  </si>
  <si>
    <t>11</t>
  </si>
  <si>
    <t>soulard</t>
  </si>
  <si>
    <t>P.Leroy</t>
  </si>
  <si>
    <t>A.Rahmani/FG/CT</t>
  </si>
  <si>
    <t>Richard LEVEQUE</t>
  </si>
  <si>
    <t>Soulard</t>
  </si>
  <si>
    <t>Mellerin</t>
  </si>
  <si>
    <t>P Jobert</t>
  </si>
  <si>
    <t>26</t>
  </si>
  <si>
    <t>30/06/2016</t>
  </si>
  <si>
    <t>30/04/2018</t>
  </si>
  <si>
    <t>31/03/2018</t>
  </si>
  <si>
    <t>GATEFAIT</t>
  </si>
  <si>
    <t>SIRE</t>
  </si>
  <si>
    <t>31/10/2016</t>
  </si>
  <si>
    <t>RT/DM/CT</t>
  </si>
  <si>
    <t>FG/AM/CT</t>
  </si>
  <si>
    <t>DM/AR/CT</t>
  </si>
  <si>
    <t>LEVEQUE/resp salles blanches</t>
  </si>
  <si>
    <t>9</t>
  </si>
  <si>
    <t>15</t>
  </si>
  <si>
    <t>CT/AD</t>
  </si>
  <si>
    <t>6;20</t>
  </si>
  <si>
    <t>CT</t>
  </si>
  <si>
    <t>3</t>
  </si>
  <si>
    <t>service LAQUAGE</t>
  </si>
  <si>
    <t>Md RENO</t>
  </si>
  <si>
    <t>Mr BRUNETAUD</t>
  </si>
  <si>
    <t>3 ET 23</t>
  </si>
  <si>
    <t>CT/Fgui</t>
  </si>
  <si>
    <t>Mr MORAND</t>
  </si>
  <si>
    <t>8</t>
  </si>
  <si>
    <t>Mr LEVEQUE</t>
  </si>
  <si>
    <t>CT/DM/RT</t>
  </si>
  <si>
    <t>Mr THOMAS</t>
  </si>
  <si>
    <t>27</t>
  </si>
  <si>
    <t>VBK/CT/CHV/ADA</t>
  </si>
  <si>
    <t>Mr GUILLOU (acheteur) Mr LEVEQUE,Mr DUTITRE/Mr GENOT</t>
  </si>
  <si>
    <t>lequilleuc</t>
  </si>
  <si>
    <t>filloneau</t>
  </si>
  <si>
    <t>marchais+dubert</t>
  </si>
  <si>
    <t>M.Gély</t>
  </si>
  <si>
    <t>nia</t>
  </si>
  <si>
    <t>SOKOL christine</t>
  </si>
  <si>
    <t>28/10</t>
  </si>
  <si>
    <t>Nia</t>
  </si>
  <si>
    <t>Sokol</t>
  </si>
  <si>
    <t>12/11</t>
  </si>
  <si>
    <t>K Dubert</t>
  </si>
  <si>
    <t>Jely</t>
  </si>
  <si>
    <t>20/11</t>
  </si>
  <si>
    <t>N.Lequilleuc</t>
  </si>
  <si>
    <t>M.Fillonneau</t>
  </si>
  <si>
    <t>08/10/2015</t>
  </si>
  <si>
    <t>P.Deschamps</t>
  </si>
  <si>
    <t>K.Dubert</t>
  </si>
  <si>
    <t>M.Jely</t>
  </si>
  <si>
    <t>03/12</t>
  </si>
  <si>
    <t>25/01/2016</t>
  </si>
  <si>
    <t>23/12/2015</t>
  </si>
  <si>
    <t>A.Nia</t>
  </si>
  <si>
    <t>07/01/2016</t>
  </si>
  <si>
    <t>Mme Sokol</t>
  </si>
  <si>
    <t>29/01/2016</t>
  </si>
  <si>
    <t>C.Sokol</t>
  </si>
  <si>
    <t>Mme Caillon</t>
  </si>
  <si>
    <t>FAIBLE</t>
  </si>
  <si>
    <t>S.MICHEL
N.PAPAIL</t>
  </si>
  <si>
    <t>S MICHEL</t>
  </si>
  <si>
    <t>MR MARVIE</t>
  </si>
  <si>
    <t>I JOUAULT</t>
  </si>
  <si>
    <t>MME PRESCHOUX</t>
  </si>
  <si>
    <t>MR MANCEL
MME ALEXANDRE</t>
  </si>
  <si>
    <t>N.PAPAIL</t>
  </si>
  <si>
    <t xml:space="preserve">N BERTIN
</t>
  </si>
  <si>
    <t>MME LEGUELLEC</t>
  </si>
  <si>
    <t>N BERTIN</t>
  </si>
  <si>
    <t>C.COURTEIL</t>
  </si>
  <si>
    <t>S MICHEL
A PIOC</t>
  </si>
  <si>
    <t>N PAPAIL</t>
  </si>
  <si>
    <t>MR MALLEGOL - MR BUFFET - MR FRANGER</t>
  </si>
  <si>
    <t>N.PAPAIL
N,BERTIN
I.LE FLOCH
A.PIOC</t>
  </si>
  <si>
    <t xml:space="preserve">MME DROUADAINE
MR OLLIVIER
A.CHIFFOLEAU
</t>
  </si>
  <si>
    <t>MME PRESCHOUX
MME MAURA REGULIER</t>
  </si>
  <si>
    <t>MME BRAULT - MR CRESTOT</t>
  </si>
  <si>
    <t>F.MONNET - MR VILLAPANDO
MR MIGNOT</t>
  </si>
  <si>
    <t>S,MICHEL
N.PAPAIL</t>
  </si>
  <si>
    <t>M,MALLEGOL
M.BUFFET
MME APREMONT</t>
  </si>
  <si>
    <t>MME THOMAS
MME MOUSSAIS</t>
  </si>
  <si>
    <t>S,MICHEL
I LEFLOCH</t>
  </si>
  <si>
    <t>M.MARVIE</t>
  </si>
  <si>
    <t>MME BRAULT</t>
  </si>
  <si>
    <t>MR MANCEL</t>
  </si>
  <si>
    <t>MR MIGNOT</t>
  </si>
  <si>
    <t>MME COURTEIL</t>
  </si>
  <si>
    <t>S MICHEL 
I JOUAULT</t>
  </si>
  <si>
    <t>S. MICHEL
A PIOC</t>
  </si>
  <si>
    <t>cecile drouadaine</t>
  </si>
  <si>
    <t xml:space="preserve">
I LEFLOCH</t>
  </si>
  <si>
    <t xml:space="preserve">S,MICHEL
</t>
  </si>
  <si>
    <t xml:space="preserve">
I JOUAULT</t>
  </si>
  <si>
    <t>MME BRAULT
M,CRESTOT</t>
  </si>
  <si>
    <t>N PAPAIL
S MICHEL</t>
  </si>
  <si>
    <t xml:space="preserve">
N BERTIN</t>
  </si>
  <si>
    <t>MR MONET</t>
  </si>
  <si>
    <t>14/09/2018</t>
  </si>
  <si>
    <t>15/01/2017</t>
  </si>
  <si>
    <t>31/01/2016</t>
  </si>
  <si>
    <t>31/01/2018</t>
  </si>
  <si>
    <t>lepailler</t>
  </si>
  <si>
    <t>hillion</t>
  </si>
  <si>
    <t>bourget</t>
  </si>
  <si>
    <t>mangin</t>
  </si>
  <si>
    <t>5</t>
  </si>
  <si>
    <t>LEPAILLER MORTIER MIGNONNET</t>
  </si>
  <si>
    <t>multiple</t>
  </si>
  <si>
    <t xml:space="preserve">ouvrard </t>
  </si>
  <si>
    <t>lepailler / mortier</t>
  </si>
  <si>
    <t>meriau lebel montmanex</t>
  </si>
  <si>
    <t>cauffetier</t>
  </si>
  <si>
    <t>castel / lepailler</t>
  </si>
  <si>
    <t>resp sdv</t>
  </si>
  <si>
    <t>lepailler boisramé</t>
  </si>
  <si>
    <t>ledamnay</t>
  </si>
  <si>
    <t>mortier</t>
  </si>
  <si>
    <t>resp unité</t>
  </si>
  <si>
    <t>boisrame</t>
  </si>
  <si>
    <t>boisramé</t>
  </si>
  <si>
    <t>perrichon</t>
  </si>
  <si>
    <t xml:space="preserve"> peigne</t>
  </si>
  <si>
    <t>Peigne</t>
  </si>
  <si>
    <t>08/01/16</t>
  </si>
  <si>
    <t>Mangin</t>
  </si>
  <si>
    <t>11/01/2016</t>
  </si>
  <si>
    <t>Boisramé</t>
  </si>
  <si>
    <t>Perrichon</t>
  </si>
  <si>
    <t>15/01/2016</t>
  </si>
  <si>
    <t>Boisrame</t>
  </si>
  <si>
    <t>Bouquet</t>
  </si>
  <si>
    <t>Andre</t>
  </si>
  <si>
    <t xml:space="preserve">castel </t>
  </si>
  <si>
    <t>15/2/16</t>
  </si>
  <si>
    <t>lepailler / brossard / castel</t>
  </si>
  <si>
    <t>CdS &amp; RA</t>
  </si>
  <si>
    <t>Resp. Site/Secteur</t>
  </si>
  <si>
    <t>Responsable Agence</t>
  </si>
  <si>
    <t xml:space="preserve">PEUGEOT CITROEN          </t>
  </si>
  <si>
    <t xml:space="preserve">CHRONOPOST               </t>
  </si>
  <si>
    <t xml:space="preserve">UGAP                     </t>
  </si>
  <si>
    <t xml:space="preserve">MAIF                     </t>
  </si>
  <si>
    <t xml:space="preserve">POLE EMPLOI              </t>
  </si>
  <si>
    <t xml:space="preserve">ORANGE                   </t>
  </si>
  <si>
    <t xml:space="preserve">KEOLIS                   </t>
  </si>
  <si>
    <t xml:space="preserve">STELIA AEROSPACE                   </t>
  </si>
  <si>
    <t xml:space="preserve">AGGLOMERATION MONTARGOISE          </t>
  </si>
  <si>
    <t xml:space="preserve">ESPACIL HABITAT                    </t>
  </si>
  <si>
    <t xml:space="preserve">CONSEIL GENERAL          </t>
  </si>
  <si>
    <t xml:space="preserve">CIPOSTE                  </t>
  </si>
  <si>
    <t xml:space="preserve">HOPITAL SAINT JEAN       </t>
  </si>
  <si>
    <t xml:space="preserve">MATMUT                   </t>
  </si>
  <si>
    <t xml:space="preserve">DECATHLON                </t>
  </si>
  <si>
    <t xml:space="preserve">CREDIT AGRICOLE          </t>
  </si>
  <si>
    <t xml:space="preserve">CONFORAMA                </t>
  </si>
  <si>
    <t xml:space="preserve">ATLANTIC                 </t>
  </si>
  <si>
    <t xml:space="preserve">CASINO                   </t>
  </si>
  <si>
    <t xml:space="preserve">MANCELLE D'HABITATION              </t>
  </si>
  <si>
    <t xml:space="preserve">CRCA                     </t>
  </si>
  <si>
    <t xml:space="preserve">SOCIETE GENERALE         </t>
  </si>
  <si>
    <t xml:space="preserve">SNCF                     </t>
  </si>
  <si>
    <t xml:space="preserve">MACIF                    </t>
  </si>
  <si>
    <t xml:space="preserve">AIGUILLON CONSTRUCTION SA          </t>
  </si>
  <si>
    <t xml:space="preserve">LA RANCE                           </t>
  </si>
  <si>
    <t xml:space="preserve">ARCELORMITTAL ATLANTIQUE           </t>
  </si>
  <si>
    <t xml:space="preserve">LECLERC                  </t>
  </si>
  <si>
    <t xml:space="preserve">INITIAL BTB              </t>
  </si>
  <si>
    <t xml:space="preserve">EDF                      </t>
  </si>
  <si>
    <t xml:space="preserve">POINT P                  </t>
  </si>
  <si>
    <t xml:space="preserve">NEWEL WATERMAN           </t>
  </si>
  <si>
    <t xml:space="preserve">HARMONIE HABITAT                   </t>
  </si>
  <si>
    <t xml:space="preserve">INRA                               </t>
  </si>
  <si>
    <t xml:space="preserve">FENWICK-LINDE                      </t>
  </si>
  <si>
    <t xml:space="preserve">SANDEN MANUFACTURING EUROPE SA     </t>
  </si>
  <si>
    <t xml:space="preserve">CROC FRAIS                         </t>
  </si>
  <si>
    <t xml:space="preserve">SMURFIT KAPPA                      </t>
  </si>
  <si>
    <t xml:space="preserve">CONSEIL REGIONAL         </t>
  </si>
  <si>
    <t xml:space="preserve">MONTUPET                           </t>
  </si>
  <si>
    <t xml:space="preserve">FAURECIA                 </t>
  </si>
  <si>
    <t xml:space="preserve">ARJOWIGGINS PAPIERS COUCHES SAS    </t>
  </si>
  <si>
    <t xml:space="preserve">SPIRIT AEROSYSTEMS FRANCE          </t>
  </si>
  <si>
    <t xml:space="preserve">SEARD                              </t>
  </si>
  <si>
    <t xml:space="preserve">ARGEDIS                  </t>
  </si>
  <si>
    <t xml:space="preserve">CENTRE HOSPITALIER PAUL CABANIS    </t>
  </si>
  <si>
    <t>CUMUL RESTANT</t>
  </si>
  <si>
    <t xml:space="preserve">POLE EMPLOI BZH    </t>
  </si>
  <si>
    <t>Réunion suite réclamation/enquête satisfaction</t>
  </si>
  <si>
    <t>13</t>
  </si>
  <si>
    <t>2</t>
  </si>
  <si>
    <t>18</t>
  </si>
  <si>
    <t>10</t>
  </si>
  <si>
    <t>SOULARD</t>
  </si>
  <si>
    <t>RAHMANI</t>
  </si>
  <si>
    <t>LEVEQUE</t>
  </si>
  <si>
    <t>6</t>
  </si>
  <si>
    <t>CT/RT</t>
  </si>
  <si>
    <t>7</t>
  </si>
  <si>
    <t>14</t>
  </si>
  <si>
    <t>28</t>
  </si>
  <si>
    <t>4</t>
  </si>
  <si>
    <t>29</t>
  </si>
  <si>
    <t>Aboulfath</t>
  </si>
  <si>
    <t>ADEME : RENO</t>
  </si>
  <si>
    <t>LEGOFF/MORAND</t>
  </si>
  <si>
    <t>BRUNETAUD/HAVART/DUCHENNE</t>
  </si>
  <si>
    <t>BOUCHEREAU</t>
  </si>
  <si>
    <t>16</t>
  </si>
  <si>
    <t>3/9+29</t>
  </si>
  <si>
    <t>Tessier MARIONNEAU</t>
  </si>
  <si>
    <t>C.TAUPIN/F.GUHUR</t>
  </si>
  <si>
    <t>C.TAUPIN/R.SOULARD</t>
  </si>
  <si>
    <t>L.AUNEAU  responsable exploitation</t>
  </si>
  <si>
    <t>7et 26</t>
  </si>
  <si>
    <t>C.TAUPIN/R.TESSIER</t>
  </si>
  <si>
    <t>C.SIRE responsable SG</t>
  </si>
  <si>
    <t>P.HAVART manager opérationnel infrastructures</t>
  </si>
  <si>
    <t xml:space="preserve">Mr DE KERLEAU </t>
  </si>
  <si>
    <t>C.TAUPIN/S.MARIE</t>
  </si>
  <si>
    <t>C.TAUPIN/M.ABOULFATH</t>
  </si>
  <si>
    <t>L.CUNIN directrice site</t>
  </si>
  <si>
    <t>Mr BOUMARD 5ENSAM) Md LEREBOUR (UGAP)</t>
  </si>
  <si>
    <t>C.TAUPIN Guibert</t>
  </si>
  <si>
    <t>Mr JOBERT responsable technique</t>
  </si>
  <si>
    <t>A MORAND</t>
  </si>
  <si>
    <t>F GUI</t>
  </si>
  <si>
    <t>21</t>
  </si>
  <si>
    <t>P JOBERT</t>
  </si>
  <si>
    <t>06</t>
  </si>
  <si>
    <t>MARIONNEAU/TESSIER</t>
  </si>
  <si>
    <t>HARVART/THOMAS</t>
  </si>
  <si>
    <t>CT/Aboulfath</t>
  </si>
  <si>
    <t>Mr Mauny REX site Angers</t>
  </si>
  <si>
    <t>CT/FG</t>
  </si>
  <si>
    <t>Mr  PRETRE</t>
  </si>
  <si>
    <t>CT/AR</t>
  </si>
  <si>
    <t>Mr Dutitre/Mr Leveque</t>
  </si>
  <si>
    <t>Mr Legoff/Mr Morand/Mr Diabassoura</t>
  </si>
  <si>
    <t>VBK/Fgui/DM/CT</t>
  </si>
  <si>
    <t>Mr Havart</t>
  </si>
  <si>
    <t xml:space="preserve">Mr SIRE </t>
  </si>
  <si>
    <t>Fgui</t>
  </si>
  <si>
    <t>Mr Morand</t>
  </si>
  <si>
    <t xml:space="preserve">Mr Bichon (acheteur) Mr Jobert </t>
  </si>
  <si>
    <t>dubert</t>
  </si>
  <si>
    <t>09/02/2016</t>
  </si>
  <si>
    <t>Lequilleuc N</t>
  </si>
  <si>
    <t>Dubert K</t>
  </si>
  <si>
    <t>05/02/2016</t>
  </si>
  <si>
    <t>Gely</t>
  </si>
  <si>
    <t>22/02/2016</t>
  </si>
  <si>
    <t>03/03/2016</t>
  </si>
  <si>
    <t>M. Gely</t>
  </si>
  <si>
    <t>21/04/2016</t>
  </si>
  <si>
    <t>M.Gely+ Sandra Deteix</t>
  </si>
  <si>
    <t>24/03/2016</t>
  </si>
  <si>
    <t>26/01</t>
  </si>
  <si>
    <t>09/05/2016</t>
  </si>
  <si>
    <t xml:space="preserve">Mme CAILLON </t>
  </si>
  <si>
    <t>Nicole LEQUILLEUC</t>
  </si>
  <si>
    <t>Pas de responsable dispo</t>
  </si>
  <si>
    <t>DUBERT K</t>
  </si>
  <si>
    <t>02/06/2016</t>
  </si>
  <si>
    <t>LEQUILLEUC N</t>
  </si>
  <si>
    <t>Mme CAILLON</t>
  </si>
  <si>
    <t>27/06/2016</t>
  </si>
  <si>
    <t xml:space="preserve">NIA </t>
  </si>
  <si>
    <t>06/07/2016</t>
  </si>
  <si>
    <t>Deteix</t>
  </si>
  <si>
    <t>21/07/2016</t>
  </si>
  <si>
    <t>SEMIOT</t>
  </si>
  <si>
    <t>FOUQUENET</t>
  </si>
  <si>
    <t>12/08/2016</t>
  </si>
  <si>
    <t>Dubert Karine</t>
  </si>
  <si>
    <t>Mme Deteix</t>
  </si>
  <si>
    <t>26/08/2016</t>
  </si>
  <si>
    <t>Nicole Lequilleuc</t>
  </si>
  <si>
    <t>S MICHEL
I JOUAULT</t>
  </si>
  <si>
    <t xml:space="preserve">
A PIOC</t>
  </si>
  <si>
    <t>15/03</t>
  </si>
  <si>
    <t>S MICHEL
N PAPAIL</t>
  </si>
  <si>
    <t>02/03</t>
  </si>
  <si>
    <t>E.APREMONT
A MALLEGOL</t>
  </si>
  <si>
    <t>F EVEN</t>
  </si>
  <si>
    <t>17/03</t>
  </si>
  <si>
    <t>P MARVIE</t>
  </si>
  <si>
    <t>L PRESCHOUX</t>
  </si>
  <si>
    <t>01/03</t>
  </si>
  <si>
    <t>J BRAULT</t>
  </si>
  <si>
    <t>10/03</t>
  </si>
  <si>
    <t>D MANCEL</t>
  </si>
  <si>
    <t>C NIOCHET</t>
  </si>
  <si>
    <t>I JOUALT</t>
  </si>
  <si>
    <t>C COURTEIL</t>
  </si>
  <si>
    <t>MME DIOR</t>
  </si>
  <si>
    <t>8/03</t>
  </si>
  <si>
    <t>18/03</t>
  </si>
  <si>
    <t>MME MOREL</t>
  </si>
  <si>
    <t>SYLVIE MICHEL
NELLY BERTIN</t>
  </si>
  <si>
    <t>19/04</t>
  </si>
  <si>
    <t>22/04</t>
  </si>
  <si>
    <t>M GEORGES
M LEVEIL</t>
  </si>
  <si>
    <t>18/04</t>
  </si>
  <si>
    <t>06/04</t>
  </si>
  <si>
    <t>22/04 - 07/04</t>
  </si>
  <si>
    <t>M MONNET 
B MIGNOT</t>
  </si>
  <si>
    <t>20/04</t>
  </si>
  <si>
    <t>S MICHEL
I JOUALT</t>
  </si>
  <si>
    <t>F AUFFRAY 
ET S DUBOIS</t>
  </si>
  <si>
    <t>6/04</t>
  </si>
  <si>
    <t>MME HALLIER</t>
  </si>
  <si>
    <t>11/01</t>
  </si>
  <si>
    <t>S MICHEL
N BERTIN</t>
  </si>
  <si>
    <t>M LEPAGE</t>
  </si>
  <si>
    <t>18/01</t>
  </si>
  <si>
    <t>L PRESCHOUX
A M REGULIER</t>
  </si>
  <si>
    <t>12/01</t>
  </si>
  <si>
    <t>J BRAULT
  M CRESTOT</t>
  </si>
  <si>
    <t>13/01</t>
  </si>
  <si>
    <t>14/01</t>
  </si>
  <si>
    <t>8/01</t>
  </si>
  <si>
    <t>29/01</t>
  </si>
  <si>
    <t>C NIOCHET
M MORIN</t>
  </si>
  <si>
    <t>L VILLAPANDO
F DUFUS
B MIGNOT</t>
  </si>
  <si>
    <t>18/02</t>
  </si>
  <si>
    <t>11/02</t>
  </si>
  <si>
    <t>S MICHEL 
N PAPAIL</t>
  </si>
  <si>
    <t xml:space="preserve">M MONNET 
</t>
  </si>
  <si>
    <t>19/02</t>
  </si>
  <si>
    <t>26/02</t>
  </si>
  <si>
    <t xml:space="preserve">M GEORGES
</t>
  </si>
  <si>
    <t>04/02</t>
  </si>
  <si>
    <t>05/02</t>
  </si>
  <si>
    <t>8/02</t>
  </si>
  <si>
    <t>29/02</t>
  </si>
  <si>
    <t>A CHIFFOLEAU</t>
  </si>
  <si>
    <t>4/05</t>
  </si>
  <si>
    <t>MME TRIHAN</t>
  </si>
  <si>
    <t>MR MARCAULT</t>
  </si>
  <si>
    <t>9/05</t>
  </si>
  <si>
    <t>11/05</t>
  </si>
  <si>
    <t xml:space="preserve">S MICHEL
</t>
  </si>
  <si>
    <t>A. FRANGER</t>
  </si>
  <si>
    <t>M BESCOND</t>
  </si>
  <si>
    <t>19/05</t>
  </si>
  <si>
    <t>F MONNET
B MIGNOT</t>
  </si>
  <si>
    <t>A PIOC
N BERTIN</t>
  </si>
  <si>
    <t>12/05
20/05</t>
  </si>
  <si>
    <t>10/05</t>
  </si>
  <si>
    <t>25/05</t>
  </si>
  <si>
    <t>1/06/2016</t>
  </si>
  <si>
    <t>S.MICHEL 
I JOUAULT</t>
  </si>
  <si>
    <t>M. MARVIE 
MME TRIHAN</t>
  </si>
  <si>
    <t>3/06/2016</t>
  </si>
  <si>
    <t>E.APREMONT
A.MALLEGOL
A.FRANGER</t>
  </si>
  <si>
    <t>S MICHEL
N PAPAIL
I LE FLOCH</t>
  </si>
  <si>
    <t>A CHIFFOLEAU
S LEVEIL</t>
  </si>
  <si>
    <t>9/06/2016</t>
  </si>
  <si>
    <t>10/06/2016</t>
  </si>
  <si>
    <t>7/06/2016</t>
  </si>
  <si>
    <t>T.FOUGERAY</t>
  </si>
  <si>
    <t>11/07/2016</t>
  </si>
  <si>
    <t>1/07/2016</t>
  </si>
  <si>
    <t>8/07/2016</t>
  </si>
  <si>
    <t>M MANCEL</t>
  </si>
  <si>
    <t>11/07</t>
  </si>
  <si>
    <t>13/07</t>
  </si>
  <si>
    <t>23/06/2016</t>
  </si>
  <si>
    <t>8/06/2016</t>
  </si>
  <si>
    <t>15/06/2016</t>
  </si>
  <si>
    <t>6/07</t>
  </si>
  <si>
    <t>S DAUNAY</t>
  </si>
  <si>
    <t>MME LEFEUVRE</t>
  </si>
  <si>
    <t>14/06/2016</t>
  </si>
  <si>
    <t>Ledamany</t>
  </si>
  <si>
    <t xml:space="preserve">CASTEL </t>
  </si>
  <si>
    <t>RICHARD</t>
  </si>
  <si>
    <t>lepailler / mortier / brossard</t>
  </si>
  <si>
    <t>lambert</t>
  </si>
  <si>
    <t>lavenant / Andre</t>
  </si>
  <si>
    <t>lepailler castel brossard</t>
  </si>
  <si>
    <t>Celin</t>
  </si>
  <si>
    <t>celin</t>
  </si>
  <si>
    <t>08/04/2016</t>
  </si>
  <si>
    <t>07/04/2016</t>
  </si>
  <si>
    <t>bellois</t>
  </si>
  <si>
    <t>lepailler cauffetier</t>
  </si>
  <si>
    <t>27/4/16</t>
  </si>
  <si>
    <t>boisaré</t>
  </si>
  <si>
    <t xml:space="preserve">mortier/castel </t>
  </si>
  <si>
    <t xml:space="preserve"> castel</t>
  </si>
  <si>
    <t>dreau</t>
  </si>
  <si>
    <t>03/06/2016</t>
  </si>
  <si>
    <t>08/06/2016</t>
  </si>
  <si>
    <t>lepailler Boisrame</t>
  </si>
  <si>
    <t>resp site</t>
  </si>
  <si>
    <t>mme afhanda</t>
  </si>
  <si>
    <t>richard</t>
  </si>
  <si>
    <t>mortier castel</t>
  </si>
  <si>
    <t xml:space="preserve"> castel </t>
  </si>
  <si>
    <t>Réunion Sécurité</t>
  </si>
  <si>
    <t>JOHARRANE MARIONNEAU</t>
  </si>
  <si>
    <t>JOHARANE MARIONNEAU</t>
  </si>
  <si>
    <t>DEZELUT</t>
  </si>
  <si>
    <t>MARIONNEAU JOHARANE</t>
  </si>
  <si>
    <t>ROPERO</t>
  </si>
  <si>
    <t>20+21</t>
  </si>
  <si>
    <t>LAFONT MARIONNEAU FORESTIER BLIN BROSSARD</t>
  </si>
  <si>
    <t>23</t>
  </si>
  <si>
    <t xml:space="preserve">V Brossard </t>
  </si>
  <si>
    <t>M CARRE</t>
  </si>
  <si>
    <t>Antonio</t>
  </si>
  <si>
    <t>Hameau</t>
  </si>
  <si>
    <t>Goujon</t>
  </si>
  <si>
    <t>Afzali</t>
  </si>
  <si>
    <t>Bathie</t>
  </si>
  <si>
    <t>Narget</t>
  </si>
  <si>
    <t>Slaski</t>
  </si>
  <si>
    <t>Julien</t>
  </si>
  <si>
    <t>Chabassol</t>
  </si>
  <si>
    <t>julien/antonio</t>
  </si>
  <si>
    <t>02-09-31</t>
  </si>
  <si>
    <t>Annick</t>
  </si>
  <si>
    <t>Varlet</t>
  </si>
  <si>
    <t>Maret</t>
  </si>
  <si>
    <t xml:space="preserve">Julien  </t>
  </si>
  <si>
    <t>1-19-25</t>
  </si>
  <si>
    <t>De rose/Narget</t>
  </si>
  <si>
    <t>7-20</t>
  </si>
  <si>
    <t>15-19</t>
  </si>
  <si>
    <t>2-11</t>
  </si>
  <si>
    <t>Laye-Chabassol</t>
  </si>
  <si>
    <t>Annick/Julien</t>
  </si>
  <si>
    <t>BANQUE POSTALE</t>
  </si>
  <si>
    <t xml:space="preserve">AUCHAN BLOIS </t>
  </si>
  <si>
    <t xml:space="preserve">AUCHAN ST JEAN </t>
  </si>
  <si>
    <t xml:space="preserve">CASINO + SYNDIC    </t>
  </si>
  <si>
    <t>LNH</t>
  </si>
  <si>
    <t>31/07/2018</t>
  </si>
  <si>
    <t>CIC/CM</t>
  </si>
  <si>
    <t>CUMUL CA TOTAL</t>
  </si>
  <si>
    <t>Nombre total de clients</t>
  </si>
  <si>
    <t>€</t>
  </si>
  <si>
    <t>MOYEN</t>
  </si>
  <si>
    <t>Date origine contrat</t>
  </si>
  <si>
    <t>DCN</t>
  </si>
  <si>
    <t>Nbre mois au renouvel.</t>
  </si>
  <si>
    <t>Chiffre d'Affaire à date</t>
  </si>
  <si>
    <t>% CA Agence</t>
  </si>
  <si>
    <r>
      <t xml:space="preserve">Ancienneté Client
</t>
    </r>
    <r>
      <rPr>
        <sz val="7"/>
        <color indexed="9"/>
        <rFont val="Arial Narrow"/>
        <family val="2"/>
      </rPr>
      <t>année</t>
    </r>
  </si>
  <si>
    <t>%Client 10 000 / Nbre total Clients</t>
  </si>
  <si>
    <t>Perdu</t>
  </si>
  <si>
    <t>Pertes sur exercice en cours</t>
  </si>
  <si>
    <t>Perte</t>
  </si>
  <si>
    <t>Orig.</t>
  </si>
  <si>
    <t>Nbre Clients concernés</t>
  </si>
  <si>
    <t>% CA perdu vs Global Agence</t>
  </si>
  <si>
    <t>Civilité</t>
  </si>
  <si>
    <t>Mme</t>
  </si>
  <si>
    <t>Prénom</t>
  </si>
  <si>
    <t>M.</t>
  </si>
  <si>
    <t>Impact Comptes Nationaux vs CA Ag.</t>
  </si>
  <si>
    <t>Nantes</t>
  </si>
  <si>
    <t>4 mois</t>
  </si>
  <si>
    <t>8 mois</t>
  </si>
  <si>
    <t xml:space="preserve">renouvellement à </t>
  </si>
  <si>
    <t>Chauray</t>
  </si>
  <si>
    <t>Bourges</t>
  </si>
  <si>
    <t>Orléans</t>
  </si>
  <si>
    <t>Rennes Tertiaire</t>
  </si>
  <si>
    <t>Listes</t>
  </si>
  <si>
    <t>REG</t>
  </si>
  <si>
    <t>AO</t>
  </si>
  <si>
    <t>ORIGINE</t>
  </si>
  <si>
    <t>RISQUE</t>
  </si>
  <si>
    <t>FORT</t>
  </si>
  <si>
    <t>IMPORTANT</t>
  </si>
  <si>
    <t>Reconduction</t>
  </si>
  <si>
    <t>Durée</t>
  </si>
  <si>
    <t>Melle</t>
  </si>
  <si>
    <t>Fonction</t>
  </si>
  <si>
    <t>Liste Chefs Secteur</t>
  </si>
  <si>
    <t>DA COSTA Tiago</t>
  </si>
  <si>
    <t>GUITTON Arnaud</t>
  </si>
  <si>
    <t>MORAT Vanessa</t>
  </si>
  <si>
    <t>MORIN Cédric</t>
  </si>
  <si>
    <t>RAMOS Antonio</t>
  </si>
  <si>
    <t>DANOT Sylvia</t>
  </si>
  <si>
    <t>ARHEL Valérie</t>
  </si>
  <si>
    <t>CHAUVIRE Julien</t>
  </si>
  <si>
    <t>GAECKLER Annick</t>
  </si>
  <si>
    <t>Orléans_CdS</t>
  </si>
  <si>
    <t>Bourges_CdS</t>
  </si>
  <si>
    <t>TOURNAYE Raphaël</t>
  </si>
  <si>
    <t>CALUCEIRA Claude</t>
  </si>
  <si>
    <t>JOHARANE Marie-Ch.</t>
  </si>
  <si>
    <t>BLIN Francis</t>
  </si>
  <si>
    <t>GLOMERON Sandrine</t>
  </si>
  <si>
    <t>GENTY Caroline</t>
  </si>
  <si>
    <t>FORESTIER Jean-Cyril</t>
  </si>
  <si>
    <t>Nantes_CdS</t>
  </si>
  <si>
    <t>Chauray_CdS</t>
  </si>
  <si>
    <t>Rennes Tert_CdS</t>
  </si>
  <si>
    <t>Multiples</t>
  </si>
  <si>
    <t>DI</t>
  </si>
  <si>
    <t>Nom</t>
  </si>
  <si>
    <t>Impact AO Publics vs CA Ag.</t>
  </si>
  <si>
    <t>Impact Dév. Commercial vs CA Ag.</t>
  </si>
  <si>
    <t>Impact Dév. Régional vs CA Ag.</t>
  </si>
  <si>
    <t>Statut</t>
  </si>
  <si>
    <t>% CA actif vs Global Agence</t>
  </si>
  <si>
    <t>Date  origine fin contrat</t>
  </si>
  <si>
    <t>Tacite Reconduction</t>
  </si>
  <si>
    <t>O / N</t>
  </si>
  <si>
    <t>OuiNon</t>
  </si>
  <si>
    <t>O</t>
  </si>
  <si>
    <t>N</t>
  </si>
  <si>
    <t>Nvelle Date fin contrat</t>
  </si>
  <si>
    <t>Responsable Client_CdS</t>
  </si>
  <si>
    <t>Rennes Ind_CdS</t>
  </si>
  <si>
    <t>RENNES Industrie</t>
  </si>
  <si>
    <t>Reconduit</t>
  </si>
  <si>
    <t>Renouvellement à</t>
  </si>
  <si>
    <t>048</t>
  </si>
  <si>
    <t>083</t>
  </si>
  <si>
    <t>057</t>
  </si>
  <si>
    <t>011</t>
  </si>
  <si>
    <t>049</t>
  </si>
  <si>
    <t>31/01/2017</t>
  </si>
  <si>
    <t>01/02/2017</t>
  </si>
  <si>
    <t>01/07/2017</t>
  </si>
  <si>
    <t>01/03/2018</t>
  </si>
  <si>
    <t>01/10/2015</t>
  </si>
  <si>
    <t>28/02/2017</t>
  </si>
  <si>
    <t>31/04/2017</t>
  </si>
  <si>
    <t>03/02/2009</t>
  </si>
  <si>
    <t>01/03/2017</t>
  </si>
  <si>
    <r>
      <t xml:space="preserve">M.B.D.A. France </t>
    </r>
    <r>
      <rPr>
        <sz val="10"/>
        <color rgb="FF000000"/>
        <rFont val="Arial Narrow"/>
        <family val="2"/>
      </rPr>
      <t>MANUTENTION</t>
    </r>
  </si>
  <si>
    <r>
      <t xml:space="preserve">M.B.D.A. France </t>
    </r>
    <r>
      <rPr>
        <sz val="10"/>
        <color rgb="FF000000"/>
        <rFont val="Arial Narrow"/>
        <family val="2"/>
      </rPr>
      <t>PROPRETE</t>
    </r>
  </si>
  <si>
    <t>% CA TOP 10Ke</t>
  </si>
  <si>
    <t>Agence</t>
  </si>
  <si>
    <t>CUMUL TOP 10 000</t>
  </si>
  <si>
    <t>% CA DR</t>
  </si>
  <si>
    <t>% CA actif vs Global Région</t>
  </si>
  <si>
    <t>Impact Comptes Nationaux vs CA Rég.</t>
  </si>
  <si>
    <t>Impact AO Publics vs CA Rég.</t>
  </si>
  <si>
    <t>%Client TOP 10 000 / Nbre total de clients</t>
  </si>
  <si>
    <t>PAGE NON FINALISEE</t>
  </si>
  <si>
    <t>castel</t>
  </si>
  <si>
    <t>peigne</t>
  </si>
  <si>
    <t>Rennes Industrie</t>
  </si>
  <si>
    <t>Nouveau</t>
  </si>
  <si>
    <t>10 mois</t>
  </si>
  <si>
    <t>Origine</t>
  </si>
  <si>
    <t/>
  </si>
  <si>
    <t>Total</t>
  </si>
  <si>
    <t>Global</t>
  </si>
  <si>
    <t>052</t>
  </si>
  <si>
    <t>Mesure écart</t>
  </si>
  <si>
    <t>Vérif montant</t>
  </si>
  <si>
    <r>
      <t>CA total de référence -</t>
    </r>
    <r>
      <rPr>
        <b/>
        <sz val="11"/>
        <color rgb="FF002060"/>
        <rFont val="Arial Narrow"/>
        <family val="2"/>
      </rPr>
      <t xml:space="preserve"> 30 sep. 2017</t>
    </r>
  </si>
  <si>
    <t>Raison Sociale de Regroupement</t>
  </si>
  <si>
    <r>
      <rPr>
        <sz val="12"/>
        <color rgb="FFC00000"/>
        <rFont val="Arial Narrow"/>
        <family val="2"/>
      </rPr>
      <t>Raison Sociale,</t>
    </r>
    <r>
      <rPr>
        <b/>
        <sz val="12"/>
        <color rgb="FFC00000"/>
        <rFont val="Arial Narrow"/>
        <family val="2"/>
      </rPr>
      <t xml:space="preserve"> Client</t>
    </r>
  </si>
  <si>
    <r>
      <t xml:space="preserve">Tacite Reconduction
</t>
    </r>
    <r>
      <rPr>
        <b/>
        <sz val="9"/>
        <color indexed="9"/>
        <rFont val="Arial Narrow"/>
        <family val="2"/>
      </rPr>
      <t>[Oui / Non] - Durée</t>
    </r>
  </si>
  <si>
    <t>Indéterm.</t>
  </si>
  <si>
    <t>Reconduit sur exercice en cours</t>
  </si>
  <si>
    <t>01/01/03/2018</t>
  </si>
  <si>
    <t>date modif</t>
  </si>
  <si>
    <t>motif</t>
  </si>
  <si>
    <t>n</t>
  </si>
  <si>
    <t>saget</t>
  </si>
  <si>
    <t>ingremeau</t>
  </si>
  <si>
    <t>31/12/17</t>
  </si>
  <si>
    <t>huchot</t>
  </si>
  <si>
    <t>31/12/18</t>
  </si>
  <si>
    <t xml:space="preserve">caste / huchotl </t>
  </si>
  <si>
    <t>01/01/18</t>
  </si>
  <si>
    <t>castel / huchot</t>
  </si>
  <si>
    <t>01/02/18</t>
  </si>
  <si>
    <t>23/04/18</t>
  </si>
  <si>
    <t>31/01/18</t>
  </si>
  <si>
    <t>01/03/18</t>
  </si>
  <si>
    <t>15/01/18</t>
  </si>
  <si>
    <t>o</t>
  </si>
  <si>
    <t>ferm</t>
  </si>
  <si>
    <t>castel peigne</t>
  </si>
  <si>
    <t>integre dans v5</t>
  </si>
  <si>
    <t>RENNES Tertiaire</t>
  </si>
  <si>
    <r>
      <t xml:space="preserve">CA total de référence - </t>
    </r>
    <r>
      <rPr>
        <b/>
        <sz val="11"/>
        <color rgb="FF002060"/>
        <rFont val="Arial Narrow"/>
        <family val="2"/>
      </rPr>
      <t>30 sep. 2017</t>
    </r>
  </si>
  <si>
    <t>S.MICHEL N.PAPAIL</t>
  </si>
  <si>
    <t>ERELL</t>
  </si>
  <si>
    <t>CHANDELIER</t>
  </si>
  <si>
    <t>RESPONSABLE MAINTENANCE BUS</t>
  </si>
  <si>
    <t>LAURENT</t>
  </si>
  <si>
    <t>BUFFET</t>
  </si>
  <si>
    <t>Responsable maintenance infrastructures</t>
  </si>
  <si>
    <t>ELODIE</t>
  </si>
  <si>
    <t>APREMONT</t>
  </si>
  <si>
    <t>Responsable Achats / Secrétariat Général</t>
  </si>
  <si>
    <t>OLIVIER</t>
  </si>
  <si>
    <t>BEAUDOUIN</t>
  </si>
  <si>
    <t xml:space="preserve">Direction de la Maintenance
 Patrimoniale et des Projets </t>
  </si>
  <si>
    <t>ANTOINE</t>
  </si>
  <si>
    <t>FRANGER</t>
  </si>
  <si>
    <t>Technicien Infrastructures et Projets</t>
  </si>
  <si>
    <t>A.VILLANOVA -E.APREMONT
A.MALLEGOL - L.BUFFET
A.FRANGER - O.BEAUDOUIN</t>
  </si>
  <si>
    <t>Réunion
d'activité</t>
  </si>
  <si>
    <t>12/10</t>
  </si>
  <si>
    <t xml:space="preserve">S MICHEL
N PAPAIL
</t>
  </si>
  <si>
    <t>A VILLANOVA
E APREMONT</t>
  </si>
  <si>
    <t>28/11</t>
  </si>
  <si>
    <t>20/12</t>
  </si>
  <si>
    <t>A MALLEGOL
L BUFFET
A FRANGER
E APREMONT</t>
  </si>
  <si>
    <t>3/01</t>
  </si>
  <si>
    <t>A FRANGER</t>
  </si>
  <si>
    <t>31/12/2021</t>
  </si>
  <si>
    <t>I JOUAULT  N.PAPAIL  N,BERTIN I.LE FLOCH A.PIOC</t>
  </si>
  <si>
    <t>LAURENCE</t>
  </si>
  <si>
    <t>PRESCHOUX</t>
  </si>
  <si>
    <t>COORDINATRICE MOYENS GENERAUX</t>
  </si>
  <si>
    <t xml:space="preserve">  N,BERTIN I.LE FLOCH A.PIOC</t>
  </si>
  <si>
    <t>CATHERINE</t>
  </si>
  <si>
    <t>HALLIER</t>
  </si>
  <si>
    <t>RESPONSABLE AGENCE OUEST</t>
  </si>
  <si>
    <t>10/10</t>
  </si>
  <si>
    <t>24/11</t>
  </si>
  <si>
    <t>N BERTIN
N PAPAIL
I LE FLOCH</t>
  </si>
  <si>
    <t>A CHIFFOLEAU
F,EVEN
S LEVEIL</t>
  </si>
  <si>
    <t>12/12</t>
  </si>
  <si>
    <t>20/01</t>
  </si>
  <si>
    <t>PIERRE</t>
  </si>
  <si>
    <t>MARVIE</t>
  </si>
  <si>
    <t>Attaché d'Administration Hospitalière</t>
  </si>
  <si>
    <t>19/10</t>
  </si>
  <si>
    <t>MME QUENOUILLERE</t>
  </si>
  <si>
    <t>P.MARVIE
M TRIHAN</t>
  </si>
  <si>
    <t>30/09/2018</t>
  </si>
  <si>
    <t>A PIOC</t>
  </si>
  <si>
    <t>DAMIEN</t>
  </si>
  <si>
    <t>MANCEL</t>
  </si>
  <si>
    <t>Directeur relations client</t>
  </si>
  <si>
    <t>25/10</t>
  </si>
  <si>
    <t>M BESCOND
D MANCEL</t>
  </si>
  <si>
    <t>L I LE FLOCH</t>
  </si>
  <si>
    <t>PASCAL</t>
  </si>
  <si>
    <t>PICOCHE</t>
  </si>
  <si>
    <t>Responsable hôtelier</t>
  </si>
  <si>
    <t>Faible</t>
  </si>
  <si>
    <t>Visite
commerciale
C</t>
  </si>
  <si>
    <t>S MICHEL
I LE FLOCH</t>
  </si>
  <si>
    <t>PASCAL PICOCHE</t>
  </si>
  <si>
    <t>K AVRIL</t>
  </si>
  <si>
    <t>31/03/2020</t>
  </si>
  <si>
    <t>DORIS</t>
  </si>
  <si>
    <t>BOUTHEMY</t>
  </si>
  <si>
    <t>Adjointe service ILI</t>
  </si>
  <si>
    <t>13/10</t>
  </si>
  <si>
    <t xml:space="preserve">S MICHEL
A PIOC
</t>
  </si>
  <si>
    <t xml:space="preserve">S MICHEL
</t>
  </si>
  <si>
    <t>D BOUTHEMY
V EDON</t>
  </si>
  <si>
    <t xml:space="preserve">
V EDON</t>
  </si>
  <si>
    <t xml:space="preserve">S MICHEL
N BERTIN
</t>
  </si>
  <si>
    <t>D MARCAULT
D BOUTHEMY
V EDON</t>
  </si>
  <si>
    <t>%</t>
  </si>
  <si>
    <t>18/06/2021</t>
  </si>
  <si>
    <t>THOMAS</t>
  </si>
  <si>
    <t>BLUMENTRITT</t>
  </si>
  <si>
    <t>Directeur Ressources Matérielles</t>
  </si>
  <si>
    <t>28/02/2020</t>
  </si>
  <si>
    <t>DUVAL</t>
  </si>
  <si>
    <t>RESPONSABLE GESTION LOGISTIQUE</t>
  </si>
  <si>
    <t>J.BRAULT</t>
  </si>
  <si>
    <t>30/11</t>
  </si>
  <si>
    <t>M.CRESTOT
E.LASSALAS
J.BRAULT</t>
  </si>
  <si>
    <t>28/12</t>
  </si>
  <si>
    <t xml:space="preserve">
J.BRAULT</t>
  </si>
  <si>
    <t>10/01</t>
  </si>
  <si>
    <t>LUDOVIC</t>
  </si>
  <si>
    <t>VILLAPENDO</t>
  </si>
  <si>
    <t>14/10</t>
  </si>
  <si>
    <t xml:space="preserve">F MONNET
</t>
  </si>
  <si>
    <t>25/11</t>
  </si>
  <si>
    <t>05/12</t>
  </si>
  <si>
    <t xml:space="preserve">S.MICHEL
N BERTIN
</t>
  </si>
  <si>
    <t xml:space="preserve">L.VILLAPANDO
F.DUFUS
B.MIGNOT
</t>
  </si>
  <si>
    <t>31/05/2022</t>
  </si>
  <si>
    <t>I LE FLOCH</t>
  </si>
  <si>
    <t>JEAN PAUL</t>
  </si>
  <si>
    <t>LEGAULT</t>
  </si>
  <si>
    <t>GESTIONNAIRE DES PRESTATAIRES EXTERIEURS</t>
  </si>
  <si>
    <t>MARCELLE</t>
  </si>
  <si>
    <t>LEGUELLEC</t>
  </si>
  <si>
    <t>27/10</t>
  </si>
  <si>
    <t>9/11</t>
  </si>
  <si>
    <t>15/12</t>
  </si>
  <si>
    <t>I JOUAULT
S MICHEL</t>
  </si>
  <si>
    <t>MME BERGE</t>
  </si>
  <si>
    <t>COURTEIL</t>
  </si>
  <si>
    <t>21/11</t>
  </si>
  <si>
    <t>NELLY BERTIN</t>
  </si>
  <si>
    <t>9/12</t>
  </si>
  <si>
    <t>S MICHEL 
NELLY BERTIN</t>
  </si>
  <si>
    <t>MME LEFEUVRE
S DAUNAY</t>
  </si>
  <si>
    <t xml:space="preserve"> I JOUAULT</t>
  </si>
  <si>
    <t>STEPHANE</t>
  </si>
  <si>
    <t>ADAM</t>
  </si>
  <si>
    <t>DIRECTEUR</t>
  </si>
  <si>
    <t>5/10</t>
  </si>
  <si>
    <t xml:space="preserve">
I JOUALT</t>
  </si>
  <si>
    <t xml:space="preserve"> I JOUAULT  I LEFLOCH N BERTIN</t>
  </si>
  <si>
    <t>TARDIER</t>
  </si>
  <si>
    <t>Adjoint Administration Générale</t>
  </si>
  <si>
    <t>SYLVIE</t>
  </si>
  <si>
    <t>GOBY</t>
  </si>
  <si>
    <t>BENEDICTE</t>
  </si>
  <si>
    <t>LEREBOUR</t>
  </si>
  <si>
    <t>17/10
14/10</t>
  </si>
  <si>
    <t>I LE FLOCH
I JOUAULT</t>
  </si>
  <si>
    <t>S GOBY
S TARDIER</t>
  </si>
  <si>
    <t>31/08/2020</t>
  </si>
  <si>
    <t>GREGORY</t>
  </si>
  <si>
    <t>LE NOUY</t>
  </si>
  <si>
    <t>RESPONSABLE MAINTENANCE</t>
  </si>
  <si>
    <t>30/06/2018</t>
  </si>
  <si>
    <t>MORGAN</t>
  </si>
  <si>
    <t>MAZY</t>
  </si>
  <si>
    <t xml:space="preserve">
I JOUAULT</t>
  </si>
  <si>
    <t>JP RONDOUIN</t>
  </si>
  <si>
    <t>MOTTEL</t>
  </si>
  <si>
    <t>Assistante de direction</t>
  </si>
  <si>
    <t>DOMINIQUE</t>
  </si>
  <si>
    <t>JARRIGE</t>
  </si>
  <si>
    <t>DIDIER</t>
  </si>
  <si>
    <t>RIOUCOURT</t>
  </si>
  <si>
    <t>DIRECTION AMENAGEMENT ET SERVICES LOGISTIQUES</t>
  </si>
  <si>
    <t>S MICHEL  I LE FLOCH</t>
  </si>
  <si>
    <t>CELINE</t>
  </si>
  <si>
    <t>DEMISSY</t>
  </si>
  <si>
    <t>RESPONSABLE PRODUCTION</t>
  </si>
  <si>
    <t>C DEMISSY</t>
  </si>
  <si>
    <t xml:space="preserve">
I LE FLOCH</t>
  </si>
  <si>
    <t>CHRISTEL</t>
  </si>
  <si>
    <t>MASSON</t>
  </si>
  <si>
    <t>LEVESQUE</t>
  </si>
  <si>
    <t>ERIC</t>
  </si>
  <si>
    <t>RESPONSABLE SERVICES GENERAUX</t>
  </si>
  <si>
    <t>VINCENT</t>
  </si>
  <si>
    <t>MAILLARD</t>
  </si>
  <si>
    <t>REPONSABLE D'AGENCE</t>
  </si>
  <si>
    <t xml:space="preserve">  N BERTIN</t>
  </si>
  <si>
    <t>GERARD</t>
  </si>
  <si>
    <t>LAROCHE</t>
  </si>
  <si>
    <t>CHEF DE SECTEUR</t>
  </si>
  <si>
    <t>G LAROCHE</t>
  </si>
  <si>
    <t>F,PLARD</t>
  </si>
  <si>
    <t xml:space="preserve"> N PAPAIL</t>
  </si>
  <si>
    <t>PIERRE-YVES</t>
  </si>
  <si>
    <t>DURAND</t>
  </si>
  <si>
    <t>RESPONSABLE EXPLOITATION</t>
  </si>
  <si>
    <t xml:space="preserve">
N PAPAIL</t>
  </si>
  <si>
    <t>G.CLEM</t>
  </si>
  <si>
    <t>VANESSA</t>
  </si>
  <si>
    <t>BARBOT</t>
  </si>
  <si>
    <t>Assistante administrative</t>
  </si>
  <si>
    <t>NICOLAS</t>
  </si>
  <si>
    <t>TRIJAU</t>
  </si>
  <si>
    <t>DEPUTY PHARMACIST</t>
  </si>
  <si>
    <t>PRIGENT</t>
  </si>
  <si>
    <t>Responsable d'agence</t>
  </si>
  <si>
    <t>PATRICK</t>
  </si>
  <si>
    <t>LEPRETRE</t>
  </si>
  <si>
    <t>VINES</t>
  </si>
  <si>
    <t>24/10</t>
  </si>
  <si>
    <t>M.BERTHEUX</t>
  </si>
  <si>
    <t>MME ALONSO</t>
  </si>
  <si>
    <t>MR BERTHEUX</t>
  </si>
  <si>
    <t>A PIOC
S MICHEL</t>
  </si>
  <si>
    <t>M BERTHEUX</t>
  </si>
  <si>
    <t>M.OLIVIER</t>
  </si>
  <si>
    <t>CIANI</t>
  </si>
  <si>
    <t xml:space="preserve">DIRECTEUR </t>
  </si>
  <si>
    <t>PIERRE LOUIS</t>
  </si>
  <si>
    <t>VAULTIER</t>
  </si>
  <si>
    <t>MANUELA</t>
  </si>
  <si>
    <t>PINEL</t>
  </si>
  <si>
    <t>ALAIN</t>
  </si>
  <si>
    <t>LAGADEC</t>
  </si>
  <si>
    <t>Responsable de l'Antenne Villejean</t>
  </si>
  <si>
    <t>RAYMOND</t>
  </si>
  <si>
    <t>OLLIVIER</t>
  </si>
  <si>
    <t>31/12/2019</t>
  </si>
  <si>
    <t>NANTES</t>
  </si>
  <si>
    <r>
      <t xml:space="preserve">CA total de référence - </t>
    </r>
    <r>
      <rPr>
        <b/>
        <sz val="11"/>
        <color rgb="FFC00000"/>
        <rFont val="Arial Narrow"/>
        <family val="2"/>
      </rPr>
      <t>30 sep. 2017</t>
    </r>
  </si>
  <si>
    <r>
      <t>Interlocuteur Client</t>
    </r>
    <r>
      <rPr>
        <b/>
        <sz val="11"/>
        <color rgb="FF002060"/>
        <rFont val="Arial Narrow"/>
        <family val="2"/>
      </rPr>
      <t xml:space="preserve"> #1</t>
    </r>
  </si>
  <si>
    <r>
      <t xml:space="preserve">Interlocuteur Client </t>
    </r>
    <r>
      <rPr>
        <b/>
        <sz val="11"/>
        <color rgb="FF002060"/>
        <rFont val="Arial Narrow"/>
        <family val="2"/>
      </rPr>
      <t>#2</t>
    </r>
  </si>
  <si>
    <r>
      <t xml:space="preserve">Interlocuteur Client </t>
    </r>
    <r>
      <rPr>
        <b/>
        <sz val="11"/>
        <color rgb="FF002060"/>
        <rFont val="Arial Narrow"/>
        <family val="2"/>
      </rPr>
      <t>#3</t>
    </r>
  </si>
  <si>
    <t>Tacite reconduction</t>
  </si>
  <si>
    <t>FG/F. GUIBERT/S. MARIE/C. LE ROUX/G. DAMON</t>
  </si>
  <si>
    <t>Florent</t>
  </si>
  <si>
    <t>Viala</t>
  </si>
  <si>
    <t>Conseiller Spécialisé Services</t>
  </si>
  <si>
    <t>31/08/2018</t>
  </si>
  <si>
    <t>30/10/2017</t>
  </si>
  <si>
    <t>VBK/FG/F.Guibert</t>
  </si>
  <si>
    <t>Christophe</t>
  </si>
  <si>
    <t>LEGOFF</t>
  </si>
  <si>
    <t>Responsable Maintenance, Infrastructure et travaux neufs</t>
  </si>
  <si>
    <t>François</t>
  </si>
  <si>
    <t>CARIOU</t>
  </si>
  <si>
    <t>31/12/2020</t>
  </si>
  <si>
    <t>VBK/FG/F. GUIBERT/R. TESSIER</t>
  </si>
  <si>
    <t>Wildeman</t>
  </si>
  <si>
    <t>HENNIE</t>
  </si>
  <si>
    <t>Chef de Services - Achats Magasin et Affaires Générales</t>
  </si>
  <si>
    <t>Philippe</t>
  </si>
  <si>
    <t>LOREAU</t>
  </si>
  <si>
    <t>Responsable Pôle  Affaires Générales</t>
  </si>
  <si>
    <t>31/03/2021</t>
  </si>
  <si>
    <t>VBK/FG/Responsables de secteur</t>
  </si>
  <si>
    <t>Jacky</t>
  </si>
  <si>
    <t>GLOAGUEN</t>
  </si>
  <si>
    <t>Acheteur</t>
  </si>
  <si>
    <t>Hervé</t>
  </si>
  <si>
    <t>MESSE</t>
  </si>
  <si>
    <t>Chargé d'affaires</t>
  </si>
  <si>
    <t>FG/S. MARIE</t>
  </si>
  <si>
    <t>Christian</t>
  </si>
  <si>
    <t>Acheteur - Atlantic Monges</t>
  </si>
  <si>
    <t>Pascal</t>
  </si>
  <si>
    <t>TOUCHEFEU</t>
  </si>
  <si>
    <t>Acheteur - Atlantic GFC</t>
  </si>
  <si>
    <t>Grégory</t>
  </si>
  <si>
    <t>TANESIE</t>
  </si>
  <si>
    <t>Responsable Services Généraux - Atlantic GFC</t>
  </si>
  <si>
    <t>31/10/2019</t>
  </si>
  <si>
    <t>FG/P. BUREAU</t>
  </si>
  <si>
    <t>Chef d'Agence</t>
  </si>
  <si>
    <t>Arnaud</t>
  </si>
  <si>
    <t>LE CHEVALIER</t>
  </si>
  <si>
    <t>Responsable d'Exploitation</t>
  </si>
  <si>
    <t>Samuel</t>
  </si>
  <si>
    <t>BONNEAU</t>
  </si>
  <si>
    <t>VBK/FG</t>
  </si>
  <si>
    <t>Bruno</t>
  </si>
  <si>
    <t>LE MANACH</t>
  </si>
  <si>
    <t>Chef de Bâtiment</t>
  </si>
  <si>
    <t>Olivier</t>
  </si>
  <si>
    <t>PRIMAULT</t>
  </si>
  <si>
    <t>Responsable des moyens généraux</t>
  </si>
  <si>
    <t>Jean-Bernard</t>
  </si>
  <si>
    <t>BEJANNIN</t>
  </si>
  <si>
    <t>Intendance NANTES Moyens Géneraux - Pôle Ouest</t>
  </si>
  <si>
    <t>Nathalie</t>
  </si>
  <si>
    <t>VITRAC-LASSALE</t>
  </si>
  <si>
    <t xml:space="preserve">Intendance Nantes CIC Ouest
Moyens Généraux – Pôle Ouest Nantes
</t>
  </si>
  <si>
    <t>FG/R. TESSIER</t>
  </si>
  <si>
    <t>Richard</t>
  </si>
  <si>
    <t>Facilities Manager</t>
  </si>
  <si>
    <t>Simon</t>
  </si>
  <si>
    <t>JEZEQUEL</t>
  </si>
  <si>
    <t>Agnès</t>
  </si>
  <si>
    <t>RABINOVITCH</t>
  </si>
  <si>
    <t>VBK/ G. DAMON</t>
  </si>
  <si>
    <t>Directeur site</t>
  </si>
  <si>
    <t>Yann</t>
  </si>
  <si>
    <t>YAMESSE</t>
  </si>
  <si>
    <t xml:space="preserve">responsable région Ouest Facility Management </t>
  </si>
  <si>
    <t>Laurent</t>
  </si>
  <si>
    <t>LIMOUSIN</t>
  </si>
  <si>
    <t>MINET</t>
  </si>
  <si>
    <t>Thomas</t>
  </si>
  <si>
    <t>MINOT</t>
  </si>
  <si>
    <t>E</t>
  </si>
  <si>
    <t>POUPELIN</t>
  </si>
  <si>
    <t>Maxime</t>
  </si>
  <si>
    <t>GALLOIS</t>
  </si>
  <si>
    <t>MERLAUD</t>
  </si>
  <si>
    <t>Julian</t>
  </si>
  <si>
    <t>WYLEGA</t>
  </si>
  <si>
    <t>Lucie</t>
  </si>
  <si>
    <t>AUNEAU</t>
  </si>
  <si>
    <t>30/04/2017</t>
  </si>
  <si>
    <t>Prisca</t>
  </si>
  <si>
    <t>LEROY</t>
  </si>
  <si>
    <t>FG/R. TESSIER/M. NOEL</t>
  </si>
  <si>
    <t>Nadine</t>
  </si>
  <si>
    <t>VIGUIER</t>
  </si>
  <si>
    <t>Responsable du service qualité et proximité</t>
  </si>
  <si>
    <t>Isabelle</t>
  </si>
  <si>
    <t>GUYOT</t>
  </si>
  <si>
    <t>Correspondant Qualité Clients</t>
  </si>
  <si>
    <t>Charlotte</t>
  </si>
  <si>
    <t>DE SURVILLE</t>
  </si>
  <si>
    <t>Directeur de Patrimoine</t>
  </si>
  <si>
    <t>30/01/2018</t>
  </si>
  <si>
    <t>Jean-Michel</t>
  </si>
  <si>
    <t>RIOUX</t>
  </si>
  <si>
    <t>Directeur de site</t>
  </si>
  <si>
    <t>Gilles</t>
  </si>
  <si>
    <t>Responsable Distribution</t>
  </si>
  <si>
    <t>PINEAU</t>
  </si>
  <si>
    <t>Responsable Technique - Propreté</t>
  </si>
  <si>
    <t>31/07/2016</t>
  </si>
  <si>
    <t>Frédérique</t>
  </si>
  <si>
    <t>ROUSSEAU</t>
  </si>
  <si>
    <t>Responsable Local Exploitation </t>
  </si>
  <si>
    <t>30/10/2019</t>
  </si>
  <si>
    <t>FG/F. GUIBERT</t>
  </si>
  <si>
    <t>JOBERT</t>
  </si>
  <si>
    <t>Responsable Technique</t>
  </si>
  <si>
    <t>Steve</t>
  </si>
  <si>
    <t>BICHON</t>
  </si>
  <si>
    <t>31/08/2019</t>
  </si>
  <si>
    <t>CAFFIN</t>
  </si>
  <si>
    <t>Directeur des Relations Clients et Gestion Locative</t>
  </si>
  <si>
    <t>23/04/2018</t>
  </si>
  <si>
    <t>Denis</t>
  </si>
  <si>
    <t>BOMME</t>
  </si>
  <si>
    <t xml:space="preserve">LE GUEN </t>
  </si>
  <si>
    <t>Gilles DAMON</t>
  </si>
  <si>
    <t>Catherine</t>
  </si>
  <si>
    <t>CHOPIN</t>
  </si>
  <si>
    <t>Frédéric</t>
  </si>
  <si>
    <t>DUFUS</t>
  </si>
  <si>
    <t>Fabienne</t>
  </si>
  <si>
    <t>BRUNET</t>
  </si>
  <si>
    <t>Directeur de Station Total</t>
  </si>
  <si>
    <t>C. LE ROUX/F. GUIBERT/G. DAMON/Compte Nat.</t>
  </si>
  <si>
    <t>FG/F. GUIBERT/C. LE ROUX/Compte Nat.</t>
  </si>
  <si>
    <t>FG/ S. MARIE</t>
  </si>
  <si>
    <t>Sophie</t>
  </si>
  <si>
    <t>CHACHKINE</t>
  </si>
  <si>
    <t>Acheteuse</t>
  </si>
  <si>
    <t>Joseph</t>
  </si>
  <si>
    <t>NAULEAU</t>
  </si>
  <si>
    <t xml:space="preserve">ASSISTANT TECHNICIEN TOUS CORPS D'ETAT </t>
  </si>
  <si>
    <t>Laure</t>
  </si>
  <si>
    <t>JAOUEN</t>
  </si>
  <si>
    <t>FG/R. TESSIER/F. GUIBERT/S. MARIE/G. DAMON</t>
  </si>
  <si>
    <t>Michel</t>
  </si>
  <si>
    <t>DELETAIN</t>
  </si>
  <si>
    <t>Responsable Logistique</t>
  </si>
  <si>
    <t>FG/R. TESSIER/Compt Nat.</t>
  </si>
  <si>
    <t xml:space="preserve">CASINO NANTES                      </t>
  </si>
  <si>
    <t>Marina</t>
  </si>
  <si>
    <t>LE PORT</t>
  </si>
  <si>
    <t>Directrice Magasin</t>
  </si>
  <si>
    <t>DAUBIE</t>
  </si>
  <si>
    <t>FG/F. GUIBERT/S. MARIE/G. DAMON/Compte Nat.</t>
  </si>
  <si>
    <t>FG/F. GUIBERT/SYlvie Michel</t>
  </si>
  <si>
    <t>ALFI-SOGIF</t>
  </si>
  <si>
    <t>FG/F. GUIBERT/M. NOEL</t>
  </si>
  <si>
    <t>CAILLET</t>
  </si>
  <si>
    <t>Jean-Pierre</t>
  </si>
  <si>
    <t>BAHOLET</t>
  </si>
  <si>
    <t>G. DAMON</t>
  </si>
  <si>
    <t>Ronan</t>
  </si>
  <si>
    <t>Manager des Opérations</t>
  </si>
  <si>
    <t>BOURGES</t>
  </si>
  <si>
    <t>Francis BLIN</t>
  </si>
  <si>
    <t>Raland</t>
  </si>
  <si>
    <t>Riefer</t>
  </si>
  <si>
    <t>Responsable MG</t>
  </si>
  <si>
    <t>Sauthier &amp; Plée</t>
  </si>
  <si>
    <t>Joelle</t>
  </si>
  <si>
    <t>Simonet</t>
  </si>
  <si>
    <t>Responsable Achat</t>
  </si>
  <si>
    <t>Jérémie</t>
  </si>
  <si>
    <t>Ropero</t>
  </si>
  <si>
    <t>Respnsable log.</t>
  </si>
  <si>
    <t>LD CC MCJ</t>
  </si>
  <si>
    <t>Lejeune</t>
  </si>
  <si>
    <t xml:space="preserve">Directrice région </t>
  </si>
  <si>
    <t>MC JOHARANE/Vanessa MORAT</t>
  </si>
  <si>
    <t>Duprés</t>
  </si>
  <si>
    <t>Responsable région</t>
  </si>
  <si>
    <t xml:space="preserve">Pascal </t>
  </si>
  <si>
    <t>Carré</t>
  </si>
  <si>
    <t>respnsable contrat CVL2</t>
  </si>
  <si>
    <t>Audit sécu sur SSD</t>
  </si>
  <si>
    <t>S Glomeron</t>
  </si>
  <si>
    <t>CHSCT</t>
  </si>
  <si>
    <t>R Tournaye + F Blin + D Marionneau</t>
  </si>
  <si>
    <t>Directeur Site</t>
  </si>
  <si>
    <t>Aurélien</t>
  </si>
  <si>
    <t>Brisson</t>
  </si>
  <si>
    <t>Responsable contrat</t>
  </si>
  <si>
    <t>Claude CALUCEIRA</t>
  </si>
  <si>
    <t xml:space="preserve">Denis </t>
  </si>
  <si>
    <t>Toulouse</t>
  </si>
  <si>
    <t>Remi</t>
  </si>
  <si>
    <t>Directeur Base</t>
  </si>
  <si>
    <t>MC JOHARANE/Caroline GENTY</t>
  </si>
  <si>
    <t>NARBONNE/GALLIEN</t>
  </si>
  <si>
    <t>Marie Christine JOHARANE</t>
  </si>
  <si>
    <t xml:space="preserve">Claude </t>
  </si>
  <si>
    <t>Dezelut</t>
  </si>
  <si>
    <t>Jean-christophe</t>
  </si>
  <si>
    <t>ROUX</t>
  </si>
  <si>
    <t>Creuset</t>
  </si>
  <si>
    <t>Caroline GENTY</t>
  </si>
  <si>
    <t>Brossard</t>
  </si>
  <si>
    <t>Xavier</t>
  </si>
  <si>
    <t>Cossard</t>
  </si>
  <si>
    <t>Responsable achat</t>
  </si>
  <si>
    <t xml:space="preserve">MCJ/CC  </t>
  </si>
  <si>
    <t>GATTEFIN</t>
  </si>
  <si>
    <t>Directeur</t>
  </si>
  <si>
    <t>Daudier</t>
  </si>
  <si>
    <t>Esdieu</t>
  </si>
  <si>
    <t>Resonsable SG</t>
  </si>
  <si>
    <t>BARA</t>
  </si>
  <si>
    <t>Edet</t>
  </si>
  <si>
    <t>Dias</t>
  </si>
  <si>
    <t>Destier</t>
  </si>
  <si>
    <t>Directeur Région</t>
  </si>
  <si>
    <t>RODIER</t>
  </si>
  <si>
    <t>Diercteur Magasin</t>
  </si>
  <si>
    <t>Pipoty</t>
  </si>
  <si>
    <t>Verrier</t>
  </si>
  <si>
    <t>mme</t>
  </si>
  <si>
    <t>Saincy</t>
  </si>
  <si>
    <t>ORLEANS</t>
  </si>
  <si>
    <t xml:space="preserve">FAIBLE </t>
  </si>
  <si>
    <t>PICARD</t>
  </si>
  <si>
    <t>CARRE</t>
  </si>
  <si>
    <t xml:space="preserve">MOYEN </t>
  </si>
  <si>
    <t>HAMEAU</t>
  </si>
  <si>
    <t>GOUJON</t>
  </si>
  <si>
    <t xml:space="preserve">HERVE </t>
  </si>
  <si>
    <t>FERME</t>
  </si>
  <si>
    <t>DE ROSE</t>
  </si>
  <si>
    <t>DANIEL</t>
  </si>
  <si>
    <t>SLASKI</t>
  </si>
  <si>
    <t>RADREAUX</t>
  </si>
  <si>
    <t>MARET</t>
  </si>
  <si>
    <t>HURIAU</t>
  </si>
  <si>
    <t>Philippe BOURDIN</t>
  </si>
  <si>
    <t>VOISIN</t>
  </si>
  <si>
    <t>Sylvia DANOT</t>
  </si>
  <si>
    <t>Mr</t>
  </si>
  <si>
    <t>MOIGNARD</t>
  </si>
  <si>
    <t>BEAUDRU</t>
  </si>
  <si>
    <t>JAVERZAC</t>
  </si>
  <si>
    <t>TRAN</t>
  </si>
  <si>
    <t>JC/TDC</t>
  </si>
  <si>
    <t>DEGROITTE</t>
  </si>
  <si>
    <t>CHAILLOUX</t>
  </si>
  <si>
    <t>BLOIS/LACHUER</t>
  </si>
  <si>
    <t>JC/TDC/VA</t>
  </si>
  <si>
    <t>DA SILVA</t>
  </si>
  <si>
    <t>VIOLON</t>
  </si>
  <si>
    <t>BOUET</t>
  </si>
  <si>
    <t>NARBONNE/JONEAU</t>
  </si>
  <si>
    <t>JC/TDC/SD/VA</t>
  </si>
  <si>
    <t>GAUCHER</t>
  </si>
  <si>
    <t>Roxane</t>
  </si>
  <si>
    <t>GRANDJEAN</t>
  </si>
  <si>
    <t>BERGE/DOS SANTOS</t>
  </si>
  <si>
    <t>MANGIN</t>
  </si>
  <si>
    <t>INTERMARCHE</t>
  </si>
  <si>
    <t>ROYON</t>
  </si>
  <si>
    <t>MARCILLIERE</t>
  </si>
  <si>
    <t>EYDIEUX</t>
  </si>
  <si>
    <t>AUDOUX</t>
  </si>
  <si>
    <t>CHAURAY</t>
  </si>
  <si>
    <t>Resp. Client</t>
  </si>
  <si>
    <t>marchais+lequilleuc</t>
  </si>
  <si>
    <t>Jean-Damien</t>
  </si>
  <si>
    <t>Gault</t>
  </si>
  <si>
    <t>Resp Entretien &amp; Esp Verts</t>
  </si>
  <si>
    <t>Stéphane</t>
  </si>
  <si>
    <t>Senechault</t>
  </si>
  <si>
    <t>Resp Maintenance et Logistique</t>
  </si>
  <si>
    <t>Didier</t>
  </si>
  <si>
    <t>Gauzere</t>
  </si>
  <si>
    <t>Direction Achats</t>
  </si>
  <si>
    <t>marchais+chevallier</t>
  </si>
  <si>
    <t>Christine</t>
  </si>
  <si>
    <t>SOKOL</t>
  </si>
  <si>
    <t>Resp sudeco ( Galerie Angoulème)</t>
  </si>
  <si>
    <t>Eric</t>
  </si>
  <si>
    <t>CHABERT</t>
  </si>
  <si>
    <t>Directeur Magasin Angoulème</t>
  </si>
  <si>
    <t>Sandra</t>
  </si>
  <si>
    <t>DETEIX</t>
  </si>
  <si>
    <t>Resp Moyens généraux</t>
  </si>
  <si>
    <t>Virginie</t>
  </si>
  <si>
    <t>Guérin</t>
  </si>
  <si>
    <t>Thierry</t>
  </si>
  <si>
    <t>Cheruette</t>
  </si>
  <si>
    <t>marchais + deschamps</t>
  </si>
  <si>
    <t>Blosse</t>
  </si>
  <si>
    <t>PDG</t>
  </si>
  <si>
    <t>dubert + chevallier + marchais</t>
  </si>
  <si>
    <t xml:space="preserve">Bernier </t>
  </si>
  <si>
    <t>Directrice</t>
  </si>
  <si>
    <t>Céline</t>
  </si>
  <si>
    <t>Marjolet</t>
  </si>
  <si>
    <t>Resp Qualité</t>
  </si>
  <si>
    <t>Consult</t>
  </si>
  <si>
    <t>marchais</t>
  </si>
  <si>
    <t>Aline</t>
  </si>
  <si>
    <t>Lassort</t>
  </si>
  <si>
    <t>Resp Services Généraux</t>
  </si>
  <si>
    <t>Deschamps</t>
  </si>
  <si>
    <t>Cyprien</t>
  </si>
  <si>
    <t>Grolleau</t>
  </si>
  <si>
    <t>Resp sur Puilboreau</t>
  </si>
  <si>
    <t>Souhir</t>
  </si>
  <si>
    <t>YAHIAOUI</t>
  </si>
  <si>
    <t>Resp sur Rochefort</t>
  </si>
  <si>
    <t>deschamps + chevallier</t>
  </si>
  <si>
    <t>Directeurs Magasins</t>
  </si>
  <si>
    <t>Chevallier</t>
  </si>
  <si>
    <t>Mémin</t>
  </si>
  <si>
    <t>Resp entretien ville Vouillé</t>
  </si>
  <si>
    <t>Marchais</t>
  </si>
  <si>
    <t xml:space="preserve">Eric </t>
  </si>
  <si>
    <t>Rufin</t>
  </si>
  <si>
    <t>Resp achats</t>
  </si>
  <si>
    <t>Dubert</t>
  </si>
  <si>
    <t>Joncour</t>
  </si>
  <si>
    <t>Resp serv généraux</t>
  </si>
  <si>
    <t>Dinet</t>
  </si>
  <si>
    <t>Directeur magasin</t>
  </si>
  <si>
    <t>Dominique</t>
  </si>
  <si>
    <t>Fleuret</t>
  </si>
  <si>
    <t>Dirceteur serv economique</t>
  </si>
  <si>
    <t>Michot</t>
  </si>
  <si>
    <t>Resp achat et marchés publiques</t>
  </si>
  <si>
    <t>Delphine</t>
  </si>
  <si>
    <t>Tessonneau</t>
  </si>
  <si>
    <t>Interlocutrice site</t>
  </si>
  <si>
    <t>Evelyne</t>
  </si>
  <si>
    <t>Bodin</t>
  </si>
  <si>
    <t>Resp Achats</t>
  </si>
  <si>
    <t>dubert + deschamps</t>
  </si>
  <si>
    <t>Resp Entretien Sgap79</t>
  </si>
  <si>
    <t>Audureau</t>
  </si>
  <si>
    <t>Resp Entretien SGAP17</t>
  </si>
  <si>
    <t>Dechamps</t>
  </si>
  <si>
    <t>Jean-Henry</t>
  </si>
  <si>
    <t>Vuillaume</t>
  </si>
  <si>
    <t>Dir Adjoint</t>
  </si>
  <si>
    <t>Bernard</t>
  </si>
  <si>
    <t>Grellier</t>
  </si>
  <si>
    <t>Marilyne</t>
  </si>
  <si>
    <t>Desvigne</t>
  </si>
  <si>
    <t>Serv Achats</t>
  </si>
  <si>
    <t>Garnier</t>
  </si>
  <si>
    <t>Resp Maintenance et logistique</t>
  </si>
  <si>
    <t>Crinière</t>
  </si>
  <si>
    <t>Claud</t>
  </si>
  <si>
    <t>Mailland</t>
  </si>
  <si>
    <t>Sandrine</t>
  </si>
  <si>
    <t>Teston</t>
  </si>
  <si>
    <t>Comptable</t>
  </si>
  <si>
    <t>Lorin</t>
  </si>
  <si>
    <t>Claire</t>
  </si>
  <si>
    <t>Sala</t>
  </si>
  <si>
    <t>RH</t>
  </si>
  <si>
    <t>Grégoire</t>
  </si>
  <si>
    <t>MAE</t>
  </si>
  <si>
    <t>SNB</t>
  </si>
  <si>
    <t>EIDA</t>
  </si>
  <si>
    <t>IFSI</t>
  </si>
  <si>
    <t>URS</t>
  </si>
  <si>
    <t>AERO</t>
  </si>
  <si>
    <t>ANPE</t>
  </si>
  <si>
    <t>ugrs 1</t>
  </si>
  <si>
    <t>ugr 2</t>
  </si>
  <si>
    <t>ugr 3</t>
  </si>
  <si>
    <t>ENSEIGNE</t>
  </si>
  <si>
    <t>but</t>
  </si>
  <si>
    <t>atlante</t>
  </si>
  <si>
    <t xml:space="preserve"> Manutention</t>
  </si>
  <si>
    <t xml:space="preserve">FINANCES </t>
  </si>
  <si>
    <t>OUEST</t>
  </si>
  <si>
    <t>Banque</t>
  </si>
  <si>
    <t>GRAND SUD</t>
  </si>
  <si>
    <t>BRISO</t>
  </si>
  <si>
    <t>BRICO</t>
  </si>
  <si>
    <t xml:space="preserve">CHOLET                   </t>
  </si>
  <si>
    <t xml:space="preserve">PORNIC                   </t>
  </si>
  <si>
    <t xml:space="preserve">NAZAIRE               </t>
  </si>
  <si>
    <t xml:space="preserve">HERBLAIN     </t>
  </si>
  <si>
    <t xml:space="preserve">PARIDIS                  </t>
  </si>
  <si>
    <t xml:space="preserve"> VERTOU                   </t>
  </si>
  <si>
    <t xml:space="preserve">CAISSE REGIONALE   </t>
  </si>
  <si>
    <t>HABITAT</t>
  </si>
  <si>
    <t>LBZ</t>
  </si>
  <si>
    <t>BTP 1</t>
  </si>
  <si>
    <t>BTP 2</t>
  </si>
  <si>
    <t>BTP 3</t>
  </si>
  <si>
    <t>AEROSYMTH</t>
  </si>
  <si>
    <t>DOMICILE</t>
  </si>
  <si>
    <t xml:space="preserve">MAINE (3)   </t>
  </si>
  <si>
    <t xml:space="preserve">CONSTRUCTION SA          </t>
  </si>
  <si>
    <t xml:space="preserve">RELAIS Gidy             </t>
  </si>
  <si>
    <t>GROUPAMA</t>
  </si>
  <si>
    <t>ETAM</t>
  </si>
  <si>
    <t xml:space="preserve">SIMRA                </t>
  </si>
  <si>
    <t xml:space="preserve">SITE DE MELAY  </t>
  </si>
  <si>
    <t>MAAF</t>
  </si>
  <si>
    <t>CARQUEFOU 1</t>
  </si>
  <si>
    <t>CARQUEFOU 2</t>
  </si>
  <si>
    <t>CARQUEFOU 3</t>
  </si>
  <si>
    <t xml:space="preserve">SARL                         </t>
  </si>
  <si>
    <t>RABA</t>
  </si>
  <si>
    <t>SAS (2)</t>
  </si>
  <si>
    <t>BRINKS</t>
  </si>
  <si>
    <t>MARAIS</t>
  </si>
  <si>
    <t xml:space="preserve">RECYCLAGE              </t>
  </si>
  <si>
    <t>POLE 56</t>
  </si>
  <si>
    <t>CORP. SA</t>
  </si>
  <si>
    <t xml:space="preserve">BTP DU SUD           </t>
  </si>
  <si>
    <t xml:space="preserve">QUIBERON                    </t>
  </si>
  <si>
    <t>COUERON</t>
  </si>
  <si>
    <t>BTP</t>
  </si>
  <si>
    <t>BALNEO 1</t>
  </si>
  <si>
    <t>BALNEO 2</t>
  </si>
  <si>
    <t>BALNEO 3</t>
  </si>
  <si>
    <t>CORSICA 1</t>
  </si>
  <si>
    <t>CORSICA 2</t>
  </si>
  <si>
    <t>CORSICA 3</t>
  </si>
  <si>
    <t>CORSICA 4</t>
  </si>
  <si>
    <t>CORSICA 5</t>
  </si>
  <si>
    <t>CORSICA 6</t>
  </si>
  <si>
    <t>CORSICA 7</t>
  </si>
  <si>
    <t>CORSICA 8</t>
  </si>
  <si>
    <t>CORSICA 9</t>
  </si>
  <si>
    <t>CORSICA 10</t>
  </si>
  <si>
    <t>TRANSDEV 1</t>
  </si>
  <si>
    <t>TRANSDEV 2</t>
  </si>
  <si>
    <t>TRANSDEV 3</t>
  </si>
  <si>
    <t>TRANSDEV 4</t>
  </si>
  <si>
    <t>MALTERIE 1</t>
  </si>
  <si>
    <t>MALTERIE 2</t>
  </si>
  <si>
    <t>MALTERIE 3</t>
  </si>
  <si>
    <t>MALTERIE 4</t>
  </si>
  <si>
    <t>MALTERIE 5</t>
  </si>
  <si>
    <t>MALTERIE 6</t>
  </si>
  <si>
    <t>MALTERIE 7</t>
  </si>
  <si>
    <t>Bordeaux</t>
  </si>
  <si>
    <t>Marseille</t>
  </si>
  <si>
    <t>Cognac</t>
  </si>
  <si>
    <t>Rochefort</t>
  </si>
  <si>
    <t>LA ROCHELLE 1</t>
  </si>
  <si>
    <t>LA ROCHELLE 2</t>
  </si>
  <si>
    <t>LA ROCHELLE 3</t>
  </si>
  <si>
    <t>LA ROCHELLE 4</t>
  </si>
  <si>
    <t>LA ROCHELLE 5</t>
  </si>
  <si>
    <t>LA ROCHELLE 6</t>
  </si>
  <si>
    <t>BERMUDES 1</t>
  </si>
  <si>
    <t>BERMUDES 2</t>
  </si>
  <si>
    <t>BERMUDES 3</t>
  </si>
  <si>
    <t>SPATIAL</t>
  </si>
  <si>
    <t>ETOIILE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</si>
</sst>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5" formatCode="#,##0\ &quot;€&quot;;\-#,##0\ &quot;€&quot;"/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;\(0\)"/>
    <numFmt numFmtId="165" formatCode="00"/>
    <numFmt numFmtId="166" formatCode="#,##0.0%"/>
    <numFmt numFmtId="167" formatCode="0.0%"/>
    <numFmt numFmtId="168" formatCode="_-* #,##0\ &quot;€&quot;_-;\-* #,##0\ &quot;€&quot;_-;_-* &quot;-&quot;??\ &quot;€&quot;_-;_-@_-"/>
    <numFmt numFmtId="169" formatCode="[$-40C]mmm\-yy;@"/>
    <numFmt numFmtId="170" formatCode="[$-40C]mmmm\-yy;@"/>
    <numFmt numFmtId="171" formatCode="#,##0\ &quot;€&quot;"/>
    <numFmt numFmtId="172" formatCode="0\ &quot;mois&quot;"/>
    <numFmt numFmtId="173" formatCode="#,##0.00%"/>
  </numFmts>
  <fonts count="9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b/>
      <sz val="14"/>
      <color rgb="FF000000"/>
      <name val="Arial Narrow"/>
      <family val="2"/>
    </font>
    <font>
      <sz val="22"/>
      <color theme="1"/>
      <name val="Arial Narrow"/>
      <family val="2"/>
    </font>
    <font>
      <sz val="9"/>
      <color rgb="FF333333"/>
      <name val="Arial Narrow"/>
      <family val="2"/>
    </font>
    <font>
      <b/>
      <sz val="9"/>
      <color rgb="FFFFFFFF"/>
      <name val="Arial Narrow"/>
      <family val="2"/>
    </font>
    <font>
      <b/>
      <sz val="8"/>
      <color rgb="FFFFFFFF"/>
      <name val="Arial Narrow"/>
      <family val="2"/>
    </font>
    <font>
      <b/>
      <sz val="7"/>
      <color indexed="9"/>
      <name val="Arial Narrow"/>
      <family val="2"/>
    </font>
    <font>
      <sz val="11"/>
      <color theme="0"/>
      <name val="Arial Narrow"/>
      <family val="2"/>
    </font>
    <font>
      <sz val="10"/>
      <color rgb="FF000000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333333"/>
      <name val="Arial Narrow"/>
      <family val="2"/>
    </font>
    <font>
      <b/>
      <sz val="14"/>
      <color rgb="FFC00000"/>
      <name val="Arial Narrow"/>
      <family val="2"/>
    </font>
    <font>
      <sz val="14"/>
      <color theme="1"/>
      <name val="Arial Narrow"/>
      <family val="2"/>
    </font>
    <font>
      <sz val="14"/>
      <color rgb="FFC00000"/>
      <name val="Arial Narrow"/>
      <family val="2"/>
    </font>
    <font>
      <sz val="10"/>
      <color rgb="FF002060"/>
      <name val="Arial Narrow"/>
      <family val="2"/>
    </font>
    <font>
      <b/>
      <sz val="11"/>
      <color theme="0"/>
      <name val="Arial Narrow"/>
      <family val="2"/>
    </font>
    <font>
      <b/>
      <sz val="11"/>
      <color rgb="FFFFFFFF"/>
      <name val="Arial Narrow"/>
      <family val="2"/>
    </font>
    <font>
      <sz val="7"/>
      <color indexed="9"/>
      <name val="Arial Narrow"/>
      <family val="2"/>
    </font>
    <font>
      <b/>
      <sz val="12"/>
      <color rgb="FFC00000"/>
      <name val="Arial Narrow"/>
      <family val="2"/>
    </font>
    <font>
      <sz val="10"/>
      <color rgb="FFFF0000"/>
      <name val="Arial Narrow"/>
      <family val="2"/>
    </font>
    <font>
      <sz val="8"/>
      <color theme="1"/>
      <name val="Arial Narrow"/>
      <family val="2"/>
    </font>
    <font>
      <b/>
      <sz val="10"/>
      <color indexed="9"/>
      <name val="Arial Narrow"/>
      <family val="2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rgb="FF002060"/>
      <name val="Arial Narrow"/>
      <family val="2"/>
    </font>
    <font>
      <sz val="10"/>
      <name val="Arial Narrow"/>
      <family val="2"/>
    </font>
    <font>
      <sz val="9"/>
      <color rgb="FF002060"/>
      <name val="Arial Narrow"/>
      <family val="2"/>
    </font>
    <font>
      <b/>
      <sz val="10"/>
      <color rgb="FFFF0000"/>
      <name val="Arial Narrow"/>
      <family val="2"/>
    </font>
    <font>
      <sz val="11"/>
      <color rgb="FF002060"/>
      <name val="Arial Narrow"/>
      <family val="2"/>
    </font>
    <font>
      <b/>
      <sz val="12"/>
      <color theme="0"/>
      <name val="Arial Narrow"/>
      <family val="2"/>
    </font>
    <font>
      <b/>
      <sz val="12"/>
      <color rgb="FF002060"/>
      <name val="Arial Narrow"/>
      <family val="2"/>
    </font>
    <font>
      <b/>
      <sz val="18"/>
      <color theme="0"/>
      <name val="Arial Narrow"/>
      <family val="2"/>
    </font>
    <font>
      <b/>
      <sz val="11"/>
      <color rgb="FF002060"/>
      <name val="Arial Narrow"/>
      <family val="2"/>
    </font>
    <font>
      <sz val="10"/>
      <color rgb="FFC00000"/>
      <name val="Arial Narrow"/>
      <family val="2"/>
    </font>
    <font>
      <b/>
      <sz val="7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C00000"/>
      <name val="Arial Narrow"/>
      <family val="2"/>
    </font>
    <font>
      <b/>
      <sz val="10"/>
      <color theme="0"/>
      <name val="Arial Narrow"/>
      <family val="2"/>
    </font>
    <font>
      <b/>
      <sz val="12.5"/>
      <color theme="0"/>
      <name val="Arial Narrow"/>
      <family val="2"/>
    </font>
    <font>
      <b/>
      <sz val="12.5"/>
      <color rgb="FF002060"/>
      <name val="Arial Narrow"/>
      <family val="2"/>
    </font>
    <font>
      <b/>
      <sz val="11"/>
      <color theme="1"/>
      <name val="Arial Narrow"/>
      <family val="2"/>
    </font>
    <font>
      <b/>
      <sz val="9"/>
      <color rgb="FF002060"/>
      <name val="Arial Narrow"/>
      <family val="2"/>
    </font>
    <font>
      <b/>
      <sz val="10"/>
      <color rgb="FFFFFFFF"/>
      <name val="Arial Narrow"/>
      <family val="2"/>
    </font>
    <font>
      <b/>
      <sz val="9"/>
      <color indexed="9"/>
      <name val="Arial Narrow"/>
      <family val="2"/>
    </font>
    <font>
      <b/>
      <sz val="10"/>
      <color indexed="8"/>
      <name val="Arial Narrow"/>
      <family val="2"/>
    </font>
    <font>
      <strike/>
      <sz val="10"/>
      <color rgb="FFFF0000"/>
      <name val="Arial Narrow"/>
      <family val="2"/>
    </font>
    <font>
      <u/>
      <sz val="10"/>
      <color rgb="FF000000"/>
      <name val="Arial Narrow"/>
      <family val="2"/>
    </font>
    <font>
      <b/>
      <sz val="11"/>
      <color rgb="FFC00000"/>
      <name val="Arial Narrow"/>
      <family val="2"/>
    </font>
    <font>
      <b/>
      <sz val="11"/>
      <color rgb="FF000000"/>
      <name val="Arial Narrow"/>
      <family val="2"/>
    </font>
    <font>
      <b/>
      <sz val="20"/>
      <color rgb="FFC00000"/>
      <name val="Arial Narrow"/>
      <family val="2"/>
    </font>
    <font>
      <b/>
      <sz val="8"/>
      <color theme="0"/>
      <name val="Arial Narrow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FF0000"/>
      <name val="Arial Narrow"/>
      <family val="2"/>
    </font>
    <font>
      <sz val="12"/>
      <color rgb="FFC00000"/>
      <name val="Arial Narrow"/>
      <family val="2"/>
    </font>
    <font>
      <b/>
      <sz val="9"/>
      <color rgb="FF000000"/>
      <name val="Arial"/>
      <family val="2"/>
    </font>
    <font>
      <b/>
      <sz val="10"/>
      <color rgb="FF00B050"/>
      <name val="Arial Narrow"/>
      <family val="2"/>
    </font>
    <font>
      <sz val="10"/>
      <color rgb="FF00B050"/>
      <name val="Arial Narrow"/>
      <family val="2"/>
    </font>
    <font>
      <sz val="1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rgb="FFC00000"/>
      <name val="Wingdings 3"/>
      <family val="1"/>
      <charset val="2"/>
    </font>
    <font>
      <sz val="11"/>
      <color rgb="FF333333"/>
      <name val="Calibri"/>
      <family val="2"/>
      <scheme val="minor"/>
    </font>
    <font>
      <sz val="8"/>
      <color indexed="8"/>
      <name val="Arial Narrow"/>
      <family val="2"/>
    </font>
    <font>
      <sz val="8"/>
      <color rgb="FF000000"/>
      <name val="Arial Narrow"/>
      <family val="2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sz val="11"/>
      <color rgb="FF4F6228"/>
      <name val="Calibri"/>
      <family val="2"/>
      <scheme val="minor"/>
    </font>
    <font>
      <sz val="9"/>
      <color indexed="81"/>
      <name val="Tahoma"/>
      <family val="2"/>
    </font>
    <font>
      <b/>
      <sz val="7"/>
      <color rgb="FFFFFFFF"/>
      <name val="Arial Narrow"/>
      <family val="2"/>
    </font>
    <font>
      <b/>
      <sz val="9"/>
      <color indexed="8"/>
      <name val="Arial"/>
      <family val="2"/>
    </font>
    <font>
      <sz val="8"/>
      <color rgb="FFFF0000"/>
      <name val="Arial Narrow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rgb="FF002060"/>
      <name val="Calibri"/>
      <family val="2"/>
      <scheme val="minor"/>
    </font>
    <font>
      <b/>
      <sz val="13"/>
      <color theme="0"/>
      <name val="Arial Narrow"/>
      <family val="2"/>
    </font>
    <font>
      <b/>
      <sz val="13"/>
      <color rgb="FF002060"/>
      <name val="Arial Narrow"/>
      <family val="2"/>
    </font>
    <font>
      <sz val="9"/>
      <color rgb="FFFFFFFF"/>
      <name val="Arial Narrow"/>
      <family val="2"/>
    </font>
    <font>
      <sz val="11"/>
      <color rgb="FFFF0000"/>
      <name val="Arial Narrow"/>
      <family val="2"/>
    </font>
    <font>
      <sz val="8"/>
      <color rgb="FF002060"/>
      <name val="Arial Narrow"/>
      <family val="2"/>
    </font>
    <font>
      <sz val="11"/>
      <color rgb="FF000000"/>
      <name val="Arial Narrow"/>
      <family val="2"/>
    </font>
    <font>
      <strike/>
      <sz val="11"/>
      <color theme="1"/>
      <name val="Arial Narrow"/>
      <family val="2"/>
    </font>
    <font>
      <strike/>
      <sz val="10"/>
      <color rgb="FF000000"/>
      <name val="Arial Narrow"/>
      <family val="2"/>
    </font>
    <font>
      <strike/>
      <sz val="10"/>
      <color theme="1"/>
      <name val="Arial Narrow"/>
      <family val="2"/>
    </font>
  </fonts>
  <fills count="4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indexed="10"/>
        <bgColor indexed="9"/>
      </patternFill>
    </fill>
    <fill>
      <patternFill patternType="solid">
        <fgColor rgb="FFC0C0C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rgb="FFFFFFFF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9"/>
      </patternFill>
    </fill>
    <fill>
      <patternFill patternType="solid">
        <fgColor theme="2" tint="-0.499984740745262"/>
        <bgColor indexed="9"/>
      </patternFill>
    </fill>
    <fill>
      <patternFill patternType="solid">
        <fgColor theme="1" tint="0.499984740745262"/>
        <bgColor indexed="9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9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0" tint="-0.149967955565050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rgb="FF002060"/>
        <bgColor indexed="9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rgb="FF92D050"/>
        <bgColor indexed="64"/>
      </patternFill>
    </fill>
  </fills>
  <borders count="13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22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0C0C0"/>
      </left>
      <right style="thin">
        <color rgb="FFCACAD9"/>
      </right>
      <top style="thin">
        <color rgb="FFCACAD9"/>
      </top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/>
      <diagonal/>
    </border>
    <border>
      <left style="medium">
        <color rgb="FFC0C0C0"/>
      </left>
      <right/>
      <top style="thin">
        <color rgb="FFC0C0C0"/>
      </top>
      <bottom style="thin">
        <color rgb="FFCACAD9"/>
      </bottom>
      <diagonal/>
    </border>
    <border>
      <left/>
      <right/>
      <top style="thin">
        <color rgb="FFC0C0C0"/>
      </top>
      <bottom style="thin">
        <color rgb="FFCACAD9"/>
      </bottom>
      <diagonal/>
    </border>
    <border>
      <left/>
      <right style="thin">
        <color rgb="FFCACAD9"/>
      </right>
      <top style="thin">
        <color rgb="FFC0C0C0"/>
      </top>
      <bottom style="thin">
        <color rgb="FFCACAD9"/>
      </bottom>
      <diagonal/>
    </border>
    <border>
      <left style="medium">
        <color rgb="FFC0C0C0"/>
      </left>
      <right/>
      <top style="thin">
        <color rgb="FFCACAD9"/>
      </top>
      <bottom style="thin">
        <color rgb="FFCACAD9"/>
      </bottom>
      <diagonal/>
    </border>
    <border>
      <left/>
      <right/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CACAD9"/>
      </right>
      <top style="thin">
        <color rgb="FFCACAD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C00000"/>
      </left>
      <right style="thin">
        <color theme="0"/>
      </right>
      <top style="thin">
        <color rgb="FFC00000"/>
      </top>
      <bottom style="thin">
        <color rgb="FFC00000"/>
      </bottom>
      <diagonal/>
    </border>
    <border>
      <left style="thin">
        <color theme="0"/>
      </left>
      <right style="thin">
        <color theme="0"/>
      </right>
      <top style="thin">
        <color rgb="FFC00000"/>
      </top>
      <bottom style="thin">
        <color rgb="FFC000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rgb="FF002060"/>
      </top>
      <bottom style="thin">
        <color theme="0"/>
      </bottom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indexed="8"/>
      </left>
      <right style="thin">
        <color indexed="22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theme="0"/>
      </bottom>
      <diagonal/>
    </border>
    <border>
      <left style="thin">
        <color rgb="FFC00000"/>
      </left>
      <right style="thin">
        <color rgb="FFC00000"/>
      </right>
      <top style="thin">
        <color theme="0"/>
      </top>
      <bottom style="thin">
        <color rgb="FFC00000"/>
      </bottom>
      <diagonal/>
    </border>
    <border>
      <left style="thin">
        <color rgb="FFC00000"/>
      </left>
      <right style="thin">
        <color theme="0"/>
      </right>
      <top style="thin">
        <color rgb="FFC0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C00000"/>
      </top>
      <bottom style="thin">
        <color theme="0"/>
      </bottom>
      <diagonal/>
    </border>
    <border>
      <left style="thin">
        <color theme="0"/>
      </left>
      <right style="thin">
        <color rgb="FFC00000"/>
      </right>
      <top style="thin">
        <color rgb="FFC00000"/>
      </top>
      <bottom style="thin">
        <color theme="0"/>
      </bottom>
      <diagonal/>
    </border>
    <border>
      <left style="thin">
        <color rgb="FFC00000"/>
      </left>
      <right style="thin">
        <color theme="0"/>
      </right>
      <top style="thin">
        <color theme="0"/>
      </top>
      <bottom style="thin">
        <color rgb="FFC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C00000"/>
      </bottom>
      <diagonal/>
    </border>
    <border>
      <left style="thin">
        <color theme="0"/>
      </left>
      <right style="thin">
        <color rgb="FFC00000"/>
      </right>
      <top style="thin">
        <color theme="0"/>
      </top>
      <bottom style="thin">
        <color rgb="FFC0000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theme="0"/>
      </top>
      <bottom style="thin">
        <color rgb="FF00206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2"/>
      </right>
      <top style="thin">
        <color indexed="8"/>
      </top>
      <bottom/>
      <diagonal/>
    </border>
    <border>
      <left style="thin">
        <color rgb="FF000000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0C0C0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theme="3" tint="0.79998168889431442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indexed="64"/>
      </right>
      <top style="medium">
        <color indexed="64"/>
      </top>
      <bottom style="thin">
        <color theme="3" tint="0.79998168889431442"/>
      </bottom>
      <diagonal/>
    </border>
    <border>
      <left style="thin">
        <color rgb="FF000000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3" tint="0.79998168889431442"/>
      </left>
      <right style="thin">
        <color indexed="64"/>
      </right>
      <top style="thin">
        <color theme="3" tint="0.79998168889431442"/>
      </top>
      <bottom style="thin">
        <color indexed="64"/>
      </bottom>
      <diagonal/>
    </border>
    <border>
      <left style="thin">
        <color rgb="FF000000"/>
      </left>
      <right style="thin">
        <color theme="3" tint="0.79998168889431442"/>
      </right>
      <top style="thin">
        <color theme="3" tint="0.79998168889431442"/>
      </top>
      <bottom style="thin">
        <color rgb="FF000000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rgb="FF000000"/>
      </bottom>
      <diagonal/>
    </border>
    <border>
      <left style="thin">
        <color indexed="64"/>
      </left>
      <right style="thin">
        <color rgb="FFCAC9D9"/>
      </right>
      <top style="thin">
        <color rgb="FFCAC9D9"/>
      </top>
      <bottom style="thin">
        <color indexed="64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indexed="64"/>
      </bottom>
      <diagonal/>
    </border>
    <border>
      <left style="thin">
        <color rgb="FFCAC9D9"/>
      </left>
      <right style="thin">
        <color indexed="64"/>
      </right>
      <top style="thin">
        <color rgb="FFCAC9D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59996337778862885"/>
      </bottom>
      <diagonal/>
    </border>
    <border>
      <left style="thin">
        <color indexed="64"/>
      </left>
      <right style="thin">
        <color indexed="64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indexed="64"/>
      </left>
      <right style="thin">
        <color indexed="64"/>
      </right>
      <top style="thin">
        <color theme="4" tint="0.59996337778862885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rgb="FFCACAD9"/>
      </left>
      <right/>
      <top style="thin">
        <color rgb="FFCACAD9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rgb="FF002060"/>
      </right>
      <top style="thin">
        <color rgb="FF002060"/>
      </top>
      <bottom style="thin">
        <color theme="0"/>
      </bottom>
      <diagonal/>
    </border>
  </borders>
  <cellStyleXfs count="12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231">
    <xf numFmtId="0" fontId="0" fillId="0" borderId="0" xfId="0"/>
    <xf numFmtId="0" fontId="16" fillId="0" borderId="20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vertical="center"/>
      <protection locked="0"/>
    </xf>
    <xf numFmtId="14" fontId="16" fillId="0" borderId="8" xfId="0" applyNumberFormat="1" applyFont="1" applyBorder="1" applyAlignment="1" applyProtection="1">
      <alignment horizontal="center" vertical="center"/>
      <protection locked="0"/>
    </xf>
    <xf numFmtId="0" fontId="16" fillId="0" borderId="23" xfId="0" applyFont="1" applyBorder="1" applyAlignment="1" applyProtection="1">
      <alignment vertical="center"/>
      <protection locked="0"/>
    </xf>
    <xf numFmtId="164" fontId="18" fillId="3" borderId="8" xfId="0" applyNumberFormat="1" applyFont="1" applyFill="1" applyBorder="1" applyAlignment="1" applyProtection="1">
      <alignment horizontal="left" vertical="center"/>
      <protection locked="0"/>
    </xf>
    <xf numFmtId="14" fontId="16" fillId="0" borderId="25" xfId="0" applyNumberFormat="1" applyFont="1" applyBorder="1" applyAlignment="1" applyProtection="1">
      <alignment horizontal="center" vertical="center"/>
      <protection locked="0"/>
    </xf>
    <xf numFmtId="0" fontId="16" fillId="0" borderId="25" xfId="0" applyFont="1" applyBorder="1" applyAlignment="1" applyProtection="1">
      <alignment vertical="center"/>
      <protection locked="0"/>
    </xf>
    <xf numFmtId="0" fontId="16" fillId="0" borderId="25" xfId="0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hidden="1"/>
    </xf>
    <xf numFmtId="49" fontId="15" fillId="0" borderId="0" xfId="2" applyNumberFormat="1" applyFont="1" applyFill="1" applyBorder="1" applyAlignment="1" applyProtection="1">
      <alignment horizontal="right" vertical="center"/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0" xfId="0" applyFont="1" applyFill="1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49" fontId="19" fillId="3" borderId="0" xfId="0" applyNumberFormat="1" applyFont="1" applyFill="1" applyBorder="1" applyAlignment="1" applyProtection="1">
      <alignment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3" fontId="7" fillId="13" borderId="0" xfId="0" applyNumberFormat="1" applyFont="1" applyFill="1" applyBorder="1" applyAlignment="1" applyProtection="1">
      <alignment horizontal="center" vertical="center"/>
      <protection hidden="1"/>
    </xf>
    <xf numFmtId="164" fontId="9" fillId="3" borderId="0" xfId="0" applyNumberFormat="1" applyFont="1" applyFill="1" applyBorder="1" applyAlignment="1" applyProtection="1">
      <alignment horizontal="left" vertical="center"/>
      <protection hidden="1"/>
    </xf>
    <xf numFmtId="49" fontId="11" fillId="4" borderId="34" xfId="0" applyNumberFormat="1" applyFont="1" applyFill="1" applyBorder="1" applyAlignment="1" applyProtection="1">
      <alignment horizontal="center" vertical="center" wrapText="1"/>
      <protection hidden="1"/>
    </xf>
    <xf numFmtId="49" fontId="29" fillId="7" borderId="7" xfId="2" applyNumberFormat="1" applyFont="1" applyFill="1" applyBorder="1" applyAlignment="1" applyProtection="1">
      <alignment horizontal="center" vertical="center" wrapText="1"/>
      <protection hidden="1"/>
    </xf>
    <xf numFmtId="49" fontId="21" fillId="3" borderId="0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49" fontId="14" fillId="0" borderId="0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49" fontId="17" fillId="3" borderId="0" xfId="0" applyNumberFormat="1" applyFont="1" applyFill="1" applyBorder="1" applyAlignment="1" applyProtection="1">
      <alignment horizontal="left" vertical="center"/>
      <protection hidden="1"/>
    </xf>
    <xf numFmtId="14" fontId="14" fillId="0" borderId="20" xfId="0" applyNumberFormat="1" applyFont="1" applyFill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/>
      <protection locked="0"/>
    </xf>
    <xf numFmtId="14" fontId="14" fillId="0" borderId="8" xfId="0" applyNumberFormat="1" applyFont="1" applyFill="1" applyBorder="1" applyAlignment="1" applyProtection="1">
      <alignment horizontal="center" vertical="center"/>
      <protection locked="0"/>
    </xf>
    <xf numFmtId="49" fontId="15" fillId="0" borderId="8" xfId="2" applyNumberFormat="1" applyFont="1" applyFill="1" applyBorder="1" applyAlignment="1" applyProtection="1">
      <alignment horizontal="left" vertical="center"/>
      <protection locked="0"/>
    </xf>
    <xf numFmtId="0" fontId="16" fillId="0" borderId="8" xfId="0" applyFont="1" applyBorder="1" applyAlignment="1" applyProtection="1">
      <alignment horizontal="left" vertical="center"/>
      <protection locked="0"/>
    </xf>
    <xf numFmtId="14" fontId="14" fillId="0" borderId="25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vertical="center"/>
      <protection hidden="1"/>
    </xf>
    <xf numFmtId="0" fontId="34" fillId="0" borderId="0" xfId="0" applyFont="1" applyBorder="1" applyAlignment="1" applyProtection="1">
      <alignment vertical="center"/>
      <protection hidden="1"/>
    </xf>
    <xf numFmtId="0" fontId="34" fillId="0" borderId="0" xfId="0" applyFont="1" applyAlignment="1" applyProtection="1">
      <alignment horizontal="center" vertical="center" wrapText="1"/>
      <protection hidden="1"/>
    </xf>
    <xf numFmtId="168" fontId="37" fillId="10" borderId="43" xfId="0" applyNumberFormat="1" applyFont="1" applyFill="1" applyBorder="1" applyAlignment="1" applyProtection="1">
      <alignment horizontal="right" vertical="center" indent="1"/>
      <protection hidden="1"/>
    </xf>
    <xf numFmtId="167" fontId="26" fillId="15" borderId="41" xfId="10" applyNumberFormat="1" applyFont="1" applyFill="1" applyBorder="1" applyAlignment="1" applyProtection="1">
      <alignment horizontal="right" vertical="center" indent="1"/>
      <protection hidden="1"/>
    </xf>
    <xf numFmtId="3" fontId="38" fillId="13" borderId="0" xfId="0" applyNumberFormat="1" applyFont="1" applyFill="1" applyBorder="1" applyAlignment="1" applyProtection="1">
      <alignment horizontal="left" vertical="center"/>
      <protection hidden="1"/>
    </xf>
    <xf numFmtId="6" fontId="6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/>
    <xf numFmtId="0" fontId="32" fillId="9" borderId="0" xfId="0" applyFont="1" applyFill="1"/>
    <xf numFmtId="0" fontId="16" fillId="17" borderId="0" xfId="0" applyFont="1" applyFill="1"/>
    <xf numFmtId="0" fontId="16" fillId="0" borderId="44" xfId="0" applyFont="1" applyBorder="1"/>
    <xf numFmtId="0" fontId="16" fillId="0" borderId="45" xfId="0" applyFont="1" applyBorder="1"/>
    <xf numFmtId="0" fontId="16" fillId="0" borderId="46" xfId="0" applyFont="1" applyBorder="1"/>
    <xf numFmtId="0" fontId="3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41" fillId="0" borderId="45" xfId="0" applyFont="1" applyBorder="1"/>
    <xf numFmtId="49" fontId="14" fillId="3" borderId="8" xfId="0" applyNumberFormat="1" applyFont="1" applyFill="1" applyBorder="1" applyAlignment="1" applyProtection="1">
      <alignment horizontal="left" vertical="center"/>
      <protection locked="0"/>
    </xf>
    <xf numFmtId="0" fontId="36" fillId="0" borderId="0" xfId="0" applyFont="1" applyAlignment="1" applyProtection="1">
      <alignment vertical="center"/>
      <protection hidden="1"/>
    </xf>
    <xf numFmtId="49" fontId="12" fillId="19" borderId="50" xfId="2" applyNumberFormat="1" applyFont="1" applyFill="1" applyBorder="1" applyAlignment="1" applyProtection="1">
      <alignment horizontal="center" vertical="center" wrapText="1"/>
      <protection hidden="1"/>
    </xf>
    <xf numFmtId="49" fontId="12" fillId="18" borderId="51" xfId="2" applyNumberFormat="1" applyFont="1" applyFill="1" applyBorder="1" applyAlignment="1" applyProtection="1">
      <alignment horizontal="center" vertical="center" textRotation="90" wrapText="1"/>
      <protection hidden="1"/>
    </xf>
    <xf numFmtId="49" fontId="12" fillId="18" borderId="51" xfId="2" applyNumberFormat="1" applyFont="1" applyFill="1" applyBorder="1" applyAlignment="1" applyProtection="1">
      <alignment horizontal="center" vertical="center" wrapText="1"/>
      <protection hidden="1"/>
    </xf>
    <xf numFmtId="49" fontId="12" fillId="20" borderId="51" xfId="2" applyNumberFormat="1" applyFont="1" applyFill="1" applyBorder="1" applyAlignment="1" applyProtection="1">
      <alignment horizontal="center" vertical="center" textRotation="90" wrapText="1"/>
      <protection hidden="1"/>
    </xf>
    <xf numFmtId="49" fontId="12" fillId="20" borderId="51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164" fontId="9" fillId="0" borderId="0" xfId="0" applyNumberFormat="1" applyFont="1" applyFill="1" applyBorder="1" applyAlignment="1" applyProtection="1">
      <alignment horizontal="left" vertical="center"/>
      <protection hidden="1"/>
    </xf>
    <xf numFmtId="0" fontId="16" fillId="0" borderId="52" xfId="0" applyFont="1" applyFill="1" applyBorder="1" applyAlignment="1" applyProtection="1">
      <alignment vertical="center"/>
      <protection locked="0"/>
    </xf>
    <xf numFmtId="49" fontId="12" fillId="21" borderId="50" xfId="2" applyNumberFormat="1" applyFont="1" applyFill="1" applyBorder="1" applyAlignment="1" applyProtection="1">
      <alignment horizontal="center" vertical="center" wrapText="1"/>
      <protection hidden="1"/>
    </xf>
    <xf numFmtId="1" fontId="44" fillId="22" borderId="20" xfId="0" applyNumberFormat="1" applyFont="1" applyFill="1" applyBorder="1" applyAlignment="1" applyProtection="1">
      <alignment horizontal="center" vertical="center"/>
      <protection hidden="1"/>
    </xf>
    <xf numFmtId="1" fontId="44" fillId="22" borderId="8" xfId="0" applyNumberFormat="1" applyFont="1" applyFill="1" applyBorder="1" applyAlignment="1" applyProtection="1">
      <alignment horizontal="center" vertical="center"/>
      <protection hidden="1"/>
    </xf>
    <xf numFmtId="1" fontId="44" fillId="22" borderId="25" xfId="0" applyNumberFormat="1" applyFont="1" applyFill="1" applyBorder="1" applyAlignment="1" applyProtection="1">
      <alignment horizontal="center" vertical="center"/>
      <protection hidden="1"/>
    </xf>
    <xf numFmtId="172" fontId="41" fillId="0" borderId="20" xfId="0" applyNumberFormat="1" applyFont="1" applyFill="1" applyBorder="1" applyAlignment="1" applyProtection="1">
      <alignment horizontal="center" vertical="center"/>
      <protection locked="0"/>
    </xf>
    <xf numFmtId="172" fontId="41" fillId="0" borderId="8" xfId="0" applyNumberFormat="1" applyFont="1" applyFill="1" applyBorder="1" applyAlignment="1" applyProtection="1">
      <alignment horizontal="center" vertical="center"/>
      <protection locked="0"/>
    </xf>
    <xf numFmtId="166" fontId="14" fillId="13" borderId="20" xfId="0" applyNumberFormat="1" applyFont="1" applyFill="1" applyBorder="1" applyAlignment="1" applyProtection="1">
      <alignment horizontal="right" vertical="center"/>
      <protection hidden="1"/>
    </xf>
    <xf numFmtId="166" fontId="14" fillId="13" borderId="8" xfId="0" applyNumberFormat="1" applyFont="1" applyFill="1" applyBorder="1" applyAlignment="1" applyProtection="1">
      <alignment horizontal="right" vertical="center"/>
      <protection hidden="1"/>
    </xf>
    <xf numFmtId="166" fontId="14" fillId="13" borderId="25" xfId="0" applyNumberFormat="1" applyFont="1" applyFill="1" applyBorder="1" applyAlignment="1" applyProtection="1">
      <alignment horizontal="right" vertical="center"/>
      <protection hidden="1"/>
    </xf>
    <xf numFmtId="0" fontId="6" fillId="14" borderId="0" xfId="0" applyFont="1" applyFill="1" applyAlignment="1" applyProtection="1">
      <alignment vertical="center"/>
      <protection hidden="1"/>
    </xf>
    <xf numFmtId="3" fontId="46" fillId="11" borderId="0" xfId="0" applyNumberFormat="1" applyFont="1" applyFill="1" applyBorder="1" applyAlignment="1" applyProtection="1">
      <alignment horizontal="right" vertical="center" indent="1"/>
      <protection hidden="1"/>
    </xf>
    <xf numFmtId="3" fontId="47" fillId="16" borderId="43" xfId="0" applyNumberFormat="1" applyFont="1" applyFill="1" applyBorder="1" applyAlignment="1" applyProtection="1">
      <alignment horizontal="right" vertical="center" indent="1"/>
      <protection hidden="1"/>
    </xf>
    <xf numFmtId="10" fontId="47" fillId="16" borderId="41" xfId="10" applyNumberFormat="1" applyFont="1" applyFill="1" applyBorder="1" applyAlignment="1" applyProtection="1">
      <alignment horizontal="right" vertical="center" indent="1"/>
      <protection hidden="1"/>
    </xf>
    <xf numFmtId="168" fontId="37" fillId="14" borderId="36" xfId="0" applyNumberFormat="1" applyFont="1" applyFill="1" applyBorder="1" applyAlignment="1" applyProtection="1">
      <alignment horizontal="right" vertical="center" indent="1"/>
      <protection hidden="1"/>
    </xf>
    <xf numFmtId="167" fontId="38" fillId="14" borderId="41" xfId="10" applyNumberFormat="1" applyFont="1" applyFill="1" applyBorder="1" applyAlignment="1" applyProtection="1">
      <alignment horizontal="right" vertical="center" indent="1"/>
      <protection hidden="1"/>
    </xf>
    <xf numFmtId="164" fontId="9" fillId="13" borderId="0" xfId="0" applyNumberFormat="1" applyFont="1" applyFill="1" applyBorder="1" applyAlignment="1" applyProtection="1">
      <alignment horizontal="left" vertical="center"/>
      <protection hidden="1"/>
    </xf>
    <xf numFmtId="0" fontId="28" fillId="0" borderId="59" xfId="0" applyFont="1" applyBorder="1" applyAlignment="1" applyProtection="1">
      <alignment horizontal="center" vertical="center"/>
      <protection hidden="1"/>
    </xf>
    <xf numFmtId="1" fontId="38" fillId="14" borderId="42" xfId="0" applyNumberFormat="1" applyFont="1" applyFill="1" applyBorder="1" applyAlignment="1" applyProtection="1">
      <alignment horizontal="right" vertical="center" indent="1"/>
      <protection hidden="1"/>
    </xf>
    <xf numFmtId="0" fontId="6" fillId="0" borderId="0" xfId="0" applyFont="1" applyFill="1" applyAlignment="1" applyProtection="1">
      <alignment vertical="center"/>
      <protection hidden="1"/>
    </xf>
    <xf numFmtId="49" fontId="12" fillId="0" borderId="0" xfId="2" applyNumberFormat="1" applyFont="1" applyFill="1" applyBorder="1" applyAlignment="1" applyProtection="1">
      <alignment horizontal="center" vertical="center" wrapText="1"/>
      <protection hidden="1"/>
    </xf>
    <xf numFmtId="1" fontId="26" fillId="15" borderId="42" xfId="0" applyNumberFormat="1" applyFont="1" applyFill="1" applyBorder="1" applyAlignment="1" applyProtection="1">
      <alignment horizontal="right" vertical="center" indent="1"/>
      <protection hidden="1"/>
    </xf>
    <xf numFmtId="0" fontId="16" fillId="0" borderId="0" xfId="0" applyFont="1" applyFill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49" fontId="12" fillId="0" borderId="62" xfId="2" applyNumberFormat="1" applyFont="1" applyFill="1" applyBorder="1" applyAlignment="1" applyProtection="1">
      <alignment horizontal="center" vertical="center" wrapText="1"/>
      <protection hidden="1"/>
    </xf>
    <xf numFmtId="42" fontId="45" fillId="14" borderId="60" xfId="0" applyNumberFormat="1" applyFont="1" applyFill="1" applyBorder="1" applyAlignment="1" applyProtection="1">
      <alignment horizontal="right" vertical="center" indent="1"/>
      <protection hidden="1"/>
    </xf>
    <xf numFmtId="0" fontId="16" fillId="0" borderId="0" xfId="0" applyFont="1" applyFill="1" applyBorder="1" applyAlignment="1" applyProtection="1">
      <alignment horizontal="right" vertical="center" indent="2"/>
      <protection hidden="1"/>
    </xf>
    <xf numFmtId="166" fontId="43" fillId="24" borderId="49" xfId="0" applyNumberFormat="1" applyFont="1" applyFill="1" applyBorder="1" applyAlignment="1" applyProtection="1">
      <alignment horizontal="center" vertical="center"/>
      <protection hidden="1"/>
    </xf>
    <xf numFmtId="166" fontId="43" fillId="24" borderId="48" xfId="0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horizontal="left" vertical="center" indent="1"/>
      <protection hidden="1"/>
    </xf>
    <xf numFmtId="14" fontId="32" fillId="22" borderId="20" xfId="0" applyNumberFormat="1" applyFont="1" applyFill="1" applyBorder="1" applyAlignment="1" applyProtection="1">
      <alignment horizontal="center" vertical="center"/>
      <protection hidden="1"/>
    </xf>
    <xf numFmtId="14" fontId="32" fillId="22" borderId="8" xfId="0" applyNumberFormat="1" applyFont="1" applyFill="1" applyBorder="1" applyAlignment="1" applyProtection="1">
      <alignment horizontal="center" vertical="center"/>
      <protection hidden="1"/>
    </xf>
    <xf numFmtId="14" fontId="32" fillId="22" borderId="25" xfId="0" applyNumberFormat="1" applyFont="1" applyFill="1" applyBorder="1" applyAlignment="1" applyProtection="1">
      <alignment horizontal="center" vertical="center"/>
      <protection hidden="1"/>
    </xf>
    <xf numFmtId="167" fontId="40" fillId="15" borderId="41" xfId="1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1" fontId="40" fillId="15" borderId="42" xfId="0" applyNumberFormat="1" applyFont="1" applyFill="1" applyBorder="1" applyAlignment="1" applyProtection="1">
      <alignment horizontal="center" vertical="center"/>
      <protection hidden="1"/>
    </xf>
    <xf numFmtId="0" fontId="43" fillId="0" borderId="48" xfId="0" applyFont="1" applyFill="1" applyBorder="1" applyAlignment="1" applyProtection="1">
      <alignment vertical="center"/>
      <protection hidden="1"/>
    </xf>
    <xf numFmtId="0" fontId="13" fillId="14" borderId="0" xfId="0" applyFont="1" applyFill="1" applyAlignment="1" applyProtection="1">
      <alignment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49" fontId="15" fillId="0" borderId="20" xfId="2" applyNumberFormat="1" applyFont="1" applyFill="1" applyBorder="1" applyAlignment="1" applyProtection="1">
      <alignment horizontal="left" vertical="center"/>
      <protection locked="0"/>
    </xf>
    <xf numFmtId="0" fontId="16" fillId="0" borderId="8" xfId="0" applyFont="1" applyBorder="1" applyAlignment="1" applyProtection="1">
      <alignment vertical="center"/>
      <protection hidden="1"/>
    </xf>
    <xf numFmtId="0" fontId="16" fillId="0" borderId="8" xfId="0" applyFont="1" applyFill="1" applyBorder="1" applyAlignment="1" applyProtection="1">
      <alignment vertical="center"/>
      <protection hidden="1"/>
    </xf>
    <xf numFmtId="0" fontId="43" fillId="0" borderId="0" xfId="0" applyFont="1" applyFill="1" applyBorder="1" applyAlignment="1" applyProtection="1">
      <alignment vertical="center"/>
      <protection hidden="1"/>
    </xf>
    <xf numFmtId="42" fontId="45" fillId="12" borderId="67" xfId="0" applyNumberFormat="1" applyFont="1" applyFill="1" applyBorder="1" applyAlignment="1" applyProtection="1">
      <alignment horizontal="right" vertical="center" indent="1"/>
      <protection hidden="1"/>
    </xf>
    <xf numFmtId="49" fontId="42" fillId="18" borderId="50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49" fontId="50" fillId="4" borderId="11" xfId="0" applyNumberFormat="1" applyFont="1" applyFill="1" applyBorder="1" applyAlignment="1" applyProtection="1">
      <alignment horizontal="center" vertical="center" wrapText="1"/>
      <protection hidden="1"/>
    </xf>
    <xf numFmtId="166" fontId="14" fillId="0" borderId="52" xfId="0" applyNumberFormat="1" applyFont="1" applyFill="1" applyBorder="1" applyAlignment="1" applyProtection="1">
      <alignment horizontal="right" vertical="center"/>
      <protection hidden="1"/>
    </xf>
    <xf numFmtId="168" fontId="17" fillId="13" borderId="8" xfId="0" applyNumberFormat="1" applyFont="1" applyFill="1" applyBorder="1" applyAlignment="1" applyProtection="1">
      <alignment horizontal="right" vertical="center"/>
      <protection locked="0"/>
    </xf>
    <xf numFmtId="164" fontId="18" fillId="3" borderId="0" xfId="0" applyNumberFormat="1" applyFont="1" applyFill="1" applyBorder="1" applyAlignment="1" applyProtection="1">
      <alignment horizontal="left" vertical="center"/>
      <protection hidden="1"/>
    </xf>
    <xf numFmtId="49" fontId="50" fillId="4" borderId="10" xfId="0" applyNumberFormat="1" applyFont="1" applyFill="1" applyBorder="1" applyAlignment="1" applyProtection="1">
      <alignment horizontal="center" vertical="center" wrapText="1"/>
      <protection hidden="1"/>
    </xf>
    <xf numFmtId="49" fontId="17" fillId="3" borderId="19" xfId="0" applyNumberFormat="1" applyFont="1" applyFill="1" applyBorder="1" applyAlignment="1" applyProtection="1">
      <alignment horizontal="left" vertical="center"/>
      <protection hidden="1"/>
    </xf>
    <xf numFmtId="49" fontId="17" fillId="3" borderId="22" xfId="0" applyNumberFormat="1" applyFont="1" applyFill="1" applyBorder="1" applyAlignment="1" applyProtection="1">
      <alignment horizontal="left" vertical="center"/>
      <protection hidden="1"/>
    </xf>
    <xf numFmtId="49" fontId="15" fillId="6" borderId="8" xfId="7" applyNumberFormat="1" applyFont="1" applyFill="1" applyBorder="1" applyAlignment="1" applyProtection="1">
      <alignment horizontal="center" vertical="center"/>
      <protection hidden="1"/>
    </xf>
    <xf numFmtId="0" fontId="14" fillId="0" borderId="8" xfId="7" applyFont="1" applyFill="1" applyBorder="1" applyAlignment="1" applyProtection="1">
      <alignment vertical="center" wrapText="1"/>
      <protection hidden="1"/>
    </xf>
    <xf numFmtId="0" fontId="14" fillId="0" borderId="8" xfId="7" applyFont="1" applyFill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vertical="center"/>
      <protection hidden="1"/>
    </xf>
    <xf numFmtId="49" fontId="17" fillId="3" borderId="24" xfId="0" applyNumberFormat="1" applyFont="1" applyFill="1" applyBorder="1" applyAlignment="1" applyProtection="1">
      <alignment horizontal="left" vertical="center"/>
      <protection hidden="1"/>
    </xf>
    <xf numFmtId="0" fontId="14" fillId="0" borderId="25" xfId="7" applyFont="1" applyFill="1" applyBorder="1" applyAlignment="1" applyProtection="1">
      <alignment vertical="center" wrapText="1"/>
      <protection hidden="1"/>
    </xf>
    <xf numFmtId="49" fontId="15" fillId="6" borderId="25" xfId="7" applyNumberFormat="1" applyFont="1" applyFill="1" applyBorder="1" applyAlignment="1" applyProtection="1">
      <alignment horizontal="center" vertical="center"/>
      <protection hidden="1"/>
    </xf>
    <xf numFmtId="0" fontId="43" fillId="0" borderId="0" xfId="0" applyFont="1" applyFill="1" applyAlignment="1" applyProtection="1">
      <alignment vertical="center"/>
      <protection hidden="1"/>
    </xf>
    <xf numFmtId="0" fontId="16" fillId="0" borderId="20" xfId="0" applyFont="1" applyBorder="1" applyAlignment="1" applyProtection="1">
      <alignment vertical="center"/>
      <protection hidden="1"/>
    </xf>
    <xf numFmtId="49" fontId="15" fillId="0" borderId="8" xfId="8" applyNumberFormat="1" applyFont="1" applyFill="1" applyBorder="1" applyAlignment="1" applyProtection="1">
      <alignment horizontal="center" vertical="center"/>
      <protection hidden="1"/>
    </xf>
    <xf numFmtId="49" fontId="15" fillId="6" borderId="8" xfId="8" applyNumberFormat="1" applyFont="1" applyFill="1" applyBorder="1" applyAlignment="1" applyProtection="1">
      <alignment horizontal="right" vertical="center"/>
      <protection hidden="1"/>
    </xf>
    <xf numFmtId="49" fontId="53" fillId="6" borderId="8" xfId="8" applyNumberFormat="1" applyFont="1" applyFill="1" applyBorder="1" applyAlignment="1" applyProtection="1">
      <alignment horizontal="right" vertical="center"/>
      <protection hidden="1"/>
    </xf>
    <xf numFmtId="49" fontId="15" fillId="6" borderId="23" xfId="8" applyNumberFormat="1" applyFont="1" applyFill="1" applyBorder="1" applyAlignment="1" applyProtection="1">
      <alignment horizontal="right" vertical="center"/>
      <protection hidden="1"/>
    </xf>
    <xf numFmtId="49" fontId="33" fillId="6" borderId="8" xfId="8" applyNumberFormat="1" applyFont="1" applyFill="1" applyBorder="1" applyAlignment="1" applyProtection="1">
      <alignment horizontal="right" vertical="center"/>
      <protection hidden="1"/>
    </xf>
    <xf numFmtId="49" fontId="17" fillId="0" borderId="22" xfId="0" applyNumberFormat="1" applyFont="1" applyFill="1" applyBorder="1" applyAlignment="1" applyProtection="1">
      <alignment horizontal="left" vertical="center"/>
      <protection hidden="1"/>
    </xf>
    <xf numFmtId="0" fontId="14" fillId="0" borderId="8" xfId="8" applyFont="1" applyFill="1" applyBorder="1" applyAlignment="1" applyProtection="1">
      <alignment vertical="center"/>
      <protection hidden="1"/>
    </xf>
    <xf numFmtId="165" fontId="50" fillId="0" borderId="0" xfId="0" applyNumberFormat="1" applyFont="1" applyFill="1" applyBorder="1" applyAlignment="1" applyProtection="1">
      <alignment horizontal="center" vertical="center"/>
      <protection hidden="1"/>
    </xf>
    <xf numFmtId="164" fontId="18" fillId="3" borderId="0" xfId="0" applyNumberFormat="1" applyFont="1" applyFill="1" applyBorder="1" applyAlignment="1" applyProtection="1">
      <alignment horizontal="center" vertical="center"/>
      <protection hidden="1"/>
    </xf>
    <xf numFmtId="49" fontId="15" fillId="0" borderId="8" xfId="7" applyNumberFormat="1" applyFont="1" applyFill="1" applyBorder="1" applyAlignment="1" applyProtection="1">
      <alignment horizontal="center" vertical="center"/>
      <protection hidden="1"/>
    </xf>
    <xf numFmtId="49" fontId="15" fillId="0" borderId="25" xfId="7" applyNumberFormat="1" applyFont="1" applyFill="1" applyBorder="1" applyAlignment="1" applyProtection="1">
      <alignment horizontal="center" vertical="center"/>
      <protection hidden="1"/>
    </xf>
    <xf numFmtId="14" fontId="16" fillId="0" borderId="8" xfId="0" applyNumberFormat="1" applyFont="1" applyBorder="1" applyAlignment="1" applyProtection="1">
      <alignment horizontal="center" vertical="center"/>
      <protection hidden="1"/>
    </xf>
    <xf numFmtId="0" fontId="16" fillId="0" borderId="8" xfId="0" applyFont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left" vertical="center" indent="2"/>
      <protection hidden="1"/>
    </xf>
    <xf numFmtId="49" fontId="12" fillId="26" borderId="51" xfId="2" applyNumberFormat="1" applyFont="1" applyFill="1" applyBorder="1" applyAlignment="1" applyProtection="1">
      <alignment horizontal="center" vertical="center" textRotation="90" wrapText="1"/>
      <protection hidden="1"/>
    </xf>
    <xf numFmtId="49" fontId="12" fillId="26" borderId="51" xfId="2" applyNumberFormat="1" applyFont="1" applyFill="1" applyBorder="1" applyAlignment="1" applyProtection="1">
      <alignment horizontal="center" vertical="center" wrapText="1"/>
      <protection hidden="1"/>
    </xf>
    <xf numFmtId="1" fontId="22" fillId="22" borderId="20" xfId="0" applyNumberFormat="1" applyFont="1" applyFill="1" applyBorder="1" applyAlignment="1" applyProtection="1">
      <alignment horizontal="center" vertical="center"/>
      <protection hidden="1"/>
    </xf>
    <xf numFmtId="1" fontId="22" fillId="22" borderId="8" xfId="0" applyNumberFormat="1" applyFont="1" applyFill="1" applyBorder="1" applyAlignment="1" applyProtection="1">
      <alignment horizontal="center" vertical="center"/>
      <protection hidden="1"/>
    </xf>
    <xf numFmtId="166" fontId="14" fillId="0" borderId="8" xfId="0" applyNumberFormat="1" applyFont="1" applyFill="1" applyBorder="1" applyAlignment="1" applyProtection="1">
      <alignment horizontal="center" vertical="center"/>
      <protection locked="0"/>
    </xf>
    <xf numFmtId="49" fontId="14" fillId="0" borderId="20" xfId="0" applyNumberFormat="1" applyFont="1" applyFill="1" applyBorder="1" applyAlignment="1" applyProtection="1">
      <alignment horizontal="center" vertical="center"/>
      <protection locked="0"/>
    </xf>
    <xf numFmtId="49" fontId="14" fillId="0" borderId="8" xfId="0" applyNumberFormat="1" applyFont="1" applyFill="1" applyBorder="1" applyAlignment="1" applyProtection="1">
      <alignment horizontal="center" vertical="center"/>
      <protection locked="0"/>
    </xf>
    <xf numFmtId="166" fontId="14" fillId="0" borderId="8" xfId="0" applyNumberFormat="1" applyFont="1" applyFill="1" applyBorder="1" applyAlignment="1" applyProtection="1">
      <alignment horizontal="center" vertical="center"/>
      <protection hidden="1"/>
    </xf>
    <xf numFmtId="49" fontId="29" fillId="0" borderId="69" xfId="2" applyNumberFormat="1" applyFont="1" applyFill="1" applyBorder="1" applyAlignment="1" applyProtection="1">
      <alignment horizontal="center" vertical="center" wrapText="1"/>
      <protection hidden="1"/>
    </xf>
    <xf numFmtId="164" fontId="18" fillId="0" borderId="0" xfId="0" applyNumberFormat="1" applyFont="1" applyFill="1" applyBorder="1" applyAlignment="1" applyProtection="1">
      <alignment horizontal="left" vertical="center"/>
      <protection hidden="1"/>
    </xf>
    <xf numFmtId="0" fontId="16" fillId="0" borderId="64" xfId="0" applyFont="1" applyFill="1" applyBorder="1" applyAlignment="1" applyProtection="1">
      <alignment horizontal="center" vertical="center"/>
      <protection hidden="1"/>
    </xf>
    <xf numFmtId="49" fontId="15" fillId="0" borderId="52" xfId="2" applyNumberFormat="1" applyFont="1" applyFill="1" applyBorder="1" applyAlignment="1" applyProtection="1">
      <alignment horizontal="left" vertical="center"/>
      <protection locked="0"/>
    </xf>
    <xf numFmtId="164" fontId="18" fillId="0" borderId="52" xfId="0" applyNumberFormat="1" applyFont="1" applyFill="1" applyBorder="1" applyAlignment="1" applyProtection="1">
      <alignment horizontal="left" vertical="center"/>
      <protection locked="0"/>
    </xf>
    <xf numFmtId="168" fontId="14" fillId="5" borderId="20" xfId="0" applyNumberFormat="1" applyFont="1" applyFill="1" applyBorder="1" applyAlignment="1" applyProtection="1">
      <alignment horizontal="right" vertical="center"/>
      <protection hidden="1"/>
    </xf>
    <xf numFmtId="168" fontId="17" fillId="5" borderId="20" xfId="0" applyNumberFormat="1" applyFont="1" applyFill="1" applyBorder="1" applyAlignment="1" applyProtection="1">
      <alignment horizontal="right" vertical="center"/>
      <protection hidden="1"/>
    </xf>
    <xf numFmtId="168" fontId="14" fillId="3" borderId="8" xfId="0" applyNumberFormat="1" applyFont="1" applyFill="1" applyBorder="1" applyAlignment="1" applyProtection="1">
      <alignment horizontal="right" vertical="center"/>
      <protection hidden="1"/>
    </xf>
    <xf numFmtId="168" fontId="17" fillId="3" borderId="8" xfId="0" applyNumberFormat="1" applyFont="1" applyFill="1" applyBorder="1" applyAlignment="1" applyProtection="1">
      <alignment horizontal="right" vertical="center"/>
      <protection hidden="1"/>
    </xf>
    <xf numFmtId="168" fontId="14" fillId="5" borderId="8" xfId="0" applyNumberFormat="1" applyFont="1" applyFill="1" applyBorder="1" applyAlignment="1" applyProtection="1">
      <alignment horizontal="right" vertical="center"/>
      <protection hidden="1"/>
    </xf>
    <xf numFmtId="168" fontId="17" fillId="5" borderId="8" xfId="0" applyNumberFormat="1" applyFont="1" applyFill="1" applyBorder="1" applyAlignment="1" applyProtection="1">
      <alignment horizontal="right" vertical="center"/>
      <protection hidden="1"/>
    </xf>
    <xf numFmtId="168" fontId="14" fillId="0" borderId="8" xfId="0" applyNumberFormat="1" applyFont="1" applyFill="1" applyBorder="1" applyAlignment="1" applyProtection="1">
      <alignment horizontal="right" vertical="center"/>
      <protection hidden="1"/>
    </xf>
    <xf numFmtId="168" fontId="14" fillId="3" borderId="25" xfId="0" applyNumberFormat="1" applyFont="1" applyFill="1" applyBorder="1" applyAlignment="1" applyProtection="1">
      <alignment horizontal="right" vertical="center"/>
      <protection hidden="1"/>
    </xf>
    <xf numFmtId="168" fontId="17" fillId="3" borderId="25" xfId="0" applyNumberFormat="1" applyFont="1" applyFill="1" applyBorder="1" applyAlignment="1" applyProtection="1">
      <alignment horizontal="right" vertical="center"/>
      <protection hidden="1"/>
    </xf>
    <xf numFmtId="14" fontId="15" fillId="0" borderId="20" xfId="8" applyNumberFormat="1" applyFont="1" applyFill="1" applyBorder="1" applyAlignment="1" applyProtection="1">
      <alignment horizontal="center" vertical="center"/>
      <protection locked="0"/>
    </xf>
    <xf numFmtId="14" fontId="15" fillId="0" borderId="8" xfId="8" applyNumberFormat="1" applyFont="1" applyFill="1" applyBorder="1" applyAlignment="1" applyProtection="1">
      <alignment horizontal="center" vertical="center"/>
      <protection locked="0"/>
    </xf>
    <xf numFmtId="49" fontId="15" fillId="6" borderId="20" xfId="8" applyNumberFormat="1" applyFont="1" applyFill="1" applyBorder="1" applyAlignment="1" applyProtection="1">
      <alignment horizontal="right" vertical="center"/>
      <protection locked="0"/>
    </xf>
    <xf numFmtId="49" fontId="53" fillId="6" borderId="20" xfId="8" applyNumberFormat="1" applyFont="1" applyFill="1" applyBorder="1" applyAlignment="1" applyProtection="1">
      <alignment horizontal="right" vertical="center"/>
      <protection locked="0"/>
    </xf>
    <xf numFmtId="49" fontId="15" fillId="6" borderId="21" xfId="8" applyNumberFormat="1" applyFont="1" applyFill="1" applyBorder="1" applyAlignment="1" applyProtection="1">
      <alignment horizontal="right" vertical="center"/>
      <protection locked="0"/>
    </xf>
    <xf numFmtId="49" fontId="15" fillId="6" borderId="8" xfId="8" applyNumberFormat="1" applyFont="1" applyFill="1" applyBorder="1" applyAlignment="1" applyProtection="1">
      <alignment horizontal="right" vertical="center"/>
      <protection locked="0"/>
    </xf>
    <xf numFmtId="49" fontId="53" fillId="6" borderId="8" xfId="8" applyNumberFormat="1" applyFont="1" applyFill="1" applyBorder="1" applyAlignment="1" applyProtection="1">
      <alignment horizontal="right" vertical="center"/>
      <protection locked="0"/>
    </xf>
    <xf numFmtId="49" fontId="15" fillId="6" borderId="23" xfId="8" applyNumberFormat="1" applyFont="1" applyFill="1" applyBorder="1" applyAlignment="1" applyProtection="1">
      <alignment horizontal="right" vertical="center"/>
      <protection locked="0"/>
    </xf>
    <xf numFmtId="49" fontId="33" fillId="6" borderId="8" xfId="8" applyNumberFormat="1" applyFont="1" applyFill="1" applyBorder="1" applyAlignment="1" applyProtection="1">
      <alignment horizontal="right" vertical="center"/>
      <protection locked="0"/>
    </xf>
    <xf numFmtId="0" fontId="14" fillId="0" borderId="8" xfId="8" applyFont="1" applyFill="1" applyBorder="1" applyAlignment="1" applyProtection="1">
      <alignment vertical="center"/>
      <protection locked="0"/>
    </xf>
    <xf numFmtId="0" fontId="16" fillId="0" borderId="26" xfId="0" applyFont="1" applyBorder="1" applyAlignment="1" applyProtection="1">
      <alignment vertical="center"/>
      <protection locked="0"/>
    </xf>
    <xf numFmtId="166" fontId="14" fillId="0" borderId="52" xfId="0" applyNumberFormat="1" applyFont="1" applyFill="1" applyBorder="1" applyAlignment="1" applyProtection="1">
      <alignment horizontal="right" vertical="center"/>
      <protection locked="0"/>
    </xf>
    <xf numFmtId="49" fontId="32" fillId="3" borderId="0" xfId="0" applyNumberFormat="1" applyFont="1" applyFill="1" applyBorder="1" applyAlignment="1" applyProtection="1">
      <alignment horizontal="left" vertical="center"/>
      <protection hidden="1"/>
    </xf>
    <xf numFmtId="49" fontId="32" fillId="0" borderId="0" xfId="0" applyNumberFormat="1" applyFont="1" applyFill="1" applyBorder="1" applyAlignment="1" applyProtection="1">
      <alignment horizontal="left" vertical="center"/>
      <protection hidden="1"/>
    </xf>
    <xf numFmtId="3" fontId="17" fillId="8" borderId="18" xfId="0" applyNumberFormat="1" applyFont="1" applyFill="1" applyBorder="1" applyAlignment="1" applyProtection="1">
      <alignment horizontal="center" vertical="center"/>
      <protection hidden="1"/>
    </xf>
    <xf numFmtId="10" fontId="17" fillId="8" borderId="18" xfId="0" applyNumberFormat="1" applyFont="1" applyFill="1" applyBorder="1" applyAlignment="1" applyProtection="1">
      <alignment horizontal="center" vertical="center"/>
      <protection hidden="1"/>
    </xf>
    <xf numFmtId="49" fontId="29" fillId="7" borderId="4" xfId="2" applyNumberFormat="1" applyFont="1" applyFill="1" applyBorder="1" applyAlignment="1" applyProtection="1">
      <alignment horizontal="center" vertical="center" wrapText="1"/>
      <protection hidden="1"/>
    </xf>
    <xf numFmtId="49" fontId="29" fillId="7" borderId="24" xfId="2" applyNumberFormat="1" applyFont="1" applyFill="1" applyBorder="1" applyAlignment="1" applyProtection="1">
      <alignment horizontal="center" vertical="center" wrapText="1"/>
      <protection hidden="1"/>
    </xf>
    <xf numFmtId="49" fontId="29" fillId="7" borderId="25" xfId="2" applyNumberFormat="1" applyFont="1" applyFill="1" applyBorder="1" applyAlignment="1" applyProtection="1">
      <alignment horizontal="center" vertical="center" wrapText="1"/>
      <protection hidden="1"/>
    </xf>
    <xf numFmtId="49" fontId="29" fillId="7" borderId="28" xfId="2" applyNumberFormat="1" applyFont="1" applyFill="1" applyBorder="1" applyAlignment="1" applyProtection="1">
      <alignment horizontal="center" vertical="center" wrapText="1"/>
      <protection hidden="1"/>
    </xf>
    <xf numFmtId="49" fontId="29" fillId="7" borderId="29" xfId="2" applyNumberFormat="1" applyFont="1" applyFill="1" applyBorder="1" applyAlignment="1" applyProtection="1">
      <alignment horizontal="center" vertical="center" wrapText="1"/>
      <protection hidden="1"/>
    </xf>
    <xf numFmtId="49" fontId="50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29" fillId="0" borderId="0" xfId="2" applyNumberFormat="1" applyFont="1" applyFill="1" applyBorder="1" applyAlignment="1" applyProtection="1">
      <alignment horizontal="center" vertical="center" wrapText="1"/>
      <protection hidden="1"/>
    </xf>
    <xf numFmtId="14" fontId="15" fillId="0" borderId="20" xfId="9" applyNumberFormat="1" applyFont="1" applyFill="1" applyBorder="1" applyAlignment="1" applyProtection="1">
      <alignment horizontal="center" vertical="center"/>
      <protection hidden="1"/>
    </xf>
    <xf numFmtId="49" fontId="15" fillId="0" borderId="20" xfId="9" applyNumberFormat="1" applyFont="1" applyFill="1" applyBorder="1" applyAlignment="1" applyProtection="1">
      <alignment horizontal="center" vertical="center"/>
      <protection hidden="1"/>
    </xf>
    <xf numFmtId="49" fontId="15" fillId="6" borderId="20" xfId="9" applyNumberFormat="1" applyFont="1" applyFill="1" applyBorder="1" applyAlignment="1" applyProtection="1">
      <alignment horizontal="right" vertical="center"/>
      <protection hidden="1"/>
    </xf>
    <xf numFmtId="49" fontId="15" fillId="0" borderId="20" xfId="2" applyNumberFormat="1" applyFont="1" applyFill="1" applyBorder="1" applyAlignment="1" applyProtection="1">
      <alignment horizontal="right" vertical="center"/>
      <protection hidden="1"/>
    </xf>
    <xf numFmtId="49" fontId="15" fillId="0" borderId="21" xfId="2" applyNumberFormat="1" applyFont="1" applyFill="1" applyBorder="1" applyAlignment="1" applyProtection="1">
      <alignment horizontal="right" vertical="center"/>
      <protection hidden="1"/>
    </xf>
    <xf numFmtId="49" fontId="15" fillId="0" borderId="8" xfId="2" applyNumberFormat="1" applyFont="1" applyFill="1" applyBorder="1" applyAlignment="1" applyProtection="1">
      <alignment horizontal="right" vertical="center"/>
      <protection hidden="1"/>
    </xf>
    <xf numFmtId="49" fontId="15" fillId="0" borderId="23" xfId="2" applyNumberFormat="1" applyFont="1" applyFill="1" applyBorder="1" applyAlignment="1" applyProtection="1">
      <alignment horizontal="right" vertical="center"/>
      <protection hidden="1"/>
    </xf>
    <xf numFmtId="49" fontId="15" fillId="6" borderId="8" xfId="5" applyNumberFormat="1" applyFont="1" applyFill="1" applyBorder="1" applyAlignment="1" applyProtection="1">
      <alignment horizontal="right" vertical="center"/>
      <protection hidden="1"/>
    </xf>
    <xf numFmtId="0" fontId="14" fillId="0" borderId="8" xfId="5" applyFont="1" applyBorder="1" applyAlignment="1" applyProtection="1">
      <alignment vertical="center"/>
      <protection hidden="1"/>
    </xf>
    <xf numFmtId="49" fontId="15" fillId="6" borderId="8" xfId="2" applyNumberFormat="1" applyFont="1" applyFill="1" applyBorder="1" applyAlignment="1" applyProtection="1">
      <alignment horizontal="right" vertical="center"/>
      <protection hidden="1"/>
    </xf>
    <xf numFmtId="49" fontId="15" fillId="6" borderId="8" xfId="7" applyNumberFormat="1" applyFont="1" applyFill="1" applyBorder="1" applyAlignment="1" applyProtection="1">
      <alignment horizontal="right" vertical="center"/>
      <protection hidden="1"/>
    </xf>
    <xf numFmtId="49" fontId="15" fillId="6" borderId="8" xfId="7" applyNumberFormat="1" applyFont="1" applyFill="1" applyBorder="1" applyAlignment="1" applyProtection="1">
      <alignment horizontal="center" vertical="center" wrapText="1"/>
      <protection hidden="1"/>
    </xf>
    <xf numFmtId="49" fontId="15" fillId="6" borderId="8" xfId="7" applyNumberFormat="1" applyFont="1" applyFill="1" applyBorder="1" applyAlignment="1" applyProtection="1">
      <alignment horizontal="right" vertical="center" wrapText="1"/>
      <protection hidden="1"/>
    </xf>
    <xf numFmtId="0" fontId="14" fillId="0" borderId="8" xfId="6" applyFont="1" applyBorder="1" applyAlignment="1" applyProtection="1">
      <alignment vertical="center"/>
      <protection hidden="1"/>
    </xf>
    <xf numFmtId="49" fontId="15" fillId="6" borderId="8" xfId="6" applyNumberFormat="1" applyFont="1" applyFill="1" applyBorder="1" applyAlignment="1" applyProtection="1">
      <alignment horizontal="right" vertical="center"/>
      <protection hidden="1"/>
    </xf>
    <xf numFmtId="49" fontId="15" fillId="6" borderId="8" xfId="3" applyNumberFormat="1" applyFont="1" applyFill="1" applyBorder="1" applyAlignment="1" applyProtection="1">
      <alignment horizontal="right" vertical="center"/>
      <protection hidden="1"/>
    </xf>
    <xf numFmtId="49" fontId="52" fillId="0" borderId="8" xfId="2" applyNumberFormat="1" applyFont="1" applyFill="1" applyBorder="1" applyAlignment="1" applyProtection="1">
      <alignment horizontal="right" vertical="center"/>
      <protection hidden="1"/>
    </xf>
    <xf numFmtId="14" fontId="15" fillId="0" borderId="8" xfId="9" applyNumberFormat="1" applyFont="1" applyFill="1" applyBorder="1" applyAlignment="1" applyProtection="1">
      <alignment horizontal="center" vertical="center"/>
      <protection hidden="1"/>
    </xf>
    <xf numFmtId="49" fontId="15" fillId="0" borderId="8" xfId="9" applyNumberFormat="1" applyFont="1" applyFill="1" applyBorder="1" applyAlignment="1" applyProtection="1">
      <alignment horizontal="center" vertical="center"/>
      <protection hidden="1"/>
    </xf>
    <xf numFmtId="49" fontId="15" fillId="6" borderId="8" xfId="9" applyNumberFormat="1" applyFont="1" applyFill="1" applyBorder="1" applyAlignment="1" applyProtection="1">
      <alignment horizontal="right" vertical="center"/>
      <protection hidden="1"/>
    </xf>
    <xf numFmtId="49" fontId="15" fillId="6" borderId="23" xfId="9" applyNumberFormat="1" applyFont="1" applyFill="1" applyBorder="1" applyAlignment="1" applyProtection="1">
      <alignment horizontal="right" vertical="center"/>
      <protection hidden="1"/>
    </xf>
    <xf numFmtId="49" fontId="15" fillId="0" borderId="8" xfId="3" applyNumberFormat="1" applyFont="1" applyFill="1" applyBorder="1" applyAlignment="1" applyProtection="1">
      <alignment horizontal="right" vertical="center"/>
      <protection hidden="1"/>
    </xf>
    <xf numFmtId="49" fontId="15" fillId="6" borderId="23" xfId="7" applyNumberFormat="1" applyFont="1" applyFill="1" applyBorder="1" applyAlignment="1" applyProtection="1">
      <alignment horizontal="right" vertical="center"/>
      <protection hidden="1"/>
    </xf>
    <xf numFmtId="49" fontId="15" fillId="6" borderId="23" xfId="6" applyNumberFormat="1" applyFont="1" applyFill="1" applyBorder="1" applyAlignment="1" applyProtection="1">
      <alignment horizontal="right" vertical="center"/>
      <protection hidden="1"/>
    </xf>
    <xf numFmtId="49" fontId="15" fillId="6" borderId="25" xfId="7" applyNumberFormat="1" applyFont="1" applyFill="1" applyBorder="1" applyAlignment="1" applyProtection="1">
      <alignment horizontal="right" vertical="center"/>
      <protection hidden="1"/>
    </xf>
    <xf numFmtId="49" fontId="15" fillId="6" borderId="25" xfId="7" applyNumberFormat="1" applyFont="1" applyFill="1" applyBorder="1" applyAlignment="1" applyProtection="1">
      <alignment horizontal="center" vertical="center" wrapText="1"/>
      <protection hidden="1"/>
    </xf>
    <xf numFmtId="49" fontId="15" fillId="6" borderId="25" xfId="7" applyNumberFormat="1" applyFont="1" applyFill="1" applyBorder="1" applyAlignment="1" applyProtection="1">
      <alignment horizontal="right" vertical="center" wrapText="1"/>
      <protection hidden="1"/>
    </xf>
    <xf numFmtId="49" fontId="15" fillId="6" borderId="25" xfId="5" applyNumberFormat="1" applyFont="1" applyFill="1" applyBorder="1" applyAlignment="1" applyProtection="1">
      <alignment horizontal="right" vertical="center"/>
      <protection hidden="1"/>
    </xf>
    <xf numFmtId="14" fontId="15" fillId="0" borderId="52" xfId="9" applyNumberFormat="1" applyFont="1" applyFill="1" applyBorder="1" applyAlignment="1" applyProtection="1">
      <alignment horizontal="center" vertical="center"/>
      <protection hidden="1"/>
    </xf>
    <xf numFmtId="49" fontId="15" fillId="0" borderId="52" xfId="8" applyNumberFormat="1" applyFont="1" applyFill="1" applyBorder="1" applyAlignment="1" applyProtection="1">
      <alignment horizontal="center" vertical="center"/>
      <protection hidden="1"/>
    </xf>
    <xf numFmtId="49" fontId="15" fillId="0" borderId="52" xfId="5" applyNumberFormat="1" applyFont="1" applyFill="1" applyBorder="1" applyAlignment="1" applyProtection="1">
      <alignment horizontal="right" vertical="center"/>
      <protection hidden="1"/>
    </xf>
    <xf numFmtId="49" fontId="15" fillId="0" borderId="52" xfId="7" applyNumberFormat="1" applyFont="1" applyFill="1" applyBorder="1" applyAlignment="1" applyProtection="1">
      <alignment horizontal="right" vertical="center"/>
      <protection hidden="1"/>
    </xf>
    <xf numFmtId="49" fontId="33" fillId="0" borderId="52" xfId="1" applyNumberFormat="1" applyFont="1" applyFill="1" applyBorder="1" applyAlignment="1" applyProtection="1">
      <alignment horizontal="right" vertical="center"/>
      <protection hidden="1"/>
    </xf>
    <xf numFmtId="49" fontId="15" fillId="0" borderId="52" xfId="2" applyNumberFormat="1" applyFont="1" applyFill="1" applyBorder="1" applyAlignment="1" applyProtection="1">
      <alignment horizontal="right" vertical="center"/>
      <protection hidden="1"/>
    </xf>
    <xf numFmtId="49" fontId="52" fillId="0" borderId="52" xfId="2" applyNumberFormat="1" applyFont="1" applyFill="1" applyBorder="1" applyAlignment="1" applyProtection="1">
      <alignment horizontal="right" vertical="center"/>
      <protection hidden="1"/>
    </xf>
    <xf numFmtId="49" fontId="15" fillId="0" borderId="8" xfId="5" applyNumberFormat="1" applyFont="1" applyFill="1" applyBorder="1" applyAlignment="1" applyProtection="1">
      <alignment horizontal="center" vertical="center"/>
      <protection hidden="1"/>
    </xf>
    <xf numFmtId="49" fontId="33" fillId="0" borderId="8" xfId="1" applyNumberFormat="1" applyFont="1" applyFill="1" applyBorder="1" applyAlignment="1" applyProtection="1">
      <alignment horizontal="center" vertical="center"/>
      <protection hidden="1"/>
    </xf>
    <xf numFmtId="49" fontId="15" fillId="0" borderId="8" xfId="2" applyNumberFormat="1" applyFont="1" applyFill="1" applyBorder="1" applyAlignment="1" applyProtection="1">
      <alignment horizontal="center" vertical="center"/>
      <protection hidden="1"/>
    </xf>
    <xf numFmtId="49" fontId="52" fillId="0" borderId="8" xfId="2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vertical="center"/>
      <protection hidden="1"/>
    </xf>
    <xf numFmtId="49" fontId="43" fillId="0" borderId="0" xfId="0" applyNumberFormat="1" applyFont="1" applyFill="1" applyBorder="1" applyAlignment="1" applyProtection="1">
      <alignment horizontal="left" vertical="center"/>
      <protection hidden="1"/>
    </xf>
    <xf numFmtId="167" fontId="43" fillId="0" borderId="0" xfId="10" applyNumberFormat="1" applyFont="1" applyFill="1" applyAlignment="1" applyProtection="1">
      <alignment vertical="center"/>
      <protection hidden="1"/>
    </xf>
    <xf numFmtId="0" fontId="16" fillId="0" borderId="0" xfId="0" applyFont="1" applyFill="1" applyAlignment="1" applyProtection="1">
      <alignment horizontal="center" vertical="center"/>
      <protection hidden="1"/>
    </xf>
    <xf numFmtId="0" fontId="22" fillId="0" borderId="0" xfId="0" applyFont="1" applyFill="1" applyAlignment="1" applyProtection="1">
      <alignment vertical="center"/>
      <protection hidden="1"/>
    </xf>
    <xf numFmtId="49" fontId="14" fillId="3" borderId="0" xfId="0" applyNumberFormat="1" applyFont="1" applyFill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horizontal="left" vertical="center"/>
      <protection hidden="1"/>
    </xf>
    <xf numFmtId="0" fontId="22" fillId="0" borderId="0" xfId="0" quotePrefix="1" applyFont="1" applyAlignment="1" applyProtection="1">
      <alignment vertical="center"/>
      <protection hidden="1"/>
    </xf>
    <xf numFmtId="0" fontId="16" fillId="0" borderId="20" xfId="0" applyFont="1" applyFill="1" applyBorder="1" applyAlignment="1" applyProtection="1">
      <alignment vertical="center"/>
      <protection hidden="1"/>
    </xf>
    <xf numFmtId="16" fontId="14" fillId="0" borderId="8" xfId="7" applyNumberFormat="1" applyFont="1" applyBorder="1" applyAlignment="1" applyProtection="1">
      <alignment horizontal="center" vertical="center"/>
      <protection hidden="1"/>
    </xf>
    <xf numFmtId="14" fontId="14" fillId="0" borderId="8" xfId="6" applyNumberFormat="1" applyFont="1" applyFill="1" applyBorder="1" applyAlignment="1" applyProtection="1">
      <alignment horizontal="center" vertical="center"/>
      <protection hidden="1"/>
    </xf>
    <xf numFmtId="14" fontId="14" fillId="0" borderId="52" xfId="6" applyNumberFormat="1" applyFont="1" applyFill="1" applyBorder="1" applyAlignment="1" applyProtection="1">
      <alignment vertical="center"/>
      <protection hidden="1"/>
    </xf>
    <xf numFmtId="14" fontId="14" fillId="0" borderId="8" xfId="6" applyNumberFormat="1" applyFont="1" applyFill="1" applyBorder="1" applyAlignment="1" applyProtection="1">
      <alignment vertical="center"/>
      <protection hidden="1"/>
    </xf>
    <xf numFmtId="168" fontId="16" fillId="0" borderId="8" xfId="0" applyNumberFormat="1" applyFont="1" applyBorder="1" applyAlignment="1" applyProtection="1">
      <alignment vertical="center"/>
      <protection hidden="1"/>
    </xf>
    <xf numFmtId="14" fontId="16" fillId="0" borderId="52" xfId="0" applyNumberFormat="1" applyFont="1" applyFill="1" applyBorder="1" applyAlignment="1" applyProtection="1">
      <alignment vertical="center"/>
      <protection hidden="1"/>
    </xf>
    <xf numFmtId="0" fontId="14" fillId="0" borderId="8" xfId="8" applyFont="1" applyBorder="1" applyAlignment="1" applyProtection="1">
      <alignment vertical="center"/>
      <protection hidden="1"/>
    </xf>
    <xf numFmtId="0" fontId="14" fillId="0" borderId="23" xfId="8" applyFont="1" applyBorder="1" applyAlignment="1" applyProtection="1">
      <alignment vertical="center"/>
      <protection hidden="1"/>
    </xf>
    <xf numFmtId="0" fontId="14" fillId="0" borderId="8" xfId="6" applyFont="1" applyFill="1" applyBorder="1" applyAlignment="1" applyProtection="1">
      <alignment horizontal="right" vertical="center"/>
      <protection hidden="1"/>
    </xf>
    <xf numFmtId="0" fontId="14" fillId="0" borderId="8" xfId="8" applyFont="1" applyFill="1" applyBorder="1" applyAlignment="1" applyProtection="1">
      <alignment horizontal="right" vertical="center"/>
      <protection hidden="1"/>
    </xf>
    <xf numFmtId="49" fontId="17" fillId="3" borderId="8" xfId="0" applyNumberFormat="1" applyFont="1" applyFill="1" applyBorder="1" applyAlignment="1" applyProtection="1">
      <alignment horizontal="left" vertical="center"/>
      <protection hidden="1"/>
    </xf>
    <xf numFmtId="16" fontId="14" fillId="0" borderId="25" xfId="7" applyNumberFormat="1" applyFont="1" applyBorder="1" applyAlignment="1" applyProtection="1">
      <alignment horizontal="center" vertical="center"/>
      <protection hidden="1"/>
    </xf>
    <xf numFmtId="0" fontId="16" fillId="0" borderId="25" xfId="0" applyFont="1" applyFill="1" applyBorder="1" applyAlignment="1" applyProtection="1">
      <alignment vertical="center"/>
      <protection hidden="1"/>
    </xf>
    <xf numFmtId="0" fontId="16" fillId="0" borderId="26" xfId="0" applyFont="1" applyFill="1" applyBorder="1" applyAlignment="1" applyProtection="1">
      <alignment vertical="center"/>
      <protection hidden="1"/>
    </xf>
    <xf numFmtId="14" fontId="16" fillId="0" borderId="0" xfId="0" applyNumberFormat="1" applyFont="1" applyAlignment="1" applyProtection="1">
      <alignment vertical="center"/>
      <protection hidden="1"/>
    </xf>
    <xf numFmtId="0" fontId="14" fillId="0" borderId="8" xfId="7" applyFont="1" applyFill="1" applyBorder="1" applyAlignment="1" applyProtection="1">
      <alignment horizontal="center" vertical="center"/>
      <protection hidden="1"/>
    </xf>
    <xf numFmtId="0" fontId="16" fillId="0" borderId="8" xfId="0" applyFont="1" applyFill="1" applyBorder="1" applyAlignment="1" applyProtection="1">
      <alignment horizontal="center" vertical="center"/>
      <protection hidden="1"/>
    </xf>
    <xf numFmtId="49" fontId="15" fillId="6" borderId="8" xfId="3" applyNumberFormat="1" applyFont="1" applyFill="1" applyBorder="1" applyAlignment="1" applyProtection="1">
      <alignment horizontal="center" vertical="center"/>
      <protection hidden="1"/>
    </xf>
    <xf numFmtId="49" fontId="15" fillId="0" borderId="8" xfId="3" applyNumberFormat="1" applyFont="1" applyFill="1" applyBorder="1" applyAlignment="1" applyProtection="1">
      <alignment horizontal="center" vertical="center"/>
      <protection hidden="1"/>
    </xf>
    <xf numFmtId="0" fontId="14" fillId="0" borderId="25" xfId="7" applyFont="1" applyFill="1" applyBorder="1" applyAlignment="1" applyProtection="1">
      <alignment horizontal="center" vertical="center"/>
      <protection hidden="1"/>
    </xf>
    <xf numFmtId="49" fontId="17" fillId="3" borderId="37" xfId="0" applyNumberFormat="1" applyFont="1" applyFill="1" applyBorder="1" applyAlignment="1" applyProtection="1">
      <alignment horizontal="left" vertical="center"/>
      <protection hidden="1"/>
    </xf>
    <xf numFmtId="168" fontId="14" fillId="5" borderId="39" xfId="0" applyNumberFormat="1" applyFont="1" applyFill="1" applyBorder="1" applyAlignment="1" applyProtection="1">
      <alignment horizontal="right" vertical="center"/>
      <protection hidden="1"/>
    </xf>
    <xf numFmtId="168" fontId="17" fillId="5" borderId="39" xfId="0" applyNumberFormat="1" applyFont="1" applyFill="1" applyBorder="1" applyAlignment="1" applyProtection="1">
      <alignment horizontal="right" vertical="center"/>
      <protection hidden="1"/>
    </xf>
    <xf numFmtId="166" fontId="14" fillId="13" borderId="39" xfId="0" applyNumberFormat="1" applyFont="1" applyFill="1" applyBorder="1" applyAlignment="1" applyProtection="1">
      <alignment horizontal="right" vertical="center"/>
      <protection hidden="1"/>
    </xf>
    <xf numFmtId="14" fontId="15" fillId="0" borderId="39" xfId="9" applyNumberFormat="1" applyFont="1" applyFill="1" applyBorder="1" applyAlignment="1" applyProtection="1">
      <alignment horizontal="center" vertical="center"/>
      <protection hidden="1"/>
    </xf>
    <xf numFmtId="49" fontId="15" fillId="0" borderId="39" xfId="9" applyNumberFormat="1" applyFont="1" applyFill="1" applyBorder="1" applyAlignment="1" applyProtection="1">
      <alignment horizontal="center" vertical="center"/>
      <protection hidden="1"/>
    </xf>
    <xf numFmtId="49" fontId="15" fillId="6" borderId="39" xfId="9" applyNumberFormat="1" applyFont="1" applyFill="1" applyBorder="1" applyAlignment="1" applyProtection="1">
      <alignment horizontal="right" vertical="center"/>
      <protection hidden="1"/>
    </xf>
    <xf numFmtId="0" fontId="16" fillId="0" borderId="39" xfId="0" applyFont="1" applyBorder="1" applyAlignment="1" applyProtection="1">
      <alignment vertical="center"/>
      <protection hidden="1"/>
    </xf>
    <xf numFmtId="0" fontId="16" fillId="0" borderId="39" xfId="0" applyFont="1" applyFill="1" applyBorder="1" applyAlignment="1" applyProtection="1">
      <alignment vertical="center"/>
      <protection hidden="1"/>
    </xf>
    <xf numFmtId="49" fontId="15" fillId="0" borderId="39" xfId="2" applyNumberFormat="1" applyFont="1" applyFill="1" applyBorder="1" applyAlignment="1" applyProtection="1">
      <alignment horizontal="right" vertical="center"/>
      <protection hidden="1"/>
    </xf>
    <xf numFmtId="49" fontId="15" fillId="0" borderId="72" xfId="2" applyNumberFormat="1" applyFont="1" applyFill="1" applyBorder="1" applyAlignment="1" applyProtection="1">
      <alignment horizontal="right" vertical="center"/>
      <protection hidden="1"/>
    </xf>
    <xf numFmtId="49" fontId="54" fillId="0" borderId="0" xfId="0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49" fontId="43" fillId="0" borderId="0" xfId="0" applyNumberFormat="1" applyFont="1" applyFill="1" applyBorder="1" applyAlignment="1" applyProtection="1">
      <alignment horizontal="center" vertical="center"/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49" fontId="14" fillId="3" borderId="31" xfId="0" applyNumberFormat="1" applyFont="1" applyFill="1" applyBorder="1" applyAlignment="1" applyProtection="1">
      <alignment horizontal="center" vertical="center"/>
      <protection hidden="1"/>
    </xf>
    <xf numFmtId="49" fontId="14" fillId="3" borderId="38" xfId="0" applyNumberFormat="1" applyFont="1" applyFill="1" applyBorder="1" applyAlignment="1" applyProtection="1">
      <alignment horizontal="center" vertical="center"/>
      <protection hidden="1"/>
    </xf>
    <xf numFmtId="49" fontId="14" fillId="3" borderId="32" xfId="0" applyNumberFormat="1" applyFont="1" applyFill="1" applyBorder="1" applyAlignment="1" applyProtection="1">
      <alignment horizontal="center" vertical="center"/>
      <protection hidden="1"/>
    </xf>
    <xf numFmtId="49" fontId="14" fillId="0" borderId="32" xfId="0" applyNumberFormat="1" applyFont="1" applyFill="1" applyBorder="1" applyAlignment="1" applyProtection="1">
      <alignment horizontal="center" vertical="center"/>
      <protection hidden="1"/>
    </xf>
    <xf numFmtId="49" fontId="14" fillId="3" borderId="33" xfId="0" applyNumberFormat="1" applyFont="1" applyFill="1" applyBorder="1" applyAlignment="1" applyProtection="1">
      <alignment horizontal="center" vertical="center"/>
      <protection hidden="1"/>
    </xf>
    <xf numFmtId="49" fontId="27" fillId="0" borderId="32" xfId="0" applyNumberFormat="1" applyFont="1" applyFill="1" applyBorder="1" applyAlignment="1" applyProtection="1">
      <alignment horizontal="center" vertical="center"/>
      <protection hidden="1"/>
    </xf>
    <xf numFmtId="49" fontId="27" fillId="3" borderId="32" xfId="0" applyNumberFormat="1" applyFont="1" applyFill="1" applyBorder="1" applyAlignment="1" applyProtection="1">
      <alignment horizontal="center" vertical="center"/>
      <protection hidden="1"/>
    </xf>
    <xf numFmtId="167" fontId="43" fillId="0" borderId="0" xfId="10" applyNumberFormat="1" applyFont="1" applyFill="1" applyAlignment="1" applyProtection="1">
      <alignment horizontal="center" vertical="center"/>
      <protection hidden="1"/>
    </xf>
    <xf numFmtId="10" fontId="14" fillId="5" borderId="20" xfId="10" applyNumberFormat="1" applyFont="1" applyFill="1" applyBorder="1" applyAlignment="1" applyProtection="1">
      <alignment horizontal="center" vertical="center"/>
      <protection hidden="1"/>
    </xf>
    <xf numFmtId="10" fontId="14" fillId="5" borderId="39" xfId="10" applyNumberFormat="1" applyFont="1" applyFill="1" applyBorder="1" applyAlignment="1" applyProtection="1">
      <alignment horizontal="center" vertical="center"/>
      <protection hidden="1"/>
    </xf>
    <xf numFmtId="10" fontId="14" fillId="5" borderId="25" xfId="10" applyNumberFormat="1" applyFont="1" applyFill="1" applyBorder="1" applyAlignment="1" applyProtection="1">
      <alignment horizontal="center" vertical="center"/>
      <protection hidden="1"/>
    </xf>
    <xf numFmtId="49" fontId="10" fillId="11" borderId="10" xfId="0" applyNumberFormat="1" applyFont="1" applyFill="1" applyBorder="1" applyAlignment="1" applyProtection="1">
      <alignment horizontal="center" vertical="center" wrapText="1"/>
      <protection hidden="1"/>
    </xf>
    <xf numFmtId="49" fontId="10" fillId="11" borderId="34" xfId="0" applyNumberFormat="1" applyFont="1" applyFill="1" applyBorder="1" applyAlignment="1" applyProtection="1">
      <alignment horizontal="center" vertical="center" wrapText="1"/>
      <protection hidden="1"/>
    </xf>
    <xf numFmtId="49" fontId="10" fillId="11" borderId="11" xfId="0" applyNumberFormat="1" applyFont="1" applyFill="1" applyBorder="1" applyAlignment="1" applyProtection="1">
      <alignment horizontal="center" vertical="center" wrapText="1"/>
      <protection hidden="1"/>
    </xf>
    <xf numFmtId="168" fontId="17" fillId="27" borderId="77" xfId="0" applyNumberFormat="1" applyFont="1" applyFill="1" applyBorder="1" applyAlignment="1" applyProtection="1">
      <alignment horizontal="right" vertical="center"/>
      <protection hidden="1"/>
    </xf>
    <xf numFmtId="168" fontId="17" fillId="27" borderId="79" xfId="0" applyNumberFormat="1" applyFont="1" applyFill="1" applyBorder="1" applyAlignment="1" applyProtection="1">
      <alignment horizontal="right" vertical="center"/>
      <protection hidden="1"/>
    </xf>
    <xf numFmtId="168" fontId="17" fillId="27" borderId="80" xfId="0" applyNumberFormat="1" applyFont="1" applyFill="1" applyBorder="1" applyAlignment="1" applyProtection="1">
      <alignment horizontal="right" vertical="center"/>
      <protection hidden="1"/>
    </xf>
    <xf numFmtId="3" fontId="44" fillId="27" borderId="58" xfId="0" applyNumberFormat="1" applyFont="1" applyFill="1" applyBorder="1" applyAlignment="1" applyProtection="1">
      <alignment horizontal="left" vertical="center" indent="2"/>
      <protection hidden="1"/>
    </xf>
    <xf numFmtId="168" fontId="44" fillId="27" borderId="58" xfId="0" applyNumberFormat="1" applyFont="1" applyFill="1" applyBorder="1" applyAlignment="1" applyProtection="1">
      <alignment horizontal="left" vertical="center" indent="2"/>
      <protection hidden="1"/>
    </xf>
    <xf numFmtId="166" fontId="44" fillId="27" borderId="55" xfId="0" applyNumberFormat="1" applyFont="1" applyFill="1" applyBorder="1" applyAlignment="1" applyProtection="1">
      <alignment horizontal="left" vertical="center" indent="2"/>
      <protection hidden="1"/>
    </xf>
    <xf numFmtId="167" fontId="17" fillId="27" borderId="80" xfId="10" applyNumberFormat="1" applyFont="1" applyFill="1" applyBorder="1" applyAlignment="1" applyProtection="1">
      <alignment horizontal="center" vertical="center"/>
      <protection hidden="1"/>
    </xf>
    <xf numFmtId="168" fontId="40" fillId="27" borderId="76" xfId="0" applyNumberFormat="1" applyFont="1" applyFill="1" applyBorder="1" applyAlignment="1" applyProtection="1">
      <alignment horizontal="right" vertical="center"/>
      <protection hidden="1"/>
    </xf>
    <xf numFmtId="168" fontId="55" fillId="27" borderId="57" xfId="0" applyNumberFormat="1" applyFont="1" applyFill="1" applyBorder="1" applyAlignment="1" applyProtection="1">
      <alignment horizontal="left" vertical="center" indent="2"/>
      <protection hidden="1"/>
    </xf>
    <xf numFmtId="167" fontId="56" fillId="27" borderId="77" xfId="10" applyNumberFormat="1" applyFont="1" applyFill="1" applyBorder="1" applyAlignment="1" applyProtection="1">
      <alignment horizontal="center" vertical="center"/>
      <protection hidden="1"/>
    </xf>
    <xf numFmtId="166" fontId="17" fillId="27" borderId="81" xfId="0" applyNumberFormat="1" applyFont="1" applyFill="1" applyBorder="1" applyAlignment="1" applyProtection="1">
      <alignment horizontal="center" vertical="center"/>
      <protection hidden="1"/>
    </xf>
    <xf numFmtId="166" fontId="56" fillId="27" borderId="78" xfId="0" applyNumberFormat="1" applyFont="1" applyFill="1" applyBorder="1" applyAlignment="1" applyProtection="1">
      <alignment horizontal="center" vertical="center"/>
      <protection hidden="1"/>
    </xf>
    <xf numFmtId="49" fontId="17" fillId="27" borderId="74" xfId="0" applyNumberFormat="1" applyFont="1" applyFill="1" applyBorder="1" applyAlignment="1" applyProtection="1">
      <alignment horizontal="left" vertical="center"/>
      <protection hidden="1"/>
    </xf>
    <xf numFmtId="49" fontId="17" fillId="27" borderId="75" xfId="0" applyNumberFormat="1" applyFont="1" applyFill="1" applyBorder="1" applyAlignment="1" applyProtection="1">
      <alignment horizontal="left" vertical="center"/>
      <protection hidden="1"/>
    </xf>
    <xf numFmtId="49" fontId="17" fillId="27" borderId="73" xfId="0" applyNumberFormat="1" applyFont="1" applyFill="1" applyBorder="1" applyAlignment="1" applyProtection="1">
      <alignment horizontal="left" vertical="center"/>
      <protection hidden="1"/>
    </xf>
    <xf numFmtId="1" fontId="40" fillId="0" borderId="0" xfId="0" applyNumberFormat="1" applyFont="1" applyFill="1" applyBorder="1" applyAlignment="1" applyProtection="1">
      <alignment vertical="center"/>
      <protection hidden="1"/>
    </xf>
    <xf numFmtId="167" fontId="40" fillId="0" borderId="0" xfId="10" applyNumberFormat="1" applyFont="1" applyFill="1" applyBorder="1" applyAlignment="1" applyProtection="1">
      <alignment vertical="center"/>
      <protection hidden="1"/>
    </xf>
    <xf numFmtId="42" fontId="45" fillId="0" borderId="48" xfId="0" applyNumberFormat="1" applyFont="1" applyFill="1" applyBorder="1" applyAlignment="1" applyProtection="1">
      <alignment vertical="center"/>
      <protection hidden="1"/>
    </xf>
    <xf numFmtId="42" fontId="45" fillId="12" borderId="82" xfId="0" applyNumberFormat="1" applyFont="1" applyFill="1" applyBorder="1" applyAlignment="1" applyProtection="1">
      <alignment horizontal="right" vertical="center" indent="1"/>
      <protection hidden="1"/>
    </xf>
    <xf numFmtId="49" fontId="17" fillId="28" borderId="67" xfId="0" applyNumberFormat="1" applyFont="1" applyFill="1" applyBorder="1" applyAlignment="1" applyProtection="1">
      <alignment horizontal="left" vertical="center"/>
      <protection hidden="1"/>
    </xf>
    <xf numFmtId="49" fontId="17" fillId="28" borderId="83" xfId="0" applyNumberFormat="1" applyFont="1" applyFill="1" applyBorder="1" applyAlignment="1" applyProtection="1">
      <alignment horizontal="left" vertical="center"/>
      <protection hidden="1"/>
    </xf>
    <xf numFmtId="172" fontId="41" fillId="0" borderId="20" xfId="0" applyNumberFormat="1" applyFont="1" applyFill="1" applyBorder="1" applyAlignment="1" applyProtection="1">
      <alignment horizontal="center" vertical="center"/>
      <protection hidden="1"/>
    </xf>
    <xf numFmtId="172" fontId="41" fillId="0" borderId="39" xfId="0" applyNumberFormat="1" applyFont="1" applyFill="1" applyBorder="1" applyAlignment="1" applyProtection="1">
      <alignment horizontal="center" vertical="center"/>
      <protection hidden="1"/>
    </xf>
    <xf numFmtId="172" fontId="41" fillId="0" borderId="8" xfId="0" applyNumberFormat="1" applyFont="1" applyFill="1" applyBorder="1" applyAlignment="1" applyProtection="1">
      <alignment horizontal="center" vertical="center"/>
      <protection hidden="1"/>
    </xf>
    <xf numFmtId="172" fontId="41" fillId="0" borderId="25" xfId="0" applyNumberFormat="1" applyFont="1" applyFill="1" applyBorder="1" applyAlignment="1" applyProtection="1">
      <alignment horizontal="center" vertical="center"/>
      <protection hidden="1"/>
    </xf>
    <xf numFmtId="14" fontId="22" fillId="22" borderId="20" xfId="0" applyNumberFormat="1" applyFont="1" applyFill="1" applyBorder="1" applyAlignment="1" applyProtection="1">
      <alignment horizontal="center" vertical="center"/>
      <protection hidden="1"/>
    </xf>
    <xf numFmtId="14" fontId="22" fillId="22" borderId="8" xfId="0" applyNumberFormat="1" applyFont="1" applyFill="1" applyBorder="1" applyAlignment="1" applyProtection="1">
      <alignment horizontal="center" vertical="center"/>
      <protection hidden="1"/>
    </xf>
    <xf numFmtId="14" fontId="22" fillId="22" borderId="25" xfId="0" applyNumberFormat="1" applyFont="1" applyFill="1" applyBorder="1" applyAlignment="1" applyProtection="1">
      <alignment horizontal="center" vertical="center"/>
      <protection hidden="1"/>
    </xf>
    <xf numFmtId="6" fontId="6" fillId="0" borderId="0" xfId="0" applyNumberFormat="1" applyFont="1" applyAlignment="1" applyProtection="1">
      <alignment horizontal="left" vertical="center"/>
      <protection hidden="1"/>
    </xf>
    <xf numFmtId="0" fontId="16" fillId="0" borderId="44" xfId="0" applyFont="1" applyBorder="1" applyAlignment="1">
      <alignment horizontal="center"/>
    </xf>
    <xf numFmtId="0" fontId="16" fillId="0" borderId="45" xfId="0" applyFont="1" applyBorder="1" applyAlignment="1">
      <alignment horizontal="center"/>
    </xf>
    <xf numFmtId="0" fontId="16" fillId="0" borderId="46" xfId="0" applyFont="1" applyBorder="1" applyAlignment="1">
      <alignment horizontal="center"/>
    </xf>
    <xf numFmtId="0" fontId="49" fillId="0" borderId="0" xfId="0" applyFont="1" applyAlignment="1" applyProtection="1">
      <alignment vertical="center"/>
      <protection hidden="1"/>
    </xf>
    <xf numFmtId="0" fontId="39" fillId="10" borderId="0" xfId="0" applyFont="1" applyFill="1" applyAlignment="1" applyProtection="1">
      <alignment vertical="center"/>
      <protection hidden="1"/>
    </xf>
    <xf numFmtId="0" fontId="39" fillId="0" borderId="0" xfId="0" applyFont="1" applyFill="1" applyBorder="1" applyAlignment="1" applyProtection="1">
      <alignment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167" fontId="6" fillId="0" borderId="0" xfId="10" applyNumberFormat="1" applyFont="1" applyAlignment="1" applyProtection="1">
      <alignment vertical="center"/>
      <protection hidden="1"/>
    </xf>
    <xf numFmtId="6" fontId="6" fillId="0" borderId="0" xfId="0" applyNumberFormat="1" applyFont="1" applyAlignment="1" applyProtection="1">
      <alignment vertical="center"/>
      <protection hidden="1"/>
    </xf>
    <xf numFmtId="0" fontId="23" fillId="12" borderId="0" xfId="0" applyFont="1" applyFill="1" applyAlignment="1" applyProtection="1">
      <alignment horizontal="left" vertical="center" indent="1"/>
      <protection hidden="1"/>
    </xf>
    <xf numFmtId="0" fontId="48" fillId="0" borderId="0" xfId="0" applyFont="1" applyFill="1" applyBorder="1" applyAlignment="1" applyProtection="1">
      <alignment horizontal="left" vertical="center"/>
      <protection hidden="1"/>
    </xf>
    <xf numFmtId="0" fontId="58" fillId="12" borderId="0" xfId="0" applyFont="1" applyFill="1" applyAlignment="1" applyProtection="1">
      <alignment horizontal="center" vertical="center"/>
      <protection hidden="1"/>
    </xf>
    <xf numFmtId="0" fontId="48" fillId="0" borderId="0" xfId="0" applyFont="1" applyFill="1" applyBorder="1" applyAlignment="1" applyProtection="1">
      <alignment vertical="center"/>
      <protection hidden="1"/>
    </xf>
    <xf numFmtId="0" fontId="6" fillId="0" borderId="0" xfId="0" applyFont="1" applyAlignment="1" applyProtection="1">
      <alignment horizontal="left" vertical="center" indent="1"/>
      <protection hidden="1"/>
    </xf>
    <xf numFmtId="0" fontId="48" fillId="0" borderId="84" xfId="0" applyFont="1" applyBorder="1" applyAlignment="1" applyProtection="1">
      <alignment horizontal="center" vertical="center"/>
      <protection hidden="1"/>
    </xf>
    <xf numFmtId="171" fontId="48" fillId="0" borderId="84" xfId="0" applyNumberFormat="1" applyFont="1" applyBorder="1" applyAlignment="1" applyProtection="1">
      <alignment horizontal="right" vertical="center" indent="1"/>
      <protection hidden="1"/>
    </xf>
    <xf numFmtId="5" fontId="48" fillId="0" borderId="84" xfId="0" applyNumberFormat="1" applyFont="1" applyBorder="1" applyAlignment="1" applyProtection="1">
      <alignment horizontal="right" vertical="center" indent="1"/>
      <protection hidden="1"/>
    </xf>
    <xf numFmtId="171" fontId="6" fillId="0" borderId="0" xfId="0" applyNumberFormat="1" applyFont="1" applyAlignment="1" applyProtection="1">
      <alignment horizontal="right" vertical="center" indent="1"/>
      <protection hidden="1"/>
    </xf>
    <xf numFmtId="5" fontId="6" fillId="0" borderId="0" xfId="0" applyNumberFormat="1" applyFont="1" applyAlignment="1" applyProtection="1">
      <alignment horizontal="right" vertical="center" indent="1"/>
      <protection hidden="1"/>
    </xf>
    <xf numFmtId="0" fontId="16" fillId="30" borderId="68" xfId="0" applyFont="1" applyFill="1" applyBorder="1" applyAlignment="1" applyProtection="1">
      <alignment horizontal="left" vertical="center" indent="2"/>
      <protection hidden="1"/>
    </xf>
    <xf numFmtId="0" fontId="16" fillId="30" borderId="68" xfId="0" applyFont="1" applyFill="1" applyBorder="1" applyAlignment="1" applyProtection="1">
      <alignment horizontal="center" vertical="center"/>
      <protection hidden="1"/>
    </xf>
    <xf numFmtId="171" fontId="16" fillId="30" borderId="68" xfId="0" applyNumberFormat="1" applyFont="1" applyFill="1" applyBorder="1" applyAlignment="1" applyProtection="1">
      <alignment horizontal="right" vertical="center" indent="1"/>
      <protection hidden="1"/>
    </xf>
    <xf numFmtId="0" fontId="16" fillId="31" borderId="68" xfId="0" applyFont="1" applyFill="1" applyBorder="1" applyAlignment="1" applyProtection="1">
      <alignment horizontal="left" vertical="center" indent="2"/>
      <protection hidden="1"/>
    </xf>
    <xf numFmtId="0" fontId="16" fillId="31" borderId="68" xfId="0" applyFont="1" applyFill="1" applyBorder="1" applyAlignment="1" applyProtection="1">
      <alignment horizontal="center" vertical="center"/>
      <protection hidden="1"/>
    </xf>
    <xf numFmtId="5" fontId="16" fillId="31" borderId="68" xfId="0" applyNumberFormat="1" applyFont="1" applyFill="1" applyBorder="1" applyAlignment="1" applyProtection="1">
      <alignment horizontal="right" vertical="center" indent="1"/>
      <protection hidden="1"/>
    </xf>
    <xf numFmtId="0" fontId="16" fillId="35" borderId="68" xfId="0" applyFont="1" applyFill="1" applyBorder="1" applyAlignment="1" applyProtection="1">
      <alignment horizontal="left" vertical="center" indent="2"/>
      <protection hidden="1"/>
    </xf>
    <xf numFmtId="0" fontId="16" fillId="35" borderId="68" xfId="0" applyFont="1" applyFill="1" applyBorder="1" applyAlignment="1" applyProtection="1">
      <alignment horizontal="center" vertical="center"/>
      <protection hidden="1"/>
    </xf>
    <xf numFmtId="171" fontId="16" fillId="35" borderId="68" xfId="0" applyNumberFormat="1" applyFont="1" applyFill="1" applyBorder="1" applyAlignment="1" applyProtection="1">
      <alignment horizontal="right" vertical="center" indent="1"/>
      <protection hidden="1"/>
    </xf>
    <xf numFmtId="171" fontId="16" fillId="0" borderId="0" xfId="0" applyNumberFormat="1" applyFont="1" applyAlignment="1" applyProtection="1">
      <alignment vertical="center"/>
      <protection hidden="1"/>
    </xf>
    <xf numFmtId="0" fontId="43" fillId="33" borderId="68" xfId="0" applyFont="1" applyFill="1" applyBorder="1" applyAlignment="1" applyProtection="1">
      <alignment horizontal="left" vertical="center" indent="2"/>
      <protection hidden="1"/>
    </xf>
    <xf numFmtId="0" fontId="43" fillId="33" borderId="68" xfId="0" applyFont="1" applyFill="1" applyBorder="1" applyAlignment="1" applyProtection="1">
      <alignment horizontal="center" vertical="center"/>
      <protection hidden="1"/>
    </xf>
    <xf numFmtId="171" fontId="43" fillId="33" borderId="68" xfId="0" applyNumberFormat="1" applyFont="1" applyFill="1" applyBorder="1" applyAlignment="1" applyProtection="1">
      <alignment horizontal="right" vertical="center" indent="1"/>
      <protection hidden="1"/>
    </xf>
    <xf numFmtId="0" fontId="16" fillId="32" borderId="68" xfId="0" applyFont="1" applyFill="1" applyBorder="1" applyAlignment="1" applyProtection="1">
      <alignment horizontal="left" vertical="center" indent="2"/>
      <protection hidden="1"/>
    </xf>
    <xf numFmtId="0" fontId="16" fillId="32" borderId="68" xfId="0" applyFont="1" applyFill="1" applyBorder="1" applyAlignment="1" applyProtection="1">
      <alignment horizontal="center" vertical="center"/>
      <protection hidden="1"/>
    </xf>
    <xf numFmtId="5" fontId="16" fillId="32" borderId="68" xfId="0" applyNumberFormat="1" applyFont="1" applyFill="1" applyBorder="1" applyAlignment="1" applyProtection="1">
      <alignment horizontal="right" vertical="center" indent="1"/>
      <protection hidden="1"/>
    </xf>
    <xf numFmtId="0" fontId="16" fillId="34" borderId="68" xfId="0" applyFont="1" applyFill="1" applyBorder="1" applyAlignment="1" applyProtection="1">
      <alignment horizontal="left" vertical="center" indent="2"/>
      <protection hidden="1"/>
    </xf>
    <xf numFmtId="0" fontId="16" fillId="34" borderId="68" xfId="0" applyFont="1" applyFill="1" applyBorder="1" applyAlignment="1" applyProtection="1">
      <alignment horizontal="center" vertical="center"/>
      <protection hidden="1"/>
    </xf>
    <xf numFmtId="171" fontId="16" fillId="34" borderId="68" xfId="0" applyNumberFormat="1" applyFont="1" applyFill="1" applyBorder="1" applyAlignment="1" applyProtection="1">
      <alignment horizontal="right" vertical="center" indent="1"/>
      <protection hidden="1"/>
    </xf>
    <xf numFmtId="6" fontId="16" fillId="0" borderId="0" xfId="0" applyNumberFormat="1" applyFont="1" applyAlignment="1" applyProtection="1">
      <alignment vertical="center"/>
      <protection hidden="1"/>
    </xf>
    <xf numFmtId="167" fontId="16" fillId="0" borderId="0" xfId="10" applyNumberFormat="1" applyFont="1" applyAlignment="1" applyProtection="1">
      <alignment vertical="center"/>
      <protection hidden="1"/>
    </xf>
    <xf numFmtId="9" fontId="16" fillId="0" borderId="0" xfId="0" applyNumberFormat="1" applyFont="1" applyAlignment="1" applyProtection="1">
      <alignment vertical="center"/>
      <protection hidden="1"/>
    </xf>
    <xf numFmtId="168" fontId="48" fillId="0" borderId="84" xfId="0" applyNumberFormat="1" applyFont="1" applyBorder="1" applyAlignment="1" applyProtection="1">
      <alignment horizontal="right" vertical="center" indent="1"/>
      <protection hidden="1"/>
    </xf>
    <xf numFmtId="171" fontId="6" fillId="0" borderId="0" xfId="0" applyNumberFormat="1" applyFont="1" applyAlignment="1" applyProtection="1">
      <alignment horizontal="right" vertical="center"/>
      <protection hidden="1"/>
    </xf>
    <xf numFmtId="171" fontId="0" fillId="0" borderId="0" xfId="0" applyNumberFormat="1"/>
    <xf numFmtId="171" fontId="59" fillId="0" borderId="0" xfId="0" applyNumberFormat="1" applyFont="1"/>
    <xf numFmtId="167" fontId="0" fillId="0" borderId="0" xfId="10" applyNumberFormat="1" applyFont="1"/>
    <xf numFmtId="0" fontId="13" fillId="12" borderId="53" xfId="0" applyFont="1" applyFill="1" applyBorder="1" applyAlignment="1" applyProtection="1">
      <alignment horizontal="left" vertical="center" indent="1"/>
      <protection hidden="1"/>
    </xf>
    <xf numFmtId="0" fontId="13" fillId="12" borderId="86" xfId="0" applyFont="1" applyFill="1" applyBorder="1" applyAlignment="1" applyProtection="1">
      <alignment horizontal="left" vertical="center" indent="1"/>
      <protection hidden="1"/>
    </xf>
    <xf numFmtId="0" fontId="13" fillId="12" borderId="54" xfId="0" applyFont="1" applyFill="1" applyBorder="1" applyAlignment="1" applyProtection="1">
      <alignment horizontal="left" vertical="center" indent="1"/>
      <protection hidden="1"/>
    </xf>
    <xf numFmtId="171" fontId="60" fillId="12" borderId="35" xfId="0" applyNumberFormat="1" applyFont="1" applyFill="1" applyBorder="1" applyAlignment="1">
      <alignment horizontal="center" vertical="center"/>
    </xf>
    <xf numFmtId="171" fontId="60" fillId="12" borderId="56" xfId="0" applyNumberFormat="1" applyFont="1" applyFill="1" applyBorder="1" applyAlignment="1">
      <alignment horizontal="center" vertical="center"/>
    </xf>
    <xf numFmtId="171" fontId="60" fillId="12" borderId="47" xfId="0" applyNumberFormat="1" applyFont="1" applyFill="1" applyBorder="1" applyAlignment="1">
      <alignment horizontal="center" vertical="center"/>
    </xf>
    <xf numFmtId="0" fontId="60" fillId="12" borderId="36" xfId="0" applyFont="1" applyFill="1" applyBorder="1" applyAlignment="1">
      <alignment horizontal="center" vertical="center"/>
    </xf>
    <xf numFmtId="0" fontId="60" fillId="12" borderId="87" xfId="0" applyFont="1" applyFill="1" applyBorder="1" applyAlignment="1">
      <alignment horizontal="center" vertical="center"/>
    </xf>
    <xf numFmtId="0" fontId="60" fillId="12" borderId="88" xfId="0" applyFont="1" applyFill="1" applyBorder="1" applyAlignment="1">
      <alignment horizontal="center" vertical="center"/>
    </xf>
    <xf numFmtId="171" fontId="30" fillId="0" borderId="0" xfId="0" applyNumberFormat="1" applyFont="1" applyAlignment="1" applyProtection="1">
      <alignment vertical="center"/>
      <protection hidden="1"/>
    </xf>
    <xf numFmtId="171" fontId="48" fillId="0" borderId="0" xfId="0" applyNumberFormat="1" applyFont="1" applyAlignment="1" applyProtection="1">
      <alignment vertical="center"/>
      <protection hidden="1"/>
    </xf>
    <xf numFmtId="0" fontId="0" fillId="0" borderId="0" xfId="0" applyAlignment="1">
      <alignment horizontal="center"/>
    </xf>
    <xf numFmtId="0" fontId="45" fillId="10" borderId="0" xfId="0" quotePrefix="1" applyFont="1" applyFill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vertical="center"/>
      <protection hidden="1"/>
    </xf>
    <xf numFmtId="171" fontId="27" fillId="0" borderId="0" xfId="0" applyNumberFormat="1" applyFont="1" applyAlignment="1" applyProtection="1">
      <alignment vertical="center"/>
      <protection hidden="1"/>
    </xf>
    <xf numFmtId="0" fontId="27" fillId="9" borderId="0" xfId="0" applyFont="1" applyFill="1" applyAlignment="1" applyProtection="1">
      <alignment horizontal="center" vertical="center"/>
      <protection hidden="1"/>
    </xf>
    <xf numFmtId="14" fontId="16" fillId="0" borderId="89" xfId="0" applyNumberFormat="1" applyFont="1" applyBorder="1" applyAlignment="1" applyProtection="1">
      <alignment horizontal="center" vertical="center"/>
      <protection locked="0"/>
    </xf>
    <xf numFmtId="0" fontId="16" fillId="0" borderId="89" xfId="0" applyFont="1" applyBorder="1" applyAlignment="1" applyProtection="1">
      <alignment vertical="center"/>
      <protection locked="0"/>
    </xf>
    <xf numFmtId="0" fontId="16" fillId="0" borderId="85" xfId="0" applyFont="1" applyBorder="1" applyAlignment="1" applyProtection="1">
      <alignment vertical="center"/>
      <protection locked="0"/>
    </xf>
    <xf numFmtId="14" fontId="14" fillId="0" borderId="89" xfId="0" applyNumberFormat="1" applyFont="1" applyFill="1" applyBorder="1" applyAlignment="1" applyProtection="1">
      <alignment horizontal="center" vertical="center"/>
      <protection locked="0"/>
    </xf>
    <xf numFmtId="0" fontId="16" fillId="0" borderId="89" xfId="0" applyFont="1" applyBorder="1" applyAlignment="1" applyProtection="1">
      <alignment horizontal="center" vertical="center"/>
      <protection locked="0"/>
    </xf>
    <xf numFmtId="0" fontId="16" fillId="0" borderId="90" xfId="0" applyFont="1" applyBorder="1" applyAlignment="1" applyProtection="1">
      <alignment horizontal="center" vertical="center"/>
      <protection locked="0"/>
    </xf>
    <xf numFmtId="0" fontId="16" fillId="0" borderId="91" xfId="0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left" vertical="center" indent="2"/>
      <protection hidden="1"/>
    </xf>
    <xf numFmtId="1" fontId="40" fillId="15" borderId="42" xfId="0" applyNumberFormat="1" applyFont="1" applyFill="1" applyBorder="1" applyAlignment="1" applyProtection="1">
      <alignment horizontal="center" vertical="center"/>
      <protection hidden="1"/>
    </xf>
    <xf numFmtId="167" fontId="40" fillId="15" borderId="41" xfId="1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left" vertical="center" indent="1"/>
      <protection hidden="1"/>
    </xf>
    <xf numFmtId="0" fontId="26" fillId="0" borderId="59" xfId="0" applyFont="1" applyBorder="1" applyAlignment="1" applyProtection="1">
      <alignment horizontal="left" vertical="center" indent="1"/>
      <protection hidden="1"/>
    </xf>
    <xf numFmtId="0" fontId="38" fillId="0" borderId="59" xfId="0" applyFont="1" applyBorder="1" applyAlignment="1" applyProtection="1">
      <alignment horizontal="left" vertical="center" indent="1"/>
      <protection hidden="1"/>
    </xf>
    <xf numFmtId="167" fontId="40" fillId="15" borderId="0" xfId="10" applyNumberFormat="1" applyFont="1" applyFill="1" applyBorder="1" applyAlignment="1" applyProtection="1">
      <alignment horizontal="center" vertical="center"/>
      <protection hidden="1"/>
    </xf>
    <xf numFmtId="1" fontId="40" fillId="15" borderId="42" xfId="0" applyNumberFormat="1" applyFont="1" applyFill="1" applyBorder="1" applyAlignment="1" applyProtection="1">
      <alignment horizontal="center" vertical="center"/>
      <protection hidden="1"/>
    </xf>
    <xf numFmtId="167" fontId="40" fillId="15" borderId="41" xfId="1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left" vertical="center" indent="1"/>
      <protection hidden="1"/>
    </xf>
    <xf numFmtId="168" fontId="13" fillId="12" borderId="0" xfId="11" applyNumberFormat="1" applyFont="1" applyFill="1" applyAlignment="1" applyProtection="1">
      <alignment vertical="center"/>
      <protection hidden="1"/>
    </xf>
    <xf numFmtId="168" fontId="6" fillId="0" borderId="0" xfId="11" applyNumberFormat="1" applyFont="1" applyAlignment="1" applyProtection="1">
      <alignment vertical="center"/>
      <protection hidden="1"/>
    </xf>
    <xf numFmtId="42" fontId="16" fillId="0" borderId="0" xfId="0" applyNumberFormat="1" applyFont="1" applyAlignment="1" applyProtection="1">
      <alignment vertical="center"/>
      <protection hidden="1"/>
    </xf>
    <xf numFmtId="49" fontId="29" fillId="7" borderId="96" xfId="2" applyNumberFormat="1" applyFont="1" applyFill="1" applyBorder="1" applyAlignment="1" applyProtection="1">
      <alignment horizontal="center" vertical="center" wrapText="1"/>
      <protection hidden="1"/>
    </xf>
    <xf numFmtId="0" fontId="16" fillId="0" borderId="92" xfId="0" applyFont="1" applyBorder="1" applyAlignment="1" applyProtection="1">
      <alignment horizontal="center" vertical="center"/>
      <protection locked="0"/>
    </xf>
    <xf numFmtId="49" fontId="17" fillId="3" borderId="100" xfId="0" applyNumberFormat="1" applyFont="1" applyFill="1" applyBorder="1" applyAlignment="1" applyProtection="1">
      <alignment horizontal="center" vertical="center"/>
      <protection locked="0"/>
    </xf>
    <xf numFmtId="49" fontId="61" fillId="3" borderId="101" xfId="0" applyNumberFormat="1" applyFont="1" applyFill="1" applyBorder="1" applyAlignment="1" applyProtection="1">
      <alignment horizontal="left" vertical="center"/>
      <protection locked="0"/>
    </xf>
    <xf numFmtId="49" fontId="63" fillId="3" borderId="102" xfId="3" applyNumberFormat="1" applyFont="1" applyFill="1" applyBorder="1" applyAlignment="1">
      <alignment horizontal="left"/>
    </xf>
    <xf numFmtId="49" fontId="63" fillId="3" borderId="103" xfId="3" applyNumberFormat="1" applyFont="1" applyFill="1" applyBorder="1" applyAlignment="1">
      <alignment horizontal="left"/>
    </xf>
    <xf numFmtId="49" fontId="17" fillId="3" borderId="103" xfId="0" applyNumberFormat="1" applyFont="1" applyFill="1" applyBorder="1" applyAlignment="1" applyProtection="1">
      <alignment horizontal="center" vertical="center"/>
      <protection locked="0"/>
    </xf>
    <xf numFmtId="49" fontId="61" fillId="3" borderId="104" xfId="0" applyNumberFormat="1" applyFont="1" applyFill="1" applyBorder="1" applyAlignment="1" applyProtection="1">
      <alignment horizontal="left" vertical="center"/>
      <protection locked="0"/>
    </xf>
    <xf numFmtId="49" fontId="64" fillId="3" borderId="103" xfId="0" applyNumberFormat="1" applyFont="1" applyFill="1" applyBorder="1" applyAlignment="1" applyProtection="1">
      <alignment horizontal="center" vertical="center"/>
      <protection locked="0"/>
    </xf>
    <xf numFmtId="49" fontId="35" fillId="3" borderId="103" xfId="0" applyNumberFormat="1" applyFont="1" applyFill="1" applyBorder="1" applyAlignment="1" applyProtection="1">
      <alignment horizontal="center" vertical="center"/>
      <protection locked="0"/>
    </xf>
    <xf numFmtId="49" fontId="17" fillId="3" borderId="105" xfId="0" applyNumberFormat="1" applyFont="1" applyFill="1" applyBorder="1" applyAlignment="1" applyProtection="1">
      <alignment horizontal="center" vertical="center"/>
      <protection locked="0"/>
    </xf>
    <xf numFmtId="49" fontId="61" fillId="3" borderId="106" xfId="0" applyNumberFormat="1" applyFont="1" applyFill="1" applyBorder="1" applyAlignment="1" applyProtection="1">
      <alignment horizontal="left" vertical="center"/>
      <protection locked="0"/>
    </xf>
    <xf numFmtId="49" fontId="63" fillId="3" borderId="107" xfId="3" applyNumberFormat="1" applyFont="1" applyFill="1" applyBorder="1" applyAlignment="1">
      <alignment horizontal="left"/>
    </xf>
    <xf numFmtId="49" fontId="63" fillId="3" borderId="108" xfId="3" applyNumberFormat="1" applyFont="1" applyFill="1" applyBorder="1" applyAlignment="1">
      <alignment horizontal="left"/>
    </xf>
    <xf numFmtId="167" fontId="33" fillId="13" borderId="112" xfId="10" applyNumberFormat="1" applyFont="1" applyFill="1" applyBorder="1" applyAlignment="1" applyProtection="1">
      <alignment horizontal="right" vertical="center"/>
      <protection hidden="1"/>
    </xf>
    <xf numFmtId="167" fontId="33" fillId="13" borderId="113" xfId="10" applyNumberFormat="1" applyFont="1" applyFill="1" applyBorder="1" applyAlignment="1" applyProtection="1">
      <alignment horizontal="right" vertical="center"/>
      <protection hidden="1"/>
    </xf>
    <xf numFmtId="167" fontId="65" fillId="13" borderId="113" xfId="10" applyNumberFormat="1" applyFont="1" applyFill="1" applyBorder="1" applyAlignment="1" applyProtection="1">
      <alignment horizontal="right" vertical="center"/>
      <protection hidden="1"/>
    </xf>
    <xf numFmtId="167" fontId="27" fillId="13" borderId="113" xfId="10" applyNumberFormat="1" applyFont="1" applyFill="1" applyBorder="1" applyAlignment="1" applyProtection="1">
      <alignment horizontal="right" vertical="center"/>
      <protection hidden="1"/>
    </xf>
    <xf numFmtId="10" fontId="33" fillId="13" borderId="113" xfId="10" applyNumberFormat="1" applyFont="1" applyFill="1" applyBorder="1" applyAlignment="1" applyProtection="1">
      <alignment horizontal="right" vertical="center"/>
      <protection hidden="1"/>
    </xf>
    <xf numFmtId="10" fontId="33" fillId="13" borderId="114" xfId="10" applyNumberFormat="1" applyFont="1" applyFill="1" applyBorder="1" applyAlignment="1" applyProtection="1">
      <alignment horizontal="right" vertical="center"/>
      <protection hidden="1"/>
    </xf>
    <xf numFmtId="168" fontId="66" fillId="36" borderId="97" xfId="11" applyNumberFormat="1" applyFont="1" applyFill="1" applyBorder="1" applyAlignment="1">
      <alignment horizontal="right"/>
    </xf>
    <xf numFmtId="168" fontId="66" fillId="5" borderId="99" xfId="11" applyNumberFormat="1" applyFont="1" applyFill="1" applyBorder="1" applyAlignment="1">
      <alignment horizontal="right"/>
    </xf>
    <xf numFmtId="168" fontId="66" fillId="3" borderId="99" xfId="11" applyNumberFormat="1" applyFont="1" applyFill="1" applyBorder="1" applyAlignment="1">
      <alignment horizontal="right"/>
    </xf>
    <xf numFmtId="168" fontId="66" fillId="36" borderId="99" xfId="11" applyNumberFormat="1" applyFont="1" applyFill="1" applyBorder="1" applyAlignment="1">
      <alignment horizontal="right"/>
    </xf>
    <xf numFmtId="168" fontId="67" fillId="5" borderId="99" xfId="11" applyNumberFormat="1" applyFont="1" applyFill="1" applyBorder="1" applyAlignment="1">
      <alignment horizontal="right"/>
    </xf>
    <xf numFmtId="168" fontId="67" fillId="3" borderId="99" xfId="11" applyNumberFormat="1" applyFont="1" applyFill="1" applyBorder="1" applyAlignment="1">
      <alignment horizontal="right"/>
    </xf>
    <xf numFmtId="168" fontId="68" fillId="36" borderId="99" xfId="11" applyNumberFormat="1" applyFont="1" applyFill="1" applyBorder="1" applyAlignment="1">
      <alignment horizontal="right"/>
    </xf>
    <xf numFmtId="168" fontId="66" fillId="3" borderId="97" xfId="11" applyNumberFormat="1" applyFont="1" applyFill="1" applyBorder="1" applyAlignment="1">
      <alignment horizontal="right"/>
    </xf>
    <xf numFmtId="168" fontId="68" fillId="3" borderId="99" xfId="11" applyNumberFormat="1" applyFont="1" applyFill="1" applyBorder="1" applyAlignment="1">
      <alignment horizontal="right"/>
    </xf>
    <xf numFmtId="168" fontId="66" fillId="3" borderId="109" xfId="11" applyNumberFormat="1" applyFont="1" applyFill="1" applyBorder="1" applyAlignment="1">
      <alignment horizontal="right"/>
    </xf>
    <xf numFmtId="168" fontId="66" fillId="36" borderId="98" xfId="11" applyNumberFormat="1" applyFont="1" applyFill="1" applyBorder="1" applyAlignment="1">
      <alignment horizontal="right"/>
    </xf>
    <xf numFmtId="168" fontId="66" fillId="5" borderId="98" xfId="11" applyNumberFormat="1" applyFont="1" applyFill="1" applyBorder="1" applyAlignment="1">
      <alignment horizontal="right"/>
    </xf>
    <xf numFmtId="168" fontId="66" fillId="3" borderId="98" xfId="11" applyNumberFormat="1" applyFont="1" applyFill="1" applyBorder="1" applyAlignment="1">
      <alignment horizontal="right"/>
    </xf>
    <xf numFmtId="168" fontId="67" fillId="5" borderId="98" xfId="11" applyNumberFormat="1" applyFont="1" applyFill="1" applyBorder="1" applyAlignment="1">
      <alignment horizontal="right"/>
    </xf>
    <xf numFmtId="168" fontId="67" fillId="3" borderId="98" xfId="11" applyNumberFormat="1" applyFont="1" applyFill="1" applyBorder="1" applyAlignment="1">
      <alignment horizontal="right"/>
    </xf>
    <xf numFmtId="168" fontId="68" fillId="36" borderId="98" xfId="11" applyNumberFormat="1" applyFont="1" applyFill="1" applyBorder="1" applyAlignment="1">
      <alignment horizontal="right"/>
    </xf>
    <xf numFmtId="168" fontId="68" fillId="3" borderId="98" xfId="11" applyNumberFormat="1" applyFont="1" applyFill="1" applyBorder="1" applyAlignment="1">
      <alignment horizontal="right"/>
    </xf>
    <xf numFmtId="168" fontId="66" fillId="3" borderId="110" xfId="11" applyNumberFormat="1" applyFont="1" applyFill="1" applyBorder="1" applyAlignment="1">
      <alignment horizontal="right"/>
    </xf>
    <xf numFmtId="168" fontId="66" fillId="3" borderId="111" xfId="11" applyNumberFormat="1" applyFont="1" applyFill="1" applyBorder="1" applyAlignment="1">
      <alignment horizontal="right"/>
    </xf>
    <xf numFmtId="0" fontId="6" fillId="0" borderId="0" xfId="0" applyFont="1" applyAlignment="1" applyProtection="1">
      <alignment vertical="center"/>
      <protection locked="0"/>
    </xf>
    <xf numFmtId="0" fontId="6" fillId="14" borderId="0" xfId="0" applyFont="1" applyFill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horizontal="left" vertical="center" indent="1"/>
      <protection hidden="1"/>
    </xf>
    <xf numFmtId="0" fontId="13" fillId="14" borderId="0" xfId="0" applyFont="1" applyFill="1" applyAlignment="1" applyProtection="1">
      <alignment vertical="center"/>
      <protection locked="0"/>
    </xf>
    <xf numFmtId="0" fontId="36" fillId="0" borderId="0" xfId="0" applyFont="1" applyAlignment="1" applyProtection="1">
      <alignment vertical="center"/>
      <protection locked="0"/>
    </xf>
    <xf numFmtId="168" fontId="37" fillId="14" borderId="36" xfId="0" applyNumberFormat="1" applyFont="1" applyFill="1" applyBorder="1" applyAlignment="1" applyProtection="1">
      <alignment horizontal="right" vertical="center" indent="1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1" fontId="38" fillId="14" borderId="42" xfId="0" applyNumberFormat="1" applyFont="1" applyFill="1" applyBorder="1" applyAlignment="1" applyProtection="1">
      <alignment horizontal="right" vertical="center" indent="1"/>
      <protection locked="0"/>
    </xf>
    <xf numFmtId="167" fontId="38" fillId="14" borderId="41" xfId="10" applyNumberFormat="1" applyFont="1" applyFill="1" applyBorder="1" applyAlignment="1" applyProtection="1">
      <alignment horizontal="right" vertical="center" indent="1"/>
      <protection locked="0"/>
    </xf>
    <xf numFmtId="164" fontId="9" fillId="3" borderId="0" xfId="0" applyNumberFormat="1" applyFont="1" applyFill="1" applyBorder="1" applyAlignment="1" applyProtection="1">
      <alignment horizontal="left" vertical="center"/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9" fillId="13" borderId="0" xfId="0" applyNumberFormat="1" applyFont="1" applyFill="1" applyBorder="1" applyAlignment="1" applyProtection="1">
      <alignment horizontal="left" vertical="center"/>
      <protection locked="0"/>
    </xf>
    <xf numFmtId="0" fontId="43" fillId="0" borderId="0" xfId="0" applyFont="1" applyFill="1" applyBorder="1" applyAlignment="1" applyProtection="1">
      <alignment horizontal="left" vertical="center" indent="1"/>
      <protection hidden="1"/>
    </xf>
    <xf numFmtId="164" fontId="50" fillId="0" borderId="0" xfId="0" applyNumberFormat="1" applyFont="1" applyFill="1" applyBorder="1" applyAlignment="1" applyProtection="1">
      <alignment horizontal="center" vertical="center"/>
      <protection hidden="1"/>
    </xf>
    <xf numFmtId="49" fontId="12" fillId="7" borderId="61" xfId="2" applyNumberFormat="1" applyFont="1" applyFill="1" applyBorder="1" applyAlignment="1" applyProtection="1">
      <alignment vertical="center" wrapText="1"/>
      <protection hidden="1"/>
    </xf>
    <xf numFmtId="49" fontId="12" fillId="37" borderId="51" xfId="2" applyNumberFormat="1" applyFont="1" applyFill="1" applyBorder="1" applyAlignment="1" applyProtection="1">
      <alignment horizontal="center" vertical="center" textRotation="90" wrapText="1"/>
      <protection hidden="1"/>
    </xf>
    <xf numFmtId="49" fontId="12" fillId="37" borderId="51" xfId="2" applyNumberFormat="1" applyFont="1" applyFill="1" applyBorder="1" applyAlignment="1" applyProtection="1">
      <alignment horizontal="center" vertical="center" wrapText="1"/>
      <protection hidden="1"/>
    </xf>
    <xf numFmtId="49" fontId="12" fillId="0" borderId="0" xfId="2" applyNumberFormat="1" applyFont="1" applyFill="1" applyBorder="1" applyAlignment="1" applyProtection="1">
      <alignment vertical="center" wrapText="1"/>
      <protection hidden="1"/>
    </xf>
    <xf numFmtId="49" fontId="29" fillId="7" borderId="96" xfId="2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16" fillId="0" borderId="115" xfId="0" applyFont="1" applyBorder="1" applyAlignment="1" applyProtection="1">
      <alignment horizontal="left" vertical="center"/>
      <protection hidden="1"/>
    </xf>
    <xf numFmtId="0" fontId="16" fillId="0" borderId="115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49" fontId="17" fillId="0" borderId="0" xfId="0" applyNumberFormat="1" applyFont="1" applyFill="1" applyBorder="1" applyAlignment="1" applyProtection="1">
      <alignment horizontal="left" vertical="center"/>
      <protection hidden="1"/>
    </xf>
    <xf numFmtId="49" fontId="69" fillId="0" borderId="0" xfId="0" applyNumberFormat="1" applyFont="1" applyFill="1" applyBorder="1" applyAlignment="1" applyProtection="1">
      <alignment horizontal="center" vertical="center"/>
      <protection hidden="1"/>
    </xf>
    <xf numFmtId="168" fontId="14" fillId="16" borderId="0" xfId="0" applyNumberFormat="1" applyFont="1" applyFill="1" applyBorder="1" applyAlignment="1" applyProtection="1">
      <alignment horizontal="right" vertical="center"/>
      <protection hidden="1"/>
    </xf>
    <xf numFmtId="10" fontId="14" fillId="16" borderId="0" xfId="10" applyNumberFormat="1" applyFont="1" applyFill="1" applyBorder="1" applyAlignment="1" applyProtection="1">
      <alignment horizontal="center" vertical="center"/>
      <protection hidden="1"/>
    </xf>
    <xf numFmtId="3" fontId="14" fillId="0" borderId="0" xfId="0" applyNumberFormat="1" applyFont="1" applyFill="1" applyBorder="1" applyAlignment="1" applyProtection="1">
      <alignment horizontal="right" vertical="center"/>
      <protection hidden="1"/>
    </xf>
    <xf numFmtId="3" fontId="17" fillId="0" borderId="0" xfId="0" applyNumberFormat="1" applyFont="1" applyFill="1" applyBorder="1" applyAlignment="1" applyProtection="1">
      <alignment horizontal="right" vertical="center"/>
      <protection hidden="1"/>
    </xf>
    <xf numFmtId="166" fontId="14" fillId="0" borderId="0" xfId="0" applyNumberFormat="1" applyFont="1" applyFill="1" applyBorder="1" applyAlignment="1" applyProtection="1">
      <alignment horizontal="right" vertical="center"/>
      <protection hidden="1"/>
    </xf>
    <xf numFmtId="3" fontId="14" fillId="0" borderId="0" xfId="0" quotePrefix="1" applyNumberFormat="1" applyFont="1" applyFill="1" applyBorder="1" applyAlignment="1" applyProtection="1">
      <alignment horizontal="right" vertical="center"/>
      <protection hidden="1"/>
    </xf>
    <xf numFmtId="166" fontId="43" fillId="0" borderId="0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49" fontId="15" fillId="0" borderId="0" xfId="2" applyNumberFormat="1" applyFont="1" applyFill="1" applyBorder="1" applyAlignment="1" applyProtection="1">
      <alignment horizontal="left" vertical="center"/>
      <protection hidden="1"/>
    </xf>
    <xf numFmtId="49" fontId="17" fillId="0" borderId="0" xfId="0" applyNumberFormat="1" applyFont="1" applyFill="1" applyBorder="1" applyAlignment="1" applyProtection="1">
      <alignment horizontal="left" vertical="center"/>
      <protection locked="0"/>
    </xf>
    <xf numFmtId="49" fontId="17" fillId="3" borderId="0" xfId="0" applyNumberFormat="1" applyFont="1" applyFill="1" applyBorder="1" applyAlignment="1" applyProtection="1">
      <alignment horizontal="left" vertical="center"/>
      <protection locked="0"/>
    </xf>
    <xf numFmtId="49" fontId="15" fillId="0" borderId="0" xfId="2" applyNumberFormat="1" applyFont="1" applyFill="1" applyBorder="1" applyAlignment="1" applyProtection="1">
      <alignment horizontal="right" vertical="center"/>
      <protection locked="0"/>
    </xf>
    <xf numFmtId="0" fontId="16" fillId="0" borderId="116" xfId="0" applyFont="1" applyBorder="1" applyAlignment="1" applyProtection="1">
      <alignment horizontal="left" vertical="center"/>
      <protection hidden="1"/>
    </xf>
    <xf numFmtId="49" fontId="15" fillId="0" borderId="116" xfId="2" applyNumberFormat="1" applyFont="1" applyFill="1" applyBorder="1" applyAlignment="1" applyProtection="1">
      <alignment horizontal="left" vertical="center"/>
      <protection hidden="1"/>
    </xf>
    <xf numFmtId="49" fontId="14" fillId="3" borderId="31" xfId="0" applyNumberFormat="1" applyFont="1" applyFill="1" applyBorder="1" applyAlignment="1" applyProtection="1">
      <alignment horizontal="center" vertical="center"/>
      <protection locked="0"/>
    </xf>
    <xf numFmtId="49" fontId="61" fillId="13" borderId="31" xfId="0" applyNumberFormat="1" applyFont="1" applyFill="1" applyBorder="1" applyAlignment="1" applyProtection="1">
      <alignment horizontal="center" vertical="center"/>
      <protection locked="0"/>
    </xf>
    <xf numFmtId="168" fontId="14" fillId="13" borderId="20" xfId="0" applyNumberFormat="1" applyFont="1" applyFill="1" applyBorder="1" applyAlignment="1" applyProtection="1">
      <alignment horizontal="right" vertical="center"/>
      <protection locked="0"/>
    </xf>
    <xf numFmtId="167" fontId="14" fillId="13" borderId="8" xfId="10" applyNumberFormat="1" applyFont="1" applyFill="1" applyBorder="1" applyAlignment="1" applyProtection="1">
      <alignment horizontal="center" vertical="center"/>
      <protection hidden="1"/>
    </xf>
    <xf numFmtId="168" fontId="17" fillId="13" borderId="20" xfId="0" applyNumberFormat="1" applyFont="1" applyFill="1" applyBorder="1" applyAlignment="1" applyProtection="1">
      <alignment horizontal="right" vertical="center"/>
      <protection locked="0"/>
    </xf>
    <xf numFmtId="49" fontId="15" fillId="0" borderId="20" xfId="7" applyNumberFormat="1" applyFont="1" applyFill="1" applyBorder="1" applyAlignment="1" applyProtection="1">
      <alignment horizontal="center" vertical="center"/>
      <protection locked="0"/>
    </xf>
    <xf numFmtId="0" fontId="14" fillId="0" borderId="20" xfId="0" applyNumberFormat="1" applyFont="1" applyFill="1" applyBorder="1" applyAlignment="1" applyProtection="1">
      <alignment horizontal="center" vertical="center"/>
      <protection locked="0"/>
    </xf>
    <xf numFmtId="49" fontId="15" fillId="6" borderId="20" xfId="7" applyNumberFormat="1" applyFont="1" applyFill="1" applyBorder="1" applyAlignment="1" applyProtection="1">
      <alignment horizontal="center" vertical="center"/>
      <protection locked="0"/>
    </xf>
    <xf numFmtId="0" fontId="14" fillId="0" borderId="20" xfId="7" applyFont="1" applyFill="1" applyBorder="1" applyAlignment="1" applyProtection="1">
      <alignment vertical="center" wrapText="1"/>
      <protection locked="0"/>
    </xf>
    <xf numFmtId="49" fontId="15" fillId="0" borderId="8" xfId="2" applyNumberFormat="1" applyFont="1" applyFill="1" applyBorder="1" applyAlignment="1" applyProtection="1">
      <alignment horizontal="center" vertical="center"/>
      <protection locked="0"/>
    </xf>
    <xf numFmtId="0" fontId="70" fillId="14" borderId="8" xfId="0" applyFont="1" applyFill="1" applyBorder="1" applyAlignment="1">
      <alignment horizontal="center" vertical="center" wrapText="1"/>
    </xf>
    <xf numFmtId="0" fontId="66" fillId="0" borderId="0" xfId="0" applyFont="1" applyAlignment="1">
      <alignment vertical="center" wrapText="1"/>
    </xf>
    <xf numFmtId="49" fontId="15" fillId="0" borderId="8" xfId="2" applyNumberFormat="1" applyFont="1" applyFill="1" applyBorder="1" applyAlignment="1" applyProtection="1">
      <alignment horizontal="left" vertical="center" wrapText="1"/>
      <protection locked="0"/>
    </xf>
    <xf numFmtId="0" fontId="66" fillId="0" borderId="0" xfId="0" applyFont="1" applyAlignment="1">
      <alignment vertical="center"/>
    </xf>
    <xf numFmtId="0" fontId="14" fillId="0" borderId="72" xfId="7" applyFont="1" applyFill="1" applyBorder="1" applyAlignment="1" applyProtection="1">
      <alignment vertical="center" wrapText="1"/>
      <protection locked="0"/>
    </xf>
    <xf numFmtId="0" fontId="28" fillId="0" borderId="20" xfId="0" applyFont="1" applyBorder="1" applyAlignment="1" applyProtection="1">
      <alignment vertical="center"/>
      <protection locked="0"/>
    </xf>
    <xf numFmtId="49" fontId="71" fillId="6" borderId="20" xfId="7" applyNumberFormat="1" applyFont="1" applyFill="1" applyBorder="1" applyAlignment="1" applyProtection="1">
      <alignment horizontal="right" vertical="center"/>
      <protection locked="0"/>
    </xf>
    <xf numFmtId="16" fontId="72" fillId="0" borderId="20" xfId="7" applyNumberFormat="1" applyFont="1" applyBorder="1" applyAlignment="1" applyProtection="1">
      <alignment horizontal="center" vertical="center"/>
      <protection locked="0"/>
    </xf>
    <xf numFmtId="49" fontId="71" fillId="6" borderId="20" xfId="7" applyNumberFormat="1" applyFont="1" applyFill="1" applyBorder="1" applyAlignment="1" applyProtection="1">
      <alignment horizontal="center" vertical="center" wrapText="1"/>
      <protection locked="0"/>
    </xf>
    <xf numFmtId="49" fontId="71" fillId="6" borderId="20" xfId="7" applyNumberFormat="1" applyFont="1" applyFill="1" applyBorder="1" applyAlignment="1" applyProtection="1">
      <alignment horizontal="center" vertical="center"/>
      <protection locked="0"/>
    </xf>
    <xf numFmtId="49" fontId="71" fillId="6" borderId="20" xfId="7" applyNumberFormat="1" applyFont="1" applyFill="1" applyBorder="1" applyAlignment="1" applyProtection="1">
      <alignment horizontal="right" vertical="center" wrapText="1"/>
      <protection locked="0"/>
    </xf>
    <xf numFmtId="49" fontId="71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71" fillId="6" borderId="21" xfId="7" applyNumberFormat="1" applyFont="1" applyFill="1" applyBorder="1" applyAlignment="1" applyProtection="1">
      <alignment horizontal="right" vertical="center"/>
      <protection locked="0"/>
    </xf>
    <xf numFmtId="0" fontId="28" fillId="0" borderId="0" xfId="0" applyFont="1" applyAlignment="1" applyProtection="1">
      <alignment vertical="center"/>
      <protection locked="0"/>
    </xf>
    <xf numFmtId="49" fontId="14" fillId="3" borderId="32" xfId="0" applyNumberFormat="1" applyFont="1" applyFill="1" applyBorder="1" applyAlignment="1" applyProtection="1">
      <alignment horizontal="center" vertical="center"/>
      <protection locked="0"/>
    </xf>
    <xf numFmtId="49" fontId="61" fillId="13" borderId="32" xfId="0" applyNumberFormat="1" applyFont="1" applyFill="1" applyBorder="1" applyAlignment="1" applyProtection="1">
      <alignment horizontal="center" vertical="center"/>
      <protection locked="0"/>
    </xf>
    <xf numFmtId="168" fontId="14" fillId="13" borderId="8" xfId="0" applyNumberFormat="1" applyFont="1" applyFill="1" applyBorder="1" applyAlignment="1" applyProtection="1">
      <alignment horizontal="right" vertical="center"/>
      <protection locked="0"/>
    </xf>
    <xf numFmtId="49" fontId="15" fillId="0" borderId="8" xfId="7" applyNumberFormat="1" applyFont="1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/>
      <protection locked="0"/>
    </xf>
    <xf numFmtId="49" fontId="15" fillId="6" borderId="8" xfId="7" applyNumberFormat="1" applyFont="1" applyFill="1" applyBorder="1" applyAlignment="1" applyProtection="1">
      <alignment horizontal="center" vertical="center"/>
      <protection locked="0"/>
    </xf>
    <xf numFmtId="0" fontId="14" fillId="0" borderId="8" xfId="7" applyFont="1" applyFill="1" applyBorder="1" applyAlignment="1" applyProtection="1">
      <alignment vertical="center" wrapText="1"/>
      <protection locked="0"/>
    </xf>
    <xf numFmtId="0" fontId="73" fillId="14" borderId="8" xfId="0" applyFont="1" applyFill="1" applyBorder="1" applyAlignment="1">
      <alignment horizontal="center" vertical="center"/>
    </xf>
    <xf numFmtId="0" fontId="28" fillId="0" borderId="39" xfId="0" applyFont="1" applyBorder="1" applyAlignment="1" applyProtection="1">
      <alignment vertical="center"/>
      <protection locked="0"/>
    </xf>
    <xf numFmtId="49" fontId="71" fillId="6" borderId="39" xfId="7" applyNumberFormat="1" applyFont="1" applyFill="1" applyBorder="1" applyAlignment="1" applyProtection="1">
      <alignment horizontal="right" vertical="center"/>
      <protection locked="0"/>
    </xf>
    <xf numFmtId="16" fontId="72" fillId="0" borderId="39" xfId="7" applyNumberFormat="1" applyFont="1" applyBorder="1" applyAlignment="1" applyProtection="1">
      <alignment horizontal="center" vertical="center"/>
      <protection locked="0"/>
    </xf>
    <xf numFmtId="49" fontId="71" fillId="6" borderId="39" xfId="7" applyNumberFormat="1" applyFont="1" applyFill="1" applyBorder="1" applyAlignment="1" applyProtection="1">
      <alignment horizontal="center" vertical="center" wrapText="1"/>
      <protection locked="0"/>
    </xf>
    <xf numFmtId="49" fontId="71" fillId="6" borderId="39" xfId="7" applyNumberFormat="1" applyFont="1" applyFill="1" applyBorder="1" applyAlignment="1" applyProtection="1">
      <alignment horizontal="center" vertical="center"/>
      <protection locked="0"/>
    </xf>
    <xf numFmtId="49" fontId="71" fillId="6" borderId="39" xfId="7" applyNumberFormat="1" applyFont="1" applyFill="1" applyBorder="1" applyAlignment="1" applyProtection="1">
      <alignment horizontal="right" vertical="center" wrapText="1"/>
      <protection locked="0"/>
    </xf>
    <xf numFmtId="49" fontId="71" fillId="6" borderId="72" xfId="7" applyNumberFormat="1" applyFont="1" applyFill="1" applyBorder="1" applyAlignment="1" applyProtection="1">
      <alignment horizontal="right" vertical="center"/>
      <protection locked="0"/>
    </xf>
    <xf numFmtId="49" fontId="15" fillId="0" borderId="8" xfId="7" applyNumberFormat="1" applyFont="1" applyFill="1" applyBorder="1" applyAlignment="1" applyProtection="1">
      <alignment horizontal="center" vertical="center" wrapText="1"/>
      <protection locked="0"/>
    </xf>
    <xf numFmtId="0" fontId="14" fillId="0" borderId="23" xfId="7" applyFont="1" applyFill="1" applyBorder="1" applyAlignment="1" applyProtection="1">
      <alignment vertical="center" wrapText="1"/>
      <protection locked="0"/>
    </xf>
    <xf numFmtId="0" fontId="28" fillId="0" borderId="8" xfId="0" applyFont="1" applyBorder="1" applyAlignment="1" applyProtection="1">
      <alignment vertical="center"/>
      <protection locked="0"/>
    </xf>
    <xf numFmtId="49" fontId="71" fillId="6" borderId="8" xfId="7" applyNumberFormat="1" applyFont="1" applyFill="1" applyBorder="1" applyAlignment="1" applyProtection="1">
      <alignment horizontal="right" vertical="center"/>
      <protection locked="0"/>
    </xf>
    <xf numFmtId="16" fontId="72" fillId="0" borderId="8" xfId="7" applyNumberFormat="1" applyFont="1" applyBorder="1" applyAlignment="1" applyProtection="1">
      <alignment horizontal="center" vertical="center"/>
      <protection locked="0"/>
    </xf>
    <xf numFmtId="49" fontId="71" fillId="6" borderId="8" xfId="7" applyNumberFormat="1" applyFont="1" applyFill="1" applyBorder="1" applyAlignment="1" applyProtection="1">
      <alignment horizontal="center" vertical="center" wrapText="1"/>
      <protection locked="0"/>
    </xf>
    <xf numFmtId="49" fontId="71" fillId="6" borderId="8" xfId="7" applyNumberFormat="1" applyFont="1" applyFill="1" applyBorder="1" applyAlignment="1" applyProtection="1">
      <alignment horizontal="center" vertical="center"/>
      <protection locked="0"/>
    </xf>
    <xf numFmtId="49" fontId="71" fillId="6" borderId="8" xfId="7" applyNumberFormat="1" applyFont="1" applyFill="1" applyBorder="1" applyAlignment="1" applyProtection="1">
      <alignment horizontal="right" vertical="center" wrapText="1"/>
      <protection locked="0"/>
    </xf>
    <xf numFmtId="49" fontId="71" fillId="6" borderId="23" xfId="7" applyNumberFormat="1" applyFont="1" applyFill="1" applyBorder="1" applyAlignment="1" applyProtection="1">
      <alignment horizontal="right" vertical="center"/>
      <protection locked="0"/>
    </xf>
    <xf numFmtId="0" fontId="14" fillId="0" borderId="23" xfId="7" applyFont="1" applyFill="1" applyBorder="1" applyAlignment="1" applyProtection="1">
      <alignment vertical="center"/>
      <protection locked="0"/>
    </xf>
    <xf numFmtId="16" fontId="28" fillId="0" borderId="8" xfId="0" applyNumberFormat="1" applyFont="1" applyBorder="1" applyAlignment="1" applyProtection="1">
      <alignment vertical="center"/>
      <protection locked="0"/>
    </xf>
    <xf numFmtId="0" fontId="28" fillId="0" borderId="23" xfId="0" applyFont="1" applyBorder="1" applyAlignment="1" applyProtection="1">
      <alignment vertical="center"/>
      <protection locked="0"/>
    </xf>
    <xf numFmtId="14" fontId="74" fillId="0" borderId="8" xfId="11" applyNumberFormat="1" applyFont="1" applyFill="1" applyBorder="1" applyAlignment="1">
      <alignment horizontal="right"/>
    </xf>
    <xf numFmtId="49" fontId="75" fillId="0" borderId="8" xfId="7" applyNumberFormat="1" applyFont="1" applyFill="1" applyBorder="1" applyAlignment="1">
      <alignment horizontal="right" vertical="center"/>
    </xf>
    <xf numFmtId="0" fontId="14" fillId="0" borderId="8" xfId="7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4" fillId="38" borderId="8" xfId="7" applyFont="1" applyFill="1" applyBorder="1" applyAlignment="1" applyProtection="1">
      <alignment vertical="center" wrapText="1"/>
      <protection locked="0"/>
    </xf>
    <xf numFmtId="0" fontId="73" fillId="0" borderId="8" xfId="0" applyFont="1" applyFill="1" applyBorder="1" applyAlignment="1">
      <alignment horizontal="center" vertical="center"/>
    </xf>
    <xf numFmtId="0" fontId="14" fillId="38" borderId="8" xfId="7" applyFont="1" applyFill="1" applyBorder="1" applyAlignment="1" applyProtection="1">
      <alignment vertical="center"/>
      <protection locked="0"/>
    </xf>
    <xf numFmtId="0" fontId="73" fillId="0" borderId="8" xfId="0" applyFont="1" applyBorder="1" applyAlignment="1">
      <alignment horizontal="center" vertical="center"/>
    </xf>
    <xf numFmtId="49" fontId="61" fillId="3" borderId="32" xfId="0" applyNumberFormat="1" applyFont="1" applyFill="1" applyBorder="1" applyAlignment="1" applyProtection="1">
      <alignment horizontal="center" vertical="center"/>
      <protection locked="0"/>
    </xf>
    <xf numFmtId="3" fontId="17" fillId="13" borderId="8" xfId="0" applyNumberFormat="1" applyFont="1" applyFill="1" applyBorder="1" applyAlignment="1" applyProtection="1">
      <alignment horizontal="right" vertical="center"/>
      <protection locked="0"/>
    </xf>
    <xf numFmtId="0" fontId="14" fillId="0" borderId="0" xfId="7" applyFont="1" applyFill="1" applyBorder="1" applyAlignment="1" applyProtection="1">
      <alignment vertical="center"/>
      <protection locked="0"/>
    </xf>
    <xf numFmtId="49" fontId="71" fillId="6" borderId="89" xfId="7" applyNumberFormat="1" applyFont="1" applyFill="1" applyBorder="1" applyAlignment="1" applyProtection="1">
      <alignment horizontal="center" vertical="center"/>
      <protection locked="0"/>
    </xf>
    <xf numFmtId="49" fontId="71" fillId="6" borderId="89" xfId="7" applyNumberFormat="1" applyFont="1" applyFill="1" applyBorder="1" applyAlignment="1" applyProtection="1">
      <alignment horizontal="right" vertical="center"/>
      <protection locked="0"/>
    </xf>
    <xf numFmtId="49" fontId="71" fillId="6" borderId="89" xfId="7" applyNumberFormat="1" applyFont="1" applyFill="1" applyBorder="1" applyAlignment="1" applyProtection="1">
      <alignment horizontal="right" vertical="center" wrapText="1"/>
      <protection locked="0"/>
    </xf>
    <xf numFmtId="14" fontId="16" fillId="0" borderId="8" xfId="0" applyNumberFormat="1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49" fontId="71" fillId="6" borderId="25" xfId="7" applyNumberFormat="1" applyFont="1" applyFill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vertical="center" wrapText="1"/>
      <protection locked="0"/>
    </xf>
    <xf numFmtId="49" fontId="71" fillId="6" borderId="25" xfId="7" applyNumberFormat="1" applyFont="1" applyFill="1" applyBorder="1" applyAlignment="1" applyProtection="1">
      <alignment horizontal="right" vertical="center"/>
      <protection locked="0"/>
    </xf>
    <xf numFmtId="0" fontId="16" fillId="38" borderId="8" xfId="0" applyFont="1" applyFill="1" applyBorder="1" applyAlignment="1" applyProtection="1">
      <alignment vertical="center"/>
      <protection locked="0"/>
    </xf>
    <xf numFmtId="164" fontId="18" fillId="3" borderId="8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38" borderId="8" xfId="0" applyFont="1" applyFill="1" applyBorder="1" applyAlignment="1" applyProtection="1">
      <alignment vertical="center" wrapText="1"/>
      <protection locked="0"/>
    </xf>
    <xf numFmtId="0" fontId="14" fillId="0" borderId="8" xfId="2" applyFont="1" applyFill="1" applyBorder="1" applyAlignment="1" applyProtection="1">
      <alignment vertical="center"/>
      <protection locked="0"/>
    </xf>
    <xf numFmtId="0" fontId="73" fillId="0" borderId="25" xfId="0" applyFont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167" fontId="14" fillId="13" borderId="25" xfId="10" applyNumberFormat="1" applyFont="1" applyFill="1" applyBorder="1" applyAlignment="1" applyProtection="1">
      <alignment horizontal="center" vertical="center"/>
      <protection hidden="1"/>
    </xf>
    <xf numFmtId="168" fontId="14" fillId="13" borderId="25" xfId="0" applyNumberFormat="1" applyFont="1" applyFill="1" applyBorder="1" applyAlignment="1" applyProtection="1">
      <alignment horizontal="right" vertical="center"/>
      <protection locked="0"/>
    </xf>
    <xf numFmtId="3" fontId="17" fillId="13" borderId="25" xfId="0" applyNumberFormat="1" applyFont="1" applyFill="1" applyBorder="1" applyAlignment="1" applyProtection="1">
      <alignment horizontal="right" vertical="center"/>
      <protection locked="0"/>
    </xf>
    <xf numFmtId="1" fontId="22" fillId="22" borderId="25" xfId="0" applyNumberFormat="1" applyFont="1" applyFill="1" applyBorder="1" applyAlignment="1" applyProtection="1">
      <alignment horizontal="center" vertical="center"/>
      <protection hidden="1"/>
    </xf>
    <xf numFmtId="14" fontId="16" fillId="0" borderId="25" xfId="0" applyNumberFormat="1" applyFont="1" applyBorder="1" applyAlignment="1" applyProtection="1">
      <alignment horizontal="center" vertical="center" wrapText="1"/>
      <protection locked="0"/>
    </xf>
    <xf numFmtId="0" fontId="14" fillId="0" borderId="25" xfId="0" applyNumberFormat="1" applyFont="1" applyFill="1" applyBorder="1" applyAlignment="1" applyProtection="1">
      <alignment horizontal="center" vertical="center"/>
      <protection locked="0"/>
    </xf>
    <xf numFmtId="49" fontId="15" fillId="6" borderId="25" xfId="7" applyNumberFormat="1" applyFont="1" applyFill="1" applyBorder="1" applyAlignment="1" applyProtection="1">
      <alignment horizontal="center" vertical="center"/>
      <protection locked="0"/>
    </xf>
    <xf numFmtId="0" fontId="16" fillId="0" borderId="25" xfId="0" applyFont="1" applyBorder="1" applyAlignment="1" applyProtection="1">
      <alignment vertical="center" wrapText="1"/>
      <protection locked="0"/>
    </xf>
    <xf numFmtId="0" fontId="28" fillId="0" borderId="25" xfId="0" applyFont="1" applyBorder="1" applyAlignment="1" applyProtection="1">
      <alignment vertical="center"/>
      <protection locked="0"/>
    </xf>
    <xf numFmtId="16" fontId="28" fillId="0" borderId="25" xfId="0" applyNumberFormat="1" applyFont="1" applyBorder="1" applyAlignment="1" applyProtection="1">
      <alignment vertical="center"/>
      <protection locked="0"/>
    </xf>
    <xf numFmtId="0" fontId="28" fillId="0" borderId="26" xfId="0" applyFont="1" applyBorder="1" applyAlignment="1" applyProtection="1">
      <alignment vertical="center"/>
      <protection locked="0"/>
    </xf>
    <xf numFmtId="0" fontId="16" fillId="31" borderId="0" xfId="0" applyFont="1" applyFill="1" applyAlignment="1" applyProtection="1">
      <alignment horizontal="center" vertical="center"/>
      <protection hidden="1"/>
    </xf>
    <xf numFmtId="14" fontId="16" fillId="31" borderId="8" xfId="0" applyNumberFormat="1" applyFont="1" applyFill="1" applyBorder="1" applyAlignment="1" applyProtection="1">
      <alignment horizontal="center" vertical="center" wrapText="1"/>
      <protection locked="0"/>
    </xf>
    <xf numFmtId="49" fontId="15" fillId="34" borderId="8" xfId="7" applyNumberFormat="1" applyFont="1" applyFill="1" applyBorder="1" applyAlignment="1" applyProtection="1">
      <alignment horizontal="center" vertical="center"/>
      <protection locked="0"/>
    </xf>
    <xf numFmtId="0" fontId="16" fillId="31" borderId="8" xfId="0" applyFont="1" applyFill="1" applyBorder="1" applyAlignment="1" applyProtection="1">
      <alignment horizontal="center" vertical="center"/>
      <protection hidden="1"/>
    </xf>
    <xf numFmtId="3" fontId="46" fillId="11" borderId="0" xfId="0" applyNumberFormat="1" applyFont="1" applyFill="1" applyBorder="1" applyAlignment="1" applyProtection="1">
      <alignment horizontal="right" vertical="center"/>
      <protection hidden="1"/>
    </xf>
    <xf numFmtId="168" fontId="37" fillId="10" borderId="43" xfId="0" applyNumberFormat="1" applyFont="1" applyFill="1" applyBorder="1" applyAlignment="1" applyProtection="1">
      <alignment horizontal="right" vertical="center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43" fillId="0" borderId="49" xfId="0" applyFont="1" applyFill="1" applyBorder="1" applyAlignment="1" applyProtection="1">
      <alignment vertical="center"/>
      <protection hidden="1"/>
    </xf>
    <xf numFmtId="42" fontId="45" fillId="12" borderId="67" xfId="0" applyNumberFormat="1" applyFont="1" applyFill="1" applyBorder="1" applyAlignment="1" applyProtection="1">
      <alignment horizontal="right" vertical="center"/>
      <protection hidden="1"/>
    </xf>
    <xf numFmtId="0" fontId="43" fillId="0" borderId="49" xfId="0" applyFont="1" applyFill="1" applyBorder="1" applyAlignment="1" applyProtection="1">
      <alignment horizontal="right" vertical="center"/>
      <protection hidden="1"/>
    </xf>
    <xf numFmtId="3" fontId="47" fillId="16" borderId="43" xfId="0" applyNumberFormat="1" applyFont="1" applyFill="1" applyBorder="1" applyAlignment="1" applyProtection="1">
      <alignment horizontal="right" vertical="center"/>
      <protection hidden="1"/>
    </xf>
    <xf numFmtId="1" fontId="26" fillId="15" borderId="42" xfId="0" applyNumberFormat="1" applyFont="1" applyFill="1" applyBorder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1" fontId="40" fillId="15" borderId="42" xfId="0" applyNumberFormat="1" applyFont="1" applyFill="1" applyBorder="1" applyAlignment="1" applyProtection="1">
      <alignment horizontal="right" vertical="center"/>
      <protection hidden="1"/>
    </xf>
    <xf numFmtId="0" fontId="16" fillId="0" borderId="0" xfId="0" applyFont="1" applyFill="1" applyBorder="1" applyAlignment="1" applyProtection="1">
      <alignment horizontal="right" vertical="center"/>
      <protection hidden="1"/>
    </xf>
    <xf numFmtId="49" fontId="6" fillId="0" borderId="0" xfId="0" applyNumberFormat="1" applyFont="1" applyAlignment="1" applyProtection="1">
      <alignment horizontal="center" vertical="center"/>
      <protection hidden="1"/>
    </xf>
    <xf numFmtId="10" fontId="47" fillId="16" borderId="41" xfId="10" applyNumberFormat="1" applyFont="1" applyFill="1" applyBorder="1" applyAlignment="1" applyProtection="1">
      <alignment horizontal="right" vertical="center"/>
      <protection hidden="1"/>
    </xf>
    <xf numFmtId="167" fontId="26" fillId="15" borderId="41" xfId="10" applyNumberFormat="1" applyFont="1" applyFill="1" applyBorder="1" applyAlignment="1" applyProtection="1">
      <alignment horizontal="right" vertical="center"/>
      <protection hidden="1"/>
    </xf>
    <xf numFmtId="167" fontId="40" fillId="15" borderId="41" xfId="10" applyNumberFormat="1" applyFont="1" applyFill="1" applyBorder="1" applyAlignment="1" applyProtection="1">
      <alignment horizontal="right" vertical="center"/>
      <protection hidden="1"/>
    </xf>
    <xf numFmtId="164" fontId="9" fillId="0" borderId="0" xfId="0" applyNumberFormat="1" applyFont="1" applyFill="1" applyBorder="1" applyAlignment="1" applyProtection="1">
      <alignment horizontal="center" vertical="center"/>
      <protection hidden="1"/>
    </xf>
    <xf numFmtId="165" fontId="10" fillId="13" borderId="0" xfId="0" applyNumberFormat="1" applyFont="1" applyFill="1" applyBorder="1" applyAlignment="1" applyProtection="1">
      <alignment horizontal="center" vertical="center"/>
      <protection hidden="1"/>
    </xf>
    <xf numFmtId="165" fontId="10" fillId="0" borderId="0" xfId="0" applyNumberFormat="1" applyFont="1" applyFill="1" applyBorder="1" applyAlignment="1" applyProtection="1">
      <alignment horizontal="center" vertical="center"/>
      <protection hidden="1"/>
    </xf>
    <xf numFmtId="164" fontId="9" fillId="3" borderId="0" xfId="0" applyNumberFormat="1" applyFont="1" applyFill="1" applyBorder="1" applyAlignment="1" applyProtection="1">
      <alignment horizontal="center" vertical="center"/>
      <protection hidden="1"/>
    </xf>
    <xf numFmtId="49" fontId="11" fillId="4" borderId="11" xfId="0" applyNumberFormat="1" applyFont="1" applyFill="1" applyBorder="1" applyAlignment="1" applyProtection="1">
      <alignment horizontal="center" vertical="center" wrapText="1"/>
      <protection hidden="1"/>
    </xf>
    <xf numFmtId="49" fontId="78" fillId="4" borderId="118" xfId="0" applyNumberFormat="1" applyFont="1" applyFill="1" applyBorder="1" applyAlignment="1" applyProtection="1">
      <alignment horizontal="center" vertical="center" wrapText="1"/>
      <protection hidden="1"/>
    </xf>
    <xf numFmtId="49" fontId="12" fillId="0" borderId="119" xfId="2" applyNumberFormat="1" applyFont="1" applyFill="1" applyBorder="1" applyAlignment="1" applyProtection="1">
      <alignment horizontal="center" vertical="center" wrapText="1"/>
      <protection hidden="1"/>
    </xf>
    <xf numFmtId="49" fontId="42" fillId="0" borderId="61" xfId="2" applyNumberFormat="1" applyFont="1" applyFill="1" applyBorder="1" applyAlignment="1" applyProtection="1">
      <alignment horizontal="center" vertical="center" wrapText="1"/>
      <protection hidden="1"/>
    </xf>
    <xf numFmtId="169" fontId="79" fillId="6" borderId="0" xfId="2" applyNumberFormat="1" applyFont="1" applyFill="1" applyBorder="1" applyAlignment="1">
      <alignment vertical="center" wrapText="1"/>
    </xf>
    <xf numFmtId="49" fontId="79" fillId="6" borderId="3" xfId="2" applyNumberFormat="1" applyFont="1" applyFill="1" applyBorder="1" applyAlignment="1">
      <alignment vertical="center" wrapText="1"/>
    </xf>
    <xf numFmtId="0" fontId="34" fillId="0" borderId="0" xfId="0" applyFont="1" applyAlignment="1" applyProtection="1">
      <alignment vertical="center" wrapText="1"/>
      <protection hidden="1"/>
    </xf>
    <xf numFmtId="166" fontId="14" fillId="0" borderId="52" xfId="0" applyNumberFormat="1" applyFont="1" applyFill="1" applyBorder="1" applyAlignment="1" applyProtection="1">
      <alignment horizontal="right" vertical="center" wrapText="1"/>
      <protection hidden="1"/>
    </xf>
    <xf numFmtId="0" fontId="16" fillId="0" borderId="0" xfId="0" applyFont="1" applyAlignment="1" applyProtection="1">
      <alignment vertical="center" wrapText="1"/>
      <protection hidden="1"/>
    </xf>
    <xf numFmtId="49" fontId="81" fillId="6" borderId="19" xfId="5" applyNumberFormat="1" applyFont="1" applyFill="1" applyBorder="1" applyAlignment="1">
      <alignment horizontal="center" vertical="center" wrapText="1"/>
    </xf>
    <xf numFmtId="49" fontId="81" fillId="6" borderId="20" xfId="5" applyNumberFormat="1" applyFont="1" applyFill="1" applyBorder="1" applyAlignment="1">
      <alignment horizontal="center" vertical="center" wrapText="1"/>
    </xf>
    <xf numFmtId="49" fontId="81" fillId="6" borderId="21" xfId="5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 applyProtection="1">
      <alignment vertical="center" wrapText="1"/>
      <protection hidden="1"/>
    </xf>
    <xf numFmtId="49" fontId="17" fillId="3" borderId="37" xfId="0" applyNumberFormat="1" applyFont="1" applyFill="1" applyBorder="1" applyAlignment="1" applyProtection="1">
      <alignment horizontal="left" vertical="center" wrapText="1" indent="1"/>
      <protection locked="0"/>
    </xf>
    <xf numFmtId="49" fontId="17" fillId="3" borderId="38" xfId="0" applyNumberFormat="1" applyFont="1" applyFill="1" applyBorder="1" applyAlignment="1" applyProtection="1">
      <alignment horizontal="left" vertical="center" wrapText="1" indent="1"/>
      <protection locked="0"/>
    </xf>
    <xf numFmtId="49" fontId="17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80" fillId="3" borderId="38" xfId="0" applyNumberFormat="1" applyFont="1" applyFill="1" applyBorder="1" applyAlignment="1" applyProtection="1">
      <alignment horizontal="center" vertical="center" wrapText="1"/>
      <protection locked="0"/>
    </xf>
    <xf numFmtId="168" fontId="14" fillId="29" borderId="125" xfId="0" applyNumberFormat="1" applyFont="1" applyFill="1" applyBorder="1" applyAlignment="1" applyProtection="1">
      <alignment horizontal="right" vertical="center" wrapText="1"/>
      <protection locked="0"/>
    </xf>
    <xf numFmtId="167" fontId="33" fillId="39" borderId="126" xfId="10" applyNumberFormat="1" applyFont="1" applyFill="1" applyBorder="1" applyAlignment="1" applyProtection="1">
      <alignment horizontal="right" vertical="center" wrapText="1"/>
      <protection hidden="1"/>
    </xf>
    <xf numFmtId="168" fontId="14" fillId="13" borderId="38" xfId="0" applyNumberFormat="1" applyFont="1" applyFill="1" applyBorder="1" applyAlignment="1" applyProtection="1">
      <alignment horizontal="right" vertical="center" wrapText="1"/>
      <protection locked="0"/>
    </xf>
    <xf numFmtId="168" fontId="14" fillId="13" borderId="39" xfId="0" applyNumberFormat="1" applyFont="1" applyFill="1" applyBorder="1" applyAlignment="1" applyProtection="1">
      <alignment horizontal="right" vertical="center" wrapText="1"/>
      <protection locked="0"/>
    </xf>
    <xf numFmtId="168" fontId="17" fillId="13" borderId="39" xfId="0" applyNumberFormat="1" applyFont="1" applyFill="1" applyBorder="1" applyAlignment="1" applyProtection="1">
      <alignment horizontal="right" vertical="center" wrapText="1"/>
      <protection locked="0"/>
    </xf>
    <xf numFmtId="1" fontId="14" fillId="0" borderId="52" xfId="0" applyNumberFormat="1" applyFont="1" applyFill="1" applyBorder="1" applyAlignment="1" applyProtection="1">
      <alignment horizontal="center" vertical="center"/>
      <protection hidden="1"/>
    </xf>
    <xf numFmtId="14" fontId="14" fillId="14" borderId="39" xfId="0" applyNumberFormat="1" applyFont="1" applyFill="1" applyBorder="1" applyAlignment="1" applyProtection="1">
      <alignment horizontal="center" vertical="center" wrapText="1"/>
      <protection locked="0"/>
    </xf>
    <xf numFmtId="1" fontId="22" fillId="22" borderId="39" xfId="0" applyNumberFormat="1" applyFont="1" applyFill="1" applyBorder="1" applyAlignment="1" applyProtection="1">
      <alignment horizontal="center" vertical="center"/>
      <protection hidden="1"/>
    </xf>
    <xf numFmtId="49" fontId="15" fillId="0" borderId="39" xfId="5" applyNumberFormat="1" applyFont="1" applyFill="1" applyBorder="1" applyAlignment="1" applyProtection="1">
      <alignment horizontal="center" vertical="center" wrapText="1"/>
      <protection locked="0"/>
    </xf>
    <xf numFmtId="1" fontId="44" fillId="22" borderId="39" xfId="0" applyNumberFormat="1" applyFont="1" applyFill="1" applyBorder="1" applyAlignment="1" applyProtection="1">
      <alignment horizontal="center" vertical="center"/>
      <protection hidden="1"/>
    </xf>
    <xf numFmtId="1" fontId="44" fillId="0" borderId="124" xfId="0" applyNumberFormat="1" applyFont="1" applyFill="1" applyBorder="1" applyAlignment="1" applyProtection="1">
      <alignment horizontal="center" vertical="center"/>
      <protection hidden="1"/>
    </xf>
    <xf numFmtId="172" fontId="41" fillId="0" borderId="39" xfId="0" applyNumberFormat="1" applyFont="1" applyFill="1" applyBorder="1" applyAlignment="1" applyProtection="1">
      <alignment horizontal="center" vertical="center"/>
      <protection locked="0"/>
    </xf>
    <xf numFmtId="14" fontId="32" fillId="22" borderId="39" xfId="0" applyNumberFormat="1" applyFont="1" applyFill="1" applyBorder="1" applyAlignment="1" applyProtection="1">
      <alignment horizontal="center" vertical="center"/>
      <protection hidden="1"/>
    </xf>
    <xf numFmtId="0" fontId="16" fillId="0" borderId="39" xfId="0" applyFont="1" applyBorder="1" applyAlignment="1" applyProtection="1">
      <alignment horizontal="center" vertical="center" wrapText="1"/>
      <protection locked="0"/>
    </xf>
    <xf numFmtId="0" fontId="16" fillId="0" borderId="125" xfId="0" applyFont="1" applyFill="1" applyBorder="1" applyAlignment="1" applyProtection="1">
      <alignment horizontal="center" vertical="center" wrapText="1"/>
      <protection locked="0"/>
    </xf>
    <xf numFmtId="0" fontId="16" fillId="0" borderId="64" xfId="0" applyFont="1" applyFill="1" applyBorder="1" applyAlignment="1" applyProtection="1">
      <alignment horizontal="left" vertical="center"/>
      <protection locked="0"/>
    </xf>
    <xf numFmtId="166" fontId="14" fillId="0" borderId="39" xfId="0" applyNumberFormat="1" applyFont="1" applyFill="1" applyBorder="1" applyAlignment="1" applyProtection="1">
      <alignment horizontal="left" vertical="center" wrapText="1"/>
      <protection locked="0"/>
    </xf>
    <xf numFmtId="0" fontId="16" fillId="0" borderId="39" xfId="0" applyFont="1" applyBorder="1" applyAlignment="1" applyProtection="1">
      <alignment horizontal="left" vertical="center" wrapText="1"/>
      <protection locked="0"/>
    </xf>
    <xf numFmtId="0" fontId="16" fillId="0" borderId="125" xfId="0" applyFont="1" applyBorder="1" applyAlignment="1" applyProtection="1">
      <alignment horizontal="left" vertical="center" wrapText="1"/>
      <protection locked="0"/>
    </xf>
    <xf numFmtId="166" fontId="14" fillId="40" borderId="39" xfId="0" applyNumberFormat="1" applyFont="1" applyFill="1" applyBorder="1" applyAlignment="1" applyProtection="1">
      <alignment horizontal="left" vertical="center" wrapText="1"/>
      <protection locked="0"/>
    </xf>
    <xf numFmtId="0" fontId="16" fillId="40" borderId="39" xfId="0" applyFont="1" applyFill="1" applyBorder="1" applyAlignment="1" applyProtection="1">
      <alignment horizontal="left" vertical="center" wrapText="1"/>
      <protection locked="0"/>
    </xf>
    <xf numFmtId="0" fontId="16" fillId="40" borderId="125" xfId="0" applyFont="1" applyFill="1" applyBorder="1" applyAlignment="1" applyProtection="1">
      <alignment horizontal="left" vertical="center" wrapText="1"/>
      <protection locked="0"/>
    </xf>
    <xf numFmtId="0" fontId="16" fillId="40" borderId="72" xfId="0" applyFont="1" applyFill="1" applyBorder="1" applyAlignment="1" applyProtection="1">
      <alignment horizontal="left" vertical="center" wrapText="1"/>
      <protection locked="0"/>
    </xf>
    <xf numFmtId="49" fontId="81" fillId="6" borderId="37" xfId="5" applyNumberFormat="1" applyFont="1" applyFill="1" applyBorder="1" applyAlignment="1">
      <alignment horizontal="center" vertical="center" wrapText="1"/>
    </xf>
    <xf numFmtId="49" fontId="81" fillId="6" borderId="39" xfId="5" applyNumberFormat="1" applyFont="1" applyFill="1" applyBorder="1" applyAlignment="1">
      <alignment horizontal="center" vertical="center" wrapText="1"/>
    </xf>
    <xf numFmtId="49" fontId="81" fillId="6" borderId="125" xfId="5" applyNumberFormat="1" applyFont="1" applyFill="1" applyBorder="1" applyAlignment="1">
      <alignment horizontal="center" vertical="center" wrapText="1"/>
    </xf>
    <xf numFmtId="0" fontId="82" fillId="41" borderId="116" xfId="0" applyFont="1" applyFill="1" applyBorder="1" applyAlignment="1">
      <alignment horizontal="center" vertical="center" wrapText="1"/>
    </xf>
    <xf numFmtId="14" fontId="81" fillId="6" borderId="39" xfId="5" applyNumberFormat="1" applyFont="1" applyFill="1" applyBorder="1" applyAlignment="1">
      <alignment horizontal="center" vertical="center" wrapText="1"/>
    </xf>
    <xf numFmtId="0" fontId="82" fillId="41" borderId="126" xfId="0" applyFont="1" applyFill="1" applyBorder="1" applyAlignment="1">
      <alignment horizontal="center" vertical="center" wrapText="1"/>
    </xf>
    <xf numFmtId="0" fontId="82" fillId="41" borderId="39" xfId="0" applyFont="1" applyFill="1" applyBorder="1" applyAlignment="1">
      <alignment horizontal="center" vertical="center" wrapText="1"/>
    </xf>
    <xf numFmtId="49" fontId="81" fillId="6" borderId="72" xfId="5" applyNumberFormat="1" applyFont="1" applyFill="1" applyBorder="1" applyAlignment="1">
      <alignment horizontal="center" vertical="center" wrapText="1"/>
    </xf>
    <xf numFmtId="49" fontId="17" fillId="3" borderId="22" xfId="0" applyNumberFormat="1" applyFont="1" applyFill="1" applyBorder="1" applyAlignment="1" applyProtection="1">
      <alignment horizontal="left" vertical="center" wrapText="1" indent="1"/>
      <protection locked="0"/>
    </xf>
    <xf numFmtId="49" fontId="17" fillId="3" borderId="32" xfId="0" applyNumberFormat="1" applyFont="1" applyFill="1" applyBorder="1" applyAlignment="1" applyProtection="1">
      <alignment horizontal="left" vertical="center" wrapText="1" indent="1"/>
      <protection locked="0"/>
    </xf>
    <xf numFmtId="49" fontId="80" fillId="3" borderId="32" xfId="0" applyNumberFormat="1" applyFont="1" applyFill="1" applyBorder="1" applyAlignment="1" applyProtection="1">
      <alignment horizontal="center" vertical="center" wrapText="1"/>
      <protection locked="0"/>
    </xf>
    <xf numFmtId="168" fontId="14" fillId="13" borderId="9" xfId="0" applyNumberFormat="1" applyFont="1" applyFill="1" applyBorder="1" applyAlignment="1" applyProtection="1">
      <alignment horizontal="right" vertical="center" wrapText="1"/>
      <protection locked="0"/>
    </xf>
    <xf numFmtId="167" fontId="33" fillId="39" borderId="127" xfId="10" applyNumberFormat="1" applyFont="1" applyFill="1" applyBorder="1" applyAlignment="1" applyProtection="1">
      <alignment vertical="center" wrapText="1"/>
      <protection hidden="1"/>
    </xf>
    <xf numFmtId="168" fontId="14" fillId="13" borderId="32" xfId="0" applyNumberFormat="1" applyFont="1" applyFill="1" applyBorder="1" applyAlignment="1" applyProtection="1">
      <alignment horizontal="right" vertical="center" wrapText="1"/>
      <protection locked="0"/>
    </xf>
    <xf numFmtId="168" fontId="14" fillId="13" borderId="8" xfId="0" applyNumberFormat="1" applyFont="1" applyFill="1" applyBorder="1" applyAlignment="1" applyProtection="1">
      <alignment horizontal="right" vertical="center" wrapText="1"/>
      <protection locked="0"/>
    </xf>
    <xf numFmtId="168" fontId="17" fillId="13" borderId="8" xfId="0" applyNumberFormat="1" applyFont="1" applyFill="1" applyBorder="1" applyAlignment="1" applyProtection="1">
      <alignment horizontal="right" vertical="center" wrapText="1"/>
      <protection locked="0"/>
    </xf>
    <xf numFmtId="14" fontId="14" fillId="14" borderId="8" xfId="0" applyNumberFormat="1" applyFont="1" applyFill="1" applyBorder="1" applyAlignment="1" applyProtection="1">
      <alignment horizontal="center" vertical="center" wrapText="1"/>
      <protection locked="0"/>
    </xf>
    <xf numFmtId="49" fontId="33" fillId="0" borderId="8" xfId="1" applyNumberFormat="1" applyFont="1" applyFill="1" applyBorder="1" applyAlignment="1" applyProtection="1">
      <alignment horizontal="center" vertical="center" wrapText="1"/>
      <protection locked="0"/>
    </xf>
    <xf numFmtId="49" fontId="15" fillId="6" borderId="8" xfId="3" applyNumberFormat="1" applyFont="1" applyFill="1" applyBorder="1" applyAlignment="1" applyProtection="1">
      <alignment horizontal="center" vertical="center" wrapText="1"/>
      <protection locked="0"/>
    </xf>
    <xf numFmtId="49" fontId="15" fillId="0" borderId="9" xfId="3" applyNumberFormat="1" applyFont="1" applyFill="1" applyBorder="1" applyAlignment="1" applyProtection="1">
      <alignment horizontal="center" vertical="center" wrapText="1"/>
      <protection locked="0"/>
    </xf>
    <xf numFmtId="49" fontId="15" fillId="0" borderId="64" xfId="2" applyNumberFormat="1" applyFont="1" applyFill="1" applyBorder="1" applyAlignment="1" applyProtection="1">
      <alignment horizontal="left" vertical="center"/>
      <protection locked="0"/>
    </xf>
    <xf numFmtId="166" fontId="14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15" fillId="6" borderId="8" xfId="3" applyNumberFormat="1" applyFont="1" applyFill="1" applyBorder="1" applyAlignment="1" applyProtection="1">
      <alignment horizontal="left" vertical="center" wrapText="1"/>
      <protection locked="0"/>
    </xf>
    <xf numFmtId="49" fontId="15" fillId="6" borderId="9" xfId="3" applyNumberFormat="1" applyFont="1" applyFill="1" applyBorder="1" applyAlignment="1" applyProtection="1">
      <alignment horizontal="left" vertical="center" wrapText="1"/>
      <protection locked="0"/>
    </xf>
    <xf numFmtId="166" fontId="14" fillId="40" borderId="8" xfId="0" applyNumberFormat="1" applyFont="1" applyFill="1" applyBorder="1" applyAlignment="1" applyProtection="1">
      <alignment horizontal="left" vertical="center" wrapText="1"/>
      <protection locked="0"/>
    </xf>
    <xf numFmtId="49" fontId="15" fillId="42" borderId="8" xfId="3" applyNumberFormat="1" applyFont="1" applyFill="1" applyBorder="1" applyAlignment="1" applyProtection="1">
      <alignment horizontal="left" vertical="center" wrapText="1"/>
      <protection locked="0"/>
    </xf>
    <xf numFmtId="49" fontId="15" fillId="42" borderId="23" xfId="3" applyNumberFormat="1" applyFont="1" applyFill="1" applyBorder="1" applyAlignment="1" applyProtection="1">
      <alignment horizontal="left" vertical="center" wrapText="1"/>
      <protection locked="0"/>
    </xf>
    <xf numFmtId="0" fontId="82" fillId="0" borderId="22" xfId="0" applyFont="1" applyBorder="1" applyAlignment="1">
      <alignment horizontal="center" vertical="center" wrapText="1"/>
    </xf>
    <xf numFmtId="0" fontId="82" fillId="0" borderId="8" xfId="0" applyFont="1" applyBorder="1" applyAlignment="1">
      <alignment horizontal="center" vertical="center" wrapText="1"/>
    </xf>
    <xf numFmtId="0" fontId="82" fillId="0" borderId="23" xfId="0" applyFont="1" applyBorder="1" applyAlignment="1">
      <alignment horizontal="center" vertical="center" wrapText="1"/>
    </xf>
    <xf numFmtId="49" fontId="81" fillId="43" borderId="71" xfId="5" applyNumberFormat="1" applyFont="1" applyFill="1" applyBorder="1" applyAlignment="1">
      <alignment horizontal="center" vertical="center" wrapText="1"/>
    </xf>
    <xf numFmtId="14" fontId="82" fillId="0" borderId="8" xfId="0" applyNumberFormat="1" applyFont="1" applyBorder="1" applyAlignment="1">
      <alignment horizontal="center" vertical="center" wrapText="1"/>
    </xf>
    <xf numFmtId="49" fontId="81" fillId="43" borderId="127" xfId="5" applyNumberFormat="1" applyFont="1" applyFill="1" applyBorder="1" applyAlignment="1">
      <alignment horizontal="center" vertical="center" wrapText="1"/>
    </xf>
    <xf numFmtId="49" fontId="81" fillId="43" borderId="8" xfId="5" applyNumberFormat="1" applyFont="1" applyFill="1" applyBorder="1" applyAlignment="1">
      <alignment horizontal="center" vertical="center" wrapText="1"/>
    </xf>
    <xf numFmtId="168" fontId="14" fillId="29" borderId="9" xfId="0" applyNumberFormat="1" applyFont="1" applyFill="1" applyBorder="1" applyAlignment="1" applyProtection="1">
      <alignment horizontal="right" vertical="center" wrapText="1"/>
      <protection locked="0"/>
    </xf>
    <xf numFmtId="49" fontId="15" fillId="0" borderId="0" xfId="2" applyNumberFormat="1" applyFont="1" applyFill="1" applyBorder="1" applyAlignment="1" applyProtection="1">
      <alignment horizontal="left" vertical="center"/>
      <protection locked="0"/>
    </xf>
    <xf numFmtId="49" fontId="17" fillId="3" borderId="128" xfId="0" applyNumberFormat="1" applyFont="1" applyFill="1" applyBorder="1" applyAlignment="1" applyProtection="1">
      <alignment horizontal="left" vertical="center" wrapText="1" indent="1"/>
      <protection locked="0"/>
    </xf>
    <xf numFmtId="49" fontId="17" fillId="3" borderId="8" xfId="0" applyNumberFormat="1" applyFont="1" applyFill="1" applyBorder="1" applyAlignment="1" applyProtection="1">
      <alignment horizontal="left" vertical="center" wrapText="1" inden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49" fontId="15" fillId="6" borderId="23" xfId="3" applyNumberFormat="1" applyFont="1" applyFill="1" applyBorder="1" applyAlignment="1" applyProtection="1">
      <alignment horizontal="left" vertical="center" wrapText="1"/>
      <protection locked="0"/>
    </xf>
    <xf numFmtId="49" fontId="81" fillId="6" borderId="22" xfId="5" applyNumberFormat="1" applyFont="1" applyFill="1" applyBorder="1" applyAlignment="1">
      <alignment horizontal="center" vertical="center" wrapText="1"/>
    </xf>
    <xf numFmtId="49" fontId="81" fillId="6" borderId="8" xfId="5" applyNumberFormat="1" applyFont="1" applyFill="1" applyBorder="1" applyAlignment="1">
      <alignment horizontal="center" vertical="center" wrapText="1"/>
    </xf>
    <xf numFmtId="49" fontId="81" fillId="6" borderId="23" xfId="5" applyNumberFormat="1" applyFont="1" applyFill="1" applyBorder="1" applyAlignment="1">
      <alignment horizontal="center" vertical="center" wrapText="1"/>
    </xf>
    <xf numFmtId="0" fontId="82" fillId="41" borderId="71" xfId="0" applyFont="1" applyFill="1" applyBorder="1" applyAlignment="1">
      <alignment horizontal="center" vertical="center" wrapText="1"/>
    </xf>
    <xf numFmtId="14" fontId="81" fillId="6" borderId="8" xfId="5" applyNumberFormat="1" applyFont="1" applyFill="1" applyBorder="1" applyAlignment="1">
      <alignment horizontal="center" vertical="center" wrapText="1"/>
    </xf>
    <xf numFmtId="0" fontId="82" fillId="41" borderId="127" xfId="0" applyFont="1" applyFill="1" applyBorder="1" applyAlignment="1">
      <alignment horizontal="center" vertical="center" wrapText="1"/>
    </xf>
    <xf numFmtId="0" fontId="82" fillId="41" borderId="8" xfId="0" applyFont="1" applyFill="1" applyBorder="1" applyAlignment="1">
      <alignment horizontal="center" vertical="center" wrapText="1"/>
    </xf>
    <xf numFmtId="49" fontId="17" fillId="0" borderId="128" xfId="0" applyNumberFormat="1" applyFont="1" applyFill="1" applyBorder="1" applyAlignment="1" applyProtection="1">
      <alignment horizontal="left" vertical="center" wrapText="1" indent="1"/>
      <protection locked="0"/>
    </xf>
    <xf numFmtId="49" fontId="17" fillId="0" borderId="8" xfId="0" applyNumberFormat="1" applyFont="1" applyFill="1" applyBorder="1" applyAlignment="1" applyProtection="1">
      <alignment horizontal="left" vertical="center" wrapText="1" indent="1"/>
      <protection locked="0"/>
    </xf>
    <xf numFmtId="49" fontId="17" fillId="0" borderId="32" xfId="0" applyNumberFormat="1" applyFont="1" applyFill="1" applyBorder="1" applyAlignment="1" applyProtection="1">
      <alignment horizontal="center" vertical="center" wrapText="1"/>
      <protection locked="0"/>
    </xf>
    <xf numFmtId="49" fontId="80" fillId="0" borderId="32" xfId="0" applyNumberFormat="1" applyFont="1" applyFill="1" applyBorder="1" applyAlignment="1" applyProtection="1">
      <alignment horizontal="center" vertical="center" wrapText="1"/>
      <protection locked="0"/>
    </xf>
    <xf numFmtId="168" fontId="14" fillId="14" borderId="9" xfId="0" applyNumberFormat="1" applyFont="1" applyFill="1" applyBorder="1" applyAlignment="1" applyProtection="1">
      <alignment horizontal="right" vertical="center" wrapText="1"/>
      <protection locked="0"/>
    </xf>
    <xf numFmtId="168" fontId="14" fillId="14" borderId="32" xfId="0" applyNumberFormat="1" applyFont="1" applyFill="1" applyBorder="1" applyAlignment="1" applyProtection="1">
      <alignment horizontal="right" vertical="center" wrapText="1"/>
      <protection locked="0"/>
    </xf>
    <xf numFmtId="168" fontId="14" fillId="14" borderId="8" xfId="0" applyNumberFormat="1" applyFont="1" applyFill="1" applyBorder="1" applyAlignment="1" applyProtection="1">
      <alignment horizontal="right" vertical="center" wrapText="1"/>
      <protection locked="0"/>
    </xf>
    <xf numFmtId="168" fontId="17" fillId="14" borderId="8" xfId="0" applyNumberFormat="1" applyFont="1" applyFill="1" applyBorder="1" applyAlignment="1" applyProtection="1">
      <alignment horizontal="right" vertical="center" wrapText="1"/>
      <protection locked="0"/>
    </xf>
    <xf numFmtId="49" fontId="15" fillId="0" borderId="8" xfId="3" applyNumberFormat="1" applyFont="1" applyFill="1" applyBorder="1" applyAlignment="1" applyProtection="1">
      <alignment horizontal="center" vertical="center" wrapText="1"/>
      <protection locked="0"/>
    </xf>
    <xf numFmtId="49" fontId="15" fillId="0" borderId="8" xfId="3" applyNumberFormat="1" applyFont="1" applyFill="1" applyBorder="1" applyAlignment="1" applyProtection="1">
      <alignment horizontal="left" vertical="center" wrapText="1"/>
      <protection locked="0"/>
    </xf>
    <xf numFmtId="49" fontId="15" fillId="0" borderId="9" xfId="3" applyNumberFormat="1" applyFont="1" applyFill="1" applyBorder="1" applyAlignment="1" applyProtection="1">
      <alignment horizontal="left" vertical="center" wrapText="1"/>
      <protection locked="0"/>
    </xf>
    <xf numFmtId="49" fontId="15" fillId="0" borderId="23" xfId="3" applyNumberFormat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vertical="center" wrapText="1"/>
      <protection hidden="1"/>
    </xf>
    <xf numFmtId="0" fontId="82" fillId="0" borderId="22" xfId="0" applyFont="1" applyFill="1" applyBorder="1" applyAlignment="1">
      <alignment horizontal="center" vertical="center" wrapText="1"/>
    </xf>
    <xf numFmtId="0" fontId="82" fillId="0" borderId="8" xfId="0" applyFont="1" applyFill="1" applyBorder="1" applyAlignment="1">
      <alignment horizontal="center" vertical="center" wrapText="1"/>
    </xf>
    <xf numFmtId="0" fontId="82" fillId="0" borderId="23" xfId="0" applyFont="1" applyFill="1" applyBorder="1" applyAlignment="1">
      <alignment horizontal="center" vertical="center" wrapText="1"/>
    </xf>
    <xf numFmtId="49" fontId="81" fillId="41" borderId="71" xfId="5" applyNumberFormat="1" applyFont="1" applyFill="1" applyBorder="1" applyAlignment="1">
      <alignment horizontal="center" vertical="center" wrapText="1"/>
    </xf>
    <xf numFmtId="14" fontId="82" fillId="0" borderId="8" xfId="0" applyNumberFormat="1" applyFont="1" applyFill="1" applyBorder="1" applyAlignment="1">
      <alignment horizontal="center" vertical="center" wrapText="1"/>
    </xf>
    <xf numFmtId="49" fontId="81" fillId="41" borderId="127" xfId="5" applyNumberFormat="1" applyFont="1" applyFill="1" applyBorder="1" applyAlignment="1">
      <alignment horizontal="center" vertical="center" wrapText="1"/>
    </xf>
    <xf numFmtId="49" fontId="81" fillId="41" borderId="8" xfId="5" applyNumberFormat="1" applyFont="1" applyFill="1" applyBorder="1" applyAlignment="1">
      <alignment horizontal="center" vertical="center" wrapText="1"/>
    </xf>
    <xf numFmtId="49" fontId="15" fillId="42" borderId="9" xfId="3" applyNumberFormat="1" applyFont="1" applyFill="1" applyBorder="1" applyAlignment="1" applyProtection="1">
      <alignment horizontal="left" vertical="center" wrapText="1"/>
      <protection locked="0"/>
    </xf>
    <xf numFmtId="49" fontId="17" fillId="14" borderId="22" xfId="0" applyNumberFormat="1" applyFont="1" applyFill="1" applyBorder="1" applyAlignment="1" applyProtection="1">
      <alignment horizontal="left" vertical="center" wrapText="1" indent="1"/>
      <protection locked="0"/>
    </xf>
    <xf numFmtId="49" fontId="17" fillId="14" borderId="32" xfId="0" applyNumberFormat="1" applyFont="1" applyFill="1" applyBorder="1" applyAlignment="1" applyProtection="1">
      <alignment horizontal="left" vertical="center" wrapText="1" indent="1"/>
      <protection locked="0"/>
    </xf>
    <xf numFmtId="49" fontId="80" fillId="14" borderId="32" xfId="0" applyNumberFormat="1" applyFont="1" applyFill="1" applyBorder="1" applyAlignment="1" applyProtection="1">
      <alignment horizontal="center" vertical="center" wrapText="1"/>
      <protection locked="0"/>
    </xf>
    <xf numFmtId="168" fontId="16" fillId="14" borderId="9" xfId="0" applyNumberFormat="1" applyFont="1" applyFill="1" applyBorder="1" applyAlignment="1" applyProtection="1">
      <alignment vertical="center" wrapText="1"/>
      <protection locked="0"/>
    </xf>
    <xf numFmtId="168" fontId="16" fillId="14" borderId="32" xfId="0" applyNumberFormat="1" applyFont="1" applyFill="1" applyBorder="1" applyAlignment="1" applyProtection="1">
      <alignment vertical="center" wrapText="1"/>
      <protection locked="0"/>
    </xf>
    <xf numFmtId="168" fontId="16" fillId="14" borderId="8" xfId="0" applyNumberFormat="1" applyFont="1" applyFill="1" applyBorder="1" applyAlignment="1" applyProtection="1">
      <alignment vertical="center" wrapText="1"/>
      <protection locked="0"/>
    </xf>
    <xf numFmtId="14" fontId="16" fillId="14" borderId="8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8" xfId="5" applyNumberFormat="1" applyFont="1" applyFill="1" applyBorder="1" applyAlignment="1" applyProtection="1">
      <alignment horizontal="center" vertical="center" wrapText="1"/>
      <protection locked="0"/>
    </xf>
    <xf numFmtId="10" fontId="16" fillId="0" borderId="52" xfId="0" applyNumberFormat="1" applyFont="1" applyFill="1" applyBorder="1" applyAlignment="1" applyProtection="1">
      <alignment vertical="center" wrapText="1"/>
      <protection hidden="1"/>
    </xf>
    <xf numFmtId="0" fontId="16" fillId="0" borderId="8" xfId="0" applyFont="1" applyBorder="1" applyAlignment="1" applyProtection="1">
      <alignment horizontal="center" vertical="center" wrapText="1"/>
      <protection locked="0"/>
    </xf>
    <xf numFmtId="10" fontId="16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81" fillId="6" borderId="8" xfId="3" applyNumberFormat="1" applyFont="1" applyFill="1" applyBorder="1" applyAlignment="1">
      <alignment horizontal="center" vertical="center" wrapText="1"/>
    </xf>
    <xf numFmtId="49" fontId="17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49" fontId="17" fillId="0" borderId="32" xfId="0" applyNumberFormat="1" applyFont="1" applyFill="1" applyBorder="1" applyAlignment="1" applyProtection="1">
      <alignment horizontal="left" vertical="center" wrapText="1" indent="1"/>
      <protection locked="0"/>
    </xf>
    <xf numFmtId="49" fontId="15" fillId="40" borderId="8" xfId="3" applyNumberFormat="1" applyFont="1" applyFill="1" applyBorder="1" applyAlignment="1" applyProtection="1">
      <alignment horizontal="left" vertical="center" wrapText="1"/>
      <protection locked="0"/>
    </xf>
    <xf numFmtId="49" fontId="15" fillId="40" borderId="23" xfId="3" applyNumberFormat="1" applyFont="1" applyFill="1" applyBorder="1" applyAlignment="1" applyProtection="1">
      <alignment horizontal="left" vertical="center" wrapText="1"/>
      <protection locked="0"/>
    </xf>
    <xf numFmtId="49" fontId="15" fillId="40" borderId="9" xfId="3" applyNumberFormat="1" applyFont="1" applyFill="1" applyBorder="1" applyAlignment="1" applyProtection="1">
      <alignment horizontal="left" vertical="center" wrapText="1"/>
      <protection locked="0"/>
    </xf>
    <xf numFmtId="49" fontId="27" fillId="3" borderId="32" xfId="0" applyNumberFormat="1" applyFont="1" applyFill="1" applyBorder="1" applyAlignment="1" applyProtection="1">
      <alignment horizontal="center" vertical="center" wrapText="1"/>
      <protection locked="0"/>
    </xf>
    <xf numFmtId="14" fontId="14" fillId="13" borderId="8" xfId="0" applyNumberFormat="1" applyFont="1" applyFill="1" applyBorder="1" applyAlignment="1" applyProtection="1">
      <alignment horizontal="center" vertical="center" wrapText="1"/>
      <protection locked="0"/>
    </xf>
    <xf numFmtId="14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166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9" xfId="0" applyFont="1" applyFill="1" applyBorder="1" applyAlignment="1" applyProtection="1">
      <alignment horizontal="center" vertical="center" wrapText="1"/>
      <protection locked="0"/>
    </xf>
    <xf numFmtId="49" fontId="15" fillId="0" borderId="52" xfId="2" applyNumberFormat="1" applyFont="1" applyFill="1" applyBorder="1" applyAlignment="1" applyProtection="1">
      <alignment horizontal="left" vertical="center"/>
      <protection hidden="1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9" xfId="0" applyFont="1" applyBorder="1" applyAlignment="1" applyProtection="1">
      <alignment horizontal="left" vertical="center" wrapText="1"/>
      <protection locked="0"/>
    </xf>
    <xf numFmtId="166" fontId="14" fillId="0" borderId="8" xfId="0" applyNumberFormat="1" applyFont="1" applyFill="1" applyBorder="1" applyAlignment="1" applyProtection="1">
      <alignment horizontal="right" vertical="center" wrapText="1"/>
      <protection locked="0"/>
    </xf>
    <xf numFmtId="166" fontId="14" fillId="0" borderId="8" xfId="0" applyNumberFormat="1" applyFont="1" applyFill="1" applyBorder="1" applyAlignment="1" applyProtection="1">
      <alignment vertical="center" wrapText="1"/>
      <protection locked="0"/>
    </xf>
    <xf numFmtId="0" fontId="16" fillId="0" borderId="9" xfId="0" applyFont="1" applyBorder="1" applyAlignment="1" applyProtection="1">
      <alignment vertical="center" wrapText="1"/>
      <protection locked="0"/>
    </xf>
    <xf numFmtId="0" fontId="16" fillId="0" borderId="2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82" fillId="0" borderId="32" xfId="0" applyFont="1" applyBorder="1" applyAlignment="1">
      <alignment horizontal="center" vertical="center" wrapText="1"/>
    </xf>
    <xf numFmtId="49" fontId="81" fillId="6" borderId="9" xfId="5" applyNumberFormat="1" applyFont="1" applyFill="1" applyBorder="1" applyAlignment="1">
      <alignment horizontal="center" vertical="center" wrapText="1"/>
    </xf>
    <xf numFmtId="0" fontId="82" fillId="0" borderId="129" xfId="0" applyFont="1" applyFill="1" applyBorder="1" applyAlignment="1">
      <alignment horizontal="center" vertical="center" wrapText="1"/>
    </xf>
    <xf numFmtId="166" fontId="14" fillId="40" borderId="8" xfId="0" applyNumberFormat="1" applyFont="1" applyFill="1" applyBorder="1" applyAlignment="1" applyProtection="1">
      <alignment horizontal="right" vertical="center" wrapText="1"/>
      <protection locked="0"/>
    </xf>
    <xf numFmtId="166" fontId="14" fillId="40" borderId="8" xfId="0" applyNumberFormat="1" applyFont="1" applyFill="1" applyBorder="1" applyAlignment="1" applyProtection="1">
      <alignment vertical="center" wrapText="1"/>
      <protection locked="0"/>
    </xf>
    <xf numFmtId="0" fontId="16" fillId="40" borderId="8" xfId="0" applyFont="1" applyFill="1" applyBorder="1" applyAlignment="1" applyProtection="1">
      <alignment vertical="center" wrapText="1"/>
      <protection locked="0"/>
    </xf>
    <xf numFmtId="0" fontId="16" fillId="40" borderId="9" xfId="0" applyFont="1" applyFill="1" applyBorder="1" applyAlignment="1" applyProtection="1">
      <alignment vertical="center" wrapText="1"/>
      <protection locked="0"/>
    </xf>
    <xf numFmtId="0" fontId="16" fillId="40" borderId="23" xfId="0" applyFont="1" applyFill="1" applyBorder="1" applyAlignment="1" applyProtection="1">
      <alignment vertical="center" wrapText="1"/>
      <protection locked="0"/>
    </xf>
    <xf numFmtId="49" fontId="83" fillId="3" borderId="38" xfId="0" applyNumberFormat="1" applyFont="1" applyFill="1" applyBorder="1" applyAlignment="1" applyProtection="1">
      <alignment horizontal="left" vertical="center" wrapText="1" indent="1"/>
      <protection locked="0"/>
    </xf>
    <xf numFmtId="49" fontId="83" fillId="3" borderId="38" xfId="0" applyNumberFormat="1" applyFont="1" applyFill="1" applyBorder="1" applyAlignment="1" applyProtection="1">
      <alignment horizontal="center" vertical="center" wrapText="1"/>
      <protection locked="0"/>
    </xf>
    <xf numFmtId="166" fontId="84" fillId="0" borderId="52" xfId="0" applyNumberFormat="1" applyFont="1" applyFill="1" applyBorder="1" applyAlignment="1" applyProtection="1">
      <alignment horizontal="right" vertical="center" wrapText="1"/>
      <protection hidden="1"/>
    </xf>
    <xf numFmtId="14" fontId="84" fillId="13" borderId="39" xfId="0" applyNumberFormat="1" applyFont="1" applyFill="1" applyBorder="1" applyAlignment="1" applyProtection="1">
      <alignment horizontal="center" vertical="center" wrapText="1"/>
      <protection locked="0"/>
    </xf>
    <xf numFmtId="166" fontId="84" fillId="0" borderId="39" xfId="0" applyNumberFormat="1" applyFont="1" applyFill="1" applyBorder="1" applyAlignment="1" applyProtection="1">
      <alignment horizontal="left" vertical="center" wrapText="1"/>
      <protection locked="0"/>
    </xf>
    <xf numFmtId="0" fontId="6" fillId="0" borderId="39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39" xfId="0" applyBorder="1" applyAlignment="1">
      <alignment horizontal="center" vertical="center" wrapText="1"/>
    </xf>
    <xf numFmtId="0" fontId="0" fillId="41" borderId="39" xfId="0" applyFill="1" applyBorder="1" applyAlignment="1">
      <alignment horizontal="center" vertical="center" wrapText="1"/>
    </xf>
    <xf numFmtId="0" fontId="0" fillId="14" borderId="126" xfId="0" applyFill="1" applyBorder="1" applyAlignment="1">
      <alignment horizontal="center" vertical="center" wrapText="1"/>
    </xf>
    <xf numFmtId="0" fontId="85" fillId="38" borderId="39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vertical="center" wrapText="1"/>
      <protection locked="0"/>
    </xf>
    <xf numFmtId="166" fontId="84" fillId="40" borderId="39" xfId="0" applyNumberFormat="1" applyFont="1" applyFill="1" applyBorder="1" applyAlignment="1" applyProtection="1">
      <alignment horizontal="left" vertical="center" wrapText="1"/>
      <protection locked="0"/>
    </xf>
    <xf numFmtId="0" fontId="6" fillId="40" borderId="39" xfId="0" applyFont="1" applyFill="1" applyBorder="1" applyAlignment="1" applyProtection="1">
      <alignment horizontal="left" vertical="center" wrapText="1"/>
      <protection locked="0"/>
    </xf>
    <xf numFmtId="0" fontId="16" fillId="0" borderId="52" xfId="0" applyFont="1" applyFill="1" applyBorder="1" applyAlignment="1" applyProtection="1">
      <alignment horizontal="left" vertical="center"/>
      <protection hidden="1"/>
    </xf>
    <xf numFmtId="164" fontId="81" fillId="6" borderId="9" xfId="5" applyNumberFormat="1" applyFont="1" applyFill="1" applyBorder="1" applyAlignment="1">
      <alignment horizontal="center" vertical="center" wrapText="1"/>
    </xf>
    <xf numFmtId="164" fontId="81" fillId="6" borderId="22" xfId="5" applyNumberFormat="1" applyFont="1" applyFill="1" applyBorder="1" applyAlignment="1">
      <alignment horizontal="center" vertical="center" wrapText="1"/>
    </xf>
    <xf numFmtId="164" fontId="81" fillId="6" borderId="8" xfId="5" applyNumberFormat="1" applyFont="1" applyFill="1" applyBorder="1" applyAlignment="1">
      <alignment horizontal="center" vertical="center" wrapText="1"/>
    </xf>
    <xf numFmtId="164" fontId="81" fillId="6" borderId="23" xfId="5" applyNumberFormat="1" applyFont="1" applyFill="1" applyBorder="1" applyAlignment="1">
      <alignment horizontal="center" vertical="center" wrapText="1"/>
    </xf>
    <xf numFmtId="0" fontId="82" fillId="0" borderId="9" xfId="0" applyFont="1" applyBorder="1" applyAlignment="1">
      <alignment horizontal="center" vertical="center" wrapText="1"/>
    </xf>
    <xf numFmtId="168" fontId="14" fillId="13" borderId="125" xfId="0" applyNumberFormat="1" applyFont="1" applyFill="1" applyBorder="1" applyAlignment="1" applyProtection="1">
      <alignment horizontal="right" vertical="center" wrapText="1"/>
      <protection locked="0"/>
    </xf>
    <xf numFmtId="49" fontId="17" fillId="3" borderId="24" xfId="0" applyNumberFormat="1" applyFont="1" applyFill="1" applyBorder="1" applyAlignment="1" applyProtection="1">
      <alignment horizontal="left" vertical="center" wrapText="1" indent="1"/>
      <protection locked="0"/>
    </xf>
    <xf numFmtId="49" fontId="83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80" fillId="3" borderId="33" xfId="0" applyNumberFormat="1" applyFont="1" applyFill="1" applyBorder="1" applyAlignment="1" applyProtection="1">
      <alignment horizontal="center" vertical="center" wrapText="1"/>
      <protection locked="0"/>
    </xf>
    <xf numFmtId="168" fontId="14" fillId="13" borderId="30" xfId="0" applyNumberFormat="1" applyFont="1" applyFill="1" applyBorder="1" applyAlignment="1" applyProtection="1">
      <alignment horizontal="right" vertical="center" wrapText="1"/>
      <protection locked="0"/>
    </xf>
    <xf numFmtId="167" fontId="33" fillId="39" borderId="130" xfId="10" applyNumberFormat="1" applyFont="1" applyFill="1" applyBorder="1" applyAlignment="1" applyProtection="1">
      <alignment horizontal="right" vertical="center" wrapText="1"/>
      <protection hidden="1"/>
    </xf>
    <xf numFmtId="168" fontId="14" fillId="13" borderId="33" xfId="0" applyNumberFormat="1" applyFont="1" applyFill="1" applyBorder="1" applyAlignment="1" applyProtection="1">
      <alignment horizontal="right" vertical="center" wrapText="1"/>
      <protection locked="0"/>
    </xf>
    <xf numFmtId="168" fontId="14" fillId="13" borderId="25" xfId="0" applyNumberFormat="1" applyFont="1" applyFill="1" applyBorder="1" applyAlignment="1" applyProtection="1">
      <alignment horizontal="right" vertical="center" wrapText="1"/>
      <protection locked="0"/>
    </xf>
    <xf numFmtId="168" fontId="17" fillId="13" borderId="25" xfId="0" applyNumberFormat="1" applyFont="1" applyFill="1" applyBorder="1" applyAlignment="1" applyProtection="1">
      <alignment horizontal="right" vertical="center" wrapText="1"/>
      <protection locked="0"/>
    </xf>
    <xf numFmtId="14" fontId="14" fillId="3" borderId="25" xfId="0" applyNumberFormat="1" applyFont="1" applyFill="1" applyBorder="1" applyAlignment="1" applyProtection="1">
      <alignment horizontal="center" vertical="center" wrapText="1"/>
      <protection locked="0"/>
    </xf>
    <xf numFmtId="14" fontId="14" fillId="0" borderId="25" xfId="0" applyNumberFormat="1" applyFont="1" applyFill="1" applyBorder="1" applyAlignment="1" applyProtection="1">
      <alignment horizontal="center" vertical="center" wrapText="1"/>
      <protection locked="0"/>
    </xf>
    <xf numFmtId="172" fontId="41" fillId="0" borderId="25" xfId="0" applyNumberFormat="1" applyFont="1" applyFill="1" applyBorder="1" applyAlignment="1" applyProtection="1">
      <alignment horizontal="center" vertical="center"/>
      <protection locked="0"/>
    </xf>
    <xf numFmtId="0" fontId="16" fillId="0" borderId="30" xfId="0" applyFont="1" applyFill="1" applyBorder="1" applyAlignment="1" applyProtection="1">
      <alignment horizontal="center" vertical="center" wrapText="1"/>
      <protection locked="0"/>
    </xf>
    <xf numFmtId="166" fontId="14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16" fillId="0" borderId="25" xfId="0" applyFont="1" applyBorder="1" applyAlignment="1" applyProtection="1">
      <alignment horizontal="left" vertical="center" wrapText="1"/>
      <protection locked="0"/>
    </xf>
    <xf numFmtId="166" fontId="84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6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Border="1" applyAlignment="1">
      <alignment horizontal="center" vertical="center" wrapText="1"/>
    </xf>
    <xf numFmtId="0" fontId="0" fillId="41" borderId="25" xfId="0" applyFill="1" applyBorder="1" applyAlignment="1">
      <alignment horizontal="center" vertical="center" wrapText="1"/>
    </xf>
    <xf numFmtId="0" fontId="0" fillId="14" borderId="130" xfId="0" applyFill="1" applyBorder="1" applyAlignment="1">
      <alignment horizontal="center" vertical="center" wrapText="1"/>
    </xf>
    <xf numFmtId="0" fontId="85" fillId="38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center" wrapText="1" inden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0" xfId="0" applyFont="1" applyFill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6" fillId="0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Fill="1" applyAlignment="1" applyProtection="1">
      <alignment horizontal="center" vertical="center" wrapText="1"/>
      <protection hidden="1"/>
    </xf>
    <xf numFmtId="168" fontId="14" fillId="0" borderId="9" xfId="0" applyNumberFormat="1" applyFont="1" applyFill="1" applyBorder="1" applyAlignment="1" applyProtection="1">
      <alignment horizontal="right" vertical="center" wrapText="1"/>
      <protection locked="0"/>
    </xf>
    <xf numFmtId="167" fontId="33" fillId="0" borderId="127" xfId="10" applyNumberFormat="1" applyFont="1" applyFill="1" applyBorder="1" applyAlignment="1" applyProtection="1">
      <alignment vertical="center" wrapText="1"/>
      <protection hidden="1"/>
    </xf>
    <xf numFmtId="168" fontId="14" fillId="0" borderId="32" xfId="0" applyNumberFormat="1" applyFont="1" applyFill="1" applyBorder="1" applyAlignment="1" applyProtection="1">
      <alignment horizontal="right" vertical="center" wrapText="1"/>
      <protection locked="0"/>
    </xf>
    <xf numFmtId="168" fontId="14" fillId="0" borderId="8" xfId="0" applyNumberFormat="1" applyFont="1" applyFill="1" applyBorder="1" applyAlignment="1" applyProtection="1">
      <alignment horizontal="right" vertical="center" wrapText="1"/>
      <protection locked="0"/>
    </xf>
    <xf numFmtId="168" fontId="17" fillId="0" borderId="8" xfId="0" applyNumberFormat="1" applyFont="1" applyFill="1" applyBorder="1" applyAlignment="1" applyProtection="1">
      <alignment horizontal="right" vertical="center" wrapText="1"/>
      <protection locked="0"/>
    </xf>
    <xf numFmtId="166" fontId="14" fillId="0" borderId="8" xfId="0" applyNumberFormat="1" applyFont="1" applyFill="1" applyBorder="1" applyAlignment="1" applyProtection="1">
      <alignment horizontal="right" vertical="center"/>
      <protection hidden="1"/>
    </xf>
    <xf numFmtId="1" fontId="22" fillId="0" borderId="8" xfId="0" applyNumberFormat="1" applyFont="1" applyFill="1" applyBorder="1" applyAlignment="1" applyProtection="1">
      <alignment horizontal="center" vertical="center"/>
      <protection hidden="1"/>
    </xf>
    <xf numFmtId="1" fontId="44" fillId="0" borderId="8" xfId="0" applyNumberFormat="1" applyFont="1" applyFill="1" applyBorder="1" applyAlignment="1" applyProtection="1">
      <alignment horizontal="center" vertical="center"/>
      <protection hidden="1"/>
    </xf>
    <xf numFmtId="14" fontId="32" fillId="0" borderId="8" xfId="0" applyNumberFormat="1" applyFont="1" applyFill="1" applyBorder="1" applyAlignment="1" applyProtection="1">
      <alignment horizontal="center" vertical="center"/>
      <protection hidden="1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Fill="1" applyBorder="1" applyAlignment="1" applyProtection="1">
      <alignment horizontal="left" vertical="center" wrapText="1"/>
      <protection locked="0"/>
    </xf>
    <xf numFmtId="0" fontId="16" fillId="0" borderId="9" xfId="0" applyFont="1" applyFill="1" applyBorder="1" applyAlignment="1" applyProtection="1">
      <alignment horizontal="left" vertical="center" wrapText="1"/>
      <protection locked="0"/>
    </xf>
    <xf numFmtId="0" fontId="16" fillId="0" borderId="8" xfId="0" applyFont="1" applyFill="1" applyBorder="1" applyAlignment="1" applyProtection="1">
      <alignment vertical="center" wrapText="1"/>
      <protection locked="0"/>
    </xf>
    <xf numFmtId="0" fontId="16" fillId="0" borderId="9" xfId="0" applyFont="1" applyFill="1" applyBorder="1" applyAlignment="1" applyProtection="1">
      <alignment vertical="center" wrapText="1"/>
      <protection locked="0"/>
    </xf>
    <xf numFmtId="0" fontId="16" fillId="0" borderId="23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Alignment="1" applyProtection="1">
      <alignment vertical="center" wrapText="1"/>
      <protection locked="0"/>
    </xf>
    <xf numFmtId="0" fontId="82" fillId="0" borderId="32" xfId="0" applyFont="1" applyFill="1" applyBorder="1" applyAlignment="1">
      <alignment horizontal="center" vertical="center" wrapText="1"/>
    </xf>
    <xf numFmtId="49" fontId="81" fillId="0" borderId="9" xfId="5" applyNumberFormat="1" applyFont="1" applyFill="1" applyBorder="1" applyAlignment="1">
      <alignment horizontal="center" vertical="center" wrapText="1"/>
    </xf>
    <xf numFmtId="49" fontId="81" fillId="0" borderId="22" xfId="5" applyNumberFormat="1" applyFont="1" applyFill="1" applyBorder="1" applyAlignment="1">
      <alignment horizontal="center" vertical="center" wrapText="1"/>
    </xf>
    <xf numFmtId="49" fontId="81" fillId="0" borderId="8" xfId="5" applyNumberFormat="1" applyFont="1" applyFill="1" applyBorder="1" applyAlignment="1">
      <alignment horizontal="center" vertical="center" wrapText="1"/>
    </xf>
    <xf numFmtId="49" fontId="81" fillId="0" borderId="23" xfId="5" applyNumberFormat="1" applyFont="1" applyFill="1" applyBorder="1" applyAlignment="1">
      <alignment horizontal="center" vertical="center" wrapText="1"/>
    </xf>
    <xf numFmtId="0" fontId="82" fillId="0" borderId="127" xfId="0" applyFont="1" applyFill="1" applyBorder="1" applyAlignment="1">
      <alignment horizontal="center" vertical="center" wrapText="1"/>
    </xf>
    <xf numFmtId="49" fontId="17" fillId="3" borderId="33" xfId="0" applyNumberFormat="1" applyFont="1" applyFill="1" applyBorder="1" applyAlignment="1" applyProtection="1">
      <alignment horizontal="left" vertical="center" wrapText="1" indent="1"/>
      <protection locked="0"/>
    </xf>
    <xf numFmtId="0" fontId="6" fillId="14" borderId="0" xfId="0" applyFont="1" applyFill="1" applyBorder="1" applyAlignment="1" applyProtection="1">
      <alignment horizontal="center" vertical="center"/>
      <protection hidden="1"/>
    </xf>
    <xf numFmtId="0" fontId="6" fillId="14" borderId="0" xfId="0" applyFont="1" applyFill="1" applyBorder="1" applyAlignment="1" applyProtection="1">
      <alignment vertical="center"/>
      <protection hidden="1"/>
    </xf>
    <xf numFmtId="3" fontId="86" fillId="11" borderId="0" xfId="0" applyNumberFormat="1" applyFont="1" applyFill="1" applyBorder="1" applyAlignment="1" applyProtection="1">
      <alignment horizontal="right" vertical="center" indent="1"/>
      <protection hidden="1"/>
    </xf>
    <xf numFmtId="42" fontId="45" fillId="14" borderId="43" xfId="0" applyNumberFormat="1" applyFont="1" applyFill="1" applyBorder="1" applyAlignment="1" applyProtection="1">
      <alignment vertical="center"/>
      <protection hidden="1"/>
    </xf>
    <xf numFmtId="42" fontId="23" fillId="12" borderId="67" xfId="0" applyNumberFormat="1" applyFont="1" applyFill="1" applyBorder="1" applyAlignment="1" applyProtection="1">
      <alignment horizontal="right" vertical="center" indent="1"/>
      <protection hidden="1"/>
    </xf>
    <xf numFmtId="0" fontId="13" fillId="14" borderId="0" xfId="0" applyFont="1" applyFill="1" applyBorder="1" applyAlignment="1" applyProtection="1">
      <alignment vertical="center"/>
      <protection hidden="1"/>
    </xf>
    <xf numFmtId="3" fontId="87" fillId="16" borderId="43" xfId="0" applyNumberFormat="1" applyFont="1" applyFill="1" applyBorder="1" applyAlignment="1" applyProtection="1">
      <alignment horizontal="center" vertical="center"/>
      <protection hidden="1"/>
    </xf>
    <xf numFmtId="1" fontId="26" fillId="15" borderId="42" xfId="0" applyNumberFormat="1" applyFont="1" applyFill="1" applyBorder="1" applyAlignment="1" applyProtection="1">
      <alignment horizontal="center" vertical="center"/>
      <protection hidden="1"/>
    </xf>
    <xf numFmtId="0" fontId="40" fillId="14" borderId="41" xfId="0" applyNumberFormat="1" applyFont="1" applyFill="1" applyBorder="1" applyAlignment="1" applyProtection="1">
      <alignment vertical="center"/>
      <protection hidden="1"/>
    </xf>
    <xf numFmtId="0" fontId="16" fillId="14" borderId="0" xfId="0" applyFont="1" applyFill="1" applyBorder="1" applyAlignment="1" applyProtection="1">
      <alignment vertical="center"/>
      <protection hidden="1"/>
    </xf>
    <xf numFmtId="10" fontId="47" fillId="16" borderId="41" xfId="10" applyNumberFormat="1" applyFont="1" applyFill="1" applyBorder="1" applyAlignment="1" applyProtection="1">
      <alignment horizontal="center" vertical="center"/>
      <protection hidden="1"/>
    </xf>
    <xf numFmtId="167" fontId="26" fillId="15" borderId="41" xfId="10" applyNumberFormat="1" applyFont="1" applyFill="1" applyBorder="1" applyAlignment="1" applyProtection="1">
      <alignment horizontal="center" vertical="center"/>
      <protection hidden="1"/>
    </xf>
    <xf numFmtId="42" fontId="45" fillId="14" borderId="53" xfId="0" applyNumberFormat="1" applyFont="1" applyFill="1" applyBorder="1" applyAlignment="1" applyProtection="1">
      <alignment vertical="center"/>
      <protection hidden="1"/>
    </xf>
    <xf numFmtId="0" fontId="43" fillId="12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1" fontId="40" fillId="14" borderId="41" xfId="0" applyNumberFormat="1" applyFont="1" applyFill="1" applyBorder="1" applyAlignment="1" applyProtection="1">
      <alignment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165" fontId="88" fillId="0" borderId="0" xfId="0" applyNumberFormat="1" applyFont="1" applyFill="1" applyBorder="1" applyAlignment="1" applyProtection="1">
      <alignment horizontal="center" vertical="center"/>
      <protection hidden="1"/>
    </xf>
    <xf numFmtId="49" fontId="25" fillId="0" borderId="119" xfId="2" applyNumberFormat="1" applyFont="1" applyFill="1" applyBorder="1" applyAlignment="1" applyProtection="1">
      <alignment horizontal="center" vertical="center" wrapText="1"/>
      <protection hidden="1"/>
    </xf>
    <xf numFmtId="49" fontId="25" fillId="21" borderId="50" xfId="2" applyNumberFormat="1" applyFont="1" applyFill="1" applyBorder="1" applyAlignment="1" applyProtection="1">
      <alignment horizontal="center" vertical="center" wrapText="1"/>
      <protection hidden="1"/>
    </xf>
    <xf numFmtId="49" fontId="19" fillId="3" borderId="0" xfId="0" applyNumberFormat="1" applyFont="1" applyFill="1" applyBorder="1" applyAlignment="1" applyProtection="1">
      <alignment horizontal="left" vertical="center" indent="1"/>
      <protection hidden="1"/>
    </xf>
    <xf numFmtId="49" fontId="17" fillId="3" borderId="31" xfId="0" applyNumberFormat="1" applyFont="1" applyFill="1" applyBorder="1" applyAlignment="1" applyProtection="1">
      <alignment horizontal="center" vertical="center"/>
      <protection locked="0"/>
    </xf>
    <xf numFmtId="49" fontId="61" fillId="3" borderId="31" xfId="0" applyNumberFormat="1" applyFont="1" applyFill="1" applyBorder="1" applyAlignment="1" applyProtection="1">
      <alignment horizontal="left" vertical="center"/>
      <protection locked="0"/>
    </xf>
    <xf numFmtId="167" fontId="14" fillId="13" borderId="20" xfId="10" applyNumberFormat="1" applyFont="1" applyFill="1" applyBorder="1" applyAlignment="1" applyProtection="1">
      <alignment horizontal="right" vertical="center"/>
      <protection hidden="1"/>
    </xf>
    <xf numFmtId="166" fontId="14" fillId="14" borderId="52" xfId="0" applyNumberFormat="1" applyFont="1" applyFill="1" applyBorder="1" applyAlignment="1" applyProtection="1">
      <alignment horizontal="right" vertical="center"/>
      <protection hidden="1"/>
    </xf>
    <xf numFmtId="14" fontId="14" fillId="13" borderId="20" xfId="0" applyNumberFormat="1" applyFont="1" applyFill="1" applyBorder="1" applyAlignment="1" applyProtection="1">
      <alignment horizontal="center" vertical="center"/>
      <protection locked="0"/>
    </xf>
    <xf numFmtId="14" fontId="15" fillId="0" borderId="20" xfId="9" applyNumberFormat="1" applyFont="1" applyFill="1" applyBorder="1" applyAlignment="1" applyProtection="1">
      <alignment horizontal="center" vertical="center"/>
      <protection locked="0"/>
    </xf>
    <xf numFmtId="1" fontId="14" fillId="22" borderId="20" xfId="0" applyNumberFormat="1" applyFont="1" applyFill="1" applyBorder="1" applyAlignment="1" applyProtection="1">
      <alignment horizontal="center" vertical="center"/>
      <protection hidden="1"/>
    </xf>
    <xf numFmtId="49" fontId="15" fillId="0" borderId="20" xfId="9" applyNumberFormat="1" applyFont="1" applyFill="1" applyBorder="1" applyAlignment="1" applyProtection="1">
      <alignment horizontal="center" vertical="center"/>
      <protection locked="0"/>
    </xf>
    <xf numFmtId="49" fontId="15" fillId="0" borderId="27" xfId="9" applyNumberFormat="1" applyFont="1" applyFill="1" applyBorder="1" applyAlignment="1" applyProtection="1">
      <alignment vertical="center"/>
      <protection locked="0"/>
    </xf>
    <xf numFmtId="49" fontId="15" fillId="0" borderId="65" xfId="9" applyNumberFormat="1" applyFont="1" applyFill="1" applyBorder="1" applyAlignment="1" applyProtection="1">
      <alignment vertical="center"/>
      <protection locked="0"/>
    </xf>
    <xf numFmtId="49" fontId="15" fillId="0" borderId="31" xfId="9" applyNumberFormat="1" applyFont="1" applyFill="1" applyBorder="1" applyAlignment="1" applyProtection="1">
      <alignment vertical="center"/>
      <protection locked="0"/>
    </xf>
    <xf numFmtId="49" fontId="15" fillId="0" borderId="20" xfId="9" applyNumberFormat="1" applyFont="1" applyFill="1" applyBorder="1" applyAlignment="1" applyProtection="1">
      <alignment horizontal="left" vertical="center"/>
      <protection locked="0"/>
    </xf>
    <xf numFmtId="49" fontId="15" fillId="6" borderId="20" xfId="9" applyNumberFormat="1" applyFont="1" applyFill="1" applyBorder="1" applyAlignment="1" applyProtection="1">
      <alignment horizontal="left" vertical="center"/>
      <protection locked="0"/>
    </xf>
    <xf numFmtId="49" fontId="15" fillId="6" borderId="20" xfId="9" applyNumberFormat="1" applyFont="1" applyFill="1" applyBorder="1" applyAlignment="1" applyProtection="1">
      <alignment horizontal="center" vertical="center"/>
      <protection locked="0"/>
    </xf>
    <xf numFmtId="49" fontId="15" fillId="6" borderId="52" xfId="9" applyNumberFormat="1" applyFont="1" applyFill="1" applyBorder="1" applyAlignment="1" applyProtection="1">
      <alignment horizontal="left" vertical="center"/>
      <protection hidden="1"/>
    </xf>
    <xf numFmtId="14" fontId="81" fillId="6" borderId="20" xfId="5" applyNumberFormat="1" applyFont="1" applyFill="1" applyBorder="1" applyAlignment="1">
      <alignment horizontal="center" vertical="center" wrapText="1"/>
    </xf>
    <xf numFmtId="49" fontId="17" fillId="0" borderId="32" xfId="0" applyNumberFormat="1" applyFont="1" applyFill="1" applyBorder="1" applyAlignment="1" applyProtection="1">
      <alignment horizontal="center" vertical="center"/>
      <protection locked="0"/>
    </xf>
    <xf numFmtId="49" fontId="61" fillId="0" borderId="32" xfId="0" applyNumberFormat="1" applyFont="1" applyFill="1" applyBorder="1" applyAlignment="1" applyProtection="1">
      <alignment horizontal="left" vertical="center"/>
      <protection locked="0"/>
    </xf>
    <xf numFmtId="168" fontId="14" fillId="14" borderId="8" xfId="0" applyNumberFormat="1" applyFont="1" applyFill="1" applyBorder="1" applyAlignment="1" applyProtection="1">
      <alignment horizontal="right" vertical="center"/>
      <protection locked="0"/>
    </xf>
    <xf numFmtId="167" fontId="14" fillId="13" borderId="39" xfId="10" applyNumberFormat="1" applyFont="1" applyFill="1" applyBorder="1" applyAlignment="1" applyProtection="1">
      <alignment horizontal="right" vertical="center"/>
      <protection hidden="1"/>
    </xf>
    <xf numFmtId="14" fontId="14" fillId="13" borderId="39" xfId="0" applyNumberFormat="1" applyFont="1" applyFill="1" applyBorder="1" applyAlignment="1" applyProtection="1">
      <alignment horizontal="center" vertical="center"/>
      <protection locked="0"/>
    </xf>
    <xf numFmtId="1" fontId="14" fillId="22" borderId="8" xfId="0" applyNumberFormat="1" applyFont="1" applyFill="1" applyBorder="1" applyAlignment="1" applyProtection="1">
      <alignment horizontal="center" vertical="center"/>
      <protection hidden="1"/>
    </xf>
    <xf numFmtId="49" fontId="16" fillId="0" borderId="8" xfId="0" applyNumberFormat="1" applyFont="1" applyBorder="1" applyAlignment="1" applyProtection="1">
      <alignment horizontal="center" vertical="center"/>
      <protection locked="0"/>
    </xf>
    <xf numFmtId="49" fontId="15" fillId="6" borderId="8" xfId="9" applyNumberFormat="1" applyFont="1" applyFill="1" applyBorder="1" applyAlignment="1" applyProtection="1">
      <alignment horizontal="left" vertical="center"/>
      <protection locked="0"/>
    </xf>
    <xf numFmtId="49" fontId="15" fillId="6" borderId="8" xfId="9" applyNumberFormat="1" applyFont="1" applyFill="1" applyBorder="1" applyAlignment="1" applyProtection="1">
      <alignment horizontal="center" vertical="center"/>
      <protection locked="0"/>
    </xf>
    <xf numFmtId="49" fontId="15" fillId="0" borderId="9" xfId="9" applyNumberFormat="1" applyFont="1" applyFill="1" applyBorder="1" applyAlignment="1" applyProtection="1">
      <alignment vertical="center"/>
      <protection locked="0"/>
    </xf>
    <xf numFmtId="49" fontId="15" fillId="0" borderId="71" xfId="9" applyNumberFormat="1" applyFont="1" applyFill="1" applyBorder="1" applyAlignment="1" applyProtection="1">
      <alignment vertical="center"/>
      <protection locked="0"/>
    </xf>
    <xf numFmtId="49" fontId="15" fillId="0" borderId="32" xfId="9" applyNumberFormat="1" applyFont="1" applyFill="1" applyBorder="1" applyAlignment="1" applyProtection="1">
      <alignment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49" fontId="17" fillId="3" borderId="32" xfId="0" applyNumberFormat="1" applyFont="1" applyFill="1" applyBorder="1" applyAlignment="1" applyProtection="1">
      <alignment horizontal="center" vertical="center"/>
      <protection locked="0"/>
    </xf>
    <xf numFmtId="49" fontId="61" fillId="3" borderId="32" xfId="0" applyNumberFormat="1" applyFont="1" applyFill="1" applyBorder="1" applyAlignment="1" applyProtection="1">
      <alignment horizontal="left" vertical="center"/>
      <protection locked="0"/>
    </xf>
    <xf numFmtId="49" fontId="15" fillId="0" borderId="9" xfId="9" applyNumberFormat="1" applyFont="1" applyFill="1" applyBorder="1" applyAlignment="1" applyProtection="1">
      <alignment horizontal="center" vertical="center"/>
      <protection locked="0"/>
    </xf>
    <xf numFmtId="49" fontId="15" fillId="0" borderId="71" xfId="9" applyNumberFormat="1" applyFont="1" applyFill="1" applyBorder="1" applyAlignment="1" applyProtection="1">
      <alignment horizontal="center" vertical="center"/>
      <protection locked="0"/>
    </xf>
    <xf numFmtId="49" fontId="15" fillId="0" borderId="32" xfId="9" applyNumberFormat="1" applyFont="1" applyFill="1" applyBorder="1" applyAlignment="1" applyProtection="1">
      <alignment horizontal="center" vertical="center"/>
      <protection locked="0"/>
    </xf>
    <xf numFmtId="0" fontId="16" fillId="0" borderId="52" xfId="0" applyFont="1" applyBorder="1" applyAlignment="1" applyProtection="1">
      <alignment horizontal="left" vertical="center"/>
      <protection hidden="1"/>
    </xf>
    <xf numFmtId="49" fontId="15" fillId="0" borderId="8" xfId="9" applyNumberFormat="1" applyFont="1" applyFill="1" applyBorder="1" applyAlignment="1" applyProtection="1">
      <alignment horizontal="left" vertical="center"/>
      <protection locked="0"/>
    </xf>
    <xf numFmtId="14" fontId="14" fillId="13" borderId="8" xfId="0" applyNumberFormat="1" applyFont="1" applyFill="1" applyBorder="1" applyAlignment="1" applyProtection="1">
      <alignment horizontal="center" vertical="center"/>
      <protection locked="0"/>
    </xf>
    <xf numFmtId="14" fontId="15" fillId="0" borderId="8" xfId="9" applyNumberFormat="1" applyFont="1" applyFill="1" applyBorder="1" applyAlignment="1" applyProtection="1">
      <alignment horizontal="center" vertical="center"/>
      <protection locked="0"/>
    </xf>
    <xf numFmtId="49" fontId="15" fillId="0" borderId="8" xfId="9" applyNumberFormat="1" applyFont="1" applyFill="1" applyBorder="1" applyAlignment="1" applyProtection="1">
      <alignment horizontal="center" vertical="center"/>
      <protection locked="0"/>
    </xf>
    <xf numFmtId="49" fontId="83" fillId="3" borderId="32" xfId="0" applyNumberFormat="1" applyFont="1" applyFill="1" applyBorder="1" applyAlignment="1" applyProtection="1">
      <alignment horizontal="center" vertical="center"/>
      <protection locked="0"/>
    </xf>
    <xf numFmtId="49" fontId="61" fillId="13" borderId="32" xfId="0" applyNumberFormat="1" applyFont="1" applyFill="1" applyBorder="1" applyAlignment="1" applyProtection="1">
      <alignment horizontal="left" vertical="center"/>
      <protection locked="0"/>
    </xf>
    <xf numFmtId="166" fontId="84" fillId="0" borderId="52" xfId="0" applyNumberFormat="1" applyFont="1" applyFill="1" applyBorder="1" applyAlignment="1" applyProtection="1">
      <alignment horizontal="right" vertical="center"/>
      <protection hidden="1"/>
    </xf>
    <xf numFmtId="0" fontId="6" fillId="0" borderId="8" xfId="0" applyFont="1" applyBorder="1" applyAlignment="1" applyProtection="1">
      <alignment horizontal="center" vertical="center"/>
      <protection locked="0"/>
    </xf>
    <xf numFmtId="49" fontId="83" fillId="3" borderId="8" xfId="0" applyNumberFormat="1" applyFont="1" applyFill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6" fillId="0" borderId="52" xfId="0" applyFont="1" applyBorder="1" applyAlignment="1" applyProtection="1">
      <alignment horizontal="left" vertical="center"/>
      <protection hidden="1"/>
    </xf>
    <xf numFmtId="14" fontId="14" fillId="3" borderId="8" xfId="0" applyNumberFormat="1" applyFont="1" applyFill="1" applyBorder="1" applyAlignment="1" applyProtection="1">
      <alignment horizontal="center" vertical="center"/>
      <protection locked="0"/>
    </xf>
    <xf numFmtId="14" fontId="14" fillId="5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1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9" fontId="83" fillId="3" borderId="38" xfId="0" applyNumberFormat="1" applyFont="1" applyFill="1" applyBorder="1" applyAlignment="1" applyProtection="1">
      <alignment horizontal="center" vertical="center"/>
      <protection locked="0"/>
    </xf>
    <xf numFmtId="49" fontId="61" fillId="3" borderId="38" xfId="0" applyNumberFormat="1" applyFont="1" applyFill="1" applyBorder="1" applyAlignment="1" applyProtection="1">
      <alignment horizontal="left" vertical="center"/>
      <protection locked="0"/>
    </xf>
    <xf numFmtId="168" fontId="14" fillId="13" borderId="39" xfId="0" applyNumberFormat="1" applyFont="1" applyFill="1" applyBorder="1" applyAlignment="1" applyProtection="1">
      <alignment horizontal="right" vertical="center"/>
      <protection locked="0"/>
    </xf>
    <xf numFmtId="14" fontId="14" fillId="5" borderId="39" xfId="0" applyNumberFormat="1" applyFont="1" applyFill="1" applyBorder="1" applyAlignment="1" applyProtection="1">
      <alignment horizontal="center" vertical="center"/>
      <protection locked="0"/>
    </xf>
    <xf numFmtId="14" fontId="16" fillId="0" borderId="39" xfId="0" applyNumberFormat="1" applyFont="1" applyBorder="1" applyAlignment="1" applyProtection="1">
      <alignment horizontal="center" vertical="center"/>
      <protection locked="0"/>
    </xf>
    <xf numFmtId="49" fontId="16" fillId="0" borderId="39" xfId="0" applyNumberFormat="1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vertical="center"/>
      <protection locked="0"/>
    </xf>
    <xf numFmtId="0" fontId="6" fillId="0" borderId="39" xfId="0" applyFont="1" applyBorder="1" applyAlignment="1" applyProtection="1">
      <alignment horizontal="left" vertical="center"/>
      <protection locked="0"/>
    </xf>
    <xf numFmtId="0" fontId="16" fillId="0" borderId="37" xfId="0" applyFont="1" applyBorder="1" applyAlignment="1" applyProtection="1">
      <alignment vertical="center"/>
      <protection hidden="1"/>
    </xf>
    <xf numFmtId="0" fontId="16" fillId="0" borderId="72" xfId="0" applyFont="1" applyBorder="1" applyAlignment="1" applyProtection="1">
      <alignment vertical="center"/>
      <protection hidden="1"/>
    </xf>
    <xf numFmtId="14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9" fillId="0" borderId="8" xfId="0" applyFont="1" applyBorder="1" applyAlignment="1" applyProtection="1">
      <alignment horizontal="center" vertical="center"/>
      <protection locked="0"/>
    </xf>
    <xf numFmtId="49" fontId="61" fillId="0" borderId="92" xfId="0" applyNumberFormat="1" applyFont="1" applyFill="1" applyBorder="1" applyAlignment="1" applyProtection="1">
      <alignment horizontal="left" vertical="center"/>
      <protection locked="0"/>
    </xf>
    <xf numFmtId="168" fontId="14" fillId="14" borderId="89" xfId="0" applyNumberFormat="1" applyFont="1" applyFill="1" applyBorder="1" applyAlignment="1" applyProtection="1">
      <alignment horizontal="right" vertical="center"/>
      <protection locked="0"/>
    </xf>
    <xf numFmtId="168" fontId="14" fillId="13" borderId="89" xfId="0" applyNumberFormat="1" applyFont="1" applyFill="1" applyBorder="1" applyAlignment="1" applyProtection="1">
      <alignment horizontal="right" vertical="center"/>
      <protection locked="0"/>
    </xf>
    <xf numFmtId="49" fontId="16" fillId="0" borderId="89" xfId="0" applyNumberFormat="1" applyFont="1" applyBorder="1" applyAlignment="1" applyProtection="1">
      <alignment horizontal="center" vertical="center"/>
      <protection locked="0"/>
    </xf>
    <xf numFmtId="172" fontId="41" fillId="0" borderId="89" xfId="0" applyNumberFormat="1" applyFont="1" applyFill="1" applyBorder="1" applyAlignment="1" applyProtection="1">
      <alignment horizontal="center" vertical="center"/>
      <protection locked="0"/>
    </xf>
    <xf numFmtId="14" fontId="22" fillId="22" borderId="89" xfId="0" applyNumberFormat="1" applyFont="1" applyFill="1" applyBorder="1" applyAlignment="1" applyProtection="1">
      <alignment horizontal="center" vertical="center"/>
      <protection hidden="1"/>
    </xf>
    <xf numFmtId="0" fontId="6" fillId="0" borderId="89" xfId="0" applyFont="1" applyBorder="1" applyAlignment="1" applyProtection="1">
      <alignment vertical="center"/>
      <protection locked="0"/>
    </xf>
    <xf numFmtId="0" fontId="6" fillId="0" borderId="89" xfId="0" applyFont="1" applyBorder="1" applyAlignment="1" applyProtection="1">
      <alignment horizontal="left" vertical="center"/>
      <protection locked="0"/>
    </xf>
    <xf numFmtId="0" fontId="6" fillId="0" borderId="89" xfId="0" applyFont="1" applyBorder="1" applyAlignment="1" applyProtection="1">
      <alignment horizontal="center" vertical="center"/>
      <protection locked="0"/>
    </xf>
    <xf numFmtId="0" fontId="0" fillId="0" borderId="89" xfId="0" applyBorder="1" applyAlignment="1">
      <alignment horizontal="center" vertical="center" wrapText="1"/>
    </xf>
    <xf numFmtId="14" fontId="0" fillId="0" borderId="89" xfId="0" applyNumberFormat="1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0" borderId="131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49" fontId="83" fillId="3" borderId="92" xfId="0" applyNumberFormat="1" applyFont="1" applyFill="1" applyBorder="1" applyAlignment="1" applyProtection="1">
      <alignment horizontal="center" vertical="center"/>
      <protection locked="0"/>
    </xf>
    <xf numFmtId="49" fontId="61" fillId="3" borderId="92" xfId="0" applyNumberFormat="1" applyFont="1" applyFill="1" applyBorder="1" applyAlignment="1" applyProtection="1">
      <alignment horizontal="left" vertical="center"/>
      <protection locked="0"/>
    </xf>
    <xf numFmtId="0" fontId="89" fillId="0" borderId="89" xfId="0" applyFont="1" applyBorder="1" applyAlignment="1" applyProtection="1">
      <alignment horizontal="center" vertical="center"/>
      <protection locked="0"/>
    </xf>
    <xf numFmtId="49" fontId="61" fillId="3" borderId="33" xfId="0" applyNumberFormat="1" applyFont="1" applyFill="1" applyBorder="1" applyAlignment="1" applyProtection="1">
      <alignment horizontal="left" vertical="center"/>
      <protection locked="0"/>
    </xf>
    <xf numFmtId="167" fontId="14" fillId="13" borderId="25" xfId="10" applyNumberFormat="1" applyFont="1" applyFill="1" applyBorder="1" applyAlignment="1" applyProtection="1">
      <alignment horizontal="right" vertical="center"/>
      <protection hidden="1"/>
    </xf>
    <xf numFmtId="168" fontId="17" fillId="13" borderId="25" xfId="0" applyNumberFormat="1" applyFont="1" applyFill="1" applyBorder="1" applyAlignment="1" applyProtection="1">
      <alignment horizontal="right" vertical="center"/>
      <protection locked="0"/>
    </xf>
    <xf numFmtId="14" fontId="14" fillId="13" borderId="25" xfId="0" applyNumberFormat="1" applyFont="1" applyFill="1" applyBorder="1" applyAlignment="1" applyProtection="1">
      <alignment horizontal="center" vertical="center"/>
      <protection locked="0"/>
    </xf>
    <xf numFmtId="14" fontId="15" fillId="0" borderId="25" xfId="9" applyNumberFormat="1" applyFont="1" applyFill="1" applyBorder="1" applyAlignment="1" applyProtection="1">
      <alignment horizontal="center" vertical="center"/>
      <protection locked="0"/>
    </xf>
    <xf numFmtId="1" fontId="14" fillId="22" borderId="25" xfId="0" applyNumberFormat="1" applyFont="1" applyFill="1" applyBorder="1" applyAlignment="1" applyProtection="1">
      <alignment horizontal="center" vertical="center"/>
      <protection hidden="1"/>
    </xf>
    <xf numFmtId="49" fontId="15" fillId="0" borderId="25" xfId="9" applyNumberFormat="1" applyFont="1" applyFill="1" applyBorder="1" applyAlignment="1" applyProtection="1">
      <alignment horizontal="center" vertical="center"/>
      <protection locked="0"/>
    </xf>
    <xf numFmtId="49" fontId="15" fillId="0" borderId="30" xfId="9" applyNumberFormat="1" applyFont="1" applyFill="1" applyBorder="1" applyAlignment="1" applyProtection="1">
      <alignment vertical="center"/>
      <protection locked="0"/>
    </xf>
    <xf numFmtId="49" fontId="15" fillId="0" borderId="66" xfId="9" applyNumberFormat="1" applyFont="1" applyFill="1" applyBorder="1" applyAlignment="1" applyProtection="1">
      <alignment vertical="center"/>
      <protection locked="0"/>
    </xf>
    <xf numFmtId="49" fontId="15" fillId="0" borderId="33" xfId="9" applyNumberFormat="1" applyFont="1" applyFill="1" applyBorder="1" applyAlignment="1" applyProtection="1">
      <alignment vertical="center"/>
      <protection locked="0"/>
    </xf>
    <xf numFmtId="49" fontId="15" fillId="6" borderId="25" xfId="9" applyNumberFormat="1" applyFont="1" applyFill="1" applyBorder="1" applyAlignment="1" applyProtection="1">
      <alignment horizontal="left" vertical="center"/>
      <protection locked="0"/>
    </xf>
    <xf numFmtId="49" fontId="15" fillId="6" borderId="25" xfId="9" applyNumberFormat="1" applyFont="1" applyFill="1" applyBorder="1" applyAlignment="1" applyProtection="1">
      <alignment horizontal="center" vertical="center"/>
      <protection locked="0"/>
    </xf>
    <xf numFmtId="0" fontId="82" fillId="0" borderId="24" xfId="0" applyFont="1" applyBorder="1" applyAlignment="1">
      <alignment horizontal="center" vertical="center" wrapText="1"/>
    </xf>
    <xf numFmtId="0" fontId="82" fillId="0" borderId="25" xfId="0" applyFont="1" applyBorder="1" applyAlignment="1">
      <alignment horizontal="center" vertical="center" wrapText="1"/>
    </xf>
    <xf numFmtId="14" fontId="82" fillId="0" borderId="25" xfId="0" applyNumberFormat="1" applyFont="1" applyBorder="1" applyAlignment="1">
      <alignment horizontal="center" vertical="center" wrapText="1"/>
    </xf>
    <xf numFmtId="0" fontId="82" fillId="0" borderId="26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14" fontId="14" fillId="3" borderId="25" xfId="0" applyNumberFormat="1" applyFont="1" applyFill="1" applyBorder="1" applyAlignment="1" applyProtection="1">
      <alignment horizontal="center" vertical="center"/>
      <protection locked="0"/>
    </xf>
    <xf numFmtId="14" fontId="27" fillId="13" borderId="8" xfId="0" applyNumberFormat="1" applyFont="1" applyFill="1" applyBorder="1" applyAlignment="1" applyProtection="1">
      <alignment horizontal="center" vertical="center"/>
      <protection locked="0"/>
    </xf>
    <xf numFmtId="14" fontId="27" fillId="0" borderId="8" xfId="9" applyNumberFormat="1" applyFont="1" applyFill="1" applyBorder="1" applyAlignment="1" applyProtection="1">
      <alignment horizontal="center" vertical="center"/>
      <protection locked="0"/>
    </xf>
    <xf numFmtId="49" fontId="17" fillId="3" borderId="92" xfId="0" applyNumberFormat="1" applyFont="1" applyFill="1" applyBorder="1" applyAlignment="1" applyProtection="1">
      <alignment horizontal="center" vertical="center"/>
      <protection locked="0"/>
    </xf>
    <xf numFmtId="14" fontId="15" fillId="0" borderId="89" xfId="9" applyNumberFormat="1" applyFont="1" applyFill="1" applyBorder="1" applyAlignment="1" applyProtection="1">
      <alignment horizontal="center" vertical="center"/>
      <protection locked="0"/>
    </xf>
    <xf numFmtId="49" fontId="15" fillId="0" borderId="89" xfId="9" applyNumberFormat="1" applyFont="1" applyFill="1" applyBorder="1" applyAlignment="1" applyProtection="1">
      <alignment horizontal="center" vertical="center"/>
      <protection locked="0"/>
    </xf>
    <xf numFmtId="49" fontId="15" fillId="6" borderId="89" xfId="9" applyNumberFormat="1" applyFont="1" applyFill="1" applyBorder="1" applyAlignment="1" applyProtection="1">
      <alignment horizontal="left" vertical="center"/>
      <protection locked="0"/>
    </xf>
    <xf numFmtId="49" fontId="15" fillId="6" borderId="89" xfId="9" applyNumberFormat="1" applyFont="1" applyFill="1" applyBorder="1" applyAlignment="1" applyProtection="1">
      <alignment horizontal="center" vertical="center"/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80" fillId="3" borderId="31" xfId="0" applyNumberFormat="1" applyFont="1" applyFill="1" applyBorder="1" applyAlignment="1" applyProtection="1">
      <alignment horizontal="left" vertical="center"/>
      <protection locked="0"/>
    </xf>
    <xf numFmtId="168" fontId="14" fillId="3" borderId="20" xfId="0" applyNumberFormat="1" applyFont="1" applyFill="1" applyBorder="1" applyAlignment="1" applyProtection="1">
      <alignment horizontal="right" vertical="center"/>
      <protection locked="0"/>
    </xf>
    <xf numFmtId="167" fontId="14" fillId="3" borderId="20" xfId="10" applyNumberFormat="1" applyFont="1" applyFill="1" applyBorder="1" applyAlignment="1" applyProtection="1">
      <alignment horizontal="center" vertical="center"/>
      <protection hidden="1"/>
    </xf>
    <xf numFmtId="168" fontId="17" fillId="3" borderId="20" xfId="0" applyNumberFormat="1" applyFont="1" applyFill="1" applyBorder="1" applyAlignment="1" applyProtection="1">
      <alignment horizontal="right" vertical="center"/>
      <protection locked="0"/>
    </xf>
    <xf numFmtId="1" fontId="14" fillId="0" borderId="0" xfId="0" applyNumberFormat="1" applyFont="1" applyFill="1" applyBorder="1" applyAlignment="1" applyProtection="1">
      <alignment horizontal="center" vertical="center"/>
      <protection hidden="1"/>
    </xf>
    <xf numFmtId="14" fontId="16" fillId="0" borderId="20" xfId="0" applyNumberFormat="1" applyFont="1" applyBorder="1" applyAlignment="1" applyProtection="1">
      <alignment horizontal="center" vertical="center"/>
      <protection locked="0"/>
    </xf>
    <xf numFmtId="1" fontId="32" fillId="22" borderId="20" xfId="0" applyNumberFormat="1" applyFont="1" applyFill="1" applyBorder="1" applyAlignment="1" applyProtection="1">
      <alignment horizontal="center" vertical="center"/>
      <protection hidden="1"/>
    </xf>
    <xf numFmtId="0" fontId="16" fillId="0" borderId="20" xfId="0" applyFont="1" applyBorder="1" applyAlignment="1" applyProtection="1">
      <alignment vertical="center"/>
      <protection locked="0"/>
    </xf>
    <xf numFmtId="49" fontId="22" fillId="0" borderId="32" xfId="0" applyNumberFormat="1" applyFont="1" applyFill="1" applyBorder="1" applyAlignment="1" applyProtection="1">
      <alignment horizontal="center" vertical="center"/>
      <protection locked="0"/>
    </xf>
    <xf numFmtId="49" fontId="80" fillId="0" borderId="32" xfId="0" applyNumberFormat="1" applyFont="1" applyFill="1" applyBorder="1" applyAlignment="1" applyProtection="1">
      <alignment horizontal="left" vertical="center"/>
      <protection locked="0"/>
    </xf>
    <xf numFmtId="168" fontId="14" fillId="0" borderId="8" xfId="0" applyNumberFormat="1" applyFont="1" applyFill="1" applyBorder="1" applyAlignment="1" applyProtection="1">
      <alignment horizontal="right" vertical="center"/>
      <protection locked="0"/>
    </xf>
    <xf numFmtId="167" fontId="14" fillId="3" borderId="8" xfId="10" applyNumberFormat="1" applyFont="1" applyFill="1" applyBorder="1" applyAlignment="1" applyProtection="1">
      <alignment horizontal="center" vertical="center"/>
      <protection hidden="1"/>
    </xf>
    <xf numFmtId="168" fontId="14" fillId="3" borderId="8" xfId="0" applyNumberFormat="1" applyFont="1" applyFill="1" applyBorder="1" applyAlignment="1" applyProtection="1">
      <alignment horizontal="right" vertical="center"/>
      <protection locked="0"/>
    </xf>
    <xf numFmtId="168" fontId="17" fillId="3" borderId="8" xfId="0" applyNumberFormat="1" applyFont="1" applyFill="1" applyBorder="1" applyAlignment="1" applyProtection="1">
      <alignment horizontal="right" vertical="center"/>
      <protection locked="0"/>
    </xf>
    <xf numFmtId="14" fontId="15" fillId="0" borderId="8" xfId="2" applyNumberFormat="1" applyFont="1" applyFill="1" applyBorder="1" applyAlignment="1" applyProtection="1">
      <alignment horizontal="center" vertical="center"/>
      <protection locked="0"/>
    </xf>
    <xf numFmtId="1" fontId="32" fillId="22" borderId="8" xfId="0" applyNumberFormat="1" applyFont="1" applyFill="1" applyBorder="1" applyAlignment="1" applyProtection="1">
      <alignment horizontal="center" vertical="center"/>
      <protection hidden="1"/>
    </xf>
    <xf numFmtId="168" fontId="17" fillId="0" borderId="8" xfId="0" applyNumberFormat="1" applyFont="1" applyFill="1" applyBorder="1" applyAlignment="1" applyProtection="1">
      <alignment horizontal="right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Alignment="1" applyProtection="1">
      <alignment vertical="center"/>
      <protection hidden="1"/>
    </xf>
    <xf numFmtId="49" fontId="14" fillId="0" borderId="38" xfId="0" applyNumberFormat="1" applyFont="1" applyFill="1" applyBorder="1" applyAlignment="1" applyProtection="1">
      <alignment horizontal="center" vertical="center"/>
      <protection locked="0"/>
    </xf>
    <xf numFmtId="49" fontId="72" fillId="0" borderId="38" xfId="0" applyNumberFormat="1" applyFont="1" applyFill="1" applyBorder="1" applyAlignment="1" applyProtection="1">
      <alignment horizontal="center" vertical="center"/>
      <protection locked="0"/>
    </xf>
    <xf numFmtId="10" fontId="14" fillId="0" borderId="8" xfId="10" applyNumberFormat="1" applyFont="1" applyFill="1" applyBorder="1" applyAlignment="1" applyProtection="1">
      <alignment horizontal="center" vertical="center"/>
      <protection hidden="1"/>
    </xf>
    <xf numFmtId="171" fontId="17" fillId="0" borderId="39" xfId="0" applyNumberFormat="1" applyFont="1" applyFill="1" applyBorder="1" applyAlignment="1" applyProtection="1">
      <alignment horizontal="right" vertical="center"/>
      <protection locked="0"/>
    </xf>
    <xf numFmtId="0" fontId="16" fillId="0" borderId="52" xfId="0" applyFont="1" applyFill="1" applyBorder="1" applyAlignment="1" applyProtection="1">
      <alignment vertical="center"/>
      <protection hidden="1"/>
    </xf>
    <xf numFmtId="14" fontId="14" fillId="0" borderId="39" xfId="0" applyNumberFormat="1" applyFont="1" applyFill="1" applyBorder="1" applyAlignment="1" applyProtection="1">
      <alignment horizontal="center" vertical="center"/>
      <protection locked="0"/>
    </xf>
    <xf numFmtId="14" fontId="16" fillId="0" borderId="39" xfId="0" applyNumberFormat="1" applyFont="1" applyFill="1" applyBorder="1" applyAlignment="1" applyProtection="1">
      <alignment horizontal="center" vertical="center"/>
      <protection locked="0"/>
    </xf>
    <xf numFmtId="49" fontId="14" fillId="0" borderId="39" xfId="0" applyNumberFormat="1" applyFont="1" applyFill="1" applyBorder="1" applyAlignment="1" applyProtection="1">
      <alignment horizontal="center" vertical="center"/>
      <protection locked="0"/>
    </xf>
    <xf numFmtId="0" fontId="16" fillId="0" borderId="39" xfId="0" applyFont="1" applyFill="1" applyBorder="1" applyAlignment="1" applyProtection="1">
      <alignment horizontal="center" vertical="center"/>
      <protection locked="0"/>
    </xf>
    <xf numFmtId="0" fontId="16" fillId="0" borderId="125" xfId="0" applyFont="1" applyFill="1" applyBorder="1" applyAlignment="1" applyProtection="1">
      <alignment vertical="center"/>
      <protection locked="0"/>
    </xf>
    <xf numFmtId="0" fontId="16" fillId="0" borderId="116" xfId="0" applyFont="1" applyFill="1" applyBorder="1" applyAlignment="1" applyProtection="1">
      <alignment vertical="center"/>
      <protection locked="0"/>
    </xf>
    <xf numFmtId="0" fontId="16" fillId="0" borderId="38" xfId="0" applyFont="1" applyFill="1" applyBorder="1" applyAlignment="1" applyProtection="1">
      <alignment vertical="center"/>
      <protection locked="0"/>
    </xf>
    <xf numFmtId="0" fontId="16" fillId="0" borderId="39" xfId="0" applyFont="1" applyFill="1" applyBorder="1" applyAlignment="1" applyProtection="1">
      <alignment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10" fontId="14" fillId="3" borderId="8" xfId="10" applyNumberFormat="1" applyFont="1" applyFill="1" applyBorder="1" applyAlignment="1" applyProtection="1">
      <alignment horizontal="center" vertical="center"/>
      <protection hidden="1"/>
    </xf>
    <xf numFmtId="49" fontId="14" fillId="0" borderId="52" xfId="0" applyNumberFormat="1" applyFont="1" applyFill="1" applyBorder="1" applyAlignment="1" applyProtection="1">
      <alignment horizontal="left" vertical="center"/>
      <protection hidden="1"/>
    </xf>
    <xf numFmtId="49" fontId="14" fillId="3" borderId="9" xfId="0" applyNumberFormat="1" applyFont="1" applyFill="1" applyBorder="1" applyAlignment="1" applyProtection="1">
      <alignment horizontal="left" vertical="center"/>
      <protection locked="0"/>
    </xf>
    <xf numFmtId="49" fontId="14" fillId="3" borderId="71" xfId="0" applyNumberFormat="1" applyFont="1" applyFill="1" applyBorder="1" applyAlignment="1" applyProtection="1">
      <alignment horizontal="left" vertical="center"/>
      <protection locked="0"/>
    </xf>
    <xf numFmtId="49" fontId="14" fillId="3" borderId="32" xfId="0" applyNumberFormat="1" applyFont="1" applyFill="1" applyBorder="1" applyAlignment="1" applyProtection="1">
      <alignment horizontal="left" vertical="center"/>
      <protection locked="0"/>
    </xf>
    <xf numFmtId="49" fontId="90" fillId="0" borderId="32" xfId="0" applyNumberFormat="1" applyFont="1" applyFill="1" applyBorder="1" applyAlignment="1" applyProtection="1">
      <alignment horizontal="center" vertical="center"/>
      <protection locked="0"/>
    </xf>
    <xf numFmtId="167" fontId="14" fillId="0" borderId="8" xfId="10" applyNumberFormat="1" applyFont="1" applyFill="1" applyBorder="1" applyAlignment="1" applyProtection="1">
      <alignment horizontal="center" vertical="center"/>
      <protection hidden="1"/>
    </xf>
    <xf numFmtId="14" fontId="16" fillId="0" borderId="8" xfId="0" applyNumberFormat="1" applyFont="1" applyFill="1" applyBorder="1" applyAlignment="1" applyProtection="1">
      <alignment horizontal="center" vertical="center"/>
      <protection locked="0"/>
    </xf>
    <xf numFmtId="0" fontId="16" fillId="0" borderId="8" xfId="0" applyFont="1" applyFill="1" applyBorder="1" applyAlignment="1" applyProtection="1">
      <alignment horizontal="center" vertical="center"/>
      <protection locked="0"/>
    </xf>
    <xf numFmtId="49" fontId="14" fillId="0" borderId="8" xfId="0" applyNumberFormat="1" applyFont="1" applyFill="1" applyBorder="1" applyAlignment="1" applyProtection="1">
      <alignment horizontal="left" vertical="center"/>
      <protection locked="0"/>
    </xf>
    <xf numFmtId="0" fontId="16" fillId="0" borderId="8" xfId="0" applyFont="1" applyFill="1" applyBorder="1" applyAlignment="1" applyProtection="1">
      <alignment vertical="center"/>
      <protection locked="0"/>
    </xf>
    <xf numFmtId="49" fontId="90" fillId="3" borderId="32" xfId="0" applyNumberFormat="1" applyFont="1" applyFill="1" applyBorder="1" applyAlignment="1" applyProtection="1">
      <alignment horizontal="center" vertical="center"/>
      <protection locked="0"/>
    </xf>
    <xf numFmtId="49" fontId="14" fillId="3" borderId="38" xfId="0" applyNumberFormat="1" applyFont="1" applyFill="1" applyBorder="1" applyAlignment="1" applyProtection="1">
      <alignment horizontal="center" vertical="center"/>
      <protection locked="0"/>
    </xf>
    <xf numFmtId="10" fontId="14" fillId="3" borderId="39" xfId="10" applyNumberFormat="1" applyFont="1" applyFill="1" applyBorder="1" applyAlignment="1" applyProtection="1">
      <alignment horizontal="center" vertical="center"/>
      <protection hidden="1"/>
    </xf>
    <xf numFmtId="1" fontId="32" fillId="22" borderId="39" xfId="0" applyNumberFormat="1" applyFont="1" applyFill="1" applyBorder="1" applyAlignment="1" applyProtection="1">
      <alignment horizontal="center" vertical="center"/>
      <protection hidden="1"/>
    </xf>
    <xf numFmtId="0" fontId="16" fillId="0" borderId="39" xfId="0" applyFont="1" applyBorder="1" applyAlignment="1" applyProtection="1">
      <alignment horizontal="center" vertical="center"/>
      <protection locked="0"/>
    </xf>
    <xf numFmtId="0" fontId="16" fillId="0" borderId="125" xfId="0" applyFont="1" applyBorder="1" applyAlignment="1" applyProtection="1">
      <alignment vertical="center"/>
      <protection locked="0"/>
    </xf>
    <xf numFmtId="0" fontId="16" fillId="0" borderId="116" xfId="0" applyFont="1" applyBorder="1" applyAlignment="1" applyProtection="1">
      <alignment vertical="center"/>
      <protection locked="0"/>
    </xf>
    <xf numFmtId="0" fontId="16" fillId="0" borderId="38" xfId="0" applyFont="1" applyBorder="1" applyAlignment="1" applyProtection="1">
      <alignment vertical="center"/>
      <protection locked="0"/>
    </xf>
    <xf numFmtId="0" fontId="16" fillId="0" borderId="39" xfId="0" applyFont="1" applyBorder="1" applyAlignment="1" applyProtection="1">
      <alignment vertical="center"/>
      <protection locked="0"/>
    </xf>
    <xf numFmtId="49" fontId="72" fillId="3" borderId="32" xfId="0" applyNumberFormat="1" applyFont="1" applyFill="1" applyBorder="1" applyAlignment="1" applyProtection="1">
      <alignment horizontal="center" vertical="center"/>
      <protection locked="0"/>
    </xf>
    <xf numFmtId="171" fontId="17" fillId="0" borderId="8" xfId="0" applyNumberFormat="1" applyFont="1" applyFill="1" applyBorder="1" applyAlignment="1" applyProtection="1">
      <alignment horizontal="right" vertical="center"/>
      <protection locked="0"/>
    </xf>
    <xf numFmtId="49" fontId="80" fillId="3" borderId="38" xfId="0" applyNumberFormat="1" applyFont="1" applyFill="1" applyBorder="1" applyAlignment="1" applyProtection="1">
      <alignment horizontal="center" vertical="center"/>
      <protection locked="0"/>
    </xf>
    <xf numFmtId="0" fontId="16" fillId="0" borderId="9" xfId="0" applyFont="1" applyBorder="1" applyAlignment="1" applyProtection="1">
      <alignment vertical="center"/>
      <protection locked="0"/>
    </xf>
    <xf numFmtId="0" fontId="16" fillId="0" borderId="71" xfId="0" applyFont="1" applyBorder="1" applyAlignment="1" applyProtection="1">
      <alignment vertical="center"/>
      <protection locked="0"/>
    </xf>
    <xf numFmtId="0" fontId="16" fillId="0" borderId="32" xfId="0" applyFont="1" applyBorder="1" applyAlignment="1" applyProtection="1">
      <alignment vertical="center"/>
      <protection locked="0"/>
    </xf>
    <xf numFmtId="49" fontId="72" fillId="3" borderId="38" xfId="0" applyNumberFormat="1" applyFont="1" applyFill="1" applyBorder="1" applyAlignment="1" applyProtection="1">
      <alignment horizontal="center" vertical="center"/>
      <protection locked="0"/>
    </xf>
    <xf numFmtId="49" fontId="14" fillId="0" borderId="32" xfId="0" applyNumberFormat="1" applyFont="1" applyFill="1" applyBorder="1" applyAlignment="1" applyProtection="1">
      <alignment horizontal="center" vertical="center"/>
      <protection locked="0"/>
    </xf>
    <xf numFmtId="49" fontId="72" fillId="0" borderId="32" xfId="0" applyNumberFormat="1" applyFont="1" applyFill="1" applyBorder="1" applyAlignment="1" applyProtection="1">
      <alignment horizontal="center" vertical="center"/>
      <protection locked="0"/>
    </xf>
    <xf numFmtId="49" fontId="14" fillId="3" borderId="33" xfId="0" applyNumberFormat="1" applyFont="1" applyFill="1" applyBorder="1" applyAlignment="1" applyProtection="1">
      <alignment horizontal="center" vertical="center"/>
      <protection locked="0"/>
    </xf>
    <xf numFmtId="49" fontId="72" fillId="3" borderId="33" xfId="0" applyNumberFormat="1" applyFont="1" applyFill="1" applyBorder="1" applyAlignment="1" applyProtection="1">
      <alignment horizontal="center" vertical="center"/>
      <protection locked="0"/>
    </xf>
    <xf numFmtId="168" fontId="14" fillId="3" borderId="25" xfId="0" applyNumberFormat="1" applyFont="1" applyFill="1" applyBorder="1" applyAlignment="1" applyProtection="1">
      <alignment horizontal="right" vertical="center"/>
      <protection locked="0"/>
    </xf>
    <xf numFmtId="10" fontId="14" fillId="3" borderId="25" xfId="10" applyNumberFormat="1" applyFont="1" applyFill="1" applyBorder="1" applyAlignment="1" applyProtection="1">
      <alignment horizontal="center" vertical="center"/>
      <protection hidden="1"/>
    </xf>
    <xf numFmtId="171" fontId="14" fillId="3" borderId="25" xfId="0" applyNumberFormat="1" applyFont="1" applyFill="1" applyBorder="1" applyAlignment="1" applyProtection="1">
      <alignment horizontal="right" vertical="center"/>
      <protection locked="0"/>
    </xf>
    <xf numFmtId="171" fontId="17" fillId="3" borderId="25" xfId="0" applyNumberFormat="1" applyFont="1" applyFill="1" applyBorder="1" applyAlignment="1" applyProtection="1">
      <alignment horizontal="right" vertical="center"/>
      <protection locked="0"/>
    </xf>
    <xf numFmtId="1" fontId="32" fillId="22" borderId="25" xfId="0" applyNumberFormat="1" applyFont="1" applyFill="1" applyBorder="1" applyAlignment="1" applyProtection="1">
      <alignment horizontal="center" vertical="center"/>
      <protection hidden="1"/>
    </xf>
    <xf numFmtId="49" fontId="14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42" fontId="45" fillId="12" borderId="132" xfId="0" applyNumberFormat="1" applyFont="1" applyFill="1" applyBorder="1" applyAlignment="1" applyProtection="1">
      <alignment horizontal="right" vertical="center" indent="1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49" fontId="83" fillId="3" borderId="31" xfId="0" applyNumberFormat="1" applyFont="1" applyFill="1" applyBorder="1" applyAlignment="1" applyProtection="1">
      <alignment horizontal="center" vertical="center"/>
      <protection locked="0"/>
    </xf>
    <xf numFmtId="49" fontId="61" fillId="3" borderId="20" xfId="0" applyNumberFormat="1" applyFont="1" applyFill="1" applyBorder="1" applyAlignment="1" applyProtection="1">
      <alignment horizontal="left" vertical="center"/>
      <protection locked="0"/>
    </xf>
    <xf numFmtId="171" fontId="84" fillId="3" borderId="20" xfId="0" applyNumberFormat="1" applyFont="1" applyFill="1" applyBorder="1" applyAlignment="1" applyProtection="1">
      <alignment horizontal="right" vertical="center"/>
      <protection locked="0"/>
    </xf>
    <xf numFmtId="167" fontId="84" fillId="3" borderId="20" xfId="10" applyNumberFormat="1" applyFont="1" applyFill="1" applyBorder="1" applyAlignment="1" applyProtection="1">
      <alignment horizontal="right" vertical="center"/>
      <protection hidden="1"/>
    </xf>
    <xf numFmtId="171" fontId="83" fillId="3" borderId="20" xfId="0" applyNumberFormat="1" applyFont="1" applyFill="1" applyBorder="1" applyAlignment="1" applyProtection="1">
      <alignment horizontal="right" vertical="center"/>
      <protection locked="0"/>
    </xf>
    <xf numFmtId="173" fontId="14" fillId="13" borderId="20" xfId="0" applyNumberFormat="1" applyFont="1" applyFill="1" applyBorder="1" applyAlignment="1" applyProtection="1">
      <alignment horizontal="right" vertical="center"/>
      <protection hidden="1"/>
    </xf>
    <xf numFmtId="14" fontId="15" fillId="0" borderId="20" xfId="2" applyNumberFormat="1" applyFont="1" applyFill="1" applyBorder="1" applyAlignment="1" applyProtection="1">
      <alignment horizontal="center" vertical="center"/>
      <protection locked="0"/>
    </xf>
    <xf numFmtId="166" fontId="84" fillId="0" borderId="124" xfId="0" applyNumberFormat="1" applyFont="1" applyFill="1" applyBorder="1" applyAlignment="1" applyProtection="1">
      <alignment horizontal="right" vertical="center"/>
      <protection hidden="1"/>
    </xf>
    <xf numFmtId="166" fontId="84" fillId="0" borderId="64" xfId="0" applyNumberFormat="1" applyFont="1" applyFill="1" applyBorder="1" applyAlignment="1" applyProtection="1">
      <alignment horizontal="right" vertical="center"/>
      <protection hidden="1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16" fillId="0" borderId="21" xfId="0" applyFont="1" applyBorder="1" applyAlignment="1" applyProtection="1">
      <alignment vertical="center"/>
      <protection locked="0"/>
    </xf>
    <xf numFmtId="49" fontId="61" fillId="3" borderId="8" xfId="0" applyNumberFormat="1" applyFont="1" applyFill="1" applyBorder="1" applyAlignment="1" applyProtection="1">
      <alignment horizontal="left" vertical="center"/>
      <protection locked="0"/>
    </xf>
    <xf numFmtId="168" fontId="84" fillId="0" borderId="8" xfId="0" applyNumberFormat="1" applyFont="1" applyFill="1" applyBorder="1" applyAlignment="1" applyProtection="1">
      <alignment horizontal="right" vertical="center"/>
      <protection locked="0"/>
    </xf>
    <xf numFmtId="10" fontId="84" fillId="0" borderId="8" xfId="10" applyNumberFormat="1" applyFont="1" applyFill="1" applyBorder="1" applyAlignment="1" applyProtection="1">
      <alignment horizontal="right" vertical="center"/>
      <protection hidden="1"/>
    </xf>
    <xf numFmtId="168" fontId="84" fillId="13" borderId="8" xfId="0" applyNumberFormat="1" applyFont="1" applyFill="1" applyBorder="1" applyAlignment="1" applyProtection="1">
      <alignment horizontal="right" vertical="center"/>
      <protection locked="0"/>
    </xf>
    <xf numFmtId="168" fontId="83" fillId="13" borderId="8" xfId="0" applyNumberFormat="1" applyFont="1" applyFill="1" applyBorder="1" applyAlignment="1" applyProtection="1">
      <alignment horizontal="right" vertical="center"/>
      <protection locked="0"/>
    </xf>
    <xf numFmtId="168" fontId="83" fillId="0" borderId="8" xfId="0" applyNumberFormat="1" applyFont="1" applyFill="1" applyBorder="1" applyAlignment="1" applyProtection="1">
      <alignment horizontal="right" vertical="center"/>
      <protection locked="0"/>
    </xf>
    <xf numFmtId="166" fontId="84" fillId="0" borderId="52" xfId="0" applyNumberFormat="1" applyFont="1" applyFill="1" applyBorder="1" applyAlignment="1" applyProtection="1">
      <alignment horizontal="right" vertical="center"/>
      <protection locked="0"/>
    </xf>
    <xf numFmtId="14" fontId="16" fillId="9" borderId="8" xfId="0" applyNumberFormat="1" applyFont="1" applyFill="1" applyBorder="1" applyAlignment="1" applyProtection="1">
      <alignment horizontal="center" vertical="center"/>
      <protection locked="0"/>
    </xf>
    <xf numFmtId="49" fontId="15" fillId="0" borderId="23" xfId="2" applyNumberFormat="1" applyFont="1" applyFill="1" applyBorder="1" applyAlignment="1" applyProtection="1">
      <alignment horizontal="left" vertical="center"/>
      <protection locked="0"/>
    </xf>
    <xf numFmtId="168" fontId="84" fillId="3" borderId="8" xfId="0" applyNumberFormat="1" applyFont="1" applyFill="1" applyBorder="1" applyAlignment="1" applyProtection="1">
      <alignment horizontal="right" vertical="center"/>
      <protection locked="0"/>
    </xf>
    <xf numFmtId="168" fontId="83" fillId="3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91" fillId="0" borderId="8" xfId="2" applyFont="1" applyBorder="1" applyAlignment="1" applyProtection="1">
      <alignment vertical="center"/>
      <protection locked="0"/>
    </xf>
    <xf numFmtId="0" fontId="91" fillId="0" borderId="23" xfId="2" applyFont="1" applyBorder="1" applyAlignment="1" applyProtection="1">
      <alignment vertical="center"/>
      <protection locked="0"/>
    </xf>
    <xf numFmtId="166" fontId="84" fillId="0" borderId="0" xfId="0" applyNumberFormat="1" applyFont="1" applyFill="1" applyBorder="1" applyAlignment="1" applyProtection="1">
      <alignment horizontal="right" vertical="center"/>
      <protection locked="0"/>
    </xf>
    <xf numFmtId="14" fontId="15" fillId="44" borderId="8" xfId="2" applyNumberFormat="1" applyFont="1" applyFill="1" applyBorder="1" applyAlignment="1" applyProtection="1">
      <alignment horizontal="center" vertical="center"/>
      <protection locked="0"/>
    </xf>
    <xf numFmtId="1" fontId="22" fillId="44" borderId="8" xfId="0" applyNumberFormat="1" applyFont="1" applyFill="1" applyBorder="1" applyAlignment="1" applyProtection="1">
      <alignment horizontal="center" vertical="center"/>
      <protection hidden="1"/>
    </xf>
    <xf numFmtId="166" fontId="84" fillId="44" borderId="52" xfId="0" applyNumberFormat="1" applyFont="1" applyFill="1" applyBorder="1" applyAlignment="1" applyProtection="1">
      <alignment horizontal="right" vertical="center"/>
      <protection locked="0"/>
    </xf>
    <xf numFmtId="14" fontId="16" fillId="44" borderId="8" xfId="0" applyNumberFormat="1" applyFont="1" applyFill="1" applyBorder="1" applyAlignment="1" applyProtection="1">
      <alignment horizontal="center" vertical="center"/>
      <protection locked="0"/>
    </xf>
    <xf numFmtId="49" fontId="15" fillId="44" borderId="52" xfId="2" applyNumberFormat="1" applyFont="1" applyFill="1" applyBorder="1" applyAlignment="1" applyProtection="1">
      <alignment horizontal="left" vertical="center"/>
      <protection hidden="1"/>
    </xf>
    <xf numFmtId="1" fontId="44" fillId="44" borderId="8" xfId="0" applyNumberFormat="1" applyFont="1" applyFill="1" applyBorder="1" applyAlignment="1" applyProtection="1">
      <alignment horizontal="center" vertical="center"/>
      <protection hidden="1"/>
    </xf>
    <xf numFmtId="49" fontId="14" fillId="44" borderId="8" xfId="0" applyNumberFormat="1" applyFont="1" applyFill="1" applyBorder="1" applyAlignment="1" applyProtection="1">
      <alignment horizontal="center" vertical="center"/>
      <protection locked="0"/>
    </xf>
    <xf numFmtId="172" fontId="41" fillId="44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vertical="center"/>
      <protection locked="0"/>
    </xf>
    <xf numFmtId="49" fontId="17" fillId="3" borderId="8" xfId="0" applyNumberFormat="1" applyFont="1" applyFill="1" applyBorder="1" applyAlignment="1" applyProtection="1">
      <alignment horizontal="left" vertical="center"/>
      <protection locked="0"/>
    </xf>
    <xf numFmtId="164" fontId="18" fillId="3" borderId="23" xfId="0" applyNumberFormat="1" applyFont="1" applyFill="1" applyBorder="1" applyAlignment="1" applyProtection="1">
      <alignment horizontal="left" vertical="center"/>
      <protection locked="0"/>
    </xf>
    <xf numFmtId="10" fontId="84" fillId="13" borderId="8" xfId="10" applyNumberFormat="1" applyFont="1" applyFill="1" applyBorder="1" applyAlignment="1" applyProtection="1">
      <alignment horizontal="right" vertical="center"/>
      <protection hidden="1"/>
    </xf>
    <xf numFmtId="0" fontId="14" fillId="0" borderId="23" xfId="2" applyFont="1" applyFill="1" applyBorder="1" applyAlignment="1" applyProtection="1">
      <alignment vertical="center"/>
      <protection locked="0"/>
    </xf>
    <xf numFmtId="49" fontId="83" fillId="3" borderId="33" xfId="0" applyNumberFormat="1" applyFont="1" applyFill="1" applyBorder="1" applyAlignment="1" applyProtection="1">
      <alignment horizontal="center" vertical="center"/>
      <protection locked="0"/>
    </xf>
    <xf numFmtId="49" fontId="61" fillId="3" borderId="25" xfId="0" applyNumberFormat="1" applyFont="1" applyFill="1" applyBorder="1" applyAlignment="1" applyProtection="1">
      <alignment horizontal="left" vertical="center"/>
      <protection locked="0"/>
    </xf>
    <xf numFmtId="168" fontId="84" fillId="0" borderId="25" xfId="0" applyNumberFormat="1" applyFont="1" applyFill="1" applyBorder="1" applyAlignment="1" applyProtection="1">
      <alignment horizontal="right" vertical="center"/>
      <protection locked="0"/>
    </xf>
    <xf numFmtId="10" fontId="84" fillId="0" borderId="25" xfId="10" applyNumberFormat="1" applyFont="1" applyFill="1" applyBorder="1" applyAlignment="1" applyProtection="1">
      <alignment horizontal="right" vertical="center"/>
      <protection hidden="1"/>
    </xf>
    <xf numFmtId="168" fontId="84" fillId="13" borderId="25" xfId="0" applyNumberFormat="1" applyFont="1" applyFill="1" applyBorder="1" applyAlignment="1" applyProtection="1">
      <alignment horizontal="right" vertical="center"/>
      <protection locked="0"/>
    </xf>
    <xf numFmtId="168" fontId="83" fillId="13" borderId="25" xfId="0" applyNumberFormat="1" applyFont="1" applyFill="1" applyBorder="1" applyAlignment="1" applyProtection="1">
      <alignment horizontal="right" vertical="center"/>
      <protection locked="0"/>
    </xf>
    <xf numFmtId="14" fontId="15" fillId="0" borderId="25" xfId="2" applyNumberFormat="1" applyFont="1" applyFill="1" applyBorder="1" applyAlignment="1" applyProtection="1">
      <alignment horizontal="center" vertical="center"/>
      <protection locked="0"/>
    </xf>
    <xf numFmtId="0" fontId="92" fillId="0" borderId="0" xfId="0" applyFont="1" applyFill="1" applyBorder="1" applyAlignment="1" applyProtection="1">
      <alignment vertical="center"/>
      <protection hidden="1"/>
    </xf>
    <xf numFmtId="0" fontId="6" fillId="0" borderId="25" xfId="0" applyFont="1" applyBorder="1" applyAlignment="1" applyProtection="1">
      <alignment horizontal="center" vertical="center"/>
      <protection locked="0"/>
    </xf>
    <xf numFmtId="0" fontId="94" fillId="0" borderId="52" xfId="0" applyFont="1" applyFill="1" applyBorder="1" applyAlignment="1" applyProtection="1">
      <alignment vertical="center"/>
      <protection locked="0"/>
    </xf>
    <xf numFmtId="0" fontId="94" fillId="0" borderId="25" xfId="0" applyFont="1" applyBorder="1" applyAlignment="1" applyProtection="1">
      <alignment vertical="center"/>
      <protection locked="0"/>
    </xf>
    <xf numFmtId="0" fontId="94" fillId="0" borderId="25" xfId="0" applyFont="1" applyBorder="1" applyAlignment="1" applyProtection="1">
      <alignment vertical="center"/>
      <protection hidden="1"/>
    </xf>
    <xf numFmtId="0" fontId="92" fillId="0" borderId="0" xfId="0" applyFont="1" applyAlignment="1" applyProtection="1">
      <alignment vertical="center"/>
      <protection locked="0"/>
    </xf>
    <xf numFmtId="0" fontId="48" fillId="0" borderId="0" xfId="0" applyFont="1" applyAlignment="1">
      <alignment vertical="center"/>
    </xf>
    <xf numFmtId="0" fontId="34" fillId="0" borderId="0" xfId="0" applyFont="1" applyFill="1" applyAlignment="1" applyProtection="1">
      <alignment vertical="center" wrapText="1"/>
      <protection hidden="1"/>
    </xf>
    <xf numFmtId="49" fontId="17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49" fontId="17" fillId="0" borderId="20" xfId="0" applyNumberFormat="1" applyFont="1" applyFill="1" applyBorder="1" applyAlignment="1" applyProtection="1">
      <alignment horizontal="left" vertical="center" wrapText="1" indent="1"/>
      <protection locked="0"/>
    </xf>
    <xf numFmtId="49" fontId="17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80" fillId="0" borderId="31" xfId="0" applyNumberFormat="1" applyFont="1" applyFill="1" applyBorder="1" applyAlignment="1" applyProtection="1">
      <alignment horizontal="center" vertical="center" wrapText="1"/>
      <protection locked="0"/>
    </xf>
    <xf numFmtId="168" fontId="14" fillId="0" borderId="27" xfId="0" applyNumberFormat="1" applyFont="1" applyFill="1" applyBorder="1" applyAlignment="1" applyProtection="1">
      <alignment horizontal="right" vertical="center" wrapText="1"/>
      <protection locked="0"/>
    </xf>
    <xf numFmtId="167" fontId="33" fillId="0" borderId="123" xfId="10" applyNumberFormat="1" applyFont="1" applyFill="1" applyBorder="1" applyAlignment="1" applyProtection="1">
      <alignment horizontal="right" vertical="center" wrapText="1"/>
      <protection hidden="1"/>
    </xf>
    <xf numFmtId="168" fontId="14" fillId="0" borderId="31" xfId="0" applyNumberFormat="1" applyFont="1" applyFill="1" applyBorder="1" applyAlignment="1" applyProtection="1">
      <alignment horizontal="right" vertical="center" wrapText="1"/>
      <protection locked="0"/>
    </xf>
    <xf numFmtId="168" fontId="14" fillId="0" borderId="20" xfId="0" applyNumberFormat="1" applyFont="1" applyFill="1" applyBorder="1" applyAlignment="1" applyProtection="1">
      <alignment horizontal="right" vertical="center" wrapText="1"/>
      <protection locked="0"/>
    </xf>
    <xf numFmtId="168" fontId="17" fillId="0" borderId="20" xfId="0" applyNumberFormat="1" applyFont="1" applyFill="1" applyBorder="1" applyAlignment="1" applyProtection="1">
      <alignment horizontal="right" vertical="center" wrapText="1"/>
      <protection locked="0"/>
    </xf>
    <xf numFmtId="166" fontId="14" fillId="0" borderId="20" xfId="0" applyNumberFormat="1" applyFont="1" applyFill="1" applyBorder="1" applyAlignment="1" applyProtection="1">
      <alignment horizontal="right" vertical="center"/>
      <protection hidden="1"/>
    </xf>
    <xf numFmtId="14" fontId="14" fillId="0" borderId="20" xfId="0" applyNumberFormat="1" applyFont="1" applyFill="1" applyBorder="1" applyAlignment="1" applyProtection="1">
      <alignment horizontal="center" vertical="center" wrapText="1"/>
      <protection locked="0"/>
    </xf>
    <xf numFmtId="1" fontId="22" fillId="0" borderId="20" xfId="0" applyNumberFormat="1" applyFont="1" applyFill="1" applyBorder="1" applyAlignment="1" applyProtection="1">
      <alignment horizontal="center" vertical="center"/>
      <protection hidden="1"/>
    </xf>
    <xf numFmtId="49" fontId="15" fillId="0" borderId="20" xfId="5" applyNumberFormat="1" applyFont="1" applyFill="1" applyBorder="1" applyAlignment="1" applyProtection="1">
      <alignment horizontal="center" vertical="center" wrapText="1"/>
      <protection locked="0"/>
    </xf>
    <xf numFmtId="1" fontId="44" fillId="0" borderId="20" xfId="0" applyNumberFormat="1" applyFont="1" applyFill="1" applyBorder="1" applyAlignment="1" applyProtection="1">
      <alignment horizontal="center" vertical="center"/>
      <protection hidden="1"/>
    </xf>
    <xf numFmtId="14" fontId="32" fillId="0" borderId="20" xfId="0" applyNumberFormat="1" applyFont="1" applyFill="1" applyBorder="1" applyAlignment="1" applyProtection="1">
      <alignment horizontal="center" vertical="center"/>
      <protection hidden="1"/>
    </xf>
    <xf numFmtId="0" fontId="16" fillId="0" borderId="20" xfId="0" applyFont="1" applyFill="1" applyBorder="1" applyAlignment="1" applyProtection="1">
      <alignment horizontal="center" vertical="center" wrapText="1"/>
      <protection locked="0"/>
    </xf>
    <xf numFmtId="0" fontId="16" fillId="0" borderId="27" xfId="0" applyFont="1" applyFill="1" applyBorder="1" applyAlignment="1" applyProtection="1">
      <alignment horizontal="center" vertical="center" wrapText="1"/>
      <protection locked="0"/>
    </xf>
    <xf numFmtId="166" fontId="14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16" fillId="0" borderId="20" xfId="0" applyFont="1" applyFill="1" applyBorder="1" applyAlignment="1" applyProtection="1">
      <alignment horizontal="left" vertical="center" wrapText="1"/>
      <protection locked="0"/>
    </xf>
    <xf numFmtId="0" fontId="16" fillId="0" borderId="27" xfId="0" applyFont="1" applyFill="1" applyBorder="1" applyAlignment="1" applyProtection="1">
      <alignment horizontal="left" vertical="center" wrapText="1"/>
      <protection locked="0"/>
    </xf>
    <xf numFmtId="0" fontId="16" fillId="0" borderId="21" xfId="0" applyFont="1" applyFill="1" applyBorder="1" applyAlignment="1" applyProtection="1">
      <alignment horizontal="left" vertical="center" wrapText="1"/>
      <protection locked="0"/>
    </xf>
    <xf numFmtId="49" fontId="81" fillId="0" borderId="19" xfId="5" applyNumberFormat="1" applyFont="1" applyFill="1" applyBorder="1" applyAlignment="1">
      <alignment horizontal="center" vertical="center" wrapText="1"/>
    </xf>
    <xf numFmtId="49" fontId="81" fillId="0" borderId="20" xfId="5" applyNumberFormat="1" applyFont="1" applyFill="1" applyBorder="1" applyAlignment="1">
      <alignment horizontal="center" vertical="center" wrapText="1"/>
    </xf>
    <xf numFmtId="49" fontId="81" fillId="0" borderId="21" xfId="5" applyNumberFormat="1" applyFont="1" applyFill="1" applyBorder="1" applyAlignment="1">
      <alignment horizontal="center" vertical="center" wrapText="1"/>
    </xf>
    <xf numFmtId="0" fontId="82" fillId="0" borderId="65" xfId="0" applyFont="1" applyFill="1" applyBorder="1" applyAlignment="1">
      <alignment horizontal="center" vertical="center" wrapText="1"/>
    </xf>
    <xf numFmtId="14" fontId="81" fillId="0" borderId="20" xfId="5" applyNumberFormat="1" applyFont="1" applyFill="1" applyBorder="1" applyAlignment="1">
      <alignment horizontal="center" vertical="center" wrapText="1"/>
    </xf>
    <xf numFmtId="0" fontId="82" fillId="0" borderId="123" xfId="0" applyFont="1" applyFill="1" applyBorder="1" applyAlignment="1">
      <alignment horizontal="center" vertical="center" wrapText="1"/>
    </xf>
    <xf numFmtId="0" fontId="82" fillId="0" borderId="20" xfId="0" applyFont="1" applyFill="1" applyBorder="1" applyAlignment="1">
      <alignment horizontal="center" vertical="center" wrapText="1"/>
    </xf>
    <xf numFmtId="49" fontId="81" fillId="0" borderId="71" xfId="5" applyNumberFormat="1" applyFont="1" applyFill="1" applyBorder="1" applyAlignment="1">
      <alignment horizontal="center" vertical="center" wrapText="1"/>
    </xf>
    <xf numFmtId="14" fontId="81" fillId="0" borderId="8" xfId="5" applyNumberFormat="1" applyFont="1" applyFill="1" applyBorder="1" applyAlignment="1">
      <alignment horizontal="center" vertical="center" wrapText="1"/>
    </xf>
    <xf numFmtId="49" fontId="81" fillId="0" borderId="127" xfId="5" applyNumberFormat="1" applyFont="1" applyFill="1" applyBorder="1" applyAlignment="1">
      <alignment horizontal="center" vertical="center" wrapText="1"/>
    </xf>
    <xf numFmtId="166" fontId="14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5" xfId="0" applyFont="1" applyBorder="1" applyAlignment="1" applyProtection="1">
      <alignment horizontal="center" vertical="center" wrapText="1"/>
      <protection locked="0"/>
    </xf>
    <xf numFmtId="49" fontId="52" fillId="6" borderId="19" xfId="2" applyNumberFormat="1" applyFont="1" applyFill="1" applyBorder="1" applyAlignment="1" applyProtection="1">
      <alignment horizontal="center" vertical="center"/>
      <protection hidden="1"/>
    </xf>
    <xf numFmtId="49" fontId="52" fillId="6" borderId="20" xfId="2" applyNumberFormat="1" applyFont="1" applyFill="1" applyBorder="1" applyAlignment="1" applyProtection="1">
      <alignment horizontal="center" vertical="center"/>
      <protection hidden="1"/>
    </xf>
    <xf numFmtId="49" fontId="52" fillId="6" borderId="21" xfId="2" applyNumberFormat="1" applyFont="1" applyFill="1" applyBorder="1" applyAlignment="1" applyProtection="1">
      <alignment horizontal="center" vertical="center"/>
      <protection hidden="1"/>
    </xf>
    <xf numFmtId="49" fontId="52" fillId="6" borderId="24" xfId="2" applyNumberFormat="1" applyFont="1" applyFill="1" applyBorder="1" applyAlignment="1" applyProtection="1">
      <alignment horizontal="center" vertical="center"/>
      <protection hidden="1"/>
    </xf>
    <xf numFmtId="49" fontId="52" fillId="6" borderId="25" xfId="2" applyNumberFormat="1" applyFont="1" applyFill="1" applyBorder="1" applyAlignment="1" applyProtection="1">
      <alignment horizontal="center" vertical="center"/>
      <protection hidden="1"/>
    </xf>
    <xf numFmtId="49" fontId="52" fillId="6" borderId="26" xfId="2" applyNumberFormat="1" applyFont="1" applyFill="1" applyBorder="1" applyAlignment="1" applyProtection="1">
      <alignment horizontal="center" vertical="center"/>
      <protection hidden="1"/>
    </xf>
    <xf numFmtId="49" fontId="52" fillId="6" borderId="4" xfId="2" applyNumberFormat="1" applyFont="1" applyFill="1" applyBorder="1" applyAlignment="1" applyProtection="1">
      <alignment horizontal="center" vertical="center"/>
      <protection hidden="1"/>
    </xf>
    <xf numFmtId="49" fontId="52" fillId="6" borderId="1" xfId="2" applyNumberFormat="1" applyFont="1" applyFill="1" applyBorder="1" applyAlignment="1" applyProtection="1">
      <alignment horizontal="center" vertical="center"/>
      <protection hidden="1"/>
    </xf>
    <xf numFmtId="49" fontId="52" fillId="6" borderId="2" xfId="2" applyNumberFormat="1" applyFont="1" applyFill="1" applyBorder="1" applyAlignment="1" applyProtection="1">
      <alignment horizontal="center" vertical="center"/>
      <protection hidden="1"/>
    </xf>
    <xf numFmtId="49" fontId="52" fillId="6" borderId="5" xfId="2" applyNumberFormat="1" applyFont="1" applyFill="1" applyBorder="1" applyAlignment="1" applyProtection="1">
      <alignment horizontal="center" vertical="center"/>
      <protection hidden="1"/>
    </xf>
    <xf numFmtId="49" fontId="52" fillId="6" borderId="3" xfId="2" applyNumberFormat="1" applyFont="1" applyFill="1" applyBorder="1" applyAlignment="1" applyProtection="1">
      <alignment horizontal="center" vertical="center"/>
      <protection hidden="1"/>
    </xf>
    <xf numFmtId="49" fontId="52" fillId="6" borderId="6" xfId="2" applyNumberFormat="1" applyFont="1" applyFill="1" applyBorder="1" applyAlignment="1" applyProtection="1">
      <alignment horizontal="center" vertical="center"/>
      <protection hidden="1"/>
    </xf>
    <xf numFmtId="49" fontId="52" fillId="0" borderId="19" xfId="2" applyNumberFormat="1" applyFont="1" applyFill="1" applyBorder="1" applyAlignment="1" applyProtection="1">
      <alignment horizontal="center" vertical="center"/>
      <protection hidden="1"/>
    </xf>
    <xf numFmtId="49" fontId="52" fillId="0" borderId="20" xfId="2" applyNumberFormat="1" applyFont="1" applyFill="1" applyBorder="1" applyAlignment="1" applyProtection="1">
      <alignment horizontal="center" vertical="center"/>
      <protection hidden="1"/>
    </xf>
    <xf numFmtId="49" fontId="52" fillId="0" borderId="22" xfId="2" applyNumberFormat="1" applyFont="1" applyFill="1" applyBorder="1" applyAlignment="1" applyProtection="1">
      <alignment horizontal="center" vertical="center"/>
      <protection hidden="1"/>
    </xf>
    <xf numFmtId="49" fontId="52" fillId="0" borderId="8" xfId="2" applyNumberFormat="1" applyFont="1" applyFill="1" applyBorder="1" applyAlignment="1" applyProtection="1">
      <alignment horizontal="center" vertical="center"/>
      <protection hidden="1"/>
    </xf>
    <xf numFmtId="49" fontId="52" fillId="0" borderId="27" xfId="2" applyNumberFormat="1" applyFont="1" applyFill="1" applyBorder="1" applyAlignment="1" applyProtection="1">
      <alignment horizontal="center" vertical="center"/>
      <protection hidden="1"/>
    </xf>
    <xf numFmtId="49" fontId="52" fillId="0" borderId="9" xfId="2" applyNumberFormat="1" applyFont="1" applyFill="1" applyBorder="1" applyAlignment="1" applyProtection="1">
      <alignment horizontal="center" vertical="center"/>
      <protection hidden="1"/>
    </xf>
    <xf numFmtId="0" fontId="13" fillId="25" borderId="63" xfId="0" applyFont="1" applyFill="1" applyBorder="1" applyAlignment="1" applyProtection="1">
      <alignment horizontal="left" vertical="center" indent="1"/>
      <protection hidden="1"/>
    </xf>
    <xf numFmtId="0" fontId="13" fillId="25" borderId="0" xfId="0" applyFont="1" applyFill="1" applyBorder="1" applyAlignment="1" applyProtection="1">
      <alignment horizontal="left" vertical="center" indent="1"/>
      <protection hidden="1"/>
    </xf>
    <xf numFmtId="0" fontId="16" fillId="0" borderId="0" xfId="0" applyFont="1" applyBorder="1" applyAlignment="1" applyProtection="1">
      <alignment horizontal="left" vertical="center" indent="2"/>
      <protection hidden="1"/>
    </xf>
    <xf numFmtId="0" fontId="43" fillId="24" borderId="49" xfId="0" applyFont="1" applyFill="1" applyBorder="1" applyAlignment="1" applyProtection="1">
      <alignment horizontal="right" vertical="center" indent="1"/>
      <protection hidden="1"/>
    </xf>
    <xf numFmtId="0" fontId="43" fillId="24" borderId="0" xfId="0" applyFont="1" applyFill="1" applyBorder="1" applyAlignment="1" applyProtection="1">
      <alignment horizontal="right" vertical="center" indent="1"/>
      <protection hidden="1"/>
    </xf>
    <xf numFmtId="0" fontId="43" fillId="24" borderId="48" xfId="0" applyFont="1" applyFill="1" applyBorder="1" applyAlignment="1" applyProtection="1">
      <alignment horizontal="right" vertical="center" indent="1"/>
      <protection hidden="1"/>
    </xf>
    <xf numFmtId="0" fontId="16" fillId="0" borderId="0" xfId="0" applyFont="1" applyBorder="1" applyAlignment="1" applyProtection="1">
      <alignment horizontal="right" vertical="center" indent="2"/>
      <protection hidden="1"/>
    </xf>
    <xf numFmtId="42" fontId="45" fillId="12" borderId="36" xfId="0" applyNumberFormat="1" applyFont="1" applyFill="1" applyBorder="1" applyAlignment="1" applyProtection="1">
      <alignment horizontal="center" vertical="center"/>
      <protection hidden="1"/>
    </xf>
    <xf numFmtId="42" fontId="45" fillId="12" borderId="43" xfId="0" applyNumberFormat="1" applyFont="1" applyFill="1" applyBorder="1" applyAlignment="1" applyProtection="1">
      <alignment horizontal="center" vertical="center"/>
      <protection hidden="1"/>
    </xf>
    <xf numFmtId="1" fontId="40" fillId="15" borderId="41" xfId="0" applyNumberFormat="1" applyFont="1" applyFill="1" applyBorder="1" applyAlignment="1" applyProtection="1">
      <alignment horizontal="center" vertical="center"/>
      <protection hidden="1"/>
    </xf>
    <xf numFmtId="167" fontId="40" fillId="15" borderId="0" xfId="10" applyNumberFormat="1" applyFont="1" applyFill="1" applyBorder="1" applyAlignment="1" applyProtection="1">
      <alignment horizontal="center" vertical="center"/>
      <protection hidden="1"/>
    </xf>
    <xf numFmtId="0" fontId="43" fillId="23" borderId="49" xfId="0" applyFont="1" applyFill="1" applyBorder="1" applyAlignment="1" applyProtection="1">
      <alignment horizontal="right" vertical="center" indent="1"/>
      <protection hidden="1"/>
    </xf>
    <xf numFmtId="0" fontId="43" fillId="23" borderId="0" xfId="0" applyFont="1" applyFill="1" applyBorder="1" applyAlignment="1" applyProtection="1">
      <alignment horizontal="right" vertical="center" indent="1"/>
      <protection hidden="1"/>
    </xf>
    <xf numFmtId="42" fontId="45" fillId="12" borderId="0" xfId="0" applyNumberFormat="1" applyFont="1" applyFill="1" applyBorder="1" applyAlignment="1" applyProtection="1">
      <alignment horizontal="center" vertical="center"/>
      <protection hidden="1"/>
    </xf>
    <xf numFmtId="0" fontId="57" fillId="29" borderId="0" xfId="0" applyFont="1" applyFill="1" applyAlignment="1" applyProtection="1">
      <alignment horizontal="center" vertical="center"/>
      <protection hidden="1"/>
    </xf>
    <xf numFmtId="0" fontId="43" fillId="12" borderId="63" xfId="0" applyFont="1" applyFill="1" applyBorder="1" applyAlignment="1" applyProtection="1">
      <alignment horizontal="left" vertical="center" indent="1"/>
      <protection hidden="1"/>
    </xf>
    <xf numFmtId="0" fontId="43" fillId="12" borderId="0" xfId="0" applyFont="1" applyFill="1" applyAlignment="1" applyProtection="1">
      <alignment horizontal="left" vertical="center" indent="1"/>
      <protection hidden="1"/>
    </xf>
    <xf numFmtId="1" fontId="40" fillId="15" borderId="42" xfId="0" applyNumberFormat="1" applyFont="1" applyFill="1" applyBorder="1" applyAlignment="1" applyProtection="1">
      <alignment horizontal="center" vertical="center"/>
      <protection hidden="1"/>
    </xf>
    <xf numFmtId="167" fontId="40" fillId="15" borderId="41" xfId="10" applyNumberFormat="1" applyFont="1" applyFill="1" applyBorder="1" applyAlignment="1" applyProtection="1">
      <alignment horizontal="center" vertical="center"/>
      <protection hidden="1"/>
    </xf>
    <xf numFmtId="49" fontId="12" fillId="21" borderId="61" xfId="2" applyNumberFormat="1" applyFont="1" applyFill="1" applyBorder="1" applyAlignment="1" applyProtection="1">
      <alignment horizontal="center" vertical="center" wrapText="1"/>
      <protection hidden="1"/>
    </xf>
    <xf numFmtId="49" fontId="12" fillId="21" borderId="0" xfId="2" applyNumberFormat="1" applyFont="1" applyFill="1" applyBorder="1" applyAlignment="1" applyProtection="1">
      <alignment horizontal="center" vertical="center" wrapText="1"/>
      <protection hidden="1"/>
    </xf>
    <xf numFmtId="164" fontId="50" fillId="4" borderId="12" xfId="0" applyNumberFormat="1" applyFont="1" applyFill="1" applyBorder="1" applyAlignment="1" applyProtection="1">
      <alignment horizontal="center" vertical="center"/>
      <protection hidden="1"/>
    </xf>
    <xf numFmtId="164" fontId="50" fillId="4" borderId="13" xfId="0" applyNumberFormat="1" applyFont="1" applyFill="1" applyBorder="1" applyAlignment="1" applyProtection="1">
      <alignment horizontal="center" vertical="center"/>
      <protection hidden="1"/>
    </xf>
    <xf numFmtId="164" fontId="50" fillId="4" borderId="14" xfId="0" applyNumberFormat="1" applyFont="1" applyFill="1" applyBorder="1" applyAlignment="1" applyProtection="1">
      <alignment horizontal="center" vertical="center"/>
      <protection hidden="1"/>
    </xf>
    <xf numFmtId="165" fontId="50" fillId="4" borderId="15" xfId="0" applyNumberFormat="1" applyFont="1" applyFill="1" applyBorder="1" applyAlignment="1" applyProtection="1">
      <alignment horizontal="center" vertical="center"/>
      <protection hidden="1"/>
    </xf>
    <xf numFmtId="165" fontId="50" fillId="4" borderId="16" xfId="0" applyNumberFormat="1" applyFont="1" applyFill="1" applyBorder="1" applyAlignment="1" applyProtection="1">
      <alignment horizontal="center" vertical="center"/>
      <protection hidden="1"/>
    </xf>
    <xf numFmtId="165" fontId="50" fillId="4" borderId="17" xfId="0" applyNumberFormat="1" applyFont="1" applyFill="1" applyBorder="1" applyAlignment="1" applyProtection="1">
      <alignment horizontal="center" vertical="center"/>
      <protection hidden="1"/>
    </xf>
    <xf numFmtId="169" fontId="79" fillId="6" borderId="120" xfId="2" applyNumberFormat="1" applyFont="1" applyFill="1" applyBorder="1" applyAlignment="1">
      <alignment horizontal="center" vertical="center" wrapText="1"/>
    </xf>
    <xf numFmtId="169" fontId="79" fillId="6" borderId="121" xfId="2" applyNumberFormat="1" applyFont="1" applyFill="1" applyBorder="1" applyAlignment="1">
      <alignment horizontal="center" vertical="center" wrapText="1"/>
    </xf>
    <xf numFmtId="169" fontId="79" fillId="6" borderId="122" xfId="2" applyNumberFormat="1" applyFont="1" applyFill="1" applyBorder="1" applyAlignment="1">
      <alignment horizontal="center" vertical="center" wrapText="1"/>
    </xf>
    <xf numFmtId="0" fontId="6" fillId="0" borderId="117" xfId="0" applyFont="1" applyBorder="1" applyAlignment="1" applyProtection="1">
      <alignment horizontal="center" vertical="center"/>
      <protection hidden="1"/>
    </xf>
    <xf numFmtId="49" fontId="12" fillId="21" borderId="62" xfId="2" applyNumberFormat="1" applyFont="1" applyFill="1" applyBorder="1" applyAlignment="1" applyProtection="1">
      <alignment horizontal="center" vertical="center" wrapText="1"/>
      <protection hidden="1"/>
    </xf>
    <xf numFmtId="49" fontId="12" fillId="7" borderId="61" xfId="2" applyNumberFormat="1" applyFont="1" applyFill="1" applyBorder="1" applyAlignment="1" applyProtection="1">
      <alignment horizontal="center" vertical="center" wrapText="1"/>
      <protection hidden="1"/>
    </xf>
    <xf numFmtId="49" fontId="12" fillId="7" borderId="62" xfId="2" applyNumberFormat="1" applyFont="1" applyFill="1" applyBorder="1" applyAlignment="1" applyProtection="1">
      <alignment horizontal="center" vertical="center" wrapText="1"/>
      <protection hidden="1"/>
    </xf>
    <xf numFmtId="169" fontId="6" fillId="4" borderId="17" xfId="0" applyNumberFormat="1" applyFont="1" applyFill="1" applyBorder="1" applyAlignment="1" applyProtection="1">
      <alignment horizontal="center" vertical="center"/>
      <protection hidden="1"/>
    </xf>
    <xf numFmtId="169" fontId="6" fillId="4" borderId="40" xfId="0" applyNumberFormat="1" applyFont="1" applyFill="1" applyBorder="1" applyAlignment="1" applyProtection="1">
      <alignment horizontal="center" vertical="center"/>
      <protection hidden="1"/>
    </xf>
    <xf numFmtId="169" fontId="24" fillId="4" borderId="40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35" fillId="0" borderId="0" xfId="0" applyFont="1" applyBorder="1" applyAlignment="1" applyProtection="1">
      <alignment horizontal="left" vertical="center"/>
      <protection hidden="1"/>
    </xf>
    <xf numFmtId="0" fontId="35" fillId="0" borderId="0" xfId="0" applyFont="1" applyAlignment="1" applyProtection="1">
      <alignment horizontal="left" vertical="center"/>
      <protection hidden="1"/>
    </xf>
    <xf numFmtId="0" fontId="43" fillId="23" borderId="48" xfId="0" applyFont="1" applyFill="1" applyBorder="1" applyAlignment="1" applyProtection="1">
      <alignment horizontal="right" vertical="center" indent="1"/>
      <protection hidden="1"/>
    </xf>
    <xf numFmtId="0" fontId="43" fillId="25" borderId="0" xfId="0" applyFont="1" applyFill="1" applyAlignment="1" applyProtection="1">
      <alignment horizontal="left" vertical="center" indent="1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49" fontId="12" fillId="7" borderId="0" xfId="2" applyNumberFormat="1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Alignment="1" applyProtection="1">
      <alignment horizontal="left" vertical="center" indent="2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16" fillId="0" borderId="0" xfId="0" applyFont="1" applyBorder="1" applyAlignment="1" applyProtection="1">
      <alignment horizontal="left" vertical="center" indent="1"/>
      <protection hidden="1"/>
    </xf>
    <xf numFmtId="0" fontId="16" fillId="0" borderId="0" xfId="0" applyFont="1" applyAlignment="1" applyProtection="1">
      <alignment horizontal="left" vertical="center" indent="1"/>
      <protection hidden="1"/>
    </xf>
    <xf numFmtId="42" fontId="23" fillId="12" borderId="36" xfId="0" applyNumberFormat="1" applyFont="1" applyFill="1" applyBorder="1" applyAlignment="1" applyProtection="1">
      <alignment horizontal="center" vertical="center"/>
      <protection hidden="1"/>
    </xf>
    <xf numFmtId="42" fontId="23" fillId="12" borderId="43" xfId="0" applyNumberFormat="1" applyFont="1" applyFill="1" applyBorder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left" vertical="center" indent="1"/>
      <protection hidden="1"/>
    </xf>
    <xf numFmtId="0" fontId="35" fillId="0" borderId="0" xfId="0" applyFont="1" applyAlignment="1" applyProtection="1">
      <alignment horizontal="left" vertical="center" indent="1"/>
      <protection hidden="1"/>
    </xf>
    <xf numFmtId="42" fontId="23" fillId="12" borderId="43" xfId="0" applyNumberFormat="1" applyFont="1" applyFill="1" applyBorder="1" applyAlignment="1" applyProtection="1">
      <alignment vertical="center"/>
      <protection hidden="1"/>
    </xf>
    <xf numFmtId="0" fontId="16" fillId="0" borderId="9" xfId="0" applyFont="1" applyBorder="1" applyAlignment="1" applyProtection="1">
      <alignment vertical="center"/>
      <protection locked="0"/>
    </xf>
    <xf numFmtId="0" fontId="16" fillId="0" borderId="71" xfId="0" applyFont="1" applyBorder="1" applyAlignment="1" applyProtection="1">
      <alignment vertical="center"/>
      <protection locked="0"/>
    </xf>
    <xf numFmtId="0" fontId="16" fillId="0" borderId="32" xfId="0" applyFont="1" applyBorder="1" applyAlignment="1" applyProtection="1">
      <alignment vertical="center"/>
      <protection locked="0"/>
    </xf>
    <xf numFmtId="0" fontId="16" fillId="0" borderId="9" xfId="0" applyFont="1" applyFill="1" applyBorder="1" applyAlignment="1" applyProtection="1">
      <alignment vertical="center"/>
      <protection locked="0"/>
    </xf>
    <xf numFmtId="0" fontId="16" fillId="0" borderId="71" xfId="0" applyFont="1" applyFill="1" applyBorder="1" applyAlignment="1" applyProtection="1">
      <alignment vertical="center"/>
      <protection locked="0"/>
    </xf>
    <xf numFmtId="0" fontId="16" fillId="0" borderId="32" xfId="0" applyFont="1" applyFill="1" applyBorder="1" applyAlignment="1" applyProtection="1">
      <alignment vertical="center"/>
      <protection locked="0"/>
    </xf>
    <xf numFmtId="0" fontId="16" fillId="0" borderId="30" xfId="0" applyFont="1" applyBorder="1" applyAlignment="1" applyProtection="1">
      <alignment vertical="center"/>
      <protection locked="0"/>
    </xf>
    <xf numFmtId="0" fontId="16" fillId="0" borderId="66" xfId="0" applyFont="1" applyBorder="1" applyAlignment="1" applyProtection="1">
      <alignment vertical="center"/>
      <protection locked="0"/>
    </xf>
    <xf numFmtId="0" fontId="16" fillId="0" borderId="33" xfId="0" applyFont="1" applyBorder="1" applyAlignment="1" applyProtection="1">
      <alignment vertical="center"/>
      <protection locked="0"/>
    </xf>
    <xf numFmtId="49" fontId="14" fillId="3" borderId="9" xfId="0" applyNumberFormat="1" applyFont="1" applyFill="1" applyBorder="1" applyAlignment="1" applyProtection="1">
      <alignment horizontal="left" vertical="center"/>
      <protection locked="0"/>
    </xf>
    <xf numFmtId="49" fontId="14" fillId="3" borderId="71" xfId="0" applyNumberFormat="1" applyFont="1" applyFill="1" applyBorder="1" applyAlignment="1" applyProtection="1">
      <alignment horizontal="left" vertical="center"/>
      <protection locked="0"/>
    </xf>
    <xf numFmtId="49" fontId="14" fillId="3" borderId="32" xfId="0" applyNumberFormat="1" applyFont="1" applyFill="1" applyBorder="1" applyAlignment="1" applyProtection="1">
      <alignment horizontal="left" vertical="center"/>
      <protection locked="0"/>
    </xf>
    <xf numFmtId="49" fontId="14" fillId="0" borderId="9" xfId="0" applyNumberFormat="1" applyFont="1" applyFill="1" applyBorder="1" applyAlignment="1" applyProtection="1">
      <alignment horizontal="left" vertical="center"/>
      <protection locked="0"/>
    </xf>
    <xf numFmtId="49" fontId="14" fillId="0" borderId="71" xfId="0" applyNumberFormat="1" applyFont="1" applyFill="1" applyBorder="1" applyAlignment="1" applyProtection="1">
      <alignment horizontal="left" vertical="center"/>
      <protection locked="0"/>
    </xf>
    <xf numFmtId="49" fontId="14" fillId="0" borderId="32" xfId="0" applyNumberFormat="1" applyFont="1" applyFill="1" applyBorder="1" applyAlignment="1" applyProtection="1">
      <alignment horizontal="left" vertical="center"/>
      <protection locked="0"/>
    </xf>
    <xf numFmtId="49" fontId="15" fillId="0" borderId="9" xfId="2" applyNumberFormat="1" applyFont="1" applyFill="1" applyBorder="1" applyAlignment="1" applyProtection="1">
      <alignment horizontal="left" vertical="center"/>
      <protection locked="0"/>
    </xf>
    <xf numFmtId="49" fontId="15" fillId="0" borderId="71" xfId="2" applyNumberFormat="1" applyFont="1" applyFill="1" applyBorder="1" applyAlignment="1" applyProtection="1">
      <alignment horizontal="left" vertical="center"/>
      <protection locked="0"/>
    </xf>
    <xf numFmtId="49" fontId="15" fillId="0" borderId="32" xfId="2" applyNumberFormat="1" applyFont="1" applyFill="1" applyBorder="1" applyAlignment="1" applyProtection="1">
      <alignment horizontal="left" vertical="center"/>
      <protection locked="0"/>
    </xf>
    <xf numFmtId="0" fontId="16" fillId="0" borderId="27" xfId="0" applyFont="1" applyBorder="1" applyAlignment="1" applyProtection="1">
      <alignment horizontal="left" vertical="center"/>
      <protection locked="0"/>
    </xf>
    <xf numFmtId="0" fontId="16" fillId="0" borderId="65" xfId="0" applyFont="1" applyBorder="1" applyAlignment="1" applyProtection="1">
      <alignment horizontal="left" vertical="center"/>
      <protection locked="0"/>
    </xf>
    <xf numFmtId="0" fontId="16" fillId="0" borderId="31" xfId="0" applyFont="1" applyBorder="1" applyAlignment="1" applyProtection="1">
      <alignment horizontal="left" vertical="center"/>
      <protection locked="0"/>
    </xf>
    <xf numFmtId="42" fontId="45" fillId="12" borderId="53" xfId="0" applyNumberFormat="1" applyFont="1" applyFill="1" applyBorder="1" applyAlignment="1" applyProtection="1">
      <alignment horizontal="center" vertical="center"/>
      <protection hidden="1"/>
    </xf>
    <xf numFmtId="0" fontId="14" fillId="0" borderId="9" xfId="6" applyFont="1" applyBorder="1" applyAlignment="1" applyProtection="1">
      <alignment horizontal="left" vertical="center"/>
      <protection locked="0"/>
    </xf>
    <xf numFmtId="0" fontId="14" fillId="0" borderId="71" xfId="6" applyFont="1" applyBorder="1" applyAlignment="1" applyProtection="1">
      <alignment horizontal="left" vertical="center"/>
      <protection locked="0"/>
    </xf>
    <xf numFmtId="0" fontId="14" fillId="0" borderId="32" xfId="6" applyFont="1" applyBorder="1" applyAlignment="1" applyProtection="1">
      <alignment horizontal="left" vertical="center"/>
      <protection locked="0"/>
    </xf>
    <xf numFmtId="0" fontId="93" fillId="0" borderId="30" xfId="6" applyFont="1" applyBorder="1" applyAlignment="1" applyProtection="1">
      <alignment horizontal="left" vertical="center"/>
      <protection locked="0"/>
    </xf>
    <xf numFmtId="0" fontId="93" fillId="0" borderId="66" xfId="6" applyFont="1" applyBorder="1" applyAlignment="1" applyProtection="1">
      <alignment horizontal="left" vertical="center"/>
      <protection locked="0"/>
    </xf>
    <xf numFmtId="0" fontId="93" fillId="0" borderId="33" xfId="6" applyFont="1" applyBorder="1" applyAlignment="1" applyProtection="1">
      <alignment horizontal="left" vertical="center"/>
      <protection locked="0"/>
    </xf>
    <xf numFmtId="0" fontId="14" fillId="0" borderId="27" xfId="6" applyFont="1" applyBorder="1" applyAlignment="1" applyProtection="1">
      <alignment horizontal="center" vertical="center"/>
      <protection locked="0"/>
    </xf>
    <xf numFmtId="0" fontId="14" fillId="0" borderId="65" xfId="6" applyFont="1" applyBorder="1" applyAlignment="1" applyProtection="1">
      <alignment horizontal="center" vertical="center"/>
      <protection locked="0"/>
    </xf>
    <xf numFmtId="0" fontId="14" fillId="0" borderId="31" xfId="6" applyFont="1" applyBorder="1" applyAlignment="1" applyProtection="1">
      <alignment horizontal="center" vertical="center"/>
      <protection locked="0"/>
    </xf>
    <xf numFmtId="49" fontId="12" fillId="7" borderId="61" xfId="2" applyNumberFormat="1" applyFont="1" applyFill="1" applyBorder="1" applyAlignment="1" applyProtection="1">
      <alignment horizontal="left" vertical="center" wrapText="1"/>
      <protection hidden="1"/>
    </xf>
    <xf numFmtId="49" fontId="12" fillId="7" borderId="0" xfId="2" applyNumberFormat="1" applyFont="1" applyFill="1" applyBorder="1" applyAlignment="1" applyProtection="1">
      <alignment horizontal="left" vertical="center" wrapText="1"/>
      <protection hidden="1"/>
    </xf>
    <xf numFmtId="49" fontId="12" fillId="7" borderId="62" xfId="2" applyNumberFormat="1" applyFont="1" applyFill="1" applyBorder="1" applyAlignment="1" applyProtection="1">
      <alignment horizontal="left" vertical="center" wrapText="1"/>
      <protection hidden="1"/>
    </xf>
    <xf numFmtId="0" fontId="43" fillId="12" borderId="0" xfId="0" applyFont="1" applyFill="1" applyBorder="1" applyAlignment="1" applyProtection="1">
      <alignment horizontal="left" vertical="center" indent="1"/>
      <protection hidden="1"/>
    </xf>
    <xf numFmtId="170" fontId="52" fillId="6" borderId="4" xfId="2" applyNumberFormat="1" applyFont="1" applyFill="1" applyBorder="1" applyAlignment="1" applyProtection="1">
      <alignment horizontal="center" vertical="center"/>
      <protection locked="0"/>
    </xf>
    <xf numFmtId="170" fontId="52" fillId="6" borderId="1" xfId="2" applyNumberFormat="1" applyFont="1" applyFill="1" applyBorder="1" applyAlignment="1" applyProtection="1">
      <alignment horizontal="center" vertical="center"/>
      <protection locked="0"/>
    </xf>
    <xf numFmtId="170" fontId="52" fillId="6" borderId="2" xfId="2" applyNumberFormat="1" applyFont="1" applyFill="1" applyBorder="1" applyAlignment="1" applyProtection="1">
      <alignment horizontal="center" vertical="center"/>
      <protection locked="0"/>
    </xf>
    <xf numFmtId="170" fontId="52" fillId="6" borderId="5" xfId="2" applyNumberFormat="1" applyFont="1" applyFill="1" applyBorder="1" applyAlignment="1" applyProtection="1">
      <alignment horizontal="center" vertical="center"/>
      <protection locked="0"/>
    </xf>
    <xf numFmtId="170" fontId="52" fillId="6" borderId="3" xfId="2" applyNumberFormat="1" applyFont="1" applyFill="1" applyBorder="1" applyAlignment="1" applyProtection="1">
      <alignment horizontal="center" vertical="center"/>
      <protection locked="0"/>
    </xf>
    <xf numFmtId="170" fontId="52" fillId="6" borderId="6" xfId="2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Border="1" applyAlignment="1" applyProtection="1">
      <alignment horizontal="left" vertical="center" indent="1"/>
      <protection hidden="1"/>
    </xf>
    <xf numFmtId="0" fontId="32" fillId="0" borderId="0" xfId="0" applyFont="1" applyAlignment="1" applyProtection="1">
      <alignment horizontal="left" vertical="center" indent="1"/>
      <protection hidden="1"/>
    </xf>
    <xf numFmtId="170" fontId="52" fillId="6" borderId="93" xfId="2" applyNumberFormat="1" applyFont="1" applyFill="1" applyBorder="1" applyAlignment="1" applyProtection="1">
      <alignment horizontal="center" vertical="center"/>
      <protection hidden="1"/>
    </xf>
    <xf numFmtId="170" fontId="52" fillId="6" borderId="94" xfId="2" applyNumberFormat="1" applyFont="1" applyFill="1" applyBorder="1" applyAlignment="1" applyProtection="1">
      <alignment horizontal="center" vertical="center"/>
      <protection hidden="1"/>
    </xf>
    <xf numFmtId="170" fontId="52" fillId="6" borderId="95" xfId="2" applyNumberFormat="1" applyFont="1" applyFill="1" applyBorder="1" applyAlignment="1" applyProtection="1">
      <alignment horizontal="center" vertical="center"/>
      <protection hidden="1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71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 applyProtection="1">
      <alignment horizontal="center" vertical="center"/>
      <protection locked="0"/>
    </xf>
    <xf numFmtId="49" fontId="12" fillId="7" borderId="70" xfId="2" applyNumberFormat="1" applyFont="1" applyFill="1" applyBorder="1" applyAlignment="1" applyProtection="1">
      <alignment horizontal="center" vertical="center" wrapText="1"/>
      <protection hidden="1"/>
    </xf>
    <xf numFmtId="0" fontId="16" fillId="0" borderId="27" xfId="0" applyFont="1" applyBorder="1" applyAlignment="1" applyProtection="1">
      <alignment horizontal="center" vertical="center"/>
      <protection locked="0"/>
    </xf>
    <xf numFmtId="0" fontId="16" fillId="0" borderId="65" xfId="0" applyFont="1" applyBorder="1" applyAlignment="1" applyProtection="1">
      <alignment horizontal="center" vertical="center"/>
      <protection locked="0"/>
    </xf>
    <xf numFmtId="0" fontId="16" fillId="0" borderId="31" xfId="0" applyFont="1" applyBorder="1" applyAlignment="1" applyProtection="1">
      <alignment horizontal="center" vertical="center"/>
      <protection locked="0"/>
    </xf>
    <xf numFmtId="0" fontId="16" fillId="0" borderId="30" xfId="0" applyFont="1" applyBorder="1" applyAlignment="1" applyProtection="1">
      <alignment horizontal="center" vertical="center"/>
      <protection locked="0"/>
    </xf>
    <xf numFmtId="0" fontId="16" fillId="0" borderId="66" xfId="0" applyFont="1" applyBorder="1" applyAlignment="1" applyProtection="1">
      <alignment horizontal="center" vertical="center"/>
      <protection locked="0"/>
    </xf>
    <xf numFmtId="0" fontId="16" fillId="0" borderId="33" xfId="0" applyFont="1" applyBorder="1" applyAlignment="1" applyProtection="1">
      <alignment horizontal="center" vertical="center"/>
      <protection locked="0"/>
    </xf>
  </cellXfs>
  <cellStyles count="12">
    <cellStyle name="Insatisfaisant" xfId="1" builtinId="27"/>
    <cellStyle name="Monétaire" xfId="11" builtinId="4"/>
    <cellStyle name="Normal" xfId="0" builtinId="0"/>
    <cellStyle name="Normal 2" xfId="3"/>
    <cellStyle name="Normal 3" xfId="4"/>
    <cellStyle name="Normal_BOURGES" xfId="9"/>
    <cellStyle name="Normal_CHAURAY" xfId="6"/>
    <cellStyle name="Normal_NANTES" xfId="5"/>
    <cellStyle name="Normal_ORLEANS" xfId="2"/>
    <cellStyle name="Normal_RENNES INDUSTRIE" xfId="8"/>
    <cellStyle name="Normal_RENNES TERTIAIRE" xfId="7"/>
    <cellStyle name="Pourcentage" xfId="10" builtinId="5"/>
  </cellStyles>
  <dxfs count="0"/>
  <tableStyles count="0" defaultTableStyle="TableStyleMedium2" defaultPivotStyle="PivotStyleLight16"/>
  <colors>
    <mruColors>
      <color rgb="FFFF1D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0"/>
                  <c:y val="-0.120441598118455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0.1249016955605908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tx>
                <c:rich>
                  <a:bodyPr/>
                  <a:lstStyle/>
                  <a:p>
                    <a:fld id="{93A32BDA-896F-47E3-9389-942FF09DA11C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Renouvel_mois!$N$146:$N$148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Renouvel_mois!$R$146:$R$148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0"/>
                  <c:y val="-5.35295991637580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5.7990399094071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5.7990399094071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Renouvel_mois!$N$146:$N$148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Renouvel_mois!$S$146:$S$148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29523752"/>
        <c:axId val="190256776"/>
      </c:barChart>
      <c:catAx>
        <c:axId val="229523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190256776"/>
        <c:crosses val="autoZero"/>
        <c:auto val="1"/>
        <c:lblAlgn val="ctr"/>
        <c:lblOffset val="100"/>
        <c:noMultiLvlLbl val="0"/>
      </c:catAx>
      <c:valAx>
        <c:axId val="190256776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29523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5.4415789219540864E-2"/>
                  <c:y val="2.772236668988204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4026715796639286"/>
                  <c:y val="-0.2127609986992807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6857238982953038E-3"/>
                  <c:y val="-3.9069211671565489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Renouvel_mois!$Y$154:$Y$157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Renouvel_mois!$Z$154:$Z$157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055555555555558E-2"/>
          <c:y val="0.23415366025286083"/>
          <c:w val="0.81388888888888888"/>
          <c:h val="0.67389157092100405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6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explosion val="11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explosion val="11"/>
            <c:spPr>
              <a:solidFill>
                <a:schemeClr val="bg2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1.8847178121046213E-4"/>
                  <c:y val="-5.5859977036937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32491520882758E-2"/>
                  <c:y val="-4.8327808061896828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6.8216644794400705E-2"/>
                  <c:y val="-1.403616214639836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00206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DR'!$AC$11:$AC$14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DR'!$AD$11:$AD$14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bg1"/>
                </a:solidFill>
                <a:latin typeface="Arial Narrow" panose="020B0606020202030204" pitchFamily="34" charset="0"/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5.5555555555555558E-3"/>
                  <c:y val="-0.1111107465733449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0925337632079971E-17"/>
                  <c:y val="-0.101851851851851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1.8929450824106437E-4"/>
                  <c:y val="-0.119129300918775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C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DR'!$V$2:$V$4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'Synthèse DR'!$W$2:$W$4</c:f>
              <c:numCache>
                <c:formatCode>#\ ##0\ "€"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6.481481481481481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0925337632079971E-17"/>
                  <c:y val="-6.94444444444444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6.481481481481481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DR'!$V$2:$V$4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'Synthèse DR'!$X$2:$X$4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90254424"/>
        <c:axId val="190253640"/>
      </c:barChart>
      <c:catAx>
        <c:axId val="190254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190253640"/>
        <c:crosses val="autoZero"/>
        <c:auto val="1"/>
        <c:lblAlgn val="ctr"/>
        <c:lblOffset val="100"/>
        <c:noMultiLvlLbl val="0"/>
      </c:catAx>
      <c:valAx>
        <c:axId val="190253640"/>
        <c:scaling>
          <c:orientation val="minMax"/>
        </c:scaling>
        <c:delete val="1"/>
        <c:axPos val="l"/>
        <c:numFmt formatCode="#\ ##0\ &quot;€&quot;" sourceLinked="1"/>
        <c:majorTickMark val="out"/>
        <c:minorTickMark val="none"/>
        <c:tickLblPos val="nextTo"/>
        <c:crossAx val="190254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47000">
          <a:schemeClr val="bg1">
            <a:lumMod val="85000"/>
          </a:schemeClr>
        </a:gs>
        <a:gs pos="76000">
          <a:schemeClr val="bg1">
            <a:lumMod val="75000"/>
          </a:schemeClr>
        </a:gs>
        <a:gs pos="100000">
          <a:schemeClr val="bg1">
            <a:lumMod val="85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 - 4 mois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explosion val="17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explosion val="10"/>
            <c:spPr>
              <a:solidFill>
                <a:schemeClr val="tx1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-5.4146250775671265E-3"/>
                  <c:y val="-7.347389637332912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3022207855613346E-2"/>
                  <c:y val="7.151743743270569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826525104233458E-2"/>
                  <c:y val="-2.055328082821684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9.2452832181756622E-2"/>
                  <c:y val="-2.437975056900080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00206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DR'!$AC$28:$AC$31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DR'!$AD$28:$AD$31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 - 8 mois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8139411187709816E-2"/>
          <c:y val="0.19598672388693508"/>
          <c:w val="0.77356475277344128"/>
          <c:h val="0.67594758730809279"/>
        </c:manualLayout>
      </c:layout>
      <c:pie3DChart>
        <c:varyColors val="1"/>
        <c:ser>
          <c:idx val="0"/>
          <c:order val="0"/>
          <c:explosion val="17"/>
          <c:dPt>
            <c:idx val="0"/>
            <c:bubble3D val="0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5.5748343988959344E-2"/>
                  <c:y val="2.304166816291022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6142168960110312"/>
                  <c:y val="-2.589418411093593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0531167979002624E-2"/>
                  <c:y val="-5.230911021618481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0902668416447944"/>
                  <c:y val="-1.643846602508019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00206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DR'!$AC$44:$AC$47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DR'!$AD$44:$AD$47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 - 10 mois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1"/>
          <c:dPt>
            <c:idx val="0"/>
            <c:bubble3D val="0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3.1550711079900047E-2"/>
                  <c:y val="-4.4443344791648007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1000630629583816E-2"/>
                  <c:y val="6.1901007568680819E-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7610173229863581E-2"/>
                  <c:y val="-4.599739706111381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460965182479099"/>
                  <c:y val="-5.3109182266135478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DR'!$AC$91:$AC$94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DR'!$AD$91:$AD$94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 - Enjeux &amp; Fidélisation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803070994508924E-2"/>
          <c:y val="0.19861735701974534"/>
          <c:w val="0.75220118568870697"/>
          <c:h val="0.64490794452255151"/>
        </c:manualLayout>
      </c:layout>
      <c:pie3DChart>
        <c:varyColors val="1"/>
        <c:ser>
          <c:idx val="0"/>
          <c:order val="0"/>
          <c:explosion val="16"/>
          <c:dPt>
            <c:idx val="0"/>
            <c:bubble3D val="0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explosion val="28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4.3255697675608586E-2"/>
                  <c:y val="-1.218740039018869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4239595827075116E-2"/>
                  <c:y val="-6.5117643348458158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3.6771303290576575E-2"/>
                  <c:y val="-2.890628055587151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7.6386762473368536E-2"/>
                  <c:y val="-2.5941723173733965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00206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ln>
                      <a:noFill/>
                    </a:ln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DR'!$Z$63:$Z$66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DR'!$AA$63:$AA$66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b="1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 - 10 mois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8139411187709816E-2"/>
          <c:y val="0.19598672388693508"/>
          <c:w val="0.77356475277344128"/>
          <c:h val="0.67594758730809279"/>
        </c:manualLayout>
      </c:layout>
      <c:pie3DChart>
        <c:varyColors val="1"/>
        <c:ser>
          <c:idx val="0"/>
          <c:order val="0"/>
          <c:explosion val="17"/>
          <c:dPt>
            <c:idx val="0"/>
            <c:bubble3D val="0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'Synthèse DR'!$AC$63:$AC$66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'Synthèse DR'!$AD$63:$AD$66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bg2">
            <a:lumMod val="50000"/>
          </a:schemeClr>
        </a:gs>
        <a:gs pos="60000">
          <a:schemeClr val="bg1">
            <a:lumMod val="85000"/>
          </a:schemeClr>
        </a:gs>
        <a:gs pos="83000">
          <a:srgbClr val="5B9BD5">
            <a:lumMod val="45000"/>
            <a:lumOff val="55000"/>
          </a:srgbClr>
        </a:gs>
        <a:gs pos="100000">
          <a:srgbClr val="5B9BD5">
            <a:lumMod val="30000"/>
            <a:lumOff val="70000"/>
          </a:srgb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layout/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1.2491906205743248E-17"/>
                  <c:y val="-0.3501148388500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"/>
                  <c:y val="-0.11549531264156966"/>
                </c:manualLayout>
              </c:layout>
              <c:tx>
                <c:rich>
                  <a:bodyPr/>
                  <a:lstStyle/>
                  <a:p>
                    <a:fld id="{70E416F9-AF8C-42D1-96BC-A56FF384E573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2.7255382938130282E-3"/>
                  <c:y val="-0.22671334545661528"/>
                </c:manualLayout>
              </c:layout>
              <c:tx>
                <c:rich>
                  <a:bodyPr/>
                  <a:lstStyle/>
                  <a:p>
                    <a:fld id="{46102875-91FB-4D4B-8127-23E6469508EF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Renouvel_mois!$N$2:$N$4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Renouvel_mois!$R$2:$R$4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Renouvel_mois!$N$2:$N$4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Renouvel_mois!$S$2:$S$4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0537320"/>
        <c:axId val="230541632"/>
      </c:barChart>
      <c:catAx>
        <c:axId val="230537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0541632"/>
        <c:crosses val="autoZero"/>
        <c:auto val="1"/>
        <c:lblAlgn val="ctr"/>
        <c:lblOffset val="100"/>
        <c:noMultiLvlLbl val="0"/>
      </c:catAx>
      <c:valAx>
        <c:axId val="230541632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0537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7210557559079166E-3"/>
                  <c:y val="-0.37163842464880603"/>
                </c:manualLayout>
              </c:layout>
              <c:tx>
                <c:rich>
                  <a:bodyPr/>
                  <a:lstStyle/>
                  <a:p>
                    <a:fld id="{0065CE40-DE49-4257-896F-14FB04CCD820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114760450330619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8.7996160824808115E-2"/>
                </c:manualLayout>
              </c:layout>
              <c:tx>
                <c:rich>
                  <a:bodyPr/>
                  <a:lstStyle/>
                  <a:p>
                    <a:fld id="{995521F1-3CCF-4DCE-B466-DBC680FD8E7A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Renouvel_mois!$N$110:$N$112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Renouvel_mois!$R$110:$R$112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0"/>
                  <c:y val="-5.35295991637580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210884353741495E-3"/>
                  <c:y val="-5.35295991637580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6.6911998954697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Renouvel_mois!$N$110:$N$112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Renouvel_mois!$S$110:$S$112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0537712"/>
        <c:axId val="230543984"/>
      </c:barChart>
      <c:catAx>
        <c:axId val="23053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0543984"/>
        <c:crosses val="autoZero"/>
        <c:auto val="1"/>
        <c:lblAlgn val="ctr"/>
        <c:lblOffset val="100"/>
        <c:noMultiLvlLbl val="0"/>
      </c:catAx>
      <c:valAx>
        <c:axId val="230543984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053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1.2491906205743248E-17"/>
                  <c:y val="-0.3514321426851237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4510765876259566E-3"/>
                  <c:y val="-0.3635327454922509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7255382938131279E-3"/>
                  <c:y val="-0.12668414314454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Renouvel_mois!$N$38:$N$40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Renouvel_mois!$R$38:$R$40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0"/>
                  <c:y val="-6.6911998954697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6.24511990243844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7.13727988850108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Renouvel_mois!$N$38:$N$40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Renouvel_mois!$S$38:$S$40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0536928"/>
        <c:axId val="230541240"/>
      </c:barChart>
      <c:catAx>
        <c:axId val="23053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0541240"/>
        <c:crosses val="autoZero"/>
        <c:auto val="1"/>
        <c:lblAlgn val="ctr"/>
        <c:lblOffset val="100"/>
        <c:noMultiLvlLbl val="0"/>
      </c:catAx>
      <c:valAx>
        <c:axId val="230541240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053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2.7255382938130282E-3"/>
                  <c:y val="-7.78309849473726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0.3548884143222678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9.9935249645945983E-17"/>
                  <c:y val="-0.17544663585203316"/>
                </c:manualLayout>
              </c:layout>
              <c:tx>
                <c:rich>
                  <a:bodyPr/>
                  <a:lstStyle/>
                  <a:p>
                    <a:fld id="{9597375A-7BE6-4362-AACD-BE8C817564CF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Renouvel_mois!$N$74:$N$76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Renouvel_mois!$R$74:$R$76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2.7210884353741495E-3"/>
                  <c:y val="-5.7990399094071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6.69119989546975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6.24511990243844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Renouvel_mois!$N$74:$N$76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Renouvel_mois!$S$74:$S$76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0539280"/>
        <c:axId val="230538104"/>
      </c:barChart>
      <c:catAx>
        <c:axId val="23053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0538104"/>
        <c:crosses val="autoZero"/>
        <c:auto val="1"/>
        <c:lblAlgn val="ctr"/>
        <c:lblOffset val="100"/>
        <c:noMultiLvlLbl val="0"/>
      </c:catAx>
      <c:valAx>
        <c:axId val="230538104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0539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1.2491906205743248E-17"/>
                  <c:y val="-0.291545846451077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0.308838869590962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0.14543896598890582"/>
                </c:manualLayout>
              </c:layout>
              <c:tx>
                <c:rich>
                  <a:bodyPr/>
                  <a:lstStyle/>
                  <a:p>
                    <a:fld id="{93A32BDA-896F-47E3-9389-942FF09DA11C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Renouvel_mois!$N$146:$N$148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Renouvel_mois!$R$146:$R$148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0"/>
                  <c:y val="-5.35295991637580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5.7990399094071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-5.7990399094071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Renouvel_mois!$N$146:$N$148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Renouvel_mois!$S$146:$S$148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0540064"/>
        <c:axId val="230543200"/>
      </c:barChart>
      <c:catAx>
        <c:axId val="23054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0543200"/>
        <c:crosses val="autoZero"/>
        <c:auto val="1"/>
        <c:lblAlgn val="ctr"/>
        <c:lblOffset val="100"/>
        <c:noMultiLvlLbl val="0"/>
      </c:catAx>
      <c:valAx>
        <c:axId val="230543200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054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CA renouvellements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1.2491906205743248E-17"/>
                  <c:y val="-0.31654363185820678"/>
                </c:manualLayout>
              </c:layout>
              <c:tx>
                <c:rich>
                  <a:bodyPr/>
                  <a:lstStyle/>
                  <a:p>
                    <a:fld id="{5C172172-E54F-486A-9385-B89F940A7158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3436101669853547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0.13468564401539537"/>
                </c:manualLayout>
              </c:layout>
              <c:tx>
                <c:rich>
                  <a:bodyPr/>
                  <a:lstStyle/>
                  <a:p>
                    <a:fld id="{4E05EDCD-5642-4F64-9FDF-94FD7F63A1FF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Renouvel_mois!$N$182:$N$184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Renouvel_mois!$R$182:$R$184</c:f>
              <c:numCache>
                <c:formatCode>"€"#,##0_);[Red]\("€"#,##0\)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0"/>
                  <c:y val="-5.79903990940712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-5.7990399094071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7210884353741495E-3"/>
                  <c:y val="-5.7990399094071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Renouvel_mois!$N$182:$N$184</c:f>
              <c:strCache>
                <c:ptCount val="3"/>
                <c:pt idx="0">
                  <c:v>4 mois</c:v>
                </c:pt>
                <c:pt idx="1">
                  <c:v>8 mois</c:v>
                </c:pt>
                <c:pt idx="2">
                  <c:v>10 mois</c:v>
                </c:pt>
              </c:strCache>
            </c:strRef>
          </c:cat>
          <c:val>
            <c:numRef>
              <c:f>Renouvel_mois!$S$182:$S$184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31940776"/>
        <c:axId val="231940384"/>
      </c:barChart>
      <c:catAx>
        <c:axId val="231940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fr-FR"/>
          </a:p>
        </c:txPr>
        <c:crossAx val="231940384"/>
        <c:crosses val="autoZero"/>
        <c:auto val="1"/>
        <c:lblAlgn val="ctr"/>
        <c:lblOffset val="100"/>
        <c:noMultiLvlLbl val="0"/>
      </c:catAx>
      <c:valAx>
        <c:axId val="231940384"/>
        <c:scaling>
          <c:orientation val="minMax"/>
        </c:scaling>
        <c:delete val="1"/>
        <c:axPos val="l"/>
        <c:numFmt formatCode="&quot;€&quot;#,##0_);[Red]\(&quot;€&quot;#,##0\)" sourceLinked="1"/>
        <c:majorTickMark val="none"/>
        <c:minorTickMark val="none"/>
        <c:tickLblPos val="none"/>
        <c:crossAx val="231940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rgbClr val="0070C0"/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rgbClr val="0070C0"/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0.18340165714941095"/>
                  <c:y val="0.16023075316720034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rgbClr val="00206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42074603872474559"/>
                  <c:y val="-6.4419931140834663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rgbClr val="00206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3015184052406678"/>
                  <c:y val="5.1391076115485587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rgbClr val="00206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41188204453589045"/>
                  <c:y val="1.9825790595315855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rgbClr val="00206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529155730533687"/>
                      <c:h val="0.10837962962962963"/>
                    </c:manualLayout>
                  </c15:layout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Renouvel_mois!$Y$46:$Y$49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Renouvel_mois!$Z$46:$Z$49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tx1">
                  <a:lumMod val="50000"/>
                  <a:lumOff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2.1773931151168189E-2"/>
                  <c:y val="-4.68017497812773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4841088477459226E-2"/>
                  <c:y val="6.984648018741902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5981104221768855"/>
                  <c:y val="7.25013593249692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1763085399449036"/>
                  <c:y val="5.0534383202099756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Renouvel_mois!$Y$10:$Y$13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Renouvel_mois!$Z$10:$Z$13</c:f>
              <c:numCache>
                <c:formatCode>#\ ##0\ "€"</c:formatCode>
                <c:ptCount val="4"/>
                <c:pt idx="0">
                  <c:v>26081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1.0515390121689335E-2"/>
                  <c:y val="3.139492563429571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82525324830264E-4"/>
                  <c:y val="9.164374453193351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99891542482809"/>
                  <c:y val="-1.508731408573928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Renouvel_mois!$Y$82:$Y$85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Renouvel_mois!$Z$82:$Z$85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2.1487051044192868E-2"/>
                  <c:y val="-8.376382197508330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9764479743008007E-2"/>
                  <c:y val="0.1087392848272482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4055661474893788"/>
                  <c:y val="2.061441488611877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3332230826313449"/>
                  <c:y val="-4.2733149404917733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Renouvel_mois!$Y$118:$Y$121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Renouvel_mois!$Z$118:$Z$121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>
                  <a:alpha val="90000"/>
                </a:srgb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5.4415789219540864E-2"/>
                  <c:y val="2.772236668988204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4026715796639286"/>
                  <c:y val="-0.2127609986992807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6857238982953038E-3"/>
                  <c:y val="-3.9069211671565489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Renouvel_mois!$Y$154:$Y$157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Renouvel_mois!$Z$154:$Z$157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baseline="0">
                <a:solidFill>
                  <a:schemeClr val="bg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600" cap="none" baseline="0">
                <a:solidFill>
                  <a:schemeClr val="bg1"/>
                </a:solidFill>
                <a:latin typeface="Arial Narrow" panose="020B0606020202030204" pitchFamily="34" charset="0"/>
              </a:rPr>
              <a:t>Renouvellements &amp; Origines</a:t>
            </a:r>
          </a:p>
        </c:rich>
      </c:tx>
      <c:overlay val="0"/>
      <c:spPr>
        <a:solidFill>
          <a:srgbClr val="C00000"/>
        </a:solidFill>
        <a:ln>
          <a:noFill/>
        </a:ln>
        <a:effectLst/>
      </c:sp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rgbClr val="C00000">
                  <a:alpha val="90000"/>
                </a:srgb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Pt>
            <c:idx val="2"/>
            <c:bubble3D val="0"/>
            <c:spPr>
              <a:solidFill>
                <a:schemeClr val="bg2">
                  <a:lumMod val="50000"/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</c:dPt>
          <c:dLbls>
            <c:dLbl>
              <c:idx val="0"/>
              <c:layout>
                <c:manualLayout>
                  <c:x val="1.2637711860248193E-2"/>
                  <c:y val="-1.019460982011395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9.4397620656258927E-3"/>
                  <c:y val="-0.27914410088982777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6307655646838933E-2"/>
                  <c:y val="3.967789250131756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0234057654959826"/>
                  <c:y val="-4.5445219916145623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206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Renouvel_mois!$Y$190:$Y$193</c:f>
              <c:strCache>
                <c:ptCount val="4"/>
                <c:pt idx="0">
                  <c:v>DCN</c:v>
                </c:pt>
                <c:pt idx="1">
                  <c:v>DI</c:v>
                </c:pt>
                <c:pt idx="2">
                  <c:v>AO</c:v>
                </c:pt>
                <c:pt idx="3">
                  <c:v>REG</c:v>
                </c:pt>
              </c:strCache>
            </c:strRef>
          </c:cat>
          <c:val>
            <c:numRef>
              <c:f>Renouvel_mois!$Z$190:$Z$193</c:f>
              <c:numCache>
                <c:formatCode>#\ ##0\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12" Type="http://schemas.openxmlformats.org/officeDocument/2006/relationships/chart" Target="../charts/chart21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528357</xdr:colOff>
      <xdr:row>98</xdr:row>
      <xdr:rowOff>108473</xdr:rowOff>
    </xdr:from>
    <xdr:to>
      <xdr:col>29</xdr:col>
      <xdr:colOff>11205</xdr:colOff>
      <xdr:row>115</xdr:row>
      <xdr:rowOff>100853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34258</xdr:colOff>
      <xdr:row>116</xdr:row>
      <xdr:rowOff>1119</xdr:rowOff>
    </xdr:from>
    <xdr:to>
      <xdr:col>39</xdr:col>
      <xdr:colOff>414937</xdr:colOff>
      <xdr:row>132</xdr:row>
      <xdr:rowOff>75559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751354</xdr:colOff>
      <xdr:row>8</xdr:row>
      <xdr:rowOff>21569</xdr:rowOff>
    </xdr:from>
    <xdr:to>
      <xdr:col>36</xdr:col>
      <xdr:colOff>750794</xdr:colOff>
      <xdr:row>23</xdr:row>
      <xdr:rowOff>201704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179855</xdr:colOff>
      <xdr:row>8</xdr:row>
      <xdr:rowOff>23251</xdr:rowOff>
    </xdr:from>
    <xdr:to>
      <xdr:col>27</xdr:col>
      <xdr:colOff>280147</xdr:colOff>
      <xdr:row>28</xdr:row>
      <xdr:rowOff>78441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1681</xdr:colOff>
      <xdr:row>24</xdr:row>
      <xdr:rowOff>198905</xdr:rowOff>
    </xdr:from>
    <xdr:to>
      <xdr:col>37</xdr:col>
      <xdr:colOff>44824</xdr:colOff>
      <xdr:row>39</xdr:row>
      <xdr:rowOff>179295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782172</xdr:colOff>
      <xdr:row>40</xdr:row>
      <xdr:rowOff>188820</xdr:rowOff>
    </xdr:from>
    <xdr:to>
      <xdr:col>37</xdr:col>
      <xdr:colOff>80684</xdr:colOff>
      <xdr:row>56</xdr:row>
      <xdr:rowOff>116541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313765</xdr:colOff>
      <xdr:row>89</xdr:row>
      <xdr:rowOff>188259</xdr:rowOff>
    </xdr:from>
    <xdr:to>
      <xdr:col>36</xdr:col>
      <xdr:colOff>313765</xdr:colOff>
      <xdr:row>106</xdr:row>
      <xdr:rowOff>30816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37</xdr:col>
      <xdr:colOff>349624</xdr:colOff>
      <xdr:row>22</xdr:row>
      <xdr:rowOff>161364</xdr:rowOff>
    </xdr:from>
    <xdr:to>
      <xdr:col>45</xdr:col>
      <xdr:colOff>322729</xdr:colOff>
      <xdr:row>39</xdr:row>
      <xdr:rowOff>143435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31</xdr:col>
      <xdr:colOff>11206</xdr:colOff>
      <xdr:row>59</xdr:row>
      <xdr:rowOff>0</xdr:rowOff>
    </xdr:from>
    <xdr:to>
      <xdr:col>37</xdr:col>
      <xdr:colOff>71718</xdr:colOff>
      <xdr:row>75</xdr:row>
      <xdr:rowOff>149598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154305</xdr:colOff>
      <xdr:row>9</xdr:row>
      <xdr:rowOff>10477</xdr:rowOff>
    </xdr:from>
    <xdr:to>
      <xdr:col>23</xdr:col>
      <xdr:colOff>13335</xdr:colOff>
      <xdr:row>23</xdr:row>
      <xdr:rowOff>83820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114300</xdr:colOff>
      <xdr:row>117</xdr:row>
      <xdr:rowOff>0</xdr:rowOff>
    </xdr:from>
    <xdr:to>
      <xdr:col>22</xdr:col>
      <xdr:colOff>1642110</xdr:colOff>
      <xdr:row>133</xdr:row>
      <xdr:rowOff>42863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160020</xdr:colOff>
      <xdr:row>45</xdr:row>
      <xdr:rowOff>99060</xdr:rowOff>
    </xdr:from>
    <xdr:to>
      <xdr:col>23</xdr:col>
      <xdr:colOff>19050</xdr:colOff>
      <xdr:row>59</xdr:row>
      <xdr:rowOff>172403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243840</xdr:colOff>
      <xdr:row>80</xdr:row>
      <xdr:rowOff>7620</xdr:rowOff>
    </xdr:from>
    <xdr:to>
      <xdr:col>23</xdr:col>
      <xdr:colOff>102870</xdr:colOff>
      <xdr:row>95</xdr:row>
      <xdr:rowOff>58103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152400</xdr:colOff>
      <xdr:row>153</xdr:row>
      <xdr:rowOff>7620</xdr:rowOff>
    </xdr:from>
    <xdr:to>
      <xdr:col>23</xdr:col>
      <xdr:colOff>11430</xdr:colOff>
      <xdr:row>167</xdr:row>
      <xdr:rowOff>80963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213360</xdr:colOff>
      <xdr:row>189</xdr:row>
      <xdr:rowOff>7620</xdr:rowOff>
    </xdr:from>
    <xdr:to>
      <xdr:col>23</xdr:col>
      <xdr:colOff>72390</xdr:colOff>
      <xdr:row>203</xdr:row>
      <xdr:rowOff>80963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175260</xdr:colOff>
      <xdr:row>45</xdr:row>
      <xdr:rowOff>114300</xdr:rowOff>
    </xdr:from>
    <xdr:to>
      <xdr:col>32</xdr:col>
      <xdr:colOff>76200</xdr:colOff>
      <xdr:row>60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670560</xdr:colOff>
      <xdr:row>9</xdr:row>
      <xdr:rowOff>45720</xdr:rowOff>
    </xdr:from>
    <xdr:to>
      <xdr:col>32</xdr:col>
      <xdr:colOff>571500</xdr:colOff>
      <xdr:row>23</xdr:row>
      <xdr:rowOff>129540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27</xdr:col>
      <xdr:colOff>0</xdr:colOff>
      <xdr:row>81</xdr:row>
      <xdr:rowOff>0</xdr:rowOff>
    </xdr:from>
    <xdr:to>
      <xdr:col>32</xdr:col>
      <xdr:colOff>685800</xdr:colOff>
      <xdr:row>95</xdr:row>
      <xdr:rowOff>83820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27</xdr:col>
      <xdr:colOff>0</xdr:colOff>
      <xdr:row>118</xdr:row>
      <xdr:rowOff>0</xdr:rowOff>
    </xdr:from>
    <xdr:to>
      <xdr:col>32</xdr:col>
      <xdr:colOff>685800</xdr:colOff>
      <xdr:row>132</xdr:row>
      <xdr:rowOff>83820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27</xdr:col>
      <xdr:colOff>54429</xdr:colOff>
      <xdr:row>153</xdr:row>
      <xdr:rowOff>19049</xdr:rowOff>
    </xdr:from>
    <xdr:to>
      <xdr:col>33</xdr:col>
      <xdr:colOff>446314</xdr:colOff>
      <xdr:row>168</xdr:row>
      <xdr:rowOff>136070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27</xdr:col>
      <xdr:colOff>217714</xdr:colOff>
      <xdr:row>190</xdr:row>
      <xdr:rowOff>0</xdr:rowOff>
    </xdr:from>
    <xdr:to>
      <xdr:col>33</xdr:col>
      <xdr:colOff>609599</xdr:colOff>
      <xdr:row>205</xdr:row>
      <xdr:rowOff>21772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E/Documents/DR%20Grand%20Ouest/TOP%20xx_Agences%20(060616)/M&#224;j_03-2017/Natacha%20&#224;%20ins&#233;rer%20TOP10%20au%20010616/Copie%20de%20052_TOP%2010000%20_Grand%20Ouest%20vers_2017%20(130317)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tour%20Agences_2/TOP%2030%20Nantes%20(010318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etour%20Agences_2/TOP%2030%20Bourges%20(090318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Retour%20Agences_2/TOP%2030%20Orl&#233;ans%20070318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Retour%20Agences_2/TOP%2030%20Rennes%20Tertiaire%20(010318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Retour%20Agences_2/TOP%2030%20%20Rennes%20Industrie%20(0103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Renouvel_X mois"/>
      <sheetName val="Feuil2"/>
      <sheetName val="052_CHAURAY"/>
      <sheetName val="052_CHAURAY Version oct 16"/>
    </sheetNames>
    <sheetDataSet>
      <sheetData sheetId="0">
        <row r="7">
          <cell r="A7" t="str">
            <v>Perdu</v>
          </cell>
          <cell r="C7" t="str">
            <v>DCN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C8" t="str">
            <v>DI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>
            <v>0</v>
          </cell>
          <cell r="C9" t="str">
            <v>REG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C10" t="str">
            <v>AO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C11">
            <v>0</v>
          </cell>
          <cell r="E11">
            <v>0</v>
          </cell>
          <cell r="G11" t="str">
            <v>Ind</v>
          </cell>
        </row>
        <row r="12">
          <cell r="A12">
            <v>0</v>
          </cell>
          <cell r="C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1">
          <cell r="E51">
            <v>0</v>
          </cell>
        </row>
        <row r="52">
          <cell r="E52">
            <v>0</v>
          </cell>
        </row>
        <row r="53">
          <cell r="E53">
            <v>0</v>
          </cell>
        </row>
        <row r="54">
          <cell r="E54" t="str">
            <v>Multiples</v>
          </cell>
        </row>
        <row r="55">
          <cell r="E55">
            <v>0</v>
          </cell>
        </row>
        <row r="56">
          <cell r="E56">
            <v>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011_NANTES"/>
    </sheetNames>
    <sheetDataSet>
      <sheetData sheetId="0">
        <row r="7">
          <cell r="A7" t="str">
            <v>Perdu</v>
          </cell>
          <cell r="C7" t="str">
            <v>DCN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C8" t="str">
            <v>DI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 t="str">
            <v>Reconduit</v>
          </cell>
          <cell r="C9" t="str">
            <v>REG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C10" t="str">
            <v>AO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C11">
            <v>0</v>
          </cell>
          <cell r="E11">
            <v>0</v>
          </cell>
          <cell r="G11" t="str">
            <v>Indéterm.</v>
          </cell>
        </row>
        <row r="12">
          <cell r="A12">
            <v>0</v>
          </cell>
          <cell r="C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048_BOURGES"/>
    </sheetNames>
    <sheetDataSet>
      <sheetData sheetId="0">
        <row r="7">
          <cell r="A7" t="str">
            <v>Perdu</v>
          </cell>
          <cell r="C7" t="str">
            <v>DCN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C8" t="str">
            <v>DI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 t="str">
            <v>Reconduit</v>
          </cell>
          <cell r="C9" t="str">
            <v>REG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C10" t="str">
            <v>AO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C11">
            <v>0</v>
          </cell>
          <cell r="E11">
            <v>0</v>
          </cell>
          <cell r="G11" t="str">
            <v>Indéterm.</v>
          </cell>
        </row>
        <row r="12">
          <cell r="A12">
            <v>0</v>
          </cell>
          <cell r="C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049_ORLEANS"/>
      <sheetName val="049_ORLEANS (2)"/>
    </sheetNames>
    <sheetDataSet>
      <sheetData sheetId="0">
        <row r="7">
          <cell r="A7" t="str">
            <v>Perdu</v>
          </cell>
          <cell r="C7" t="str">
            <v>DCN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C8" t="str">
            <v>DI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 t="str">
            <v>Reconduit</v>
          </cell>
          <cell r="C9" t="str">
            <v>REG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C10" t="str">
            <v>AO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C11">
            <v>0</v>
          </cell>
          <cell r="E11">
            <v>0</v>
          </cell>
          <cell r="G11" t="str">
            <v>Indéterm.</v>
          </cell>
        </row>
        <row r="12">
          <cell r="A12">
            <v>0</v>
          </cell>
          <cell r="C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26">
          <cell r="C26" t="str">
            <v>ARHEL Valérie</v>
          </cell>
        </row>
        <row r="27">
          <cell r="C27" t="str">
            <v>CHAUVIRE Julien</v>
          </cell>
        </row>
        <row r="28">
          <cell r="C28" t="str">
            <v>DA COSTA Tiago</v>
          </cell>
        </row>
        <row r="29">
          <cell r="C29" t="str">
            <v>DANOT Sylvia</v>
          </cell>
        </row>
        <row r="30">
          <cell r="C30" t="str">
            <v>GAECKLER Annick</v>
          </cell>
        </row>
        <row r="31">
          <cell r="C31" t="str">
            <v>GUITTON Arnaud</v>
          </cell>
        </row>
        <row r="32">
          <cell r="C32" t="str">
            <v>MORAT Vanessa</v>
          </cell>
        </row>
        <row r="33">
          <cell r="C33" t="str">
            <v>MORIN Cédric</v>
          </cell>
        </row>
        <row r="34">
          <cell r="C34" t="str">
            <v>RAMOS Antonio</v>
          </cell>
        </row>
        <row r="35">
          <cell r="C35">
            <v>0</v>
          </cell>
        </row>
        <row r="36">
          <cell r="C36" t="str">
            <v>Multiples</v>
          </cell>
        </row>
        <row r="37">
          <cell r="C37">
            <v>0</v>
          </cell>
        </row>
        <row r="38">
          <cell r="C38">
            <v>0</v>
          </cell>
        </row>
      </sheetData>
      <sheetData sheetId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057_RENNES TERTIAIRE"/>
    </sheetNames>
    <sheetDataSet>
      <sheetData sheetId="0">
        <row r="7">
          <cell r="A7" t="str">
            <v>Perdu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 t="str">
            <v>Reconduit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E11">
            <v>0</v>
          </cell>
          <cell r="G11" t="str">
            <v>Inderm.</v>
          </cell>
        </row>
        <row r="12">
          <cell r="A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083_RENNES INDUSTRIE"/>
      <sheetName val="Listes"/>
    </sheetNames>
    <sheetDataSet>
      <sheetData sheetId="0">
        <row r="7">
          <cell r="A7" t="str">
            <v>Perdu</v>
          </cell>
          <cell r="C7" t="str">
            <v>DCN</v>
          </cell>
          <cell r="E7" t="str">
            <v>FAIBLE</v>
          </cell>
          <cell r="G7">
            <v>6</v>
          </cell>
          <cell r="I7" t="str">
            <v>O</v>
          </cell>
        </row>
        <row r="8">
          <cell r="A8" t="str">
            <v>Nouveau</v>
          </cell>
          <cell r="C8" t="str">
            <v>DI</v>
          </cell>
          <cell r="E8" t="str">
            <v>MOYEN</v>
          </cell>
          <cell r="G8">
            <v>12</v>
          </cell>
          <cell r="I8" t="str">
            <v>N</v>
          </cell>
        </row>
        <row r="9">
          <cell r="A9" t="str">
            <v>Reconduit</v>
          </cell>
          <cell r="C9" t="str">
            <v>REG</v>
          </cell>
          <cell r="E9" t="str">
            <v>FORT</v>
          </cell>
          <cell r="G9">
            <v>24</v>
          </cell>
          <cell r="I9">
            <v>0</v>
          </cell>
        </row>
        <row r="10">
          <cell r="A10">
            <v>0</v>
          </cell>
          <cell r="C10" t="str">
            <v>AO</v>
          </cell>
          <cell r="E10" t="str">
            <v>IMPORTANT</v>
          </cell>
          <cell r="G10">
            <v>36</v>
          </cell>
          <cell r="I10">
            <v>0</v>
          </cell>
        </row>
        <row r="11">
          <cell r="A11">
            <v>0</v>
          </cell>
          <cell r="C11">
            <v>0</v>
          </cell>
          <cell r="E11">
            <v>0</v>
          </cell>
          <cell r="G11" t="str">
            <v>Indéterm.</v>
          </cell>
        </row>
        <row r="12">
          <cell r="A12">
            <v>0</v>
          </cell>
          <cell r="C12">
            <v>0</v>
          </cell>
          <cell r="E12">
            <v>0</v>
          </cell>
          <cell r="G12">
            <v>0</v>
          </cell>
        </row>
        <row r="16">
          <cell r="C16" t="str">
            <v>M.</v>
          </cell>
        </row>
        <row r="17">
          <cell r="C17" t="str">
            <v>Mme</v>
          </cell>
        </row>
        <row r="18">
          <cell r="C18" t="str">
            <v>Melle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5"/>
  <sheetViews>
    <sheetView workbookViewId="0">
      <selection activeCell="H21" sqref="H21"/>
    </sheetView>
  </sheetViews>
  <sheetFormatPr baseColWidth="10" defaultColWidth="11.42578125" defaultRowHeight="12.75" x14ac:dyDescent="0.2"/>
  <cols>
    <col min="1" max="1" width="13.85546875" style="43" bestFit="1" customWidth="1"/>
    <col min="2" max="2" width="11.42578125" style="43"/>
    <col min="3" max="3" width="14.140625" style="43" bestFit="1" customWidth="1"/>
    <col min="4" max="4" width="11.42578125" style="43"/>
    <col min="5" max="5" width="16.7109375" style="43" bestFit="1" customWidth="1"/>
    <col min="6" max="6" width="11.42578125" style="43"/>
    <col min="7" max="7" width="10.140625" style="50" bestFit="1" customWidth="1"/>
    <col min="8" max="8" width="11.42578125" style="43"/>
    <col min="9" max="9" width="6.140625" style="43" bestFit="1" customWidth="1"/>
    <col min="10" max="16384" width="11.42578125" style="43"/>
  </cols>
  <sheetData>
    <row r="1" spans="1:9" x14ac:dyDescent="0.2">
      <c r="A1" s="44" t="s">
        <v>546</v>
      </c>
    </row>
    <row r="5" spans="1:9" x14ac:dyDescent="0.2">
      <c r="A5" s="45" t="s">
        <v>585</v>
      </c>
      <c r="C5" s="45" t="s">
        <v>549</v>
      </c>
      <c r="E5" s="45" t="s">
        <v>550</v>
      </c>
      <c r="G5" s="50" t="s">
        <v>553</v>
      </c>
      <c r="I5" s="43" t="s">
        <v>590</v>
      </c>
    </row>
    <row r="7" spans="1:9" x14ac:dyDescent="0.2">
      <c r="A7" s="46" t="s">
        <v>527</v>
      </c>
      <c r="C7" s="46" t="s">
        <v>521</v>
      </c>
      <c r="E7" s="46" t="s">
        <v>135</v>
      </c>
      <c r="G7" s="312">
        <v>6</v>
      </c>
      <c r="I7" s="312" t="s">
        <v>591</v>
      </c>
    </row>
    <row r="8" spans="1:9" x14ac:dyDescent="0.2">
      <c r="A8" s="47" t="s">
        <v>627</v>
      </c>
      <c r="C8" s="47" t="s">
        <v>580</v>
      </c>
      <c r="E8" s="47" t="s">
        <v>519</v>
      </c>
      <c r="G8" s="313">
        <v>12</v>
      </c>
      <c r="I8" s="313" t="s">
        <v>592</v>
      </c>
    </row>
    <row r="9" spans="1:9" x14ac:dyDescent="0.2">
      <c r="A9" s="47" t="s">
        <v>597</v>
      </c>
      <c r="C9" s="47" t="s">
        <v>547</v>
      </c>
      <c r="E9" s="47" t="s">
        <v>551</v>
      </c>
      <c r="G9" s="313">
        <v>24</v>
      </c>
      <c r="I9" s="313"/>
    </row>
    <row r="10" spans="1:9" x14ac:dyDescent="0.2">
      <c r="A10" s="47"/>
      <c r="C10" s="47" t="s">
        <v>548</v>
      </c>
      <c r="E10" s="47" t="s">
        <v>552</v>
      </c>
      <c r="G10" s="313">
        <v>36</v>
      </c>
      <c r="I10" s="314"/>
    </row>
    <row r="11" spans="1:9" x14ac:dyDescent="0.2">
      <c r="A11" s="47"/>
      <c r="C11" s="47"/>
      <c r="E11" s="47"/>
      <c r="G11" s="313" t="s">
        <v>640</v>
      </c>
    </row>
    <row r="12" spans="1:9" x14ac:dyDescent="0.2">
      <c r="A12" s="48"/>
      <c r="C12" s="48"/>
      <c r="E12" s="48"/>
      <c r="G12" s="314"/>
    </row>
    <row r="14" spans="1:9" x14ac:dyDescent="0.2">
      <c r="C14" s="43" t="s">
        <v>533</v>
      </c>
    </row>
    <row r="16" spans="1:9" x14ac:dyDescent="0.2">
      <c r="C16" s="46" t="s">
        <v>536</v>
      </c>
    </row>
    <row r="17" spans="1:5" x14ac:dyDescent="0.2">
      <c r="C17" s="47" t="s">
        <v>534</v>
      </c>
    </row>
    <row r="18" spans="1:5" x14ac:dyDescent="0.2">
      <c r="C18" s="47" t="s">
        <v>555</v>
      </c>
    </row>
    <row r="19" spans="1:5" x14ac:dyDescent="0.2">
      <c r="C19" s="47"/>
    </row>
    <row r="20" spans="1:5" x14ac:dyDescent="0.2">
      <c r="C20" s="47"/>
    </row>
    <row r="21" spans="1:5" x14ac:dyDescent="0.2">
      <c r="C21" s="48"/>
    </row>
    <row r="24" spans="1:5" x14ac:dyDescent="0.2">
      <c r="A24" s="43" t="s">
        <v>557</v>
      </c>
      <c r="C24" s="49" t="s">
        <v>567</v>
      </c>
      <c r="D24" s="50"/>
      <c r="E24" s="49" t="s">
        <v>568</v>
      </c>
    </row>
    <row r="26" spans="1:5" x14ac:dyDescent="0.2">
      <c r="C26" s="46" t="s">
        <v>564</v>
      </c>
      <c r="E26" s="46" t="s">
        <v>569</v>
      </c>
    </row>
    <row r="27" spans="1:5" x14ac:dyDescent="0.2">
      <c r="C27" s="47" t="s">
        <v>565</v>
      </c>
      <c r="E27" s="47" t="s">
        <v>570</v>
      </c>
    </row>
    <row r="28" spans="1:5" x14ac:dyDescent="0.2">
      <c r="C28" s="47" t="s">
        <v>558</v>
      </c>
      <c r="E28" s="47" t="s">
        <v>571</v>
      </c>
    </row>
    <row r="29" spans="1:5" x14ac:dyDescent="0.2">
      <c r="C29" s="47" t="s">
        <v>563</v>
      </c>
      <c r="E29" s="47" t="s">
        <v>572</v>
      </c>
    </row>
    <row r="30" spans="1:5" x14ac:dyDescent="0.2">
      <c r="C30" s="47" t="s">
        <v>566</v>
      </c>
      <c r="E30" s="47" t="s">
        <v>573</v>
      </c>
    </row>
    <row r="31" spans="1:5" x14ac:dyDescent="0.2">
      <c r="C31" s="47" t="s">
        <v>559</v>
      </c>
      <c r="E31" s="47" t="s">
        <v>574</v>
      </c>
    </row>
    <row r="32" spans="1:5" x14ac:dyDescent="0.2">
      <c r="C32" s="47" t="s">
        <v>560</v>
      </c>
      <c r="E32" s="47" t="s">
        <v>575</v>
      </c>
    </row>
    <row r="33" spans="3:5" x14ac:dyDescent="0.2">
      <c r="C33" s="47" t="s">
        <v>561</v>
      </c>
      <c r="E33" s="47"/>
    </row>
    <row r="34" spans="3:5" x14ac:dyDescent="0.2">
      <c r="C34" s="51" t="s">
        <v>562</v>
      </c>
      <c r="E34" s="51"/>
    </row>
    <row r="35" spans="3:5" x14ac:dyDescent="0.2">
      <c r="C35" s="47"/>
      <c r="E35" s="47"/>
    </row>
    <row r="36" spans="3:5" x14ac:dyDescent="0.2">
      <c r="C36" s="47" t="s">
        <v>579</v>
      </c>
      <c r="E36" s="47" t="s">
        <v>579</v>
      </c>
    </row>
    <row r="37" spans="3:5" x14ac:dyDescent="0.2">
      <c r="C37" s="47"/>
      <c r="E37" s="47"/>
    </row>
    <row r="38" spans="3:5" x14ac:dyDescent="0.2">
      <c r="C38" s="48"/>
      <c r="E38" s="48"/>
    </row>
    <row r="42" spans="3:5" x14ac:dyDescent="0.2">
      <c r="C42" s="49" t="s">
        <v>576</v>
      </c>
      <c r="D42" s="49"/>
      <c r="E42" s="49" t="s">
        <v>577</v>
      </c>
    </row>
    <row r="44" spans="3:5" x14ac:dyDescent="0.2">
      <c r="C44" s="46"/>
      <c r="E44" s="46"/>
    </row>
    <row r="45" spans="3:5" x14ac:dyDescent="0.2">
      <c r="C45" s="47"/>
      <c r="E45" s="47"/>
    </row>
    <row r="46" spans="3:5" x14ac:dyDescent="0.2">
      <c r="C46" s="47"/>
      <c r="E46" s="47"/>
    </row>
    <row r="47" spans="3:5" x14ac:dyDescent="0.2">
      <c r="C47" s="47"/>
      <c r="E47" s="47"/>
    </row>
    <row r="48" spans="3:5" x14ac:dyDescent="0.2">
      <c r="C48" s="47"/>
      <c r="E48" s="47"/>
    </row>
    <row r="49" spans="3:5" x14ac:dyDescent="0.2">
      <c r="C49" s="47"/>
      <c r="E49" s="47"/>
    </row>
    <row r="50" spans="3:5" x14ac:dyDescent="0.2">
      <c r="C50" s="47"/>
      <c r="E50" s="47"/>
    </row>
    <row r="51" spans="3:5" x14ac:dyDescent="0.2">
      <c r="C51" s="47"/>
      <c r="E51" s="47"/>
    </row>
    <row r="52" spans="3:5" x14ac:dyDescent="0.2">
      <c r="C52" s="51"/>
      <c r="E52" s="51"/>
    </row>
    <row r="53" spans="3:5" x14ac:dyDescent="0.2">
      <c r="C53" s="47"/>
      <c r="E53" s="47"/>
    </row>
    <row r="54" spans="3:5" x14ac:dyDescent="0.2">
      <c r="C54" s="47" t="s">
        <v>579</v>
      </c>
      <c r="E54" s="47" t="s">
        <v>579</v>
      </c>
    </row>
    <row r="55" spans="3:5" x14ac:dyDescent="0.2">
      <c r="C55" s="47"/>
      <c r="E55" s="47"/>
    </row>
    <row r="56" spans="3:5" x14ac:dyDescent="0.2">
      <c r="C56" s="48"/>
      <c r="E56" s="48"/>
    </row>
    <row r="61" spans="3:5" x14ac:dyDescent="0.2">
      <c r="C61" s="49" t="s">
        <v>578</v>
      </c>
      <c r="D61" s="49"/>
      <c r="E61" s="49" t="s">
        <v>595</v>
      </c>
    </row>
    <row r="63" spans="3:5" x14ac:dyDescent="0.2">
      <c r="C63" s="46"/>
      <c r="E63" s="46"/>
    </row>
    <row r="64" spans="3:5" x14ac:dyDescent="0.2">
      <c r="C64" s="47"/>
      <c r="E64" s="47"/>
    </row>
    <row r="65" spans="3:5" x14ac:dyDescent="0.2">
      <c r="C65" s="47"/>
      <c r="E65" s="47"/>
    </row>
    <row r="66" spans="3:5" x14ac:dyDescent="0.2">
      <c r="C66" s="47"/>
      <c r="E66" s="47"/>
    </row>
    <row r="67" spans="3:5" x14ac:dyDescent="0.2">
      <c r="C67" s="47"/>
      <c r="E67" s="47"/>
    </row>
    <row r="68" spans="3:5" x14ac:dyDescent="0.2">
      <c r="C68" s="47"/>
      <c r="E68" s="47"/>
    </row>
    <row r="69" spans="3:5" x14ac:dyDescent="0.2">
      <c r="C69" s="47"/>
      <c r="E69" s="47"/>
    </row>
    <row r="70" spans="3:5" x14ac:dyDescent="0.2">
      <c r="C70" s="47"/>
      <c r="E70" s="47"/>
    </row>
    <row r="71" spans="3:5" x14ac:dyDescent="0.2">
      <c r="C71" s="51"/>
      <c r="E71" s="51"/>
    </row>
    <row r="72" spans="3:5" x14ac:dyDescent="0.2">
      <c r="C72" s="47"/>
      <c r="E72" s="47"/>
    </row>
    <row r="73" spans="3:5" x14ac:dyDescent="0.2">
      <c r="C73" s="47" t="s">
        <v>579</v>
      </c>
      <c r="E73" s="47" t="s">
        <v>579</v>
      </c>
    </row>
    <row r="74" spans="3:5" x14ac:dyDescent="0.2">
      <c r="C74" s="47"/>
      <c r="E74" s="47"/>
    </row>
    <row r="75" spans="3:5" x14ac:dyDescent="0.2">
      <c r="C75" s="48"/>
      <c r="E75" s="48"/>
    </row>
  </sheetData>
  <sortState ref="C26:C34">
    <sortCondition ref="C26"/>
  </sortState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C00000"/>
  </sheetPr>
  <dimension ref="A1:CG144"/>
  <sheetViews>
    <sheetView showGridLines="0" topLeftCell="A22" zoomScale="90" zoomScaleNormal="90" workbookViewId="0">
      <selection activeCell="K30" sqref="K30:K32"/>
    </sheetView>
  </sheetViews>
  <sheetFormatPr baseColWidth="10" defaultColWidth="11.42578125" defaultRowHeight="12.75" outlineLevelCol="1" x14ac:dyDescent="0.25"/>
  <cols>
    <col min="1" max="1" width="2.7109375" style="224" bestFit="1" customWidth="1"/>
    <col min="2" max="2" width="7.28515625" style="224" customWidth="1"/>
    <col min="3" max="3" width="36.7109375" style="14" bestFit="1" customWidth="1"/>
    <col min="4" max="5" width="6.7109375" style="17" customWidth="1"/>
    <col min="6" max="6" width="15.28515625" style="14" bestFit="1" customWidth="1"/>
    <col min="7" max="7" width="11.28515625" style="17" customWidth="1"/>
    <col min="8" max="8" width="15.28515625" style="14" bestFit="1" customWidth="1"/>
    <col min="9" max="9" width="12.85546875" style="14" bestFit="1" customWidth="1"/>
    <col min="10" max="10" width="14" style="14" bestFit="1" customWidth="1"/>
    <col min="11" max="11" width="12.140625" style="14" customWidth="1"/>
    <col min="12" max="12" width="0.5703125" style="13" customWidth="1"/>
    <col min="13" max="13" width="12" style="17" customWidth="1"/>
    <col min="14" max="14" width="0.5703125" style="13" customWidth="1"/>
    <col min="15" max="15" width="12" style="17" customWidth="1"/>
    <col min="16" max="16" width="0.5703125" style="13" customWidth="1"/>
    <col min="17" max="17" width="5.7109375" style="17" customWidth="1"/>
    <col min="18" max="18" width="10.7109375" style="14" customWidth="1"/>
    <col min="19" max="19" width="0.5703125" style="13" customWidth="1"/>
    <col min="20" max="20" width="12" style="14" customWidth="1"/>
    <col min="21" max="21" width="0.5703125" style="13" customWidth="1"/>
    <col min="22" max="22" width="12" style="17" customWidth="1"/>
    <col min="23" max="23" width="0.5703125" style="13" customWidth="1"/>
    <col min="24" max="25" width="12" style="14" customWidth="1"/>
    <col min="26" max="65" width="12" style="14" customWidth="1" outlineLevel="1"/>
    <col min="66" max="66" width="12" style="14" customWidth="1"/>
    <col min="67" max="16384" width="11.42578125" style="14"/>
  </cols>
  <sheetData>
    <row r="1" spans="1:85" x14ac:dyDescent="0.25">
      <c r="D1" s="99"/>
      <c r="E1" s="99"/>
    </row>
    <row r="2" spans="1:85" ht="18" x14ac:dyDescent="0.25">
      <c r="C2" s="18" t="s">
        <v>7</v>
      </c>
      <c r="D2" s="265"/>
      <c r="E2" s="265"/>
      <c r="F2" s="248">
        <f ca="1">TODAY()</f>
        <v>43183</v>
      </c>
    </row>
    <row r="3" spans="1:85" s="13" customFormat="1" ht="3.95" customHeight="1" x14ac:dyDescent="0.25">
      <c r="A3" s="230"/>
      <c r="B3" s="230"/>
      <c r="C3" s="231"/>
      <c r="D3" s="266"/>
      <c r="E3" s="266"/>
      <c r="F3" s="183"/>
      <c r="G3" s="183"/>
      <c r="H3" s="183"/>
      <c r="I3" s="183"/>
      <c r="J3" s="183"/>
      <c r="K3" s="183"/>
      <c r="L3" s="184"/>
      <c r="M3" s="184"/>
      <c r="N3" s="184"/>
      <c r="O3" s="184"/>
      <c r="P3" s="184"/>
      <c r="Q3" s="184"/>
      <c r="R3" s="184"/>
      <c r="S3" s="184"/>
      <c r="T3" s="184"/>
      <c r="U3" s="14"/>
      <c r="V3" s="1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</row>
    <row r="4" spans="1:85" ht="20.100000000000001" customHeight="1" x14ac:dyDescent="0.25">
      <c r="D4" s="99"/>
      <c r="E4" s="99"/>
      <c r="F4" s="280" t="s">
        <v>0</v>
      </c>
      <c r="G4" s="281" t="s">
        <v>618</v>
      </c>
      <c r="H4" s="282" t="s">
        <v>1</v>
      </c>
      <c r="I4" s="282" t="s">
        <v>2</v>
      </c>
      <c r="J4" s="282" t="s">
        <v>3</v>
      </c>
      <c r="K4" s="282" t="s">
        <v>4</v>
      </c>
      <c r="O4" s="1132" t="s">
        <v>620</v>
      </c>
      <c r="P4" s="1133"/>
      <c r="Q4" s="1133"/>
      <c r="R4" s="1133"/>
      <c r="S4" s="1134">
        <f>SUMIFS($F$21:$F$81,$D$21:$D$81,"dcn",$E$21:$E$81,"")</f>
        <v>619706.33999999985</v>
      </c>
      <c r="T4" s="1134"/>
      <c r="V4" s="301">
        <f>SUMIFS($F$21:$F$81,$D$21:$D$81,"di",$E$21:$E$81,"")</f>
        <v>453743.27</v>
      </c>
      <c r="W4" s="1121" t="s">
        <v>583</v>
      </c>
      <c r="X4" s="1122"/>
      <c r="Y4" s="1122"/>
      <c r="Z4" s="1122"/>
    </row>
    <row r="5" spans="1:85" s="13" customFormat="1" ht="3.95" customHeight="1" x14ac:dyDescent="0.25">
      <c r="A5" s="230"/>
      <c r="B5" s="230"/>
      <c r="C5" s="231"/>
      <c r="D5" s="266"/>
      <c r="E5" s="266"/>
      <c r="F5" s="183"/>
      <c r="G5" s="183"/>
      <c r="H5" s="183"/>
      <c r="I5" s="183"/>
      <c r="J5" s="183"/>
      <c r="K5" s="183"/>
      <c r="L5" s="184"/>
      <c r="M5" s="184"/>
      <c r="N5" s="184"/>
      <c r="O5" s="184"/>
      <c r="P5" s="184"/>
      <c r="Q5" s="184"/>
      <c r="R5" s="184"/>
      <c r="S5" s="184"/>
      <c r="T5" s="184"/>
      <c r="U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P5" s="184"/>
      <c r="AQ5" s="184"/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4"/>
      <c r="BQ5" s="184"/>
      <c r="BR5" s="184"/>
      <c r="BS5" s="184"/>
      <c r="BT5" s="184"/>
      <c r="BU5" s="184"/>
      <c r="BV5" s="184"/>
      <c r="BW5" s="184"/>
      <c r="BX5" s="184"/>
      <c r="BY5" s="184"/>
      <c r="BZ5" s="184"/>
      <c r="CA5" s="184"/>
      <c r="CB5" s="184"/>
      <c r="CC5" s="184"/>
      <c r="CD5" s="184"/>
      <c r="CE5" s="184"/>
      <c r="CF5" s="184"/>
      <c r="CG5" s="184"/>
    </row>
    <row r="6" spans="1:85" ht="18" customHeight="1" x14ac:dyDescent="0.25">
      <c r="A6" s="174"/>
      <c r="B6" s="174"/>
      <c r="C6" s="295" t="s">
        <v>617</v>
      </c>
      <c r="D6" s="27"/>
      <c r="E6" s="27"/>
      <c r="F6" s="290">
        <f>SUM(F21:F81)</f>
        <v>1954670.5700000003</v>
      </c>
      <c r="G6" s="292">
        <f>F6/F9</f>
        <v>0.6754229070769534</v>
      </c>
      <c r="H6" s="283">
        <f>SUM(H21:H81)</f>
        <v>1369633.9000000004</v>
      </c>
      <c r="I6" s="283">
        <f>SUM(I21:I81)</f>
        <v>187721.33000000005</v>
      </c>
      <c r="J6" s="283">
        <f>SUM(J21:J81)</f>
        <v>342680.50000000012</v>
      </c>
      <c r="K6" s="294">
        <f>J6/F6</f>
        <v>0.17531368469930975</v>
      </c>
      <c r="O6" s="1127" t="s">
        <v>531</v>
      </c>
      <c r="P6" s="1127"/>
      <c r="Q6" s="1127"/>
      <c r="R6" s="1127"/>
      <c r="S6" s="1138">
        <f>COUNTIFS($D$21:$D$81,"DCN",E21:E81,"")</f>
        <v>21</v>
      </c>
      <c r="T6" s="1138"/>
      <c r="U6" s="298"/>
      <c r="V6" s="96">
        <f>COUNTIFS($D$21:$D$81,"DI",F21:F81,"")</f>
        <v>1</v>
      </c>
      <c r="W6" s="1123" t="s">
        <v>531</v>
      </c>
      <c r="X6" s="1123"/>
      <c r="Y6" s="1123"/>
      <c r="Z6" s="1123"/>
      <c r="AA6" s="12"/>
      <c r="AB6" s="12"/>
    </row>
    <row r="7" spans="1:85" ht="18" customHeight="1" x14ac:dyDescent="0.25">
      <c r="A7" s="174"/>
      <c r="B7" s="174"/>
      <c r="C7" s="296" t="s">
        <v>261</v>
      </c>
      <c r="D7" s="27"/>
      <c r="E7" s="27"/>
      <c r="F7" s="284">
        <f>F9-F6</f>
        <v>939324.50999999978</v>
      </c>
      <c r="G7" s="289">
        <f>F7/F9</f>
        <v>0.32457709292304665</v>
      </c>
      <c r="H7" s="285">
        <f>H9-H6</f>
        <v>648779.45999999973</v>
      </c>
      <c r="I7" s="285">
        <f>I9-I6</f>
        <v>89099.189999999973</v>
      </c>
      <c r="J7" s="285">
        <f>J9-J6</f>
        <v>279006.69999999984</v>
      </c>
      <c r="K7" s="293">
        <f>J7/F7</f>
        <v>0.29702908529449518</v>
      </c>
      <c r="O7" s="1127" t="s">
        <v>619</v>
      </c>
      <c r="P7" s="1127"/>
      <c r="Q7" s="1127"/>
      <c r="R7" s="1127"/>
      <c r="S7" s="1139">
        <f>$S$4/$F$9</f>
        <v>0.21413524310483617</v>
      </c>
      <c r="T7" s="1139"/>
      <c r="U7" s="299"/>
      <c r="V7" s="94">
        <f>$V$4/$F$9</f>
        <v>0.15678785120809535</v>
      </c>
      <c r="W7" s="1123" t="s">
        <v>619</v>
      </c>
      <c r="X7" s="1123"/>
      <c r="Y7" s="1123"/>
      <c r="Z7" s="1123"/>
      <c r="AA7" s="12"/>
      <c r="AB7" s="12"/>
    </row>
    <row r="8" spans="1:85" s="13" customFormat="1" ht="3.95" customHeight="1" x14ac:dyDescent="0.25">
      <c r="A8" s="230"/>
      <c r="B8" s="230"/>
      <c r="C8" s="231"/>
      <c r="D8" s="266"/>
      <c r="E8" s="266"/>
      <c r="F8" s="183"/>
      <c r="G8" s="183"/>
      <c r="H8" s="183"/>
      <c r="I8" s="183"/>
      <c r="J8" s="183"/>
      <c r="K8" s="183"/>
      <c r="L8" s="184"/>
      <c r="M8" s="184"/>
      <c r="N8" s="184"/>
      <c r="V8" s="184"/>
      <c r="W8" s="184"/>
      <c r="X8" s="184"/>
      <c r="Y8" s="184"/>
      <c r="Z8" s="184"/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4"/>
      <c r="BY8" s="184"/>
      <c r="BZ8" s="184"/>
      <c r="CA8" s="184"/>
      <c r="CB8" s="184"/>
      <c r="CC8" s="184"/>
      <c r="CD8" s="184"/>
      <c r="CE8" s="184"/>
      <c r="CF8" s="184"/>
      <c r="CG8" s="184"/>
    </row>
    <row r="9" spans="1:85" ht="18" customHeight="1" x14ac:dyDescent="0.25">
      <c r="A9" s="174"/>
      <c r="B9" s="174"/>
      <c r="C9" s="297" t="s">
        <v>516</v>
      </c>
      <c r="D9" s="27"/>
      <c r="E9" s="27"/>
      <c r="F9" s="291">
        <f>2916921.08-22926</f>
        <v>2893995.08</v>
      </c>
      <c r="G9" s="286"/>
      <c r="H9" s="287">
        <v>2018413.36</v>
      </c>
      <c r="I9" s="287">
        <v>276820.52</v>
      </c>
      <c r="J9" s="287">
        <v>621687.19999999995</v>
      </c>
      <c r="K9" s="288">
        <f>J9/F9</f>
        <v>0.21481971558845911</v>
      </c>
      <c r="O9" s="1124" t="s">
        <v>621</v>
      </c>
      <c r="P9" s="1125"/>
      <c r="Q9" s="1125"/>
      <c r="R9" s="1126"/>
      <c r="S9" s="1128">
        <f>SUMIFS($F$21:$F$81,$D$21:$D$81,"AO",$E$21:$E$81,"")</f>
        <v>448723.79</v>
      </c>
      <c r="T9" s="1129"/>
      <c r="U9" s="300"/>
      <c r="V9" s="104">
        <f>SUMIFS($F$15:$F$30,$D$15:$D$30,"REG",$E$15:$E$30,"")+SUMIFS($F$39:$F$54,$D$39:$D$54,"REG",$E$39:$E$54,"")+SUMIFS($F$63:$F$67,$D$63:$D$67,"REG",$E$63:$E$67,"")</f>
        <v>165261.43</v>
      </c>
      <c r="W9" s="1136" t="s">
        <v>584</v>
      </c>
      <c r="X9" s="1137"/>
      <c r="Y9" s="1137"/>
      <c r="Z9" s="1137"/>
      <c r="AA9" s="1137"/>
      <c r="AB9" s="1137"/>
      <c r="AC9" s="98"/>
    </row>
    <row r="10" spans="1:85" s="13" customFormat="1" ht="3.95" customHeight="1" thickBot="1" x14ac:dyDescent="0.3">
      <c r="A10" s="230"/>
      <c r="B10" s="230"/>
      <c r="C10" s="231"/>
      <c r="D10" s="266"/>
      <c r="E10" s="266"/>
      <c r="F10" s="183"/>
      <c r="G10" s="183"/>
      <c r="H10" s="183"/>
      <c r="I10" s="183"/>
      <c r="J10" s="183"/>
      <c r="K10" s="183"/>
      <c r="L10" s="184"/>
      <c r="M10" s="184"/>
      <c r="N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/>
      <c r="CF10" s="184"/>
      <c r="CG10" s="184"/>
    </row>
    <row r="11" spans="1:85" s="83" customFormat="1" ht="18" customHeight="1" thickBot="1" x14ac:dyDescent="0.3">
      <c r="A11" s="228"/>
      <c r="B11" s="228"/>
      <c r="C11" s="302" t="s">
        <v>517</v>
      </c>
      <c r="D11" s="27"/>
      <c r="E11" s="27"/>
      <c r="F11" s="176" t="e">
        <f>#REF!+#REF!+#REF!+#REF!+#REF!+#REF!</f>
        <v>#REF!</v>
      </c>
      <c r="I11" s="124"/>
      <c r="J11" s="124"/>
      <c r="K11" s="124"/>
      <c r="L11" s="13"/>
      <c r="M11" s="227"/>
      <c r="N11" s="13"/>
      <c r="O11" s="1127" t="s">
        <v>531</v>
      </c>
      <c r="P11" s="1127"/>
      <c r="Q11" s="1127"/>
      <c r="R11" s="1127"/>
      <c r="S11" s="1130">
        <f>COUNTIFS($D$21:$D$81,"AO",$E$21:$E$81,"")</f>
        <v>16</v>
      </c>
      <c r="T11" s="1130"/>
      <c r="U11" s="298"/>
      <c r="V11" s="96">
        <f>COUNTIFS($D$21:$D$81,"REG",$E$21:$E$81,"")</f>
        <v>3</v>
      </c>
      <c r="W11" s="1123" t="s">
        <v>531</v>
      </c>
      <c r="X11" s="1123"/>
      <c r="Y11" s="1123"/>
      <c r="Z11" s="1123"/>
      <c r="AA11" s="12"/>
      <c r="AB11" s="12"/>
      <c r="AC11" s="12"/>
    </row>
    <row r="12" spans="1:85" s="83" customFormat="1" ht="18" customHeight="1" thickBot="1" x14ac:dyDescent="0.3">
      <c r="A12" s="228"/>
      <c r="B12" s="228"/>
      <c r="C12" s="303" t="s">
        <v>622</v>
      </c>
      <c r="D12" s="27"/>
      <c r="E12" s="27"/>
      <c r="F12" s="177" t="e">
        <f>60/F11</f>
        <v>#REF!</v>
      </c>
      <c r="I12" s="124"/>
      <c r="J12" s="124"/>
      <c r="K12" s="124"/>
      <c r="L12" s="13"/>
      <c r="M12" s="227"/>
      <c r="N12" s="13"/>
      <c r="O12" s="1127" t="s">
        <v>619</v>
      </c>
      <c r="P12" s="1127"/>
      <c r="Q12" s="1127"/>
      <c r="R12" s="1127"/>
      <c r="S12" s="1131">
        <f>$S$9/$F$9</f>
        <v>0.155053404582844</v>
      </c>
      <c r="T12" s="1131"/>
      <c r="U12" s="299"/>
      <c r="V12" s="94">
        <f>$V$9/$F$9</f>
        <v>5.7104945043652246E-2</v>
      </c>
      <c r="W12" s="1123" t="s">
        <v>586</v>
      </c>
      <c r="X12" s="1123"/>
      <c r="Y12" s="1123"/>
      <c r="Z12" s="1123"/>
      <c r="AA12" s="12"/>
      <c r="AB12" s="12"/>
      <c r="AC12" s="12"/>
    </row>
    <row r="13" spans="1:85" s="83" customFormat="1" x14ac:dyDescent="0.25">
      <c r="A13" s="175"/>
      <c r="B13" s="175"/>
      <c r="C13" s="225"/>
      <c r="D13" s="267"/>
      <c r="E13" s="267"/>
      <c r="F13" s="226"/>
      <c r="G13" s="276"/>
      <c r="H13" s="124"/>
      <c r="I13" s="124"/>
      <c r="J13" s="124"/>
      <c r="K13" s="124"/>
      <c r="L13" s="13"/>
      <c r="M13" s="227"/>
      <c r="N13" s="13"/>
      <c r="O13" s="227"/>
      <c r="P13" s="13"/>
      <c r="Q13" s="227"/>
      <c r="S13" s="13"/>
      <c r="U13" s="13"/>
      <c r="V13" s="227"/>
      <c r="W13" s="13"/>
    </row>
    <row r="14" spans="1:85" s="83" customFormat="1" ht="13.5" thickBot="1" x14ac:dyDescent="0.3">
      <c r="A14" s="175"/>
      <c r="B14" s="175"/>
      <c r="C14" s="225"/>
      <c r="D14" s="267"/>
      <c r="E14" s="267"/>
      <c r="F14" s="226"/>
      <c r="G14" s="276"/>
      <c r="H14" s="124"/>
      <c r="I14" s="124"/>
      <c r="J14" s="124"/>
      <c r="K14" s="124"/>
      <c r="L14" s="13"/>
      <c r="M14" s="227"/>
      <c r="N14" s="13"/>
      <c r="O14" s="227"/>
      <c r="P14" s="13"/>
      <c r="Q14" s="227"/>
      <c r="S14" s="13"/>
      <c r="U14" s="13"/>
      <c r="V14" s="227"/>
      <c r="W14" s="13"/>
    </row>
    <row r="15" spans="1:85" x14ac:dyDescent="0.25">
      <c r="C15" s="1135" t="s">
        <v>623</v>
      </c>
      <c r="D15" s="268"/>
      <c r="E15" s="268"/>
      <c r="F15" s="1142">
        <v>2016</v>
      </c>
      <c r="G15" s="1143"/>
      <c r="H15" s="1143"/>
      <c r="I15" s="1143"/>
      <c r="J15" s="1143"/>
      <c r="K15" s="1144"/>
      <c r="X15" s="229"/>
      <c r="Y15" s="113"/>
      <c r="Z15" s="1109" t="s">
        <v>40</v>
      </c>
      <c r="AA15" s="1110"/>
      <c r="AB15" s="1110"/>
      <c r="AC15" s="1110"/>
      <c r="AD15" s="1111"/>
      <c r="AE15" s="1109" t="s">
        <v>51</v>
      </c>
      <c r="AF15" s="1110"/>
      <c r="AG15" s="1110"/>
      <c r="AH15" s="1110"/>
      <c r="AI15" s="1111"/>
      <c r="AJ15" s="1109" t="s">
        <v>52</v>
      </c>
      <c r="AK15" s="1110"/>
      <c r="AL15" s="1110"/>
      <c r="AM15" s="1110"/>
      <c r="AN15" s="1111"/>
      <c r="AO15" s="1109" t="s">
        <v>30</v>
      </c>
      <c r="AP15" s="1110"/>
      <c r="AQ15" s="1110"/>
      <c r="AR15" s="1110"/>
      <c r="AS15" s="1111"/>
      <c r="AT15" s="1109" t="s">
        <v>53</v>
      </c>
      <c r="AU15" s="1110"/>
      <c r="AV15" s="1110"/>
      <c r="AW15" s="1110"/>
      <c r="AX15" s="1111"/>
      <c r="AY15" s="1109" t="s">
        <v>15</v>
      </c>
      <c r="AZ15" s="1110"/>
      <c r="BA15" s="1110"/>
      <c r="BB15" s="1110"/>
      <c r="BC15" s="1111"/>
      <c r="BD15" s="1109" t="s">
        <v>16</v>
      </c>
      <c r="BE15" s="1110"/>
      <c r="BF15" s="1110"/>
      <c r="BG15" s="1110"/>
      <c r="BH15" s="1111"/>
      <c r="BI15" s="1109" t="s">
        <v>17</v>
      </c>
      <c r="BJ15" s="1110"/>
      <c r="BK15" s="1110"/>
      <c r="BL15" s="1110"/>
      <c r="BM15" s="1110"/>
      <c r="BN15" s="1115" t="s">
        <v>18</v>
      </c>
      <c r="BO15" s="1116"/>
      <c r="BP15" s="1116"/>
      <c r="BQ15" s="1116"/>
      <c r="BR15" s="1116"/>
      <c r="BS15" s="1116" t="s">
        <v>19</v>
      </c>
      <c r="BT15" s="1116"/>
      <c r="BU15" s="1116"/>
      <c r="BV15" s="1116"/>
      <c r="BW15" s="1119"/>
      <c r="BX15" s="1103" t="s">
        <v>20</v>
      </c>
      <c r="BY15" s="1104"/>
      <c r="BZ15" s="1104"/>
      <c r="CA15" s="1104"/>
      <c r="CB15" s="1105"/>
      <c r="CC15" s="1103" t="s">
        <v>21</v>
      </c>
      <c r="CD15" s="1104"/>
      <c r="CE15" s="1104"/>
      <c r="CF15" s="1104"/>
      <c r="CG15" s="1105"/>
    </row>
    <row r="16" spans="1:85" ht="22.5" customHeight="1" thickBot="1" x14ac:dyDescent="0.3">
      <c r="C16" s="1135"/>
      <c r="D16" s="268"/>
      <c r="E16" s="268"/>
      <c r="F16" s="1145">
        <v>6</v>
      </c>
      <c r="G16" s="1146"/>
      <c r="H16" s="1146"/>
      <c r="I16" s="1146"/>
      <c r="J16" s="1146"/>
      <c r="K16" s="1147"/>
      <c r="X16" s="229"/>
      <c r="Y16" s="113"/>
      <c r="Z16" s="1112"/>
      <c r="AA16" s="1113"/>
      <c r="AB16" s="1113"/>
      <c r="AC16" s="1113"/>
      <c r="AD16" s="1114"/>
      <c r="AE16" s="1112"/>
      <c r="AF16" s="1113"/>
      <c r="AG16" s="1113"/>
      <c r="AH16" s="1113"/>
      <c r="AI16" s="1114"/>
      <c r="AJ16" s="1112"/>
      <c r="AK16" s="1113"/>
      <c r="AL16" s="1113"/>
      <c r="AM16" s="1113"/>
      <c r="AN16" s="1114"/>
      <c r="AO16" s="1112"/>
      <c r="AP16" s="1113"/>
      <c r="AQ16" s="1113"/>
      <c r="AR16" s="1113"/>
      <c r="AS16" s="1114"/>
      <c r="AT16" s="1112"/>
      <c r="AU16" s="1113"/>
      <c r="AV16" s="1113"/>
      <c r="AW16" s="1113"/>
      <c r="AX16" s="1114"/>
      <c r="AY16" s="1112"/>
      <c r="AZ16" s="1113"/>
      <c r="BA16" s="1113"/>
      <c r="BB16" s="1113"/>
      <c r="BC16" s="1114"/>
      <c r="BD16" s="1112"/>
      <c r="BE16" s="1113"/>
      <c r="BF16" s="1113"/>
      <c r="BG16" s="1113"/>
      <c r="BH16" s="1114"/>
      <c r="BI16" s="1112"/>
      <c r="BJ16" s="1113"/>
      <c r="BK16" s="1113"/>
      <c r="BL16" s="1113"/>
      <c r="BM16" s="1113"/>
      <c r="BN16" s="1117"/>
      <c r="BO16" s="1118"/>
      <c r="BP16" s="1118"/>
      <c r="BQ16" s="1118"/>
      <c r="BR16" s="1118"/>
      <c r="BS16" s="1118"/>
      <c r="BT16" s="1118"/>
      <c r="BU16" s="1118"/>
      <c r="BV16" s="1118"/>
      <c r="BW16" s="1120"/>
      <c r="BX16" s="1106"/>
      <c r="BY16" s="1107"/>
      <c r="BZ16" s="1107"/>
      <c r="CA16" s="1107"/>
      <c r="CB16" s="1108"/>
      <c r="CC16" s="1106"/>
      <c r="CD16" s="1107"/>
      <c r="CE16" s="1107"/>
      <c r="CF16" s="1107"/>
      <c r="CG16" s="1108"/>
    </row>
    <row r="17" spans="1:85" ht="30" customHeight="1" thickBot="1" x14ac:dyDescent="0.3">
      <c r="C17" s="1135"/>
      <c r="D17" s="78" t="s">
        <v>530</v>
      </c>
      <c r="E17" s="78" t="s">
        <v>529</v>
      </c>
      <c r="F17" s="114" t="s">
        <v>0</v>
      </c>
      <c r="G17" s="22" t="s">
        <v>615</v>
      </c>
      <c r="H17" s="110" t="s">
        <v>1</v>
      </c>
      <c r="I17" s="110" t="s">
        <v>2</v>
      </c>
      <c r="J17" s="110" t="s">
        <v>3</v>
      </c>
      <c r="K17" s="110" t="s">
        <v>4</v>
      </c>
      <c r="L17" s="148"/>
      <c r="M17" s="23" t="s">
        <v>31</v>
      </c>
      <c r="N17" s="148"/>
      <c r="O17" s="105" t="s">
        <v>522</v>
      </c>
      <c r="P17" s="148"/>
      <c r="Q17" s="1140" t="s">
        <v>588</v>
      </c>
      <c r="R17" s="1141"/>
      <c r="S17" s="148"/>
      <c r="T17" s="62" t="s">
        <v>593</v>
      </c>
      <c r="U17" s="148"/>
      <c r="V17" s="54" t="s">
        <v>23</v>
      </c>
      <c r="W17" s="148"/>
      <c r="X17" s="23" t="s">
        <v>25</v>
      </c>
      <c r="Y17" s="23" t="s">
        <v>26</v>
      </c>
      <c r="Z17" s="23" t="s">
        <v>22</v>
      </c>
      <c r="AA17" s="23" t="s">
        <v>23</v>
      </c>
      <c r="AB17" s="23" t="s">
        <v>24</v>
      </c>
      <c r="AC17" s="23" t="s">
        <v>25</v>
      </c>
      <c r="AD17" s="23" t="s">
        <v>26</v>
      </c>
      <c r="AE17" s="23" t="s">
        <v>22</v>
      </c>
      <c r="AF17" s="23" t="s">
        <v>23</v>
      </c>
      <c r="AG17" s="23" t="s">
        <v>24</v>
      </c>
      <c r="AH17" s="23" t="s">
        <v>25</v>
      </c>
      <c r="AI17" s="23" t="s">
        <v>26</v>
      </c>
      <c r="AJ17" s="23" t="s">
        <v>22</v>
      </c>
      <c r="AK17" s="23" t="s">
        <v>23</v>
      </c>
      <c r="AL17" s="23" t="s">
        <v>24</v>
      </c>
      <c r="AM17" s="23" t="s">
        <v>25</v>
      </c>
      <c r="AN17" s="23" t="s">
        <v>26</v>
      </c>
      <c r="AO17" s="23" t="s">
        <v>22</v>
      </c>
      <c r="AP17" s="23" t="s">
        <v>23</v>
      </c>
      <c r="AQ17" s="23" t="s">
        <v>24</v>
      </c>
      <c r="AR17" s="23" t="s">
        <v>25</v>
      </c>
      <c r="AS17" s="23" t="s">
        <v>26</v>
      </c>
      <c r="AT17" s="23" t="s">
        <v>22</v>
      </c>
      <c r="AU17" s="23" t="s">
        <v>23</v>
      </c>
      <c r="AV17" s="23" t="s">
        <v>24</v>
      </c>
      <c r="AW17" s="23" t="s">
        <v>25</v>
      </c>
      <c r="AX17" s="23" t="s">
        <v>26</v>
      </c>
      <c r="AY17" s="23" t="s">
        <v>22</v>
      </c>
      <c r="AZ17" s="23" t="s">
        <v>23</v>
      </c>
      <c r="BA17" s="23" t="s">
        <v>24</v>
      </c>
      <c r="BB17" s="23" t="s">
        <v>25</v>
      </c>
      <c r="BC17" s="23" t="s">
        <v>26</v>
      </c>
      <c r="BD17" s="23" t="s">
        <v>22</v>
      </c>
      <c r="BE17" s="23" t="s">
        <v>23</v>
      </c>
      <c r="BF17" s="23" t="s">
        <v>24</v>
      </c>
      <c r="BG17" s="23" t="s">
        <v>25</v>
      </c>
      <c r="BH17" s="23" t="s">
        <v>26</v>
      </c>
      <c r="BI17" s="23" t="s">
        <v>22</v>
      </c>
      <c r="BJ17" s="23" t="s">
        <v>23</v>
      </c>
      <c r="BK17" s="23" t="s">
        <v>24</v>
      </c>
      <c r="BL17" s="23" t="s">
        <v>25</v>
      </c>
      <c r="BM17" s="178" t="s">
        <v>26</v>
      </c>
      <c r="BN17" s="179" t="s">
        <v>22</v>
      </c>
      <c r="BO17" s="180" t="s">
        <v>23</v>
      </c>
      <c r="BP17" s="180" t="s">
        <v>24</v>
      </c>
      <c r="BQ17" s="180" t="s">
        <v>25</v>
      </c>
      <c r="BR17" s="180" t="s">
        <v>26</v>
      </c>
      <c r="BS17" s="180" t="s">
        <v>22</v>
      </c>
      <c r="BT17" s="180" t="s">
        <v>23</v>
      </c>
      <c r="BU17" s="180" t="s">
        <v>24</v>
      </c>
      <c r="BV17" s="180" t="s">
        <v>25</v>
      </c>
      <c r="BW17" s="180" t="s">
        <v>26</v>
      </c>
      <c r="BX17" s="181" t="s">
        <v>22</v>
      </c>
      <c r="BY17" s="181" t="s">
        <v>23</v>
      </c>
      <c r="BZ17" s="181" t="s">
        <v>24</v>
      </c>
      <c r="CA17" s="181" t="s">
        <v>25</v>
      </c>
      <c r="CB17" s="181" t="s">
        <v>26</v>
      </c>
      <c r="CC17" s="181" t="s">
        <v>22</v>
      </c>
      <c r="CD17" s="181" t="s">
        <v>23</v>
      </c>
      <c r="CE17" s="181" t="s">
        <v>24</v>
      </c>
      <c r="CF17" s="181" t="s">
        <v>25</v>
      </c>
      <c r="CG17" s="182" t="s">
        <v>26</v>
      </c>
    </row>
    <row r="18" spans="1:85" s="13" customFormat="1" ht="6" customHeight="1" x14ac:dyDescent="0.25">
      <c r="A18" s="230"/>
      <c r="B18" s="230"/>
      <c r="C18" s="231"/>
      <c r="D18" s="266"/>
      <c r="E18" s="266"/>
      <c r="F18" s="183"/>
      <c r="G18" s="183"/>
      <c r="H18" s="183"/>
      <c r="I18" s="183"/>
      <c r="J18" s="183"/>
      <c r="K18" s="183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4"/>
      <c r="BS18" s="184"/>
      <c r="BT18" s="184"/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</row>
    <row r="19" spans="1:85" s="83" customFormat="1" ht="22.5" customHeight="1" x14ac:dyDescent="0.25">
      <c r="A19" s="228"/>
      <c r="B19" s="228" t="s">
        <v>616</v>
      </c>
      <c r="C19" s="231"/>
      <c r="D19" s="266"/>
      <c r="E19" s="266"/>
      <c r="F19" s="183"/>
      <c r="G19" s="183"/>
      <c r="H19" s="183"/>
      <c r="I19" s="183"/>
      <c r="J19" s="183"/>
      <c r="K19" s="183"/>
      <c r="L19" s="184"/>
      <c r="M19" s="184"/>
      <c r="N19" s="184"/>
      <c r="O19" s="184"/>
      <c r="P19" s="184"/>
      <c r="Q19" s="89" t="s">
        <v>589</v>
      </c>
      <c r="R19" s="88" t="s">
        <v>554</v>
      </c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</row>
    <row r="20" spans="1:85" s="13" customFormat="1" ht="6" customHeight="1" thickBot="1" x14ac:dyDescent="0.3">
      <c r="A20" s="230"/>
      <c r="B20" s="230"/>
      <c r="C20" s="231"/>
      <c r="D20" s="266"/>
      <c r="E20" s="266"/>
      <c r="F20" s="183"/>
      <c r="G20" s="183"/>
      <c r="H20" s="183"/>
      <c r="I20" s="183"/>
      <c r="J20" s="183"/>
      <c r="K20" s="183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  <c r="AT20" s="184"/>
      <c r="AU20" s="184"/>
      <c r="AV20" s="184"/>
      <c r="AW20" s="184"/>
      <c r="AX20" s="184"/>
      <c r="AY20" s="184"/>
      <c r="AZ20" s="184"/>
      <c r="BA20" s="184"/>
      <c r="BB20" s="184"/>
      <c r="BC20" s="184"/>
      <c r="BD20" s="184"/>
      <c r="BE20" s="184"/>
      <c r="BF20" s="184"/>
      <c r="BG20" s="184"/>
      <c r="BH20" s="184"/>
      <c r="BI20" s="184"/>
      <c r="BJ20" s="184"/>
      <c r="BK20" s="184"/>
      <c r="BL20" s="184"/>
      <c r="BM20" s="184"/>
      <c r="BN20" s="184"/>
      <c r="BO20" s="184"/>
      <c r="BP20" s="184"/>
      <c r="BQ20" s="184"/>
      <c r="BR20" s="184"/>
      <c r="BS20" s="184"/>
      <c r="BT20" s="184"/>
      <c r="BU20" s="184"/>
      <c r="BV20" s="184"/>
      <c r="BW20" s="184"/>
      <c r="BX20" s="184"/>
      <c r="BY20" s="184"/>
      <c r="BZ20" s="184"/>
      <c r="CA20" s="184"/>
      <c r="CB20" s="184"/>
      <c r="CC20" s="184"/>
      <c r="CD20" s="184"/>
      <c r="CE20" s="184"/>
      <c r="CF20" s="184"/>
      <c r="CG20" s="184"/>
    </row>
    <row r="21" spans="1:85" ht="21" customHeight="1" x14ac:dyDescent="0.25">
      <c r="A21" s="224">
        <v>1</v>
      </c>
      <c r="B21" s="232" t="s">
        <v>599</v>
      </c>
      <c r="C21" s="115" t="s">
        <v>613</v>
      </c>
      <c r="D21" s="269" t="s">
        <v>580</v>
      </c>
      <c r="E21" s="269"/>
      <c r="F21" s="153">
        <v>278000</v>
      </c>
      <c r="G21" s="277">
        <f>F21/F6</f>
        <v>0.14222345405241352</v>
      </c>
      <c r="H21" s="153">
        <v>183087.37</v>
      </c>
      <c r="I21" s="153">
        <v>26301.13</v>
      </c>
      <c r="J21" s="154">
        <v>41805.859999999797</v>
      </c>
      <c r="K21" s="68">
        <f>J21/F21</f>
        <v>0.15038079136690574</v>
      </c>
      <c r="L21" s="213"/>
      <c r="M21" s="185">
        <v>42978</v>
      </c>
      <c r="N21" s="213"/>
      <c r="O21" s="63">
        <f t="shared" ref="O21:O52" ca="1" si="0">(T21-$F$2)/30.33</f>
        <v>-6.7589845037916261</v>
      </c>
      <c r="P21" s="213"/>
      <c r="Q21" s="185"/>
      <c r="R21" s="304"/>
      <c r="S21" s="213"/>
      <c r="T21" s="91">
        <f>IF(OR(Q21="",Q21="N"),M21,EDATE(M21,R21))</f>
        <v>42978</v>
      </c>
      <c r="U21" s="213"/>
      <c r="V21" s="186" t="s">
        <v>135</v>
      </c>
      <c r="W21" s="213"/>
      <c r="X21" s="186" t="s">
        <v>212</v>
      </c>
      <c r="Y21" s="186" t="s">
        <v>58</v>
      </c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 t="s">
        <v>57</v>
      </c>
      <c r="AP21" s="187" t="s">
        <v>9</v>
      </c>
      <c r="AQ21" s="187" t="s">
        <v>482</v>
      </c>
      <c r="AR21" s="187" t="s">
        <v>483</v>
      </c>
      <c r="AS21" s="187" t="s">
        <v>481</v>
      </c>
      <c r="AT21" s="187"/>
      <c r="AU21" s="187"/>
      <c r="AV21" s="187"/>
      <c r="AW21" s="187"/>
      <c r="AX21" s="187"/>
      <c r="AY21" s="187"/>
      <c r="AZ21" s="187"/>
      <c r="BA21" s="187"/>
      <c r="BB21" s="187"/>
      <c r="BC21" s="187"/>
      <c r="BD21" s="187"/>
      <c r="BE21" s="187"/>
      <c r="BF21" s="187"/>
      <c r="BG21" s="187"/>
      <c r="BH21" s="187"/>
      <c r="BI21" s="187"/>
      <c r="BJ21" s="187"/>
      <c r="BK21" s="187"/>
      <c r="BL21" s="187"/>
      <c r="BM21" s="187"/>
      <c r="BN21" s="187"/>
      <c r="BO21" s="187"/>
      <c r="BP21" s="187"/>
      <c r="BQ21" s="187"/>
      <c r="BR21" s="187"/>
      <c r="BS21" s="187"/>
      <c r="BT21" s="187"/>
      <c r="BU21" s="187"/>
      <c r="BV21" s="187"/>
      <c r="BW21" s="187"/>
      <c r="BX21" s="125"/>
      <c r="BY21" s="233"/>
      <c r="BZ21" s="233"/>
      <c r="CA21" s="188"/>
      <c r="CB21" s="188"/>
      <c r="CC21" s="188"/>
      <c r="CD21" s="188"/>
      <c r="CE21" s="188"/>
      <c r="CF21" s="188"/>
      <c r="CG21" s="189"/>
    </row>
    <row r="22" spans="1:85" ht="21" customHeight="1" x14ac:dyDescent="0.25">
      <c r="B22" s="232"/>
      <c r="C22" s="254" t="s">
        <v>614</v>
      </c>
      <c r="D22" s="270" t="s">
        <v>580</v>
      </c>
      <c r="E22" s="270"/>
      <c r="F22" s="255"/>
      <c r="G22" s="278">
        <f>F22/$F$6</f>
        <v>0</v>
      </c>
      <c r="H22" s="255"/>
      <c r="I22" s="255"/>
      <c r="J22" s="256"/>
      <c r="K22" s="257"/>
      <c r="L22" s="213"/>
      <c r="M22" s="258"/>
      <c r="N22" s="213"/>
      <c r="O22" s="64">
        <f t="shared" ca="1" si="0"/>
        <v>-1423.7718430596769</v>
      </c>
      <c r="P22" s="213"/>
      <c r="Q22" s="258"/>
      <c r="R22" s="305"/>
      <c r="S22" s="213"/>
      <c r="T22" s="92">
        <f t="shared" ref="T22:T81" si="1">IF(OR(Q22="",Q22="N"),M22,EDATE(M22,R22))</f>
        <v>0</v>
      </c>
      <c r="U22" s="213"/>
      <c r="V22" s="259"/>
      <c r="W22" s="213"/>
      <c r="X22" s="259"/>
      <c r="Y22" s="259"/>
      <c r="Z22" s="260"/>
      <c r="AA22" s="260"/>
      <c r="AB22" s="260"/>
      <c r="AC22" s="260"/>
      <c r="AD22" s="260"/>
      <c r="AE22" s="260"/>
      <c r="AF22" s="260"/>
      <c r="AG22" s="260"/>
      <c r="AH22" s="260"/>
      <c r="AI22" s="260"/>
      <c r="AJ22" s="260"/>
      <c r="AK22" s="260"/>
      <c r="AL22" s="260"/>
      <c r="AM22" s="260"/>
      <c r="AN22" s="260"/>
      <c r="AO22" s="260"/>
      <c r="AP22" s="260"/>
      <c r="AQ22" s="260"/>
      <c r="AR22" s="260"/>
      <c r="AS22" s="260"/>
      <c r="AT22" s="260"/>
      <c r="AU22" s="260"/>
      <c r="AV22" s="260"/>
      <c r="AW22" s="260"/>
      <c r="AX22" s="260"/>
      <c r="AY22" s="260"/>
      <c r="AZ22" s="260"/>
      <c r="BA22" s="260"/>
      <c r="BB22" s="260"/>
      <c r="BC22" s="260"/>
      <c r="BD22" s="260"/>
      <c r="BE22" s="260"/>
      <c r="BF22" s="260"/>
      <c r="BG22" s="260"/>
      <c r="BH22" s="260"/>
      <c r="BI22" s="260"/>
      <c r="BJ22" s="260"/>
      <c r="BK22" s="260"/>
      <c r="BL22" s="260"/>
      <c r="BM22" s="260"/>
      <c r="BN22" s="260"/>
      <c r="BO22" s="260"/>
      <c r="BP22" s="260"/>
      <c r="BQ22" s="260"/>
      <c r="BR22" s="260"/>
      <c r="BS22" s="260"/>
      <c r="BT22" s="260"/>
      <c r="BU22" s="260"/>
      <c r="BV22" s="260"/>
      <c r="BW22" s="260"/>
      <c r="BX22" s="261"/>
      <c r="BY22" s="262"/>
      <c r="BZ22" s="262"/>
      <c r="CA22" s="263"/>
      <c r="CB22" s="263"/>
      <c r="CC22" s="263"/>
      <c r="CD22" s="263"/>
      <c r="CE22" s="263"/>
      <c r="CF22" s="263"/>
      <c r="CG22" s="264"/>
    </row>
    <row r="23" spans="1:85" ht="21" customHeight="1" x14ac:dyDescent="0.25">
      <c r="A23" s="224">
        <v>2</v>
      </c>
      <c r="B23" s="232" t="s">
        <v>600</v>
      </c>
      <c r="C23" s="116" t="s">
        <v>215</v>
      </c>
      <c r="D23" s="271" t="s">
        <v>547</v>
      </c>
      <c r="E23" s="271"/>
      <c r="F23" s="157">
        <v>127266.2</v>
      </c>
      <c r="G23" s="278">
        <f t="shared" ref="G23:G81" si="2">F23/$F$6</f>
        <v>6.5108771755846298E-2</v>
      </c>
      <c r="H23" s="157">
        <v>79110.199999999895</v>
      </c>
      <c r="I23" s="157">
        <v>22157.360000000001</v>
      </c>
      <c r="J23" s="158">
        <v>25998.6400000002</v>
      </c>
      <c r="K23" s="69">
        <f>J23/F23</f>
        <v>0.20428550549949789</v>
      </c>
      <c r="L23" s="214"/>
      <c r="M23" s="126" t="s">
        <v>27</v>
      </c>
      <c r="N23" s="214"/>
      <c r="O23" s="64">
        <f t="shared" ca="1" si="0"/>
        <v>-14.770853939993406</v>
      </c>
      <c r="P23" s="214"/>
      <c r="Q23" s="126"/>
      <c r="R23" s="306"/>
      <c r="S23" s="214"/>
      <c r="T23" s="92" t="str">
        <f t="shared" si="1"/>
        <v>31/12/2016</v>
      </c>
      <c r="U23" s="214"/>
      <c r="V23" s="138" t="s">
        <v>552</v>
      </c>
      <c r="W23" s="214"/>
      <c r="X23" s="101"/>
      <c r="Y23" s="101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 t="s">
        <v>12</v>
      </c>
      <c r="AK23" s="127" t="s">
        <v>9</v>
      </c>
      <c r="AL23" s="127" t="s">
        <v>184</v>
      </c>
      <c r="AM23" s="127" t="s">
        <v>178</v>
      </c>
      <c r="AN23" s="127" t="s">
        <v>179</v>
      </c>
      <c r="AO23" s="127" t="s">
        <v>12</v>
      </c>
      <c r="AP23" s="127" t="s">
        <v>9</v>
      </c>
      <c r="AQ23" s="127" t="s">
        <v>184</v>
      </c>
      <c r="AR23" s="127" t="s">
        <v>178</v>
      </c>
      <c r="AS23" s="127" t="s">
        <v>179</v>
      </c>
      <c r="AT23" s="127" t="s">
        <v>12</v>
      </c>
      <c r="AU23" s="127" t="s">
        <v>9</v>
      </c>
      <c r="AV23" s="127" t="s">
        <v>184</v>
      </c>
      <c r="AW23" s="127" t="s">
        <v>178</v>
      </c>
      <c r="AX23" s="127" t="s">
        <v>179</v>
      </c>
      <c r="AY23" s="127" t="s">
        <v>12</v>
      </c>
      <c r="AZ23" s="127" t="s">
        <v>9</v>
      </c>
      <c r="BA23" s="127" t="s">
        <v>184</v>
      </c>
      <c r="BB23" s="127" t="s">
        <v>178</v>
      </c>
      <c r="BC23" s="127" t="s">
        <v>179</v>
      </c>
      <c r="BD23" s="127"/>
      <c r="BE23" s="127"/>
      <c r="BF23" s="127" t="s">
        <v>184</v>
      </c>
      <c r="BG23" s="127" t="s">
        <v>178</v>
      </c>
      <c r="BH23" s="127" t="s">
        <v>179</v>
      </c>
      <c r="BI23" s="128"/>
      <c r="BJ23" s="127"/>
      <c r="BK23" s="127"/>
      <c r="BL23" s="127"/>
      <c r="BM23" s="127"/>
      <c r="BN23" s="127" t="s">
        <v>12</v>
      </c>
      <c r="BO23" s="127" t="s">
        <v>184</v>
      </c>
      <c r="BP23" s="127" t="s">
        <v>178</v>
      </c>
      <c r="BQ23" s="127" t="s">
        <v>179</v>
      </c>
      <c r="BR23" s="127"/>
      <c r="BS23" s="127" t="s">
        <v>8</v>
      </c>
      <c r="BT23" s="127" t="s">
        <v>184</v>
      </c>
      <c r="BU23" s="128"/>
      <c r="BV23" s="127" t="s">
        <v>178</v>
      </c>
      <c r="BW23" s="127" t="s">
        <v>179</v>
      </c>
      <c r="BX23" s="127"/>
      <c r="BY23" s="102"/>
      <c r="BZ23" s="102"/>
      <c r="CA23" s="190"/>
      <c r="CB23" s="190"/>
      <c r="CC23" s="190"/>
      <c r="CD23" s="190"/>
      <c r="CE23" s="190"/>
      <c r="CF23" s="190"/>
      <c r="CG23" s="191"/>
    </row>
    <row r="24" spans="1:85" ht="21" customHeight="1" x14ac:dyDescent="0.25">
      <c r="A24" s="224">
        <v>3</v>
      </c>
      <c r="C24" s="116" t="s">
        <v>217</v>
      </c>
      <c r="D24" s="271" t="s">
        <v>521</v>
      </c>
      <c r="E24" s="271"/>
      <c r="F24" s="157">
        <v>105147.16</v>
      </c>
      <c r="G24" s="278">
        <f t="shared" si="2"/>
        <v>5.379277798202077E-2</v>
      </c>
      <c r="H24" s="157">
        <v>83382.499999999927</v>
      </c>
      <c r="I24" s="157">
        <v>10482.66</v>
      </c>
      <c r="J24" s="158">
        <v>11282.000000000071</v>
      </c>
      <c r="K24" s="69">
        <f t="shared" ref="K24:K81" si="3">J24/F24</f>
        <v>0.10729723941188778</v>
      </c>
      <c r="L24" s="215"/>
      <c r="M24" s="220" t="s">
        <v>29</v>
      </c>
      <c r="N24" s="215"/>
      <c r="O24" s="64">
        <f t="shared" ca="1" si="0"/>
        <v>-2.7365644576327068</v>
      </c>
      <c r="P24" s="215"/>
      <c r="Q24" s="220"/>
      <c r="R24" s="306"/>
      <c r="S24" s="215"/>
      <c r="T24" s="92" t="str">
        <f t="shared" si="1"/>
        <v>31/12/2017</v>
      </c>
      <c r="U24" s="215"/>
      <c r="V24" s="138"/>
      <c r="W24" s="215"/>
      <c r="X24" s="101"/>
      <c r="Y24" s="101"/>
      <c r="Z24" s="192" t="s">
        <v>10</v>
      </c>
      <c r="AA24" s="192" t="s">
        <v>9</v>
      </c>
      <c r="AB24" s="192" t="s">
        <v>91</v>
      </c>
      <c r="AC24" s="192" t="s">
        <v>90</v>
      </c>
      <c r="AD24" s="192" t="s">
        <v>26</v>
      </c>
      <c r="AE24" s="192" t="s">
        <v>12</v>
      </c>
      <c r="AF24" s="192" t="s">
        <v>9</v>
      </c>
      <c r="AG24" s="192" t="s">
        <v>64</v>
      </c>
      <c r="AH24" s="192" t="s">
        <v>92</v>
      </c>
      <c r="AI24" s="192" t="s">
        <v>95</v>
      </c>
      <c r="AJ24" s="192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92" t="s">
        <v>12</v>
      </c>
      <c r="AZ24" s="192" t="s">
        <v>9</v>
      </c>
      <c r="BA24" s="192" t="s">
        <v>274</v>
      </c>
      <c r="BB24" s="192" t="s">
        <v>278</v>
      </c>
      <c r="BC24" s="192" t="s">
        <v>279</v>
      </c>
      <c r="BD24" s="192" t="s">
        <v>10</v>
      </c>
      <c r="BE24" s="192" t="s">
        <v>9</v>
      </c>
      <c r="BF24" s="192" t="s">
        <v>274</v>
      </c>
      <c r="BG24" s="193" t="s">
        <v>294</v>
      </c>
      <c r="BH24" s="192" t="s">
        <v>293</v>
      </c>
      <c r="BI24" s="192" t="s">
        <v>12</v>
      </c>
      <c r="BJ24" s="192" t="s">
        <v>9</v>
      </c>
      <c r="BK24" s="192" t="s">
        <v>276</v>
      </c>
      <c r="BL24" s="192" t="s">
        <v>295</v>
      </c>
      <c r="BM24" s="192" t="s">
        <v>297</v>
      </c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02"/>
      <c r="BZ24" s="102"/>
      <c r="CA24" s="190"/>
      <c r="CB24" s="190"/>
      <c r="CC24" s="190"/>
      <c r="CD24" s="190"/>
      <c r="CE24" s="190"/>
      <c r="CF24" s="190"/>
      <c r="CG24" s="191"/>
    </row>
    <row r="25" spans="1:85" ht="21" customHeight="1" x14ac:dyDescent="0.25">
      <c r="A25" s="224">
        <v>4</v>
      </c>
      <c r="C25" s="116" t="s">
        <v>216</v>
      </c>
      <c r="D25" s="271" t="s">
        <v>521</v>
      </c>
      <c r="E25" s="271"/>
      <c r="F25" s="155">
        <v>82000</v>
      </c>
      <c r="G25" s="278">
        <f t="shared" si="2"/>
        <v>4.1950802993877372E-2</v>
      </c>
      <c r="H25" s="155">
        <v>85496.72</v>
      </c>
      <c r="I25" s="155">
        <v>228</v>
      </c>
      <c r="J25" s="156">
        <v>20405.79</v>
      </c>
      <c r="K25" s="69">
        <f t="shared" si="3"/>
        <v>0.24885109756097562</v>
      </c>
      <c r="L25" s="214"/>
      <c r="M25" s="126" t="s">
        <v>174</v>
      </c>
      <c r="N25" s="214"/>
      <c r="O25" s="64">
        <f t="shared" ca="1" si="0"/>
        <v>5.7368941641938678</v>
      </c>
      <c r="P25" s="214"/>
      <c r="Q25" s="126"/>
      <c r="R25" s="306"/>
      <c r="S25" s="214"/>
      <c r="T25" s="92" t="str">
        <f t="shared" si="1"/>
        <v>14/09/2018</v>
      </c>
      <c r="U25" s="214"/>
      <c r="V25" s="138"/>
      <c r="W25" s="214"/>
      <c r="X25" s="101"/>
      <c r="Y25" s="101"/>
      <c r="Z25" s="127" t="s">
        <v>14</v>
      </c>
      <c r="AA25" s="127" t="s">
        <v>9</v>
      </c>
      <c r="AB25" s="127" t="s">
        <v>182</v>
      </c>
      <c r="AC25" s="127" t="s">
        <v>183</v>
      </c>
      <c r="AD25" s="127"/>
      <c r="AE25" s="127"/>
      <c r="AF25" s="127"/>
      <c r="AG25" s="127"/>
      <c r="AH25" s="127"/>
      <c r="AI25" s="127"/>
      <c r="AJ25" s="127" t="s">
        <v>12</v>
      </c>
      <c r="AK25" s="127" t="s">
        <v>9</v>
      </c>
      <c r="AL25" s="127" t="s">
        <v>184</v>
      </c>
      <c r="AM25" s="127" t="s">
        <v>186</v>
      </c>
      <c r="AN25" s="127" t="s">
        <v>185</v>
      </c>
      <c r="AO25" s="127" t="s">
        <v>12</v>
      </c>
      <c r="AP25" s="127" t="s">
        <v>9</v>
      </c>
      <c r="AQ25" s="127" t="s">
        <v>184</v>
      </c>
      <c r="AR25" s="127" t="s">
        <v>186</v>
      </c>
      <c r="AS25" s="127" t="s">
        <v>208</v>
      </c>
      <c r="AT25" s="127" t="s">
        <v>12</v>
      </c>
      <c r="AU25" s="127" t="s">
        <v>9</v>
      </c>
      <c r="AV25" s="127" t="s">
        <v>184</v>
      </c>
      <c r="AW25" s="127" t="s">
        <v>186</v>
      </c>
      <c r="AX25" s="127" t="s">
        <v>208</v>
      </c>
      <c r="AY25" s="127" t="s">
        <v>12</v>
      </c>
      <c r="AZ25" s="127" t="s">
        <v>9</v>
      </c>
      <c r="BA25" s="127" t="s">
        <v>184</v>
      </c>
      <c r="BB25" s="127" t="s">
        <v>453</v>
      </c>
      <c r="BC25" s="127" t="s">
        <v>455</v>
      </c>
      <c r="BD25" s="127"/>
      <c r="BE25" s="127"/>
      <c r="BF25" s="127" t="s">
        <v>184</v>
      </c>
      <c r="BG25" s="127" t="s">
        <v>453</v>
      </c>
      <c r="BH25" s="127" t="s">
        <v>455</v>
      </c>
      <c r="BI25" s="128"/>
      <c r="BJ25" s="127"/>
      <c r="BK25" s="127"/>
      <c r="BL25" s="127"/>
      <c r="BM25" s="127"/>
      <c r="BN25" s="127" t="s">
        <v>12</v>
      </c>
      <c r="BO25" s="127" t="s">
        <v>184</v>
      </c>
      <c r="BP25" s="127" t="s">
        <v>186</v>
      </c>
      <c r="BQ25" s="127" t="s">
        <v>208</v>
      </c>
      <c r="BR25" s="127"/>
      <c r="BS25" s="127" t="s">
        <v>12</v>
      </c>
      <c r="BT25" s="127" t="s">
        <v>184</v>
      </c>
      <c r="BU25" s="128"/>
      <c r="BV25" s="127" t="s">
        <v>186</v>
      </c>
      <c r="BW25" s="127" t="s">
        <v>208</v>
      </c>
      <c r="BX25" s="127"/>
      <c r="BY25" s="194"/>
      <c r="BZ25" s="194"/>
      <c r="CA25" s="194"/>
      <c r="CB25" s="194"/>
      <c r="CC25" s="194"/>
      <c r="CD25" s="194"/>
      <c r="CE25" s="194"/>
      <c r="CF25" s="190"/>
      <c r="CG25" s="191"/>
    </row>
    <row r="26" spans="1:85" ht="21" customHeight="1" x14ac:dyDescent="0.25">
      <c r="A26" s="224">
        <v>5</v>
      </c>
      <c r="B26" s="232" t="s">
        <v>601</v>
      </c>
      <c r="C26" s="116" t="s">
        <v>221</v>
      </c>
      <c r="D26" s="271" t="s">
        <v>548</v>
      </c>
      <c r="E26" s="271"/>
      <c r="F26" s="155">
        <v>72137.48</v>
      </c>
      <c r="G26" s="278">
        <f t="shared" si="2"/>
        <v>3.6905185511643519E-2</v>
      </c>
      <c r="H26" s="155">
        <v>57634.010000000198</v>
      </c>
      <c r="I26" s="155">
        <v>6144.49</v>
      </c>
      <c r="J26" s="156">
        <v>8358.9799999998395</v>
      </c>
      <c r="K26" s="69">
        <f t="shared" si="3"/>
        <v>0.11587568625906866</v>
      </c>
      <c r="L26" s="216"/>
      <c r="M26" s="135" t="s">
        <v>29</v>
      </c>
      <c r="N26" s="216"/>
      <c r="O26" s="64">
        <f t="shared" ca="1" si="0"/>
        <v>-2.7365644576327068</v>
      </c>
      <c r="P26" s="216"/>
      <c r="Q26" s="135"/>
      <c r="R26" s="306"/>
      <c r="S26" s="216"/>
      <c r="T26" s="92" t="str">
        <f t="shared" si="1"/>
        <v>31/12/2017</v>
      </c>
      <c r="U26" s="216"/>
      <c r="V26" s="249" t="s">
        <v>135</v>
      </c>
      <c r="W26" s="216"/>
      <c r="X26" s="118" t="s">
        <v>136</v>
      </c>
      <c r="Y26" s="118" t="s">
        <v>149</v>
      </c>
      <c r="Z26" s="117" t="s">
        <v>10</v>
      </c>
      <c r="AA26" s="195" t="s">
        <v>11</v>
      </c>
      <c r="AB26" s="234">
        <v>42286</v>
      </c>
      <c r="AC26" s="196" t="s">
        <v>155</v>
      </c>
      <c r="AD26" s="196" t="s">
        <v>156</v>
      </c>
      <c r="AE26" s="117" t="s">
        <v>10</v>
      </c>
      <c r="AF26" s="195" t="s">
        <v>11</v>
      </c>
      <c r="AG26" s="234">
        <v>42325</v>
      </c>
      <c r="AH26" s="196" t="s">
        <v>155</v>
      </c>
      <c r="AI26" s="196" t="s">
        <v>156</v>
      </c>
      <c r="AJ26" s="195"/>
      <c r="AK26" s="195"/>
      <c r="AL26" s="195"/>
      <c r="AM26" s="195"/>
      <c r="AN26" s="195"/>
      <c r="AO26" s="195" t="s">
        <v>10</v>
      </c>
      <c r="AP26" s="195" t="s">
        <v>11</v>
      </c>
      <c r="AQ26" s="195" t="s">
        <v>332</v>
      </c>
      <c r="AR26" s="197" t="s">
        <v>356</v>
      </c>
      <c r="AS26" s="197" t="s">
        <v>358</v>
      </c>
      <c r="AT26" s="195" t="s">
        <v>10</v>
      </c>
      <c r="AU26" s="195" t="s">
        <v>11</v>
      </c>
      <c r="AV26" s="195" t="s">
        <v>400</v>
      </c>
      <c r="AW26" s="197" t="s">
        <v>356</v>
      </c>
      <c r="AX26" s="197" t="s">
        <v>358</v>
      </c>
      <c r="AY26" s="195" t="s">
        <v>10</v>
      </c>
      <c r="AZ26" s="195" t="s">
        <v>11</v>
      </c>
      <c r="BA26" s="195" t="s">
        <v>355</v>
      </c>
      <c r="BB26" s="197" t="s">
        <v>356</v>
      </c>
      <c r="BC26" s="197" t="s">
        <v>358</v>
      </c>
      <c r="BD26" s="195" t="s">
        <v>10</v>
      </c>
      <c r="BE26" s="195" t="s">
        <v>11</v>
      </c>
      <c r="BF26" s="195" t="s">
        <v>375</v>
      </c>
      <c r="BG26" s="197" t="s">
        <v>356</v>
      </c>
      <c r="BH26" s="197" t="s">
        <v>358</v>
      </c>
      <c r="BI26" s="195" t="s">
        <v>10</v>
      </c>
      <c r="BJ26" s="195" t="s">
        <v>11</v>
      </c>
      <c r="BK26" s="195" t="s">
        <v>416</v>
      </c>
      <c r="BL26" s="197" t="s">
        <v>417</v>
      </c>
      <c r="BM26" s="197" t="s">
        <v>418</v>
      </c>
      <c r="BN26" s="195" t="s">
        <v>10</v>
      </c>
      <c r="BO26" s="195" t="s">
        <v>11</v>
      </c>
      <c r="BP26" s="195" t="s">
        <v>435</v>
      </c>
      <c r="BQ26" s="197" t="s">
        <v>356</v>
      </c>
      <c r="BR26" s="197" t="s">
        <v>430</v>
      </c>
      <c r="BS26" s="195" t="s">
        <v>10</v>
      </c>
      <c r="BT26" s="195" t="s">
        <v>11</v>
      </c>
      <c r="BU26" s="195" t="s">
        <v>437</v>
      </c>
      <c r="BV26" s="197" t="s">
        <v>417</v>
      </c>
      <c r="BW26" s="197" t="s">
        <v>436</v>
      </c>
      <c r="BX26" s="195"/>
      <c r="BY26" s="194"/>
      <c r="BZ26" s="194"/>
      <c r="CA26" s="194"/>
      <c r="CB26" s="194"/>
      <c r="CC26" s="194"/>
      <c r="CD26" s="194"/>
      <c r="CE26" s="194"/>
      <c r="CF26" s="190"/>
      <c r="CG26" s="191"/>
    </row>
    <row r="27" spans="1:85" ht="21" customHeight="1" x14ac:dyDescent="0.25">
      <c r="A27" s="224">
        <v>6</v>
      </c>
      <c r="C27" s="116" t="s">
        <v>218</v>
      </c>
      <c r="D27" s="271" t="s">
        <v>521</v>
      </c>
      <c r="E27" s="271"/>
      <c r="F27" s="155">
        <v>70731.210000000006</v>
      </c>
      <c r="G27" s="278">
        <f t="shared" si="2"/>
        <v>3.6185744588153282E-2</v>
      </c>
      <c r="H27" s="155">
        <v>48729.470000000103</v>
      </c>
      <c r="I27" s="155">
        <v>5709.63</v>
      </c>
      <c r="J27" s="156">
        <v>16292.109999999901</v>
      </c>
      <c r="K27" s="69">
        <f t="shared" si="3"/>
        <v>0.23033834710306667</v>
      </c>
      <c r="L27" s="236"/>
      <c r="M27" s="235">
        <v>42735</v>
      </c>
      <c r="N27" s="236"/>
      <c r="O27" s="64">
        <f t="shared" ca="1" si="0"/>
        <v>-14.770853939993406</v>
      </c>
      <c r="P27" s="236"/>
      <c r="Q27" s="235"/>
      <c r="R27" s="306"/>
      <c r="S27" s="236"/>
      <c r="T27" s="92">
        <f t="shared" si="1"/>
        <v>42735</v>
      </c>
      <c r="U27" s="236"/>
      <c r="V27" s="250"/>
      <c r="W27" s="236"/>
      <c r="X27" s="198" t="s">
        <v>107</v>
      </c>
      <c r="Y27" s="198" t="s">
        <v>108</v>
      </c>
      <c r="Z27" s="199" t="s">
        <v>14</v>
      </c>
      <c r="AA27" s="199" t="s">
        <v>9</v>
      </c>
      <c r="AB27" s="199" t="s">
        <v>122</v>
      </c>
      <c r="AC27" s="199" t="s">
        <v>123</v>
      </c>
      <c r="AD27" s="199" t="s">
        <v>121</v>
      </c>
      <c r="AE27" s="199" t="s">
        <v>14</v>
      </c>
      <c r="AF27" s="199" t="s">
        <v>9</v>
      </c>
      <c r="AG27" s="199" t="s">
        <v>119</v>
      </c>
      <c r="AH27" s="199" t="s">
        <v>120</v>
      </c>
      <c r="AI27" s="199" t="s">
        <v>121</v>
      </c>
      <c r="AJ27" s="199"/>
      <c r="AK27" s="199"/>
      <c r="AL27" s="199"/>
      <c r="AM27" s="199"/>
      <c r="AN27" s="199"/>
      <c r="AO27" s="199" t="s">
        <v>14</v>
      </c>
      <c r="AP27" s="199" t="s">
        <v>9</v>
      </c>
      <c r="AQ27" s="199" t="s">
        <v>127</v>
      </c>
      <c r="AR27" s="199" t="s">
        <v>120</v>
      </c>
      <c r="AS27" s="199" t="s">
        <v>134</v>
      </c>
      <c r="AT27" s="199" t="s">
        <v>14</v>
      </c>
      <c r="AU27" s="199" t="s">
        <v>9</v>
      </c>
      <c r="AV27" s="199" t="s">
        <v>321</v>
      </c>
      <c r="AW27" s="199" t="s">
        <v>322</v>
      </c>
      <c r="AX27" s="199" t="s">
        <v>134</v>
      </c>
      <c r="AY27" s="199"/>
      <c r="AZ27" s="199"/>
      <c r="BA27" s="199" t="s">
        <v>336</v>
      </c>
      <c r="BB27" s="199"/>
      <c r="BC27" s="199"/>
      <c r="BD27" s="199"/>
      <c r="BE27" s="199"/>
      <c r="BF27" s="199" t="s">
        <v>336</v>
      </c>
      <c r="BG27" s="199"/>
      <c r="BH27" s="199"/>
      <c r="BI27" s="199" t="s">
        <v>14</v>
      </c>
      <c r="BJ27" s="199" t="s">
        <v>9</v>
      </c>
      <c r="BK27" s="199" t="s">
        <v>333</v>
      </c>
      <c r="BL27" s="199" t="s">
        <v>335</v>
      </c>
      <c r="BM27" s="199" t="s">
        <v>334</v>
      </c>
      <c r="BN27" s="199" t="s">
        <v>14</v>
      </c>
      <c r="BO27" s="199" t="s">
        <v>9</v>
      </c>
      <c r="BP27" s="199" t="s">
        <v>78</v>
      </c>
      <c r="BQ27" s="199" t="s">
        <v>339</v>
      </c>
      <c r="BR27" s="199" t="s">
        <v>340</v>
      </c>
      <c r="BS27" s="199"/>
      <c r="BT27" s="199"/>
      <c r="BU27" s="199"/>
      <c r="BV27" s="199"/>
      <c r="BW27" s="199"/>
      <c r="BX27" s="199" t="s">
        <v>14</v>
      </c>
      <c r="BY27" s="102"/>
      <c r="BZ27" s="102"/>
      <c r="CA27" s="190"/>
      <c r="CB27" s="190"/>
      <c r="CC27" s="190"/>
      <c r="CD27" s="190"/>
      <c r="CE27" s="190"/>
      <c r="CF27" s="190"/>
      <c r="CG27" s="191"/>
    </row>
    <row r="28" spans="1:85" ht="21" customHeight="1" x14ac:dyDescent="0.25">
      <c r="A28" s="224">
        <v>7</v>
      </c>
      <c r="B28" s="232" t="s">
        <v>602</v>
      </c>
      <c r="C28" s="131" t="s">
        <v>515</v>
      </c>
      <c r="D28" s="272"/>
      <c r="E28" s="272"/>
      <c r="F28" s="238">
        <v>55026</v>
      </c>
      <c r="G28" s="278">
        <f t="shared" si="2"/>
        <v>2.8151035189525563E-2</v>
      </c>
      <c r="H28" s="238">
        <v>41384.049999999901</v>
      </c>
      <c r="I28" s="238">
        <v>2140.83</v>
      </c>
      <c r="J28" s="238">
        <v>11501.54000000005</v>
      </c>
      <c r="K28" s="69">
        <f t="shared" si="3"/>
        <v>0.20902009958928597</v>
      </c>
      <c r="L28" s="215"/>
      <c r="M28" s="220"/>
      <c r="N28" s="215"/>
      <c r="O28" s="64">
        <f t="shared" ca="1" si="0"/>
        <v>-1423.7718430596769</v>
      </c>
      <c r="P28" s="215"/>
      <c r="Q28" s="220"/>
      <c r="R28" s="306"/>
      <c r="S28" s="215"/>
      <c r="T28" s="92">
        <f t="shared" si="1"/>
        <v>0</v>
      </c>
      <c r="U28" s="215"/>
      <c r="V28" s="138"/>
      <c r="W28" s="215"/>
      <c r="X28" s="101"/>
      <c r="Y28" s="101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92"/>
      <c r="AZ28" s="192"/>
      <c r="BA28" s="192"/>
      <c r="BB28" s="192"/>
      <c r="BC28" s="192"/>
      <c r="BD28" s="192"/>
      <c r="BE28" s="192"/>
      <c r="BF28" s="192"/>
      <c r="BG28" s="193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02"/>
      <c r="BZ28" s="102"/>
      <c r="CA28" s="190"/>
      <c r="CB28" s="190"/>
      <c r="CC28" s="190"/>
      <c r="CD28" s="190"/>
      <c r="CE28" s="190"/>
      <c r="CF28" s="190"/>
      <c r="CG28" s="191"/>
    </row>
    <row r="29" spans="1:85" ht="21" customHeight="1" x14ac:dyDescent="0.25">
      <c r="A29" s="224">
        <v>8</v>
      </c>
      <c r="B29" s="232" t="s">
        <v>602</v>
      </c>
      <c r="C29" s="116" t="s">
        <v>222</v>
      </c>
      <c r="D29" s="271"/>
      <c r="E29" s="271"/>
      <c r="F29" s="157">
        <v>51103.69</v>
      </c>
      <c r="G29" s="278">
        <f t="shared" si="2"/>
        <v>2.6144400383538796E-2</v>
      </c>
      <c r="H29" s="157">
        <v>41341.78</v>
      </c>
      <c r="I29" s="157">
        <v>7881.94</v>
      </c>
      <c r="J29" s="158">
        <v>1879.97000000002</v>
      </c>
      <c r="K29" s="69">
        <f t="shared" si="3"/>
        <v>3.6787363104308517E-2</v>
      </c>
      <c r="L29" s="217"/>
      <c r="M29" s="221" t="s">
        <v>604</v>
      </c>
      <c r="N29" s="217"/>
      <c r="O29" s="64">
        <f t="shared" ca="1" si="0"/>
        <v>-13.748763600395648</v>
      </c>
      <c r="P29" s="217"/>
      <c r="Q29" s="221"/>
      <c r="R29" s="306"/>
      <c r="S29" s="217"/>
      <c r="T29" s="92" t="str">
        <f t="shared" si="1"/>
        <v>31/01/2017</v>
      </c>
      <c r="U29" s="217"/>
      <c r="V29" s="251" t="s">
        <v>135</v>
      </c>
      <c r="W29" s="217"/>
      <c r="X29" s="200" t="s">
        <v>62</v>
      </c>
      <c r="Y29" s="200" t="s">
        <v>63</v>
      </c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92" t="s">
        <v>12</v>
      </c>
      <c r="AK29" s="192" t="s">
        <v>9</v>
      </c>
      <c r="AL29" s="192" t="s">
        <v>93</v>
      </c>
      <c r="AM29" s="192" t="s">
        <v>98</v>
      </c>
      <c r="AN29" s="192" t="s">
        <v>99</v>
      </c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92" t="s">
        <v>12</v>
      </c>
      <c r="AZ29" s="192" t="s">
        <v>11</v>
      </c>
      <c r="BA29" s="192" t="s">
        <v>267</v>
      </c>
      <c r="BB29" s="192" t="s">
        <v>298</v>
      </c>
      <c r="BC29" s="192" t="s">
        <v>280</v>
      </c>
      <c r="BD29" s="192" t="s">
        <v>12</v>
      </c>
      <c r="BE29" s="192" t="s">
        <v>11</v>
      </c>
      <c r="BF29" s="192" t="s">
        <v>302</v>
      </c>
      <c r="BG29" s="192" t="s">
        <v>301</v>
      </c>
      <c r="BH29" s="192" t="s">
        <v>300</v>
      </c>
      <c r="BI29" s="192"/>
      <c r="BJ29" s="192"/>
      <c r="BK29" s="192"/>
      <c r="BL29" s="192"/>
      <c r="BM29" s="192"/>
      <c r="BN29" s="192" t="s">
        <v>57</v>
      </c>
      <c r="BO29" s="192" t="s">
        <v>11</v>
      </c>
      <c r="BP29" s="192" t="s">
        <v>104</v>
      </c>
      <c r="BQ29" s="192" t="s">
        <v>314</v>
      </c>
      <c r="BR29" s="192" t="s">
        <v>313</v>
      </c>
      <c r="BS29" s="192" t="s">
        <v>12</v>
      </c>
      <c r="BT29" s="192" t="s">
        <v>11</v>
      </c>
      <c r="BU29" s="192" t="s">
        <v>302</v>
      </c>
      <c r="BV29" s="192" t="s">
        <v>317</v>
      </c>
      <c r="BW29" s="192" t="s">
        <v>318</v>
      </c>
      <c r="BX29" s="192"/>
      <c r="BY29" s="102"/>
      <c r="BZ29" s="102"/>
      <c r="CA29" s="190"/>
      <c r="CB29" s="190"/>
      <c r="CC29" s="190"/>
      <c r="CD29" s="190"/>
      <c r="CE29" s="190"/>
      <c r="CF29" s="190"/>
      <c r="CG29" s="191"/>
    </row>
    <row r="30" spans="1:85" ht="21" customHeight="1" x14ac:dyDescent="0.25">
      <c r="A30" s="224">
        <v>9</v>
      </c>
      <c r="C30" s="116" t="s">
        <v>220</v>
      </c>
      <c r="D30" s="271" t="s">
        <v>521</v>
      </c>
      <c r="E30" s="271"/>
      <c r="F30" s="155">
        <v>48700</v>
      </c>
      <c r="G30" s="278">
        <f t="shared" si="2"/>
        <v>2.4914684217095463E-2</v>
      </c>
      <c r="H30" s="155">
        <v>29639.449999999899</v>
      </c>
      <c r="I30" s="155">
        <v>9475.89</v>
      </c>
      <c r="J30" s="156">
        <v>3736.6600000000499</v>
      </c>
      <c r="K30" s="69">
        <f t="shared" si="3"/>
        <v>7.6728131416838805E-2</v>
      </c>
      <c r="L30" s="239"/>
      <c r="M30" s="137">
        <v>42886</v>
      </c>
      <c r="N30" s="239"/>
      <c r="O30" s="64">
        <f t="shared" ca="1" si="0"/>
        <v>-9.7922848664688438</v>
      </c>
      <c r="P30" s="239"/>
      <c r="Q30" s="137"/>
      <c r="R30" s="306"/>
      <c r="S30" s="239"/>
      <c r="T30" s="92">
        <f t="shared" si="1"/>
        <v>42886</v>
      </c>
      <c r="U30" s="239"/>
      <c r="V30" s="138"/>
      <c r="W30" s="239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2"/>
      <c r="BW30" s="102"/>
      <c r="BX30" s="102"/>
      <c r="BY30" s="102"/>
      <c r="BZ30" s="102"/>
      <c r="CA30" s="190"/>
      <c r="CB30" s="190"/>
      <c r="CC30" s="190"/>
      <c r="CD30" s="190"/>
      <c r="CE30" s="190"/>
      <c r="CF30" s="190"/>
      <c r="CG30" s="191"/>
    </row>
    <row r="31" spans="1:85" ht="21" customHeight="1" x14ac:dyDescent="0.25">
      <c r="A31" s="224">
        <v>10</v>
      </c>
      <c r="C31" s="116" t="s">
        <v>224</v>
      </c>
      <c r="D31" s="271" t="s">
        <v>548</v>
      </c>
      <c r="E31" s="271"/>
      <c r="F31" s="157">
        <v>47363.12</v>
      </c>
      <c r="G31" s="278">
        <f t="shared" si="2"/>
        <v>2.4230742881650894E-2</v>
      </c>
      <c r="H31" s="157">
        <v>28326.84</v>
      </c>
      <c r="I31" s="157">
        <v>1550.16</v>
      </c>
      <c r="J31" s="158">
        <v>17486.12</v>
      </c>
      <c r="K31" s="69">
        <f t="shared" si="3"/>
        <v>0.36919273899185689</v>
      </c>
      <c r="L31" s="216"/>
      <c r="M31" s="135" t="s">
        <v>27</v>
      </c>
      <c r="N31" s="216"/>
      <c r="O31" s="64">
        <f t="shared" ca="1" si="0"/>
        <v>-14.770853939993406</v>
      </c>
      <c r="P31" s="216"/>
      <c r="Q31" s="135"/>
      <c r="R31" s="306"/>
      <c r="S31" s="216"/>
      <c r="T31" s="92" t="str">
        <f t="shared" si="1"/>
        <v>31/12/2016</v>
      </c>
      <c r="U31" s="216"/>
      <c r="V31" s="249" t="s">
        <v>135</v>
      </c>
      <c r="W31" s="216"/>
      <c r="X31" s="118" t="s">
        <v>150</v>
      </c>
      <c r="Y31" s="118" t="s">
        <v>151</v>
      </c>
      <c r="Z31" s="117" t="s">
        <v>10</v>
      </c>
      <c r="AA31" s="195" t="s">
        <v>9</v>
      </c>
      <c r="AB31" s="234">
        <v>42285</v>
      </c>
      <c r="AC31" s="196" t="s">
        <v>158</v>
      </c>
      <c r="AD31" s="196" t="s">
        <v>157</v>
      </c>
      <c r="AE31" s="117" t="s">
        <v>10</v>
      </c>
      <c r="AF31" s="195" t="s">
        <v>9</v>
      </c>
      <c r="AG31" s="234">
        <v>40863</v>
      </c>
      <c r="AH31" s="196" t="s">
        <v>167</v>
      </c>
      <c r="AI31" s="196" t="s">
        <v>166</v>
      </c>
      <c r="AJ31" s="195"/>
      <c r="AK31" s="195"/>
      <c r="AL31" s="195"/>
      <c r="AM31" s="195"/>
      <c r="AN31" s="195"/>
      <c r="AO31" s="195" t="s">
        <v>10</v>
      </c>
      <c r="AP31" s="195" t="s">
        <v>11</v>
      </c>
      <c r="AQ31" s="195" t="s">
        <v>387</v>
      </c>
      <c r="AR31" s="197" t="s">
        <v>388</v>
      </c>
      <c r="AS31" s="197" t="s">
        <v>386</v>
      </c>
      <c r="AT31" s="195" t="s">
        <v>10</v>
      </c>
      <c r="AU31" s="195" t="s">
        <v>11</v>
      </c>
      <c r="AV31" s="195" t="s">
        <v>405</v>
      </c>
      <c r="AW31" s="197" t="s">
        <v>137</v>
      </c>
      <c r="AX31" s="197" t="s">
        <v>406</v>
      </c>
      <c r="AY31" s="195" t="s">
        <v>10</v>
      </c>
      <c r="AZ31" s="195" t="s">
        <v>11</v>
      </c>
      <c r="BA31" s="195" t="s">
        <v>357</v>
      </c>
      <c r="BB31" s="195" t="s">
        <v>145</v>
      </c>
      <c r="BC31" s="195" t="s">
        <v>359</v>
      </c>
      <c r="BD31" s="195" t="s">
        <v>10</v>
      </c>
      <c r="BE31" s="195" t="s">
        <v>11</v>
      </c>
      <c r="BF31" s="195" t="s">
        <v>376</v>
      </c>
      <c r="BG31" s="197" t="s">
        <v>137</v>
      </c>
      <c r="BH31" s="197" t="s">
        <v>377</v>
      </c>
      <c r="BI31" s="195" t="s">
        <v>10</v>
      </c>
      <c r="BJ31" s="195" t="s">
        <v>11</v>
      </c>
      <c r="BK31" s="195" t="s">
        <v>415</v>
      </c>
      <c r="BL31" s="197" t="s">
        <v>147</v>
      </c>
      <c r="BM31" s="197" t="s">
        <v>411</v>
      </c>
      <c r="BN31" s="195" t="s">
        <v>10</v>
      </c>
      <c r="BO31" s="195" t="s">
        <v>11</v>
      </c>
      <c r="BP31" s="195" t="s">
        <v>434</v>
      </c>
      <c r="BQ31" s="197" t="s">
        <v>356</v>
      </c>
      <c r="BR31" s="197" t="s">
        <v>411</v>
      </c>
      <c r="BS31" s="195" t="s">
        <v>10</v>
      </c>
      <c r="BT31" s="195" t="s">
        <v>11</v>
      </c>
      <c r="BU31" s="195" t="s">
        <v>438</v>
      </c>
      <c r="BV31" s="197" t="s">
        <v>431</v>
      </c>
      <c r="BW31" s="197" t="s">
        <v>432</v>
      </c>
      <c r="BX31" s="195"/>
      <c r="BY31" s="102"/>
      <c r="BZ31" s="102"/>
      <c r="CA31" s="190"/>
      <c r="CB31" s="190"/>
      <c r="CC31" s="190"/>
      <c r="CD31" s="190"/>
      <c r="CE31" s="190"/>
      <c r="CF31" s="190"/>
      <c r="CG31" s="191"/>
    </row>
    <row r="32" spans="1:85" ht="21" customHeight="1" x14ac:dyDescent="0.25">
      <c r="A32" s="224">
        <v>11</v>
      </c>
      <c r="B32" s="232" t="s">
        <v>603</v>
      </c>
      <c r="C32" s="131" t="s">
        <v>227</v>
      </c>
      <c r="D32" s="272" t="s">
        <v>548</v>
      </c>
      <c r="E32" s="274" t="s">
        <v>527</v>
      </c>
      <c r="F32" s="159">
        <v>41085.760000000002</v>
      </c>
      <c r="G32" s="278">
        <f t="shared" si="2"/>
        <v>2.1019275897728382E-2</v>
      </c>
      <c r="H32" s="155">
        <v>36471.910000000003</v>
      </c>
      <c r="I32" s="155">
        <v>1820.97</v>
      </c>
      <c r="J32" s="156">
        <v>2792.8800000000401</v>
      </c>
      <c r="K32" s="69">
        <f t="shared" si="3"/>
        <v>6.7976836743437144E-2</v>
      </c>
      <c r="L32" s="218"/>
      <c r="M32" s="222" t="s">
        <v>32</v>
      </c>
      <c r="N32" s="218"/>
      <c r="O32" s="64">
        <f t="shared" ca="1" si="0"/>
        <v>-11.803494889548302</v>
      </c>
      <c r="P32" s="218"/>
      <c r="Q32" s="222"/>
      <c r="R32" s="306"/>
      <c r="S32" s="218"/>
      <c r="T32" s="92" t="str">
        <f t="shared" si="1"/>
        <v>31/03/2017</v>
      </c>
      <c r="U32" s="218"/>
      <c r="V32" s="222" t="s">
        <v>519</v>
      </c>
      <c r="W32" s="218"/>
      <c r="X32" s="190" t="s">
        <v>34</v>
      </c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101"/>
      <c r="AY32" s="194" t="s">
        <v>12</v>
      </c>
      <c r="AZ32" s="194" t="s">
        <v>9</v>
      </c>
      <c r="BA32" s="194" t="s">
        <v>276</v>
      </c>
      <c r="BB32" s="194" t="s">
        <v>496</v>
      </c>
      <c r="BC32" s="194" t="s">
        <v>491</v>
      </c>
      <c r="BD32" s="194" t="s">
        <v>12</v>
      </c>
      <c r="BE32" s="194" t="s">
        <v>9</v>
      </c>
      <c r="BF32" s="194" t="s">
        <v>504</v>
      </c>
      <c r="BG32" s="194" t="s">
        <v>494</v>
      </c>
      <c r="BH32" s="194" t="s">
        <v>491</v>
      </c>
      <c r="BI32" s="194"/>
      <c r="BJ32" s="194"/>
      <c r="BK32" s="194"/>
      <c r="BL32" s="194"/>
      <c r="BM32" s="194"/>
      <c r="BN32" s="194"/>
      <c r="BO32" s="194"/>
      <c r="BP32" s="194"/>
      <c r="BQ32" s="194"/>
      <c r="BR32" s="194"/>
      <c r="BS32" s="194"/>
      <c r="BT32" s="194"/>
      <c r="BU32" s="194"/>
      <c r="BV32" s="194"/>
      <c r="BW32" s="102"/>
      <c r="BX32" s="102"/>
      <c r="BY32" s="194"/>
      <c r="BZ32" s="194"/>
      <c r="CA32" s="194"/>
      <c r="CB32" s="194"/>
      <c r="CC32" s="194"/>
      <c r="CD32" s="194"/>
      <c r="CE32" s="194"/>
      <c r="CF32" s="194"/>
      <c r="CG32" s="191"/>
    </row>
    <row r="33" spans="1:85" ht="21" customHeight="1" x14ac:dyDescent="0.25">
      <c r="A33" s="224">
        <v>12</v>
      </c>
      <c r="B33" s="232" t="s">
        <v>603</v>
      </c>
      <c r="C33" s="131" t="s">
        <v>511</v>
      </c>
      <c r="D33" s="272" t="s">
        <v>521</v>
      </c>
      <c r="E33" s="272"/>
      <c r="F33" s="159">
        <v>38000</v>
      </c>
      <c r="G33" s="278">
        <f t="shared" si="2"/>
        <v>1.9440616021552927E-2</v>
      </c>
      <c r="H33" s="155"/>
      <c r="I33" s="155"/>
      <c r="J33" s="156"/>
      <c r="K33" s="69">
        <f t="shared" si="3"/>
        <v>0</v>
      </c>
      <c r="L33" s="219"/>
      <c r="M33" s="223" t="s">
        <v>604</v>
      </c>
      <c r="N33" s="219"/>
      <c r="O33" s="64">
        <f t="shared" ca="1" si="0"/>
        <v>-13.748763600395648</v>
      </c>
      <c r="P33" s="219"/>
      <c r="Q33" s="223"/>
      <c r="R33" s="306"/>
      <c r="S33" s="219"/>
      <c r="T33" s="92" t="str">
        <f t="shared" si="1"/>
        <v>31/01/2017</v>
      </c>
      <c r="U33" s="219"/>
      <c r="V33" s="223" t="s">
        <v>551</v>
      </c>
      <c r="W33" s="219"/>
      <c r="X33" s="201"/>
      <c r="Y33" s="190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1"/>
      <c r="AV33" s="101"/>
      <c r="AW33" s="101"/>
      <c r="AX33" s="101"/>
      <c r="AY33" s="194"/>
      <c r="AZ33" s="194"/>
      <c r="BA33" s="194"/>
      <c r="BB33" s="194"/>
      <c r="BC33" s="194"/>
      <c r="BD33" s="194"/>
      <c r="BE33" s="194"/>
      <c r="BF33" s="194"/>
      <c r="BG33" s="194"/>
      <c r="BH33" s="194"/>
      <c r="BI33" s="194"/>
      <c r="BJ33" s="194"/>
      <c r="BK33" s="194"/>
      <c r="BL33" s="194"/>
      <c r="BM33" s="194"/>
      <c r="BN33" s="194"/>
      <c r="BO33" s="194"/>
      <c r="BP33" s="194"/>
      <c r="BQ33" s="194"/>
      <c r="BR33" s="194"/>
      <c r="BS33" s="194"/>
      <c r="BT33" s="194"/>
      <c r="BU33" s="194"/>
      <c r="BV33" s="194"/>
      <c r="BW33" s="194"/>
      <c r="BX33" s="194"/>
      <c r="BY33" s="102"/>
      <c r="BZ33" s="102"/>
      <c r="CA33" s="190"/>
      <c r="CB33" s="190"/>
      <c r="CC33" s="190"/>
      <c r="CD33" s="190"/>
      <c r="CE33" s="190"/>
      <c r="CF33" s="190"/>
      <c r="CG33" s="191"/>
    </row>
    <row r="34" spans="1:85" ht="21" customHeight="1" x14ac:dyDescent="0.25">
      <c r="A34" s="224">
        <v>13</v>
      </c>
      <c r="B34" s="232" t="s">
        <v>601</v>
      </c>
      <c r="C34" s="116" t="s">
        <v>5</v>
      </c>
      <c r="D34" s="271" t="s">
        <v>548</v>
      </c>
      <c r="E34" s="271"/>
      <c r="F34" s="157">
        <v>37069.83</v>
      </c>
      <c r="G34" s="278">
        <f t="shared" si="2"/>
        <v>1.8964745553006406E-2</v>
      </c>
      <c r="H34" s="157">
        <v>26495.459999999901</v>
      </c>
      <c r="I34" s="157">
        <v>567.29</v>
      </c>
      <c r="J34" s="158">
        <v>10007.0800000001</v>
      </c>
      <c r="K34" s="69">
        <f t="shared" si="3"/>
        <v>0.26995214167424292</v>
      </c>
      <c r="L34" s="216"/>
      <c r="M34" s="135" t="s">
        <v>605</v>
      </c>
      <c r="N34" s="216"/>
      <c r="O34" s="64">
        <f t="shared" ca="1" si="0"/>
        <v>-13.715792944279592</v>
      </c>
      <c r="P34" s="216"/>
      <c r="Q34" s="135"/>
      <c r="R34" s="306"/>
      <c r="S34" s="216"/>
      <c r="T34" s="92" t="str">
        <f t="shared" si="1"/>
        <v>01/02/2017</v>
      </c>
      <c r="U34" s="216"/>
      <c r="V34" s="249" t="s">
        <v>135</v>
      </c>
      <c r="W34" s="216"/>
      <c r="X34" s="119" t="s">
        <v>139</v>
      </c>
      <c r="Y34" s="118" t="s">
        <v>152</v>
      </c>
      <c r="Z34" s="117" t="s">
        <v>10</v>
      </c>
      <c r="AA34" s="195" t="s">
        <v>9</v>
      </c>
      <c r="AB34" s="234">
        <v>42283</v>
      </c>
      <c r="AC34" s="196" t="s">
        <v>164</v>
      </c>
      <c r="AD34" s="117" t="s">
        <v>140</v>
      </c>
      <c r="AE34" s="117" t="s">
        <v>10</v>
      </c>
      <c r="AF34" s="195" t="s">
        <v>9</v>
      </c>
      <c r="AG34" s="234">
        <v>42327</v>
      </c>
      <c r="AH34" s="196" t="s">
        <v>169</v>
      </c>
      <c r="AI34" s="117" t="s">
        <v>140</v>
      </c>
      <c r="AJ34" s="195"/>
      <c r="AK34" s="195"/>
      <c r="AL34" s="195"/>
      <c r="AM34" s="195"/>
      <c r="AN34" s="195"/>
      <c r="AO34" s="195" t="s">
        <v>10</v>
      </c>
      <c r="AP34" s="195" t="s">
        <v>9</v>
      </c>
      <c r="AQ34" s="195" t="s">
        <v>332</v>
      </c>
      <c r="AR34" s="197" t="s">
        <v>353</v>
      </c>
      <c r="AS34" s="195" t="s">
        <v>389</v>
      </c>
      <c r="AT34" s="195" t="s">
        <v>10</v>
      </c>
      <c r="AU34" s="195" t="s">
        <v>9</v>
      </c>
      <c r="AV34" s="195" t="s">
        <v>407</v>
      </c>
      <c r="AW34" s="195" t="s">
        <v>137</v>
      </c>
      <c r="AX34" s="195" t="s">
        <v>361</v>
      </c>
      <c r="AY34" s="195" t="s">
        <v>10</v>
      </c>
      <c r="AZ34" s="195" t="s">
        <v>9</v>
      </c>
      <c r="BA34" s="195" t="s">
        <v>360</v>
      </c>
      <c r="BB34" s="195" t="s">
        <v>137</v>
      </c>
      <c r="BC34" s="195" t="s">
        <v>361</v>
      </c>
      <c r="BD34" s="195" t="s">
        <v>10</v>
      </c>
      <c r="BE34" s="195" t="s">
        <v>9</v>
      </c>
      <c r="BF34" s="195" t="s">
        <v>378</v>
      </c>
      <c r="BG34" s="195" t="s">
        <v>137</v>
      </c>
      <c r="BH34" s="195" t="s">
        <v>361</v>
      </c>
      <c r="BI34" s="195" t="s">
        <v>10</v>
      </c>
      <c r="BJ34" s="195" t="s">
        <v>9</v>
      </c>
      <c r="BK34" s="195" t="s">
        <v>412</v>
      </c>
      <c r="BL34" s="195" t="s">
        <v>137</v>
      </c>
      <c r="BM34" s="195" t="s">
        <v>413</v>
      </c>
      <c r="BN34" s="195" t="s">
        <v>10</v>
      </c>
      <c r="BO34" s="195" t="s">
        <v>9</v>
      </c>
      <c r="BP34" s="195" t="s">
        <v>433</v>
      </c>
      <c r="BQ34" s="195" t="s">
        <v>137</v>
      </c>
      <c r="BR34" s="197" t="s">
        <v>428</v>
      </c>
      <c r="BS34" s="195" t="s">
        <v>10</v>
      </c>
      <c r="BT34" s="195" t="s">
        <v>9</v>
      </c>
      <c r="BU34" s="195" t="s">
        <v>439</v>
      </c>
      <c r="BV34" s="195" t="s">
        <v>137</v>
      </c>
      <c r="BW34" s="195" t="s">
        <v>413</v>
      </c>
      <c r="BX34" s="195"/>
      <c r="BY34" s="194"/>
      <c r="BZ34" s="102"/>
      <c r="CA34" s="190"/>
      <c r="CB34" s="190"/>
      <c r="CC34" s="190"/>
      <c r="CD34" s="190"/>
      <c r="CE34" s="190"/>
      <c r="CF34" s="190"/>
      <c r="CG34" s="191"/>
    </row>
    <row r="35" spans="1:85" ht="21" customHeight="1" x14ac:dyDescent="0.25">
      <c r="A35" s="224">
        <v>14</v>
      </c>
      <c r="C35" s="116" t="s">
        <v>225</v>
      </c>
      <c r="D35" s="271" t="s">
        <v>548</v>
      </c>
      <c r="E35" s="271"/>
      <c r="F35" s="155">
        <v>35610.239999999998</v>
      </c>
      <c r="G35" s="278">
        <f t="shared" si="2"/>
        <v>1.8218026375666972E-2</v>
      </c>
      <c r="H35" s="155">
        <v>24491.200000000001</v>
      </c>
      <c r="I35" s="155">
        <v>2844.51</v>
      </c>
      <c r="J35" s="156">
        <v>8274.5299999999897</v>
      </c>
      <c r="K35" s="69">
        <f t="shared" si="3"/>
        <v>0.23236378075519823</v>
      </c>
      <c r="L35" s="216"/>
      <c r="M35" s="135" t="s">
        <v>29</v>
      </c>
      <c r="N35" s="216"/>
      <c r="O35" s="64">
        <f t="shared" ca="1" si="0"/>
        <v>-2.7365644576327068</v>
      </c>
      <c r="P35" s="216"/>
      <c r="Q35" s="135"/>
      <c r="R35" s="306"/>
      <c r="S35" s="216"/>
      <c r="T35" s="92" t="str">
        <f t="shared" si="1"/>
        <v>31/12/2017</v>
      </c>
      <c r="U35" s="216"/>
      <c r="V35" s="249" t="s">
        <v>135</v>
      </c>
      <c r="W35" s="216"/>
      <c r="X35" s="119" t="s">
        <v>137</v>
      </c>
      <c r="Y35" s="119" t="s">
        <v>138</v>
      </c>
      <c r="Z35" s="117" t="s">
        <v>10</v>
      </c>
      <c r="AA35" s="195" t="s">
        <v>9</v>
      </c>
      <c r="AB35" s="234">
        <v>42298</v>
      </c>
      <c r="AC35" s="196" t="s">
        <v>155</v>
      </c>
      <c r="AD35" s="117" t="s">
        <v>159</v>
      </c>
      <c r="AE35" s="117" t="s">
        <v>10</v>
      </c>
      <c r="AF35" s="195" t="s">
        <v>9</v>
      </c>
      <c r="AG35" s="234">
        <v>42313</v>
      </c>
      <c r="AH35" s="196" t="s">
        <v>168</v>
      </c>
      <c r="AI35" s="117" t="s">
        <v>159</v>
      </c>
      <c r="AJ35" s="195"/>
      <c r="AK35" s="195"/>
      <c r="AL35" s="195"/>
      <c r="AM35" s="195"/>
      <c r="AN35" s="195"/>
      <c r="AO35" s="195" t="s">
        <v>10</v>
      </c>
      <c r="AP35" s="195" t="s">
        <v>9</v>
      </c>
      <c r="AQ35" s="195" t="s">
        <v>390</v>
      </c>
      <c r="AR35" s="197" t="s">
        <v>353</v>
      </c>
      <c r="AS35" s="197" t="s">
        <v>391</v>
      </c>
      <c r="AT35" s="195" t="s">
        <v>10</v>
      </c>
      <c r="AU35" s="195" t="s">
        <v>9</v>
      </c>
      <c r="AV35" s="195" t="s">
        <v>408</v>
      </c>
      <c r="AW35" s="197" t="s">
        <v>353</v>
      </c>
      <c r="AX35" s="195" t="s">
        <v>362</v>
      </c>
      <c r="AY35" s="195" t="s">
        <v>10</v>
      </c>
      <c r="AZ35" s="195" t="s">
        <v>9</v>
      </c>
      <c r="BA35" s="195"/>
      <c r="BB35" s="195" t="s">
        <v>139</v>
      </c>
      <c r="BC35" s="195" t="s">
        <v>362</v>
      </c>
      <c r="BD35" s="195" t="s">
        <v>10</v>
      </c>
      <c r="BE35" s="195" t="s">
        <v>9</v>
      </c>
      <c r="BF35" s="195" t="s">
        <v>379</v>
      </c>
      <c r="BG35" s="195" t="s">
        <v>139</v>
      </c>
      <c r="BH35" s="195" t="s">
        <v>362</v>
      </c>
      <c r="BI35" s="195" t="s">
        <v>10</v>
      </c>
      <c r="BJ35" s="195" t="s">
        <v>9</v>
      </c>
      <c r="BK35" s="195" t="s">
        <v>425</v>
      </c>
      <c r="BL35" s="195" t="s">
        <v>139</v>
      </c>
      <c r="BM35" s="195" t="s">
        <v>362</v>
      </c>
      <c r="BN35" s="195" t="s">
        <v>10</v>
      </c>
      <c r="BO35" s="195" t="s">
        <v>9</v>
      </c>
      <c r="BP35" s="195" t="s">
        <v>426</v>
      </c>
      <c r="BQ35" s="197" t="s">
        <v>427</v>
      </c>
      <c r="BR35" s="195" t="s">
        <v>362</v>
      </c>
      <c r="BS35" s="195" t="s">
        <v>10</v>
      </c>
      <c r="BT35" s="195" t="s">
        <v>9</v>
      </c>
      <c r="BU35" s="195"/>
      <c r="BV35" s="195" t="s">
        <v>139</v>
      </c>
      <c r="BW35" s="195" t="s">
        <v>362</v>
      </c>
      <c r="BX35" s="101"/>
      <c r="BY35" s="102"/>
      <c r="BZ35" s="102"/>
      <c r="CA35" s="190"/>
      <c r="CB35" s="190"/>
      <c r="CC35" s="190"/>
      <c r="CD35" s="190"/>
      <c r="CE35" s="190"/>
      <c r="CF35" s="190"/>
      <c r="CG35" s="191"/>
    </row>
    <row r="36" spans="1:85" ht="21" customHeight="1" x14ac:dyDescent="0.25">
      <c r="A36" s="224">
        <v>15</v>
      </c>
      <c r="C36" s="116" t="s">
        <v>232</v>
      </c>
      <c r="D36" s="271"/>
      <c r="E36" s="271"/>
      <c r="F36" s="157">
        <v>34874.54</v>
      </c>
      <c r="G36" s="278">
        <f t="shared" si="2"/>
        <v>1.784164581758654E-2</v>
      </c>
      <c r="H36" s="157">
        <v>26526.720000000001</v>
      </c>
      <c r="I36" s="157">
        <v>4386.59</v>
      </c>
      <c r="J36" s="158">
        <v>3961.23000000003</v>
      </c>
      <c r="K36" s="69">
        <f t="shared" si="3"/>
        <v>0.11358515409809075</v>
      </c>
      <c r="L36" s="217"/>
      <c r="M36" s="221" t="s">
        <v>29</v>
      </c>
      <c r="N36" s="217"/>
      <c r="O36" s="64">
        <f t="shared" ca="1" si="0"/>
        <v>-2.7365644576327068</v>
      </c>
      <c r="P36" s="217"/>
      <c r="Q36" s="221"/>
      <c r="R36" s="306"/>
      <c r="S36" s="217"/>
      <c r="T36" s="92" t="str">
        <f t="shared" si="1"/>
        <v>31/12/2017</v>
      </c>
      <c r="U36" s="217"/>
      <c r="V36" s="251" t="s">
        <v>135</v>
      </c>
      <c r="W36" s="217"/>
      <c r="X36" s="200" t="s">
        <v>65</v>
      </c>
      <c r="Y36" s="200" t="s">
        <v>66</v>
      </c>
      <c r="Z36" s="192" t="s">
        <v>12</v>
      </c>
      <c r="AA36" s="192" t="s">
        <v>11</v>
      </c>
      <c r="AB36" s="192"/>
      <c r="AC36" s="192" t="s">
        <v>85</v>
      </c>
      <c r="AD36" s="192" t="s">
        <v>82</v>
      </c>
      <c r="AE36" s="192"/>
      <c r="AF36" s="192"/>
      <c r="AG36" s="192"/>
      <c r="AH36" s="192"/>
      <c r="AI36" s="192"/>
      <c r="AJ36" s="192"/>
      <c r="AK36" s="192"/>
      <c r="AL36" s="192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1"/>
      <c r="AY36" s="192"/>
      <c r="AZ36" s="192"/>
      <c r="BA36" s="192"/>
      <c r="BB36" s="192"/>
      <c r="BC36" s="192"/>
      <c r="BD36" s="192" t="s">
        <v>10</v>
      </c>
      <c r="BE36" s="192" t="s">
        <v>13</v>
      </c>
      <c r="BF36" s="192" t="s">
        <v>182</v>
      </c>
      <c r="BG36" s="192" t="s">
        <v>286</v>
      </c>
      <c r="BH36" s="192" t="s">
        <v>291</v>
      </c>
      <c r="BI36" s="192" t="s">
        <v>12</v>
      </c>
      <c r="BJ36" s="192" t="s">
        <v>13</v>
      </c>
      <c r="BK36" s="192" t="s">
        <v>265</v>
      </c>
      <c r="BL36" s="192" t="s">
        <v>286</v>
      </c>
      <c r="BM36" s="192" t="s">
        <v>291</v>
      </c>
      <c r="BN36" s="192" t="s">
        <v>12</v>
      </c>
      <c r="BO36" s="192" t="s">
        <v>9</v>
      </c>
      <c r="BP36" s="192" t="s">
        <v>273</v>
      </c>
      <c r="BQ36" s="192" t="s">
        <v>309</v>
      </c>
      <c r="BR36" s="192" t="s">
        <v>310</v>
      </c>
      <c r="BS36" s="192" t="s">
        <v>12</v>
      </c>
      <c r="BT36" s="192" t="s">
        <v>11</v>
      </c>
      <c r="BU36" s="192" t="s">
        <v>271</v>
      </c>
      <c r="BV36" s="192" t="s">
        <v>309</v>
      </c>
      <c r="BW36" s="192" t="s">
        <v>316</v>
      </c>
      <c r="BX36" s="192"/>
      <c r="BY36" s="101"/>
      <c r="BZ36" s="101"/>
      <c r="CA36" s="101"/>
      <c r="CB36" s="101"/>
      <c r="CC36" s="101"/>
      <c r="CD36" s="101"/>
      <c r="CE36" s="101"/>
      <c r="CF36" s="101"/>
      <c r="CG36" s="120"/>
    </row>
    <row r="37" spans="1:85" ht="21" customHeight="1" x14ac:dyDescent="0.25">
      <c r="A37" s="224">
        <v>16</v>
      </c>
      <c r="C37" s="116" t="s">
        <v>230</v>
      </c>
      <c r="D37" s="271" t="s">
        <v>580</v>
      </c>
      <c r="E37" s="271"/>
      <c r="F37" s="155">
        <v>34659.39</v>
      </c>
      <c r="G37" s="278">
        <f t="shared" si="2"/>
        <v>1.7731576119243454E-2</v>
      </c>
      <c r="H37" s="155">
        <v>25696.63</v>
      </c>
      <c r="I37" s="155">
        <v>1419.95</v>
      </c>
      <c r="J37" s="156">
        <v>7542.8100000000404</v>
      </c>
      <c r="K37" s="69">
        <f t="shared" si="3"/>
        <v>0.21762673838172111</v>
      </c>
      <c r="L37" s="213"/>
      <c r="M37" s="202">
        <v>42886</v>
      </c>
      <c r="N37" s="213"/>
      <c r="O37" s="64">
        <f t="shared" ca="1" si="0"/>
        <v>-9.7922848664688438</v>
      </c>
      <c r="P37" s="213"/>
      <c r="Q37" s="202"/>
      <c r="R37" s="306"/>
      <c r="S37" s="213"/>
      <c r="T37" s="92">
        <f t="shared" si="1"/>
        <v>42886</v>
      </c>
      <c r="U37" s="213"/>
      <c r="V37" s="203" t="s">
        <v>135</v>
      </c>
      <c r="W37" s="213"/>
      <c r="X37" s="203" t="s">
        <v>213</v>
      </c>
      <c r="Y37" s="203" t="s">
        <v>58</v>
      </c>
      <c r="Z37" s="204"/>
      <c r="AA37" s="204"/>
      <c r="AB37" s="204"/>
      <c r="AC37" s="204"/>
      <c r="AD37" s="204"/>
      <c r="AE37" s="204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  <c r="BI37" s="204"/>
      <c r="BJ37" s="204"/>
      <c r="BK37" s="204"/>
      <c r="BL37" s="204"/>
      <c r="BM37" s="204"/>
      <c r="BN37" s="204"/>
      <c r="BO37" s="204"/>
      <c r="BP37" s="204"/>
      <c r="BQ37" s="204"/>
      <c r="BR37" s="204"/>
      <c r="BS37" s="204"/>
      <c r="BT37" s="204"/>
      <c r="BU37" s="204"/>
      <c r="BV37" s="204"/>
      <c r="BW37" s="204"/>
      <c r="BX37" s="204"/>
      <c r="BY37" s="204"/>
      <c r="BZ37" s="204"/>
      <c r="CA37" s="204"/>
      <c r="CB37" s="204"/>
      <c r="CC37" s="204"/>
      <c r="CD37" s="204"/>
      <c r="CE37" s="204"/>
      <c r="CF37" s="204"/>
      <c r="CG37" s="205"/>
    </row>
    <row r="38" spans="1:85" ht="21" customHeight="1" x14ac:dyDescent="0.25">
      <c r="A38" s="224">
        <v>17</v>
      </c>
      <c r="C38" s="116" t="s">
        <v>234</v>
      </c>
      <c r="D38" s="271" t="s">
        <v>548</v>
      </c>
      <c r="E38" s="271"/>
      <c r="F38" s="155">
        <v>31017.37</v>
      </c>
      <c r="G38" s="278">
        <f t="shared" si="2"/>
        <v>1.5868336320221978E-2</v>
      </c>
      <c r="H38" s="155">
        <v>28625.25</v>
      </c>
      <c r="I38" s="155">
        <v>1328.44</v>
      </c>
      <c r="J38" s="156">
        <v>1063.6800000000401</v>
      </c>
      <c r="K38" s="69">
        <f t="shared" si="3"/>
        <v>3.4293042898222513E-2</v>
      </c>
      <c r="L38" s="214"/>
      <c r="M38" s="126" t="s">
        <v>27</v>
      </c>
      <c r="N38" s="214"/>
      <c r="O38" s="64">
        <f t="shared" ca="1" si="0"/>
        <v>-14.770853939993406</v>
      </c>
      <c r="P38" s="214"/>
      <c r="Q38" s="126"/>
      <c r="R38" s="306"/>
      <c r="S38" s="214"/>
      <c r="T38" s="92" t="str">
        <f t="shared" si="1"/>
        <v>31/12/2016</v>
      </c>
      <c r="U38" s="214"/>
      <c r="V38" s="138"/>
      <c r="W38" s="214"/>
      <c r="X38" s="101"/>
      <c r="Y38" s="101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 t="s">
        <v>12</v>
      </c>
      <c r="AK38" s="127" t="s">
        <v>9</v>
      </c>
      <c r="AL38" s="127" t="s">
        <v>184</v>
      </c>
      <c r="AM38" s="127" t="s">
        <v>188</v>
      </c>
      <c r="AN38" s="127" t="s">
        <v>187</v>
      </c>
      <c r="AO38" s="127" t="s">
        <v>12</v>
      </c>
      <c r="AP38" s="127" t="s">
        <v>9</v>
      </c>
      <c r="AQ38" s="127" t="s">
        <v>184</v>
      </c>
      <c r="AR38" s="127" t="s">
        <v>188</v>
      </c>
      <c r="AS38" s="127" t="s">
        <v>187</v>
      </c>
      <c r="AT38" s="127" t="s">
        <v>12</v>
      </c>
      <c r="AU38" s="127" t="s">
        <v>9</v>
      </c>
      <c r="AV38" s="127" t="s">
        <v>184</v>
      </c>
      <c r="AW38" s="127" t="s">
        <v>188</v>
      </c>
      <c r="AX38" s="127" t="s">
        <v>187</v>
      </c>
      <c r="AY38" s="127" t="s">
        <v>12</v>
      </c>
      <c r="AZ38" s="127" t="s">
        <v>9</v>
      </c>
      <c r="BA38" s="127" t="s">
        <v>184</v>
      </c>
      <c r="BB38" s="127" t="s">
        <v>188</v>
      </c>
      <c r="BC38" s="127" t="s">
        <v>187</v>
      </c>
      <c r="BD38" s="127"/>
      <c r="BE38" s="127"/>
      <c r="BF38" s="127" t="s">
        <v>184</v>
      </c>
      <c r="BG38" s="127" t="s">
        <v>188</v>
      </c>
      <c r="BH38" s="127" t="s">
        <v>187</v>
      </c>
      <c r="BI38" s="128"/>
      <c r="BJ38" s="127"/>
      <c r="BK38" s="127"/>
      <c r="BL38" s="127"/>
      <c r="BM38" s="127"/>
      <c r="BN38" s="127" t="s">
        <v>12</v>
      </c>
      <c r="BO38" s="127" t="s">
        <v>184</v>
      </c>
      <c r="BP38" s="127" t="s">
        <v>188</v>
      </c>
      <c r="BQ38" s="127" t="s">
        <v>187</v>
      </c>
      <c r="BR38" s="127"/>
      <c r="BS38" s="127" t="s">
        <v>12</v>
      </c>
      <c r="BT38" s="127" t="s">
        <v>184</v>
      </c>
      <c r="BU38" s="128"/>
      <c r="BV38" s="127" t="s">
        <v>188</v>
      </c>
      <c r="BW38" s="127" t="s">
        <v>187</v>
      </c>
      <c r="BX38" s="127"/>
      <c r="BY38" s="101"/>
      <c r="BZ38" s="101"/>
      <c r="CA38" s="101"/>
      <c r="CB38" s="101"/>
      <c r="CC38" s="101"/>
      <c r="CD38" s="101"/>
      <c r="CE38" s="101"/>
      <c r="CF38" s="101"/>
      <c r="CG38" s="120"/>
    </row>
    <row r="39" spans="1:85" ht="21" customHeight="1" x14ac:dyDescent="0.25">
      <c r="A39" s="224">
        <v>18</v>
      </c>
      <c r="C39" s="131" t="s">
        <v>235</v>
      </c>
      <c r="D39" s="272" t="s">
        <v>580</v>
      </c>
      <c r="E39" s="272"/>
      <c r="F39" s="159">
        <v>30394.44</v>
      </c>
      <c r="G39" s="278">
        <f t="shared" si="2"/>
        <v>1.5549648348161294E-2</v>
      </c>
      <c r="H39" s="155">
        <v>24755.27</v>
      </c>
      <c r="I39" s="155">
        <v>1579.43</v>
      </c>
      <c r="J39" s="156">
        <v>4059.7400000000198</v>
      </c>
      <c r="K39" s="69">
        <f t="shared" si="3"/>
        <v>0.1335685079244763</v>
      </c>
      <c r="L39" s="239"/>
      <c r="M39" s="137">
        <v>42947</v>
      </c>
      <c r="N39" s="239"/>
      <c r="O39" s="64">
        <f t="shared" ca="1" si="0"/>
        <v>-7.7810748433893835</v>
      </c>
      <c r="P39" s="239"/>
      <c r="Q39" s="137"/>
      <c r="R39" s="306"/>
      <c r="S39" s="239"/>
      <c r="T39" s="92">
        <f t="shared" si="1"/>
        <v>42947</v>
      </c>
      <c r="U39" s="239"/>
      <c r="V39" s="138"/>
      <c r="W39" s="239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2"/>
      <c r="BW39" s="102"/>
      <c r="BX39" s="102"/>
      <c r="BY39" s="101"/>
      <c r="BZ39" s="101"/>
      <c r="CA39" s="101"/>
      <c r="CB39" s="101"/>
      <c r="CC39" s="101"/>
      <c r="CD39" s="101"/>
      <c r="CE39" s="101"/>
      <c r="CF39" s="101"/>
      <c r="CG39" s="120"/>
    </row>
    <row r="40" spans="1:85" ht="21" customHeight="1" x14ac:dyDescent="0.25">
      <c r="A40" s="224">
        <v>19</v>
      </c>
      <c r="C40" s="116" t="s">
        <v>6</v>
      </c>
      <c r="D40" s="271" t="s">
        <v>548</v>
      </c>
      <c r="E40" s="271"/>
      <c r="F40" s="155">
        <v>30028.1</v>
      </c>
      <c r="G40" s="278">
        <f t="shared" si="2"/>
        <v>1.5362230577810354E-2</v>
      </c>
      <c r="H40" s="155">
        <v>26611.45</v>
      </c>
      <c r="I40" s="155">
        <v>1764.53</v>
      </c>
      <c r="J40" s="156">
        <v>1652.1200000000499</v>
      </c>
      <c r="K40" s="69">
        <f t="shared" si="3"/>
        <v>5.501913207962042E-2</v>
      </c>
      <c r="L40" s="214"/>
      <c r="M40" s="126" t="s">
        <v>176</v>
      </c>
      <c r="N40" s="214"/>
      <c r="O40" s="64">
        <f t="shared" ca="1" si="0"/>
        <v>-25.816023738872406</v>
      </c>
      <c r="P40" s="214"/>
      <c r="Q40" s="126"/>
      <c r="R40" s="306"/>
      <c r="S40" s="214"/>
      <c r="T40" s="92" t="str">
        <f t="shared" si="1"/>
        <v>31/01/2016</v>
      </c>
      <c r="U40" s="214"/>
      <c r="V40" s="138"/>
      <c r="W40" s="214"/>
      <c r="X40" s="101"/>
      <c r="Y40" s="101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 t="s">
        <v>10</v>
      </c>
      <c r="AK40" s="127" t="s">
        <v>9</v>
      </c>
      <c r="AL40" s="127"/>
      <c r="AM40" s="127" t="s">
        <v>178</v>
      </c>
      <c r="AN40" s="127" t="s">
        <v>180</v>
      </c>
      <c r="AO40" s="127" t="s">
        <v>10</v>
      </c>
      <c r="AP40" s="127" t="s">
        <v>9</v>
      </c>
      <c r="AQ40" s="127"/>
      <c r="AR40" s="127" t="s">
        <v>178</v>
      </c>
      <c r="AS40" s="127" t="s">
        <v>180</v>
      </c>
      <c r="AT40" s="127" t="s">
        <v>10</v>
      </c>
      <c r="AU40" s="127" t="s">
        <v>9</v>
      </c>
      <c r="AV40" s="127" t="s">
        <v>210</v>
      </c>
      <c r="AW40" s="127" t="s">
        <v>211</v>
      </c>
      <c r="AX40" s="127" t="s">
        <v>180</v>
      </c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20"/>
    </row>
    <row r="41" spans="1:85" ht="21" customHeight="1" x14ac:dyDescent="0.25">
      <c r="A41" s="224">
        <v>20</v>
      </c>
      <c r="C41" s="116" t="s">
        <v>240</v>
      </c>
      <c r="D41" s="271" t="s">
        <v>548</v>
      </c>
      <c r="E41" s="271"/>
      <c r="F41" s="157">
        <v>29414.69</v>
      </c>
      <c r="G41" s="278">
        <f t="shared" si="2"/>
        <v>1.5048412991658228E-2</v>
      </c>
      <c r="H41" s="157">
        <v>23882.82</v>
      </c>
      <c r="I41" s="157">
        <v>514.82000000000005</v>
      </c>
      <c r="J41" s="158">
        <v>5017.0500000000202</v>
      </c>
      <c r="K41" s="69">
        <f t="shared" si="3"/>
        <v>0.17056273583029502</v>
      </c>
      <c r="L41" s="216"/>
      <c r="M41" s="135" t="s">
        <v>606</v>
      </c>
      <c r="N41" s="216"/>
      <c r="O41" s="64">
        <f t="shared" ca="1" si="0"/>
        <v>-8.7701945268710855</v>
      </c>
      <c r="P41" s="216"/>
      <c r="Q41" s="135"/>
      <c r="R41" s="306"/>
      <c r="S41" s="216"/>
      <c r="T41" s="92" t="str">
        <f t="shared" si="1"/>
        <v>01/07/2017</v>
      </c>
      <c r="U41" s="216"/>
      <c r="V41" s="249" t="s">
        <v>135</v>
      </c>
      <c r="W41" s="216"/>
      <c r="X41" s="119" t="s">
        <v>137</v>
      </c>
      <c r="Y41" s="118" t="s">
        <v>141</v>
      </c>
      <c r="Z41" s="117" t="s">
        <v>10</v>
      </c>
      <c r="AA41" s="195" t="s">
        <v>9</v>
      </c>
      <c r="AB41" s="234">
        <v>42293</v>
      </c>
      <c r="AC41" s="196" t="s">
        <v>165</v>
      </c>
      <c r="AD41" s="117" t="s">
        <v>161</v>
      </c>
      <c r="AE41" s="117" t="s">
        <v>10</v>
      </c>
      <c r="AF41" s="195" t="s">
        <v>9</v>
      </c>
      <c r="AG41" s="234">
        <v>42318</v>
      </c>
      <c r="AH41" s="196" t="s">
        <v>165</v>
      </c>
      <c r="AI41" s="117" t="s">
        <v>161</v>
      </c>
      <c r="AJ41" s="195"/>
      <c r="AK41" s="195"/>
      <c r="AL41" s="195"/>
      <c r="AM41" s="195"/>
      <c r="AN41" s="195"/>
      <c r="AO41" s="195" t="s">
        <v>10</v>
      </c>
      <c r="AP41" s="195" t="s">
        <v>11</v>
      </c>
      <c r="AQ41" s="195" t="s">
        <v>392</v>
      </c>
      <c r="AR41" s="197" t="s">
        <v>147</v>
      </c>
      <c r="AS41" s="195" t="s">
        <v>366</v>
      </c>
      <c r="AT41" s="195" t="s">
        <v>10</v>
      </c>
      <c r="AU41" s="195" t="s">
        <v>11</v>
      </c>
      <c r="AV41" s="195" t="s">
        <v>409</v>
      </c>
      <c r="AW41" s="197" t="s">
        <v>147</v>
      </c>
      <c r="AX41" s="195" t="s">
        <v>366</v>
      </c>
      <c r="AY41" s="195" t="s">
        <v>10</v>
      </c>
      <c r="AZ41" s="195" t="s">
        <v>11</v>
      </c>
      <c r="BA41" s="195" t="s">
        <v>365</v>
      </c>
      <c r="BB41" s="197" t="s">
        <v>147</v>
      </c>
      <c r="BC41" s="195" t="s">
        <v>366</v>
      </c>
      <c r="BD41" s="195" t="s">
        <v>10</v>
      </c>
      <c r="BE41" s="195" t="s">
        <v>11</v>
      </c>
      <c r="BF41" s="195" t="s">
        <v>378</v>
      </c>
      <c r="BG41" s="197" t="s">
        <v>147</v>
      </c>
      <c r="BH41" s="195" t="s">
        <v>366</v>
      </c>
      <c r="BI41" s="195" t="s">
        <v>10</v>
      </c>
      <c r="BJ41" s="195" t="s">
        <v>11</v>
      </c>
      <c r="BK41" s="195" t="s">
        <v>420</v>
      </c>
      <c r="BL41" s="197" t="s">
        <v>354</v>
      </c>
      <c r="BM41" s="195" t="s">
        <v>419</v>
      </c>
      <c r="BN41" s="195" t="s">
        <v>10</v>
      </c>
      <c r="BO41" s="195" t="s">
        <v>11</v>
      </c>
      <c r="BP41" s="195" t="s">
        <v>341</v>
      </c>
      <c r="BQ41" s="197" t="s">
        <v>147</v>
      </c>
      <c r="BR41" s="195" t="s">
        <v>440</v>
      </c>
      <c r="BS41" s="195" t="s">
        <v>10</v>
      </c>
      <c r="BT41" s="195" t="s">
        <v>11</v>
      </c>
      <c r="BU41" s="195"/>
      <c r="BV41" s="197" t="s">
        <v>354</v>
      </c>
      <c r="BW41" s="195" t="s">
        <v>419</v>
      </c>
      <c r="BX41" s="195"/>
      <c r="BY41" s="101"/>
      <c r="BZ41" s="101"/>
      <c r="CA41" s="101"/>
      <c r="CB41" s="101"/>
      <c r="CC41" s="101"/>
      <c r="CD41" s="101"/>
      <c r="CE41" s="101"/>
      <c r="CF41" s="101"/>
      <c r="CG41" s="120"/>
    </row>
    <row r="42" spans="1:85" ht="21" customHeight="1" x14ac:dyDescent="0.25">
      <c r="A42" s="224">
        <v>21</v>
      </c>
      <c r="B42" s="232" t="s">
        <v>603</v>
      </c>
      <c r="C42" s="131" t="s">
        <v>509</v>
      </c>
      <c r="D42" s="272" t="s">
        <v>521</v>
      </c>
      <c r="E42" s="272"/>
      <c r="F42" s="159">
        <v>29403.35</v>
      </c>
      <c r="G42" s="278">
        <f t="shared" si="2"/>
        <v>1.504261150256127E-2</v>
      </c>
      <c r="H42" s="157">
        <v>18740.650000000001</v>
      </c>
      <c r="I42" s="157">
        <v>3954.1</v>
      </c>
      <c r="J42" s="158">
        <v>6708.6000000000104</v>
      </c>
      <c r="K42" s="69">
        <f t="shared" si="3"/>
        <v>0.22815767591107852</v>
      </c>
      <c r="L42" s="218"/>
      <c r="M42" s="222" t="s">
        <v>27</v>
      </c>
      <c r="N42" s="218"/>
      <c r="O42" s="64">
        <f t="shared" ca="1" si="0"/>
        <v>-14.770853939993406</v>
      </c>
      <c r="P42" s="218"/>
      <c r="Q42" s="222"/>
      <c r="R42" s="306"/>
      <c r="S42" s="218"/>
      <c r="T42" s="92" t="str">
        <f t="shared" si="1"/>
        <v>31/12/2016</v>
      </c>
      <c r="U42" s="218"/>
      <c r="V42" s="222" t="s">
        <v>519</v>
      </c>
      <c r="W42" s="218"/>
      <c r="X42" s="190" t="s">
        <v>34</v>
      </c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101"/>
      <c r="AY42" s="194" t="s">
        <v>12</v>
      </c>
      <c r="AZ42" s="194" t="s">
        <v>11</v>
      </c>
      <c r="BA42" s="194" t="s">
        <v>267</v>
      </c>
      <c r="BB42" s="194" t="s">
        <v>501</v>
      </c>
      <c r="BC42" s="194" t="s">
        <v>492</v>
      </c>
      <c r="BD42" s="194" t="s">
        <v>12</v>
      </c>
      <c r="BE42" s="194" t="s">
        <v>11</v>
      </c>
      <c r="BF42" s="194" t="s">
        <v>502</v>
      </c>
      <c r="BG42" s="194" t="s">
        <v>494</v>
      </c>
      <c r="BH42" s="194" t="s">
        <v>503</v>
      </c>
      <c r="BI42" s="194"/>
      <c r="BJ42" s="194"/>
      <c r="BK42" s="194"/>
      <c r="BL42" s="194"/>
      <c r="BM42" s="101"/>
      <c r="BN42" s="101"/>
      <c r="BO42" s="101"/>
      <c r="BP42" s="101"/>
      <c r="BQ42" s="101"/>
      <c r="BR42" s="101"/>
      <c r="BS42" s="101"/>
      <c r="BT42" s="101"/>
      <c r="BU42" s="101"/>
      <c r="BV42" s="102"/>
      <c r="BW42" s="102"/>
      <c r="BX42" s="102"/>
      <c r="BY42" s="101"/>
      <c r="BZ42" s="101"/>
      <c r="CA42" s="101"/>
      <c r="CB42" s="101"/>
      <c r="CC42" s="101"/>
      <c r="CD42" s="101"/>
      <c r="CE42" s="101"/>
      <c r="CF42" s="101"/>
      <c r="CG42" s="120"/>
    </row>
    <row r="43" spans="1:85" ht="21" customHeight="1" x14ac:dyDescent="0.25">
      <c r="A43" s="224">
        <v>22</v>
      </c>
      <c r="B43" s="232" t="s">
        <v>602</v>
      </c>
      <c r="C43" s="116" t="s">
        <v>241</v>
      </c>
      <c r="D43" s="271" t="s">
        <v>521</v>
      </c>
      <c r="E43" s="271"/>
      <c r="F43" s="155">
        <v>29342.98</v>
      </c>
      <c r="G43" s="278">
        <f t="shared" si="2"/>
        <v>1.5011726502844925E-2</v>
      </c>
      <c r="H43" s="155">
        <v>17688.990000000002</v>
      </c>
      <c r="I43" s="155">
        <v>6911.22</v>
      </c>
      <c r="J43" s="156">
        <v>4742.7699999999904</v>
      </c>
      <c r="K43" s="69">
        <f t="shared" si="3"/>
        <v>0.16163218596066214</v>
      </c>
      <c r="L43" s="215"/>
      <c r="M43" s="220" t="s">
        <v>27</v>
      </c>
      <c r="N43" s="215"/>
      <c r="O43" s="64">
        <f t="shared" ca="1" si="0"/>
        <v>-14.770853939993406</v>
      </c>
      <c r="P43" s="215"/>
      <c r="Q43" s="220"/>
      <c r="R43" s="306"/>
      <c r="S43" s="215"/>
      <c r="T43" s="92" t="str">
        <f t="shared" si="1"/>
        <v>31/12/2016</v>
      </c>
      <c r="U43" s="215"/>
      <c r="V43" s="251" t="s">
        <v>551</v>
      </c>
      <c r="W43" s="215"/>
      <c r="X43" s="200" t="s">
        <v>60</v>
      </c>
      <c r="Y43" s="200" t="s">
        <v>61</v>
      </c>
      <c r="Z43" s="192" t="s">
        <v>57</v>
      </c>
      <c r="AA43" s="192" t="s">
        <v>11</v>
      </c>
      <c r="AB43" s="192" t="s">
        <v>88</v>
      </c>
      <c r="AC43" s="192" t="s">
        <v>84</v>
      </c>
      <c r="AD43" s="192" t="s">
        <v>81</v>
      </c>
      <c r="AE43" s="192" t="s">
        <v>57</v>
      </c>
      <c r="AF43" s="192" t="s">
        <v>9</v>
      </c>
      <c r="AG43" s="192" t="s">
        <v>64</v>
      </c>
      <c r="AH43" s="192" t="s">
        <v>92</v>
      </c>
      <c r="AI43" s="192" t="s">
        <v>96</v>
      </c>
      <c r="AJ43" s="192" t="s">
        <v>12</v>
      </c>
      <c r="AK43" s="192" t="s">
        <v>9</v>
      </c>
      <c r="AL43" s="192" t="s">
        <v>69</v>
      </c>
      <c r="AM43" s="192" t="s">
        <v>102</v>
      </c>
      <c r="AN43" s="192" t="s">
        <v>103</v>
      </c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92" t="s">
        <v>12</v>
      </c>
      <c r="AZ43" s="192" t="s">
        <v>11</v>
      </c>
      <c r="BA43" s="192" t="s">
        <v>284</v>
      </c>
      <c r="BB43" s="192" t="s">
        <v>285</v>
      </c>
      <c r="BC43" s="192" t="s">
        <v>281</v>
      </c>
      <c r="BD43" s="192" t="s">
        <v>12</v>
      </c>
      <c r="BE43" s="192" t="s">
        <v>11</v>
      </c>
      <c r="BF43" s="192" t="s">
        <v>289</v>
      </c>
      <c r="BG43" s="192" t="s">
        <v>290</v>
      </c>
      <c r="BH43" s="192" t="s">
        <v>292</v>
      </c>
      <c r="BI43" s="192" t="s">
        <v>12</v>
      </c>
      <c r="BJ43" s="192" t="s">
        <v>11</v>
      </c>
      <c r="BK43" s="192" t="s">
        <v>64</v>
      </c>
      <c r="BL43" s="192" t="s">
        <v>305</v>
      </c>
      <c r="BM43" s="192" t="s">
        <v>306</v>
      </c>
      <c r="BN43" s="192" t="s">
        <v>12</v>
      </c>
      <c r="BO43" s="192"/>
      <c r="BP43" s="192" t="s">
        <v>275</v>
      </c>
      <c r="BQ43" s="192" t="s">
        <v>272</v>
      </c>
      <c r="BR43" s="192" t="s">
        <v>315</v>
      </c>
      <c r="BS43" s="192"/>
      <c r="BT43" s="192"/>
      <c r="BU43" s="192"/>
      <c r="BV43" s="192"/>
      <c r="BW43" s="192"/>
      <c r="BX43" s="192"/>
      <c r="BY43" s="101"/>
      <c r="BZ43" s="101"/>
      <c r="CA43" s="101"/>
      <c r="CB43" s="101"/>
      <c r="CC43" s="101"/>
      <c r="CD43" s="101"/>
      <c r="CE43" s="101"/>
      <c r="CF43" s="101"/>
      <c r="CG43" s="120"/>
    </row>
    <row r="44" spans="1:85" ht="21" customHeight="1" x14ac:dyDescent="0.25">
      <c r="A44" s="224">
        <v>23</v>
      </c>
      <c r="B44" s="232" t="s">
        <v>603</v>
      </c>
      <c r="C44" s="131" t="s">
        <v>242</v>
      </c>
      <c r="D44" s="272" t="s">
        <v>580</v>
      </c>
      <c r="E44" s="272"/>
      <c r="F44" s="159">
        <v>29012.74</v>
      </c>
      <c r="G44" s="278">
        <f t="shared" si="2"/>
        <v>1.4842777317714462E-2</v>
      </c>
      <c r="H44" s="157">
        <v>20717.89</v>
      </c>
      <c r="I44" s="157">
        <v>4146.5600000000004</v>
      </c>
      <c r="J44" s="158">
        <v>4148.29000000001</v>
      </c>
      <c r="K44" s="69">
        <f t="shared" si="3"/>
        <v>0.14298166943211879</v>
      </c>
      <c r="L44" s="218"/>
      <c r="M44" s="222" t="s">
        <v>28</v>
      </c>
      <c r="N44" s="218"/>
      <c r="O44" s="64">
        <f t="shared" ca="1" si="0"/>
        <v>9.2977250247279919</v>
      </c>
      <c r="P44" s="218"/>
      <c r="Q44" s="222"/>
      <c r="R44" s="306"/>
      <c r="S44" s="218"/>
      <c r="T44" s="92" t="str">
        <f t="shared" si="1"/>
        <v>31/12/2018</v>
      </c>
      <c r="U44" s="218"/>
      <c r="V44" s="222" t="s">
        <v>135</v>
      </c>
      <c r="W44" s="218"/>
      <c r="X44" s="190" t="s">
        <v>35</v>
      </c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101"/>
      <c r="AY44" s="194" t="s">
        <v>10</v>
      </c>
      <c r="AZ44" s="194" t="s">
        <v>9</v>
      </c>
      <c r="BA44" s="194" t="s">
        <v>267</v>
      </c>
      <c r="BB44" s="194" t="s">
        <v>487</v>
      </c>
      <c r="BC44" s="194" t="s">
        <v>489</v>
      </c>
      <c r="BD44" s="194" t="s">
        <v>10</v>
      </c>
      <c r="BE44" s="194" t="s">
        <v>9</v>
      </c>
      <c r="BF44" s="194" t="s">
        <v>484</v>
      </c>
      <c r="BG44" s="194" t="s">
        <v>487</v>
      </c>
      <c r="BH44" s="194" t="s">
        <v>489</v>
      </c>
      <c r="BI44" s="194" t="s">
        <v>12</v>
      </c>
      <c r="BJ44" s="194" t="s">
        <v>9</v>
      </c>
      <c r="BK44" s="194" t="s">
        <v>267</v>
      </c>
      <c r="BL44" s="194" t="s">
        <v>487</v>
      </c>
      <c r="BM44" s="194" t="s">
        <v>490</v>
      </c>
      <c r="BN44" s="194"/>
      <c r="BO44" s="194"/>
      <c r="BP44" s="194"/>
      <c r="BQ44" s="194"/>
      <c r="BR44" s="101"/>
      <c r="BS44" s="101"/>
      <c r="BT44" s="101"/>
      <c r="BU44" s="101"/>
      <c r="BV44" s="102"/>
      <c r="BW44" s="102"/>
      <c r="BX44" s="102"/>
      <c r="BY44" s="101"/>
      <c r="BZ44" s="101"/>
      <c r="CA44" s="101"/>
      <c r="CB44" s="101"/>
      <c r="CC44" s="101"/>
      <c r="CD44" s="101"/>
      <c r="CE44" s="101"/>
      <c r="CF44" s="101"/>
      <c r="CG44" s="120"/>
    </row>
    <row r="45" spans="1:85" ht="21" customHeight="1" x14ac:dyDescent="0.25">
      <c r="A45" s="224">
        <v>24</v>
      </c>
      <c r="C45" s="116" t="s">
        <v>219</v>
      </c>
      <c r="D45" s="271" t="s">
        <v>548</v>
      </c>
      <c r="E45" s="271"/>
      <c r="F45" s="155">
        <v>26531.1</v>
      </c>
      <c r="G45" s="278">
        <f t="shared" si="2"/>
        <v>1.3573182308669022E-2</v>
      </c>
      <c r="H45" s="155">
        <v>21737.52</v>
      </c>
      <c r="I45" s="155">
        <v>8332.65</v>
      </c>
      <c r="J45" s="156">
        <v>-3539.0700000000302</v>
      </c>
      <c r="K45" s="69">
        <f t="shared" si="3"/>
        <v>-0.13339326300078136</v>
      </c>
      <c r="L45" s="216"/>
      <c r="M45" s="135" t="s">
        <v>607</v>
      </c>
      <c r="N45" s="216"/>
      <c r="O45" s="64">
        <f t="shared" ca="1" si="0"/>
        <v>-0.75832509066930431</v>
      </c>
      <c r="P45" s="216"/>
      <c r="Q45" s="135"/>
      <c r="R45" s="306"/>
      <c r="S45" s="216"/>
      <c r="T45" s="92" t="str">
        <f t="shared" si="1"/>
        <v>01/03/2018</v>
      </c>
      <c r="U45" s="216"/>
      <c r="V45" s="249"/>
      <c r="W45" s="216"/>
      <c r="X45" s="119"/>
      <c r="Y45" s="118"/>
      <c r="Z45" s="117"/>
      <c r="AA45" s="195"/>
      <c r="AB45" s="234"/>
      <c r="AC45" s="196"/>
      <c r="AD45" s="117"/>
      <c r="AE45" s="117"/>
      <c r="AF45" s="195"/>
      <c r="AG45" s="234"/>
      <c r="AH45" s="196"/>
      <c r="AI45" s="117"/>
      <c r="AJ45" s="195"/>
      <c r="AK45" s="195"/>
      <c r="AL45" s="195"/>
      <c r="AM45" s="195"/>
      <c r="AN45" s="195"/>
      <c r="AO45" s="195"/>
      <c r="AP45" s="195"/>
      <c r="AQ45" s="195"/>
      <c r="AR45" s="197"/>
      <c r="AS45" s="195"/>
      <c r="AT45" s="195"/>
      <c r="AU45" s="195"/>
      <c r="AV45" s="195"/>
      <c r="AW45" s="197"/>
      <c r="AX45" s="195"/>
      <c r="AY45" s="195"/>
      <c r="AZ45" s="195"/>
      <c r="BA45" s="195"/>
      <c r="BB45" s="197"/>
      <c r="BC45" s="195"/>
      <c r="BD45" s="195"/>
      <c r="BE45" s="195"/>
      <c r="BF45" s="195"/>
      <c r="BG45" s="197"/>
      <c r="BH45" s="195"/>
      <c r="BI45" s="195" t="s">
        <v>10</v>
      </c>
      <c r="BJ45" s="195" t="s">
        <v>9</v>
      </c>
      <c r="BK45" s="195" t="s">
        <v>412</v>
      </c>
      <c r="BL45" s="197" t="s">
        <v>353</v>
      </c>
      <c r="BM45" s="195" t="s">
        <v>414</v>
      </c>
      <c r="BN45" s="195" t="s">
        <v>10</v>
      </c>
      <c r="BO45" s="195" t="s">
        <v>9</v>
      </c>
      <c r="BP45" s="195" t="s">
        <v>429</v>
      </c>
      <c r="BQ45" s="197" t="s">
        <v>417</v>
      </c>
      <c r="BR45" s="195" t="s">
        <v>414</v>
      </c>
      <c r="BS45" s="195" t="s">
        <v>10</v>
      </c>
      <c r="BT45" s="195" t="s">
        <v>9</v>
      </c>
      <c r="BU45" s="195" t="s">
        <v>441</v>
      </c>
      <c r="BV45" s="197" t="s">
        <v>417</v>
      </c>
      <c r="BW45" s="195" t="s">
        <v>414</v>
      </c>
      <c r="BX45" s="195"/>
      <c r="BY45" s="101"/>
      <c r="BZ45" s="101"/>
      <c r="CA45" s="101"/>
      <c r="CB45" s="101"/>
      <c r="CC45" s="101"/>
      <c r="CD45" s="101"/>
      <c r="CE45" s="101"/>
      <c r="CF45" s="101"/>
      <c r="CG45" s="120"/>
    </row>
    <row r="46" spans="1:85" ht="21" customHeight="1" x14ac:dyDescent="0.25">
      <c r="A46" s="224">
        <v>25</v>
      </c>
      <c r="C46" s="116" t="s">
        <v>229</v>
      </c>
      <c r="D46" s="271" t="s">
        <v>521</v>
      </c>
      <c r="E46" s="271"/>
      <c r="F46" s="157">
        <v>26287.57</v>
      </c>
      <c r="G46" s="278">
        <f t="shared" si="2"/>
        <v>1.3448593539728793E-2</v>
      </c>
      <c r="H46" s="157">
        <v>17893.57</v>
      </c>
      <c r="I46" s="157">
        <v>1040.33</v>
      </c>
      <c r="J46" s="158">
        <v>7353.67</v>
      </c>
      <c r="K46" s="69">
        <f t="shared" si="3"/>
        <v>0.2797394357865714</v>
      </c>
      <c r="L46" s="215"/>
      <c r="M46" s="220" t="s">
        <v>608</v>
      </c>
      <c r="N46" s="215"/>
      <c r="O46" s="64">
        <f t="shared" ca="1" si="0"/>
        <v>-29.838443785031323</v>
      </c>
      <c r="P46" s="215"/>
      <c r="Q46" s="220"/>
      <c r="R46" s="306"/>
      <c r="S46" s="215"/>
      <c r="T46" s="92" t="str">
        <f t="shared" si="1"/>
        <v>01/10/2015</v>
      </c>
      <c r="U46" s="215"/>
      <c r="V46" s="252" t="s">
        <v>135</v>
      </c>
      <c r="W46" s="215"/>
      <c r="X46" s="206" t="s">
        <v>67</v>
      </c>
      <c r="Y46" s="206" t="s">
        <v>68</v>
      </c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92"/>
      <c r="AZ46" s="192"/>
      <c r="BA46" s="192"/>
      <c r="BB46" s="192"/>
      <c r="BC46" s="192"/>
      <c r="BD46" s="192" t="s">
        <v>263</v>
      </c>
      <c r="BE46" s="192" t="s">
        <v>11</v>
      </c>
      <c r="BF46" s="192" t="s">
        <v>271</v>
      </c>
      <c r="BG46" s="192" t="s">
        <v>287</v>
      </c>
      <c r="BH46" s="192" t="s">
        <v>288</v>
      </c>
      <c r="BI46" s="192"/>
      <c r="BJ46" s="192"/>
      <c r="BK46" s="192"/>
      <c r="BL46" s="192"/>
      <c r="BM46" s="192"/>
      <c r="BN46" s="192" t="s">
        <v>12</v>
      </c>
      <c r="BO46" s="192" t="s">
        <v>13</v>
      </c>
      <c r="BP46" s="192" t="s">
        <v>93</v>
      </c>
      <c r="BQ46" s="192" t="s">
        <v>307</v>
      </c>
      <c r="BR46" s="192" t="s">
        <v>308</v>
      </c>
      <c r="BS46" s="192"/>
      <c r="BT46" s="192"/>
      <c r="BU46" s="192"/>
      <c r="BV46" s="192"/>
      <c r="BW46" s="192"/>
      <c r="BX46" s="192"/>
      <c r="BY46" s="127"/>
      <c r="BZ46" s="127"/>
      <c r="CA46" s="127"/>
      <c r="CB46" s="127"/>
      <c r="CC46" s="127"/>
      <c r="CD46" s="127"/>
      <c r="CE46" s="127"/>
      <c r="CF46" s="127"/>
      <c r="CG46" s="129"/>
    </row>
    <row r="47" spans="1:85" ht="21" customHeight="1" x14ac:dyDescent="0.25">
      <c r="A47" s="224">
        <v>26</v>
      </c>
      <c r="B47" s="232" t="s">
        <v>603</v>
      </c>
      <c r="C47" s="131" t="s">
        <v>510</v>
      </c>
      <c r="D47" s="272" t="s">
        <v>521</v>
      </c>
      <c r="E47" s="272"/>
      <c r="F47" s="159">
        <v>24510</v>
      </c>
      <c r="G47" s="278">
        <f t="shared" si="2"/>
        <v>1.2539197333901639E-2</v>
      </c>
      <c r="H47" s="155">
        <v>50878.590000000098</v>
      </c>
      <c r="I47" s="155">
        <v>5361.38</v>
      </c>
      <c r="J47" s="156">
        <v>-36.470000000048501</v>
      </c>
      <c r="K47" s="69">
        <f t="shared" si="3"/>
        <v>-1.4879640962892084E-3</v>
      </c>
      <c r="L47" s="219"/>
      <c r="M47" s="223" t="s">
        <v>609</v>
      </c>
      <c r="N47" s="219"/>
      <c r="O47" s="64">
        <f t="shared" ca="1" si="0"/>
        <v>-12.825585229146061</v>
      </c>
      <c r="P47" s="219"/>
      <c r="Q47" s="223"/>
      <c r="R47" s="306"/>
      <c r="S47" s="219"/>
      <c r="T47" s="92" t="str">
        <f t="shared" si="1"/>
        <v>28/02/2017</v>
      </c>
      <c r="U47" s="219"/>
      <c r="V47" s="222" t="s">
        <v>551</v>
      </c>
      <c r="W47" s="219"/>
      <c r="X47" s="201" t="s">
        <v>35</v>
      </c>
      <c r="Y47" s="190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1"/>
      <c r="AV47" s="101"/>
      <c r="AW47" s="101"/>
      <c r="AX47" s="101"/>
      <c r="AY47" s="194" t="s">
        <v>12</v>
      </c>
      <c r="AZ47" s="194" t="s">
        <v>9</v>
      </c>
      <c r="BA47" s="194" t="s">
        <v>497</v>
      </c>
      <c r="BB47" s="194" t="s">
        <v>487</v>
      </c>
      <c r="BC47" s="194" t="s">
        <v>488</v>
      </c>
      <c r="BD47" s="194" t="s">
        <v>12</v>
      </c>
      <c r="BE47" s="194" t="s">
        <v>9</v>
      </c>
      <c r="BF47" s="194" t="s">
        <v>77</v>
      </c>
      <c r="BG47" s="194" t="s">
        <v>487</v>
      </c>
      <c r="BH47" s="194" t="s">
        <v>488</v>
      </c>
      <c r="BI47" s="194" t="s">
        <v>12</v>
      </c>
      <c r="BJ47" s="194" t="s">
        <v>9</v>
      </c>
      <c r="BK47" s="194" t="s">
        <v>267</v>
      </c>
      <c r="BL47" s="194" t="s">
        <v>487</v>
      </c>
      <c r="BM47" s="194" t="s">
        <v>488</v>
      </c>
      <c r="BN47" s="194"/>
      <c r="BO47" s="194"/>
      <c r="BP47" s="194"/>
      <c r="BQ47" s="194"/>
      <c r="BR47" s="194"/>
      <c r="BS47" s="194"/>
      <c r="BT47" s="194"/>
      <c r="BU47" s="194"/>
      <c r="BV47" s="194"/>
      <c r="BW47" s="194"/>
      <c r="BX47" s="194"/>
      <c r="BY47" s="127"/>
      <c r="BZ47" s="127"/>
      <c r="CA47" s="127"/>
      <c r="CB47" s="127"/>
      <c r="CC47" s="127"/>
      <c r="CD47" s="127"/>
      <c r="CE47" s="127"/>
      <c r="CF47" s="127"/>
      <c r="CG47" s="129"/>
    </row>
    <row r="48" spans="1:85" ht="21" customHeight="1" x14ac:dyDescent="0.25">
      <c r="A48" s="224">
        <v>27</v>
      </c>
      <c r="C48" s="116" t="s">
        <v>245</v>
      </c>
      <c r="D48" s="271" t="s">
        <v>547</v>
      </c>
      <c r="E48" s="271"/>
      <c r="F48" s="157">
        <v>24251.18</v>
      </c>
      <c r="G48" s="278">
        <f t="shared" si="2"/>
        <v>1.2406786274988525E-2</v>
      </c>
      <c r="H48" s="157">
        <v>17292.599999999999</v>
      </c>
      <c r="I48" s="157">
        <v>1189.5</v>
      </c>
      <c r="J48" s="158">
        <v>5769.0800000000099</v>
      </c>
      <c r="K48" s="69">
        <f t="shared" si="3"/>
        <v>0.2378886305738529</v>
      </c>
      <c r="L48" s="214"/>
      <c r="M48" s="126" t="s">
        <v>27</v>
      </c>
      <c r="N48" s="214"/>
      <c r="O48" s="64">
        <f t="shared" ca="1" si="0"/>
        <v>-14.770853939993406</v>
      </c>
      <c r="P48" s="214"/>
      <c r="Q48" s="126"/>
      <c r="R48" s="306"/>
      <c r="S48" s="214"/>
      <c r="T48" s="92" t="str">
        <f t="shared" si="1"/>
        <v>31/12/2016</v>
      </c>
      <c r="U48" s="214"/>
      <c r="V48" s="138"/>
      <c r="W48" s="214"/>
      <c r="X48" s="101"/>
      <c r="Y48" s="101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 t="s">
        <v>12</v>
      </c>
      <c r="AK48" s="127" t="s">
        <v>11</v>
      </c>
      <c r="AL48" s="127" t="s">
        <v>184</v>
      </c>
      <c r="AM48" s="127" t="s">
        <v>196</v>
      </c>
      <c r="AN48" s="127" t="s">
        <v>197</v>
      </c>
      <c r="AO48" s="127" t="s">
        <v>12</v>
      </c>
      <c r="AP48" s="127"/>
      <c r="AQ48" s="127" t="s">
        <v>202</v>
      </c>
      <c r="AR48" s="127" t="s">
        <v>203</v>
      </c>
      <c r="AS48" s="127" t="s">
        <v>204</v>
      </c>
      <c r="AT48" s="127" t="s">
        <v>12</v>
      </c>
      <c r="AU48" s="127"/>
      <c r="AV48" s="127"/>
      <c r="AW48" s="127" t="s">
        <v>203</v>
      </c>
      <c r="AX48" s="127" t="s">
        <v>204</v>
      </c>
      <c r="AY48" s="127" t="s">
        <v>12</v>
      </c>
      <c r="AZ48" s="127"/>
      <c r="BA48" s="127"/>
      <c r="BB48" s="127" t="s">
        <v>203</v>
      </c>
      <c r="BC48" s="127" t="s">
        <v>204</v>
      </c>
      <c r="BD48" s="127"/>
      <c r="BE48" s="127"/>
      <c r="BF48" s="127" t="s">
        <v>460</v>
      </c>
      <c r="BG48" s="130" t="s">
        <v>464</v>
      </c>
      <c r="BH48" s="127" t="s">
        <v>204</v>
      </c>
      <c r="BI48" s="127" t="s">
        <v>12</v>
      </c>
      <c r="BJ48" s="127"/>
      <c r="BK48" s="127"/>
      <c r="BL48" s="127"/>
      <c r="BM48" s="127"/>
      <c r="BN48" s="127" t="s">
        <v>10</v>
      </c>
      <c r="BO48" s="127" t="s">
        <v>9</v>
      </c>
      <c r="BP48" s="127" t="s">
        <v>469</v>
      </c>
      <c r="BQ48" s="127" t="s">
        <v>206</v>
      </c>
      <c r="BR48" s="127" t="s">
        <v>204</v>
      </c>
      <c r="BS48" s="127" t="s">
        <v>10</v>
      </c>
      <c r="BT48" s="127" t="s">
        <v>9</v>
      </c>
      <c r="BU48" s="127"/>
      <c r="BV48" s="127" t="s">
        <v>206</v>
      </c>
      <c r="BW48" s="127" t="s">
        <v>204</v>
      </c>
      <c r="BX48" s="127"/>
      <c r="BY48" s="127"/>
      <c r="BZ48" s="127"/>
      <c r="CA48" s="127"/>
      <c r="CB48" s="127"/>
      <c r="CC48" s="127"/>
      <c r="CD48" s="127"/>
      <c r="CE48" s="127"/>
      <c r="CF48" s="127"/>
      <c r="CG48" s="129"/>
    </row>
    <row r="49" spans="1:85" ht="21" customHeight="1" x14ac:dyDescent="0.25">
      <c r="A49" s="224">
        <v>28</v>
      </c>
      <c r="C49" s="116" t="s">
        <v>220</v>
      </c>
      <c r="D49" s="271" t="s">
        <v>521</v>
      </c>
      <c r="E49" s="271"/>
      <c r="F49" s="159">
        <v>23000</v>
      </c>
      <c r="G49" s="278">
        <f t="shared" si="2"/>
        <v>1.1766688644624141E-2</v>
      </c>
      <c r="H49" s="155">
        <v>20036.669999999998</v>
      </c>
      <c r="I49" s="155">
        <v>7090.87</v>
      </c>
      <c r="J49" s="156">
        <v>-6143.53999999998</v>
      </c>
      <c r="K49" s="69">
        <f t="shared" si="3"/>
        <v>-0.26711043478260782</v>
      </c>
      <c r="L49" s="239"/>
      <c r="M49" s="137">
        <v>42886</v>
      </c>
      <c r="N49" s="239"/>
      <c r="O49" s="64">
        <f t="shared" ca="1" si="0"/>
        <v>-9.7922848664688438</v>
      </c>
      <c r="P49" s="239"/>
      <c r="Q49" s="137"/>
      <c r="R49" s="306"/>
      <c r="S49" s="239"/>
      <c r="T49" s="92">
        <f t="shared" si="1"/>
        <v>42886</v>
      </c>
      <c r="U49" s="239"/>
      <c r="V49" s="138"/>
      <c r="W49" s="239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20"/>
    </row>
    <row r="50" spans="1:85" ht="21" customHeight="1" x14ac:dyDescent="0.25">
      <c r="A50" s="224">
        <v>29</v>
      </c>
      <c r="B50" s="232" t="s">
        <v>602</v>
      </c>
      <c r="C50" s="116" t="s">
        <v>246</v>
      </c>
      <c r="D50" s="271"/>
      <c r="E50" s="271"/>
      <c r="F50" s="157">
        <v>21427.83</v>
      </c>
      <c r="G50" s="278">
        <f t="shared" si="2"/>
        <v>1.0962374084345066E-2</v>
      </c>
      <c r="H50" s="157">
        <v>9451.33</v>
      </c>
      <c r="I50" s="157">
        <v>6179.78</v>
      </c>
      <c r="J50" s="158">
        <v>5796.72</v>
      </c>
      <c r="K50" s="69">
        <f t="shared" si="3"/>
        <v>0.27052296009441923</v>
      </c>
      <c r="L50" s="217"/>
      <c r="M50" s="221" t="s">
        <v>80</v>
      </c>
      <c r="N50" s="217"/>
      <c r="O50" s="64">
        <f t="shared" ca="1" si="0"/>
        <v>0.23079459281239698</v>
      </c>
      <c r="P50" s="217"/>
      <c r="Q50" s="221"/>
      <c r="R50" s="306"/>
      <c r="S50" s="217"/>
      <c r="T50" s="92" t="str">
        <f t="shared" si="1"/>
        <v>31/03/2018</v>
      </c>
      <c r="U50" s="217"/>
      <c r="V50" s="251" t="s">
        <v>135</v>
      </c>
      <c r="W50" s="217"/>
      <c r="X50" s="200" t="s">
        <v>72</v>
      </c>
      <c r="Y50" s="200" t="s">
        <v>73</v>
      </c>
      <c r="Z50" s="192" t="s">
        <v>10</v>
      </c>
      <c r="AA50" s="192" t="s">
        <v>9</v>
      </c>
      <c r="AB50" s="192" t="s">
        <v>77</v>
      </c>
      <c r="AC50" s="192" t="s">
        <v>86</v>
      </c>
      <c r="AD50" s="192" t="s">
        <v>87</v>
      </c>
      <c r="AE50" s="192" t="s">
        <v>12</v>
      </c>
      <c r="AF50" s="192" t="s">
        <v>9</v>
      </c>
      <c r="AG50" s="192" t="s">
        <v>97</v>
      </c>
      <c r="AH50" s="192" t="s">
        <v>92</v>
      </c>
      <c r="AI50" s="192" t="s">
        <v>94</v>
      </c>
      <c r="AJ50" s="192" t="s">
        <v>8</v>
      </c>
      <c r="AK50" s="192" t="s">
        <v>9</v>
      </c>
      <c r="AL50" s="192" t="s">
        <v>100</v>
      </c>
      <c r="AM50" s="192" t="s">
        <v>92</v>
      </c>
      <c r="AN50" s="192" t="s">
        <v>101</v>
      </c>
      <c r="AO50" s="192" t="s">
        <v>57</v>
      </c>
      <c r="AP50" s="192" t="s">
        <v>11</v>
      </c>
      <c r="AQ50" s="192" t="s">
        <v>104</v>
      </c>
      <c r="AR50" s="192" t="s">
        <v>105</v>
      </c>
      <c r="AS50" s="192" t="s">
        <v>106</v>
      </c>
      <c r="AT50" s="101"/>
      <c r="AU50" s="101"/>
      <c r="AV50" s="101"/>
      <c r="AW50" s="101"/>
      <c r="AX50" s="101"/>
      <c r="AY50" s="192" t="s">
        <v>12</v>
      </c>
      <c r="AZ50" s="192" t="s">
        <v>9</v>
      </c>
      <c r="BA50" s="192" t="s">
        <v>265</v>
      </c>
      <c r="BB50" s="192" t="s">
        <v>269</v>
      </c>
      <c r="BC50" s="192" t="s">
        <v>270</v>
      </c>
      <c r="BD50" s="192"/>
      <c r="BE50" s="192"/>
      <c r="BF50" s="192"/>
      <c r="BG50" s="192"/>
      <c r="BH50" s="192"/>
      <c r="BI50" s="192"/>
      <c r="BJ50" s="192"/>
      <c r="BK50" s="192"/>
      <c r="BL50" s="192"/>
      <c r="BM50" s="192"/>
      <c r="BN50" s="192" t="s">
        <v>10</v>
      </c>
      <c r="BO50" s="192" t="s">
        <v>9</v>
      </c>
      <c r="BP50" s="192" t="s">
        <v>274</v>
      </c>
      <c r="BQ50" s="192" t="s">
        <v>311</v>
      </c>
      <c r="BR50" s="192" t="s">
        <v>312</v>
      </c>
      <c r="BS50" s="192"/>
      <c r="BT50" s="192"/>
      <c r="BU50" s="192"/>
      <c r="BV50" s="192"/>
      <c r="BW50" s="192"/>
      <c r="BX50" s="192"/>
      <c r="BY50" s="127"/>
      <c r="BZ50" s="127"/>
      <c r="CA50" s="127"/>
      <c r="CB50" s="127"/>
      <c r="CC50" s="127"/>
      <c r="CD50" s="127"/>
      <c r="CE50" s="127"/>
      <c r="CF50" s="127"/>
      <c r="CG50" s="120"/>
    </row>
    <row r="51" spans="1:85" ht="21" customHeight="1" x14ac:dyDescent="0.25">
      <c r="A51" s="224">
        <v>30</v>
      </c>
      <c r="C51" s="116" t="s">
        <v>247</v>
      </c>
      <c r="D51" s="271" t="s">
        <v>548</v>
      </c>
      <c r="E51" s="271"/>
      <c r="F51" s="155">
        <v>20174.650000000001</v>
      </c>
      <c r="G51" s="278">
        <f t="shared" si="2"/>
        <v>1.0321253263663758E-2</v>
      </c>
      <c r="H51" s="155">
        <v>16736.37</v>
      </c>
      <c r="I51" s="155">
        <v>1405.76</v>
      </c>
      <c r="J51" s="156">
        <v>2032.51999999999</v>
      </c>
      <c r="K51" s="69">
        <f t="shared" si="3"/>
        <v>0.10074623351582257</v>
      </c>
      <c r="L51" s="215"/>
      <c r="M51" s="220" t="s">
        <v>79</v>
      </c>
      <c r="N51" s="215"/>
      <c r="O51" s="64">
        <f t="shared" ca="1" si="0"/>
        <v>1.2199142762940984</v>
      </c>
      <c r="P51" s="215"/>
      <c r="Q51" s="220"/>
      <c r="R51" s="306"/>
      <c r="S51" s="215"/>
      <c r="T51" s="92" t="str">
        <f t="shared" si="1"/>
        <v>30/04/2018</v>
      </c>
      <c r="U51" s="215"/>
      <c r="V51" s="251" t="s">
        <v>135</v>
      </c>
      <c r="W51" s="215"/>
      <c r="X51" s="200" t="s">
        <v>70</v>
      </c>
      <c r="Y51" s="200" t="s">
        <v>71</v>
      </c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101"/>
      <c r="AY51" s="192"/>
      <c r="AZ51" s="192"/>
      <c r="BA51" s="192"/>
      <c r="BB51" s="192"/>
      <c r="BC51" s="192"/>
      <c r="BD51" s="192"/>
      <c r="BE51" s="192"/>
      <c r="BF51" s="192"/>
      <c r="BG51" s="192"/>
      <c r="BH51" s="192"/>
      <c r="BI51" s="192" t="s">
        <v>263</v>
      </c>
      <c r="BJ51" s="192" t="s">
        <v>11</v>
      </c>
      <c r="BK51" s="192" t="s">
        <v>93</v>
      </c>
      <c r="BL51" s="192" t="s">
        <v>295</v>
      </c>
      <c r="BM51" s="192" t="s">
        <v>296</v>
      </c>
      <c r="BN51" s="192"/>
      <c r="BO51" s="192"/>
      <c r="BP51" s="192"/>
      <c r="BQ51" s="192"/>
      <c r="BR51" s="192"/>
      <c r="BS51" s="192"/>
      <c r="BT51" s="192"/>
      <c r="BU51" s="192"/>
      <c r="BV51" s="192"/>
      <c r="BW51" s="192"/>
      <c r="BX51" s="192"/>
      <c r="BY51" s="101"/>
      <c r="BZ51" s="101"/>
      <c r="CA51" s="101"/>
      <c r="CB51" s="101"/>
      <c r="CC51" s="101"/>
      <c r="CD51" s="101"/>
      <c r="CE51" s="101"/>
      <c r="CF51" s="101"/>
      <c r="CG51" s="120"/>
    </row>
    <row r="52" spans="1:85" ht="21" customHeight="1" x14ac:dyDescent="0.25">
      <c r="A52" s="224">
        <v>31</v>
      </c>
      <c r="C52" s="116" t="s">
        <v>248</v>
      </c>
      <c r="D52" s="271" t="s">
        <v>548</v>
      </c>
      <c r="E52" s="271"/>
      <c r="F52" s="155">
        <v>19905.75</v>
      </c>
      <c r="G52" s="278">
        <f t="shared" si="2"/>
        <v>1.0183685325553348E-2</v>
      </c>
      <c r="H52" s="155">
        <v>14395.87</v>
      </c>
      <c r="I52" s="155">
        <v>667.74</v>
      </c>
      <c r="J52" s="156">
        <v>4842.1400000000103</v>
      </c>
      <c r="K52" s="69">
        <f t="shared" si="3"/>
        <v>0.24325333132386423</v>
      </c>
      <c r="L52" s="216"/>
      <c r="M52" s="135" t="s">
        <v>605</v>
      </c>
      <c r="N52" s="216"/>
      <c r="O52" s="64">
        <f t="shared" ca="1" si="0"/>
        <v>-13.715792944279592</v>
      </c>
      <c r="P52" s="216"/>
      <c r="Q52" s="135"/>
      <c r="R52" s="306"/>
      <c r="S52" s="216"/>
      <c r="T52" s="92" t="str">
        <f t="shared" si="1"/>
        <v>01/02/2017</v>
      </c>
      <c r="U52" s="216"/>
      <c r="V52" s="249" t="s">
        <v>135</v>
      </c>
      <c r="W52" s="216"/>
      <c r="X52" s="118" t="s">
        <v>142</v>
      </c>
      <c r="Y52" s="118" t="s">
        <v>153</v>
      </c>
      <c r="Z52" s="117" t="s">
        <v>10</v>
      </c>
      <c r="AA52" s="195" t="s">
        <v>11</v>
      </c>
      <c r="AB52" s="234">
        <v>42293</v>
      </c>
      <c r="AC52" s="117" t="s">
        <v>148</v>
      </c>
      <c r="AD52" s="117" t="s">
        <v>160</v>
      </c>
      <c r="AE52" s="117" t="s">
        <v>10</v>
      </c>
      <c r="AF52" s="195" t="s">
        <v>11</v>
      </c>
      <c r="AG52" s="234">
        <v>42333</v>
      </c>
      <c r="AH52" s="196" t="s">
        <v>171</v>
      </c>
      <c r="AI52" s="196" t="s">
        <v>170</v>
      </c>
      <c r="AJ52" s="195"/>
      <c r="AK52" s="195"/>
      <c r="AL52" s="195"/>
      <c r="AM52" s="195"/>
      <c r="AN52" s="195"/>
      <c r="AO52" s="195" t="s">
        <v>10</v>
      </c>
      <c r="AP52" s="195" t="s">
        <v>9</v>
      </c>
      <c r="AQ52" s="195" t="s">
        <v>394</v>
      </c>
      <c r="AR52" s="197" t="s">
        <v>402</v>
      </c>
      <c r="AS52" s="197" t="s">
        <v>393</v>
      </c>
      <c r="AT52" s="195" t="s">
        <v>10</v>
      </c>
      <c r="AU52" s="195" t="s">
        <v>9</v>
      </c>
      <c r="AV52" s="195" t="s">
        <v>401</v>
      </c>
      <c r="AW52" s="197" t="s">
        <v>402</v>
      </c>
      <c r="AX52" s="197" t="s">
        <v>393</v>
      </c>
      <c r="AY52" s="195" t="s">
        <v>10</v>
      </c>
      <c r="AZ52" s="195" t="s">
        <v>9</v>
      </c>
      <c r="BA52" s="195" t="s">
        <v>363</v>
      </c>
      <c r="BB52" s="195" t="s">
        <v>148</v>
      </c>
      <c r="BC52" s="195" t="s">
        <v>364</v>
      </c>
      <c r="BD52" s="195" t="s">
        <v>10</v>
      </c>
      <c r="BE52" s="195" t="s">
        <v>9</v>
      </c>
      <c r="BF52" s="195" t="s">
        <v>382</v>
      </c>
      <c r="BG52" s="195" t="s">
        <v>148</v>
      </c>
      <c r="BH52" s="197" t="s">
        <v>384</v>
      </c>
      <c r="BI52" s="195" t="s">
        <v>10</v>
      </c>
      <c r="BJ52" s="195" t="s">
        <v>9</v>
      </c>
      <c r="BK52" s="195"/>
      <c r="BL52" s="195" t="s">
        <v>148</v>
      </c>
      <c r="BM52" s="197" t="s">
        <v>384</v>
      </c>
      <c r="BN52" s="195" t="s">
        <v>10</v>
      </c>
      <c r="BO52" s="195" t="s">
        <v>9</v>
      </c>
      <c r="BP52" s="195" t="s">
        <v>443</v>
      </c>
      <c r="BQ52" s="195" t="s">
        <v>148</v>
      </c>
      <c r="BR52" s="197" t="s">
        <v>364</v>
      </c>
      <c r="BS52" s="195" t="s">
        <v>10</v>
      </c>
      <c r="BT52" s="195" t="s">
        <v>9</v>
      </c>
      <c r="BU52" s="195"/>
      <c r="BV52" s="195" t="s">
        <v>148</v>
      </c>
      <c r="BW52" s="197" t="s">
        <v>384</v>
      </c>
      <c r="BX52" s="195"/>
      <c r="BY52" s="127"/>
      <c r="BZ52" s="127"/>
      <c r="CA52" s="127"/>
      <c r="CB52" s="127"/>
      <c r="CC52" s="127"/>
      <c r="CD52" s="127"/>
      <c r="CE52" s="127"/>
      <c r="CF52" s="127"/>
      <c r="CG52" s="129"/>
    </row>
    <row r="53" spans="1:85" ht="21" customHeight="1" x14ac:dyDescent="0.25">
      <c r="A53" s="224">
        <v>32</v>
      </c>
      <c r="B53" s="232" t="s">
        <v>603</v>
      </c>
      <c r="C53" s="131" t="s">
        <v>223</v>
      </c>
      <c r="D53" s="272" t="s">
        <v>548</v>
      </c>
      <c r="E53" s="272"/>
      <c r="F53" s="159">
        <v>19000</v>
      </c>
      <c r="G53" s="278">
        <f t="shared" si="2"/>
        <v>9.7203080107764635E-3</v>
      </c>
      <c r="H53" s="155">
        <v>20098.28</v>
      </c>
      <c r="I53" s="155">
        <v>2948.83</v>
      </c>
      <c r="J53" s="156">
        <v>27117.43</v>
      </c>
      <c r="K53" s="69">
        <f t="shared" si="3"/>
        <v>1.4272331578947368</v>
      </c>
      <c r="L53" s="218"/>
      <c r="M53" s="222" t="s">
        <v>29</v>
      </c>
      <c r="N53" s="218"/>
      <c r="O53" s="64">
        <f t="shared" ref="O53:O81" ca="1" si="4">(T53-$F$2)/30.33</f>
        <v>-2.7365644576327068</v>
      </c>
      <c r="P53" s="218"/>
      <c r="Q53" s="222"/>
      <c r="R53" s="306"/>
      <c r="S53" s="218"/>
      <c r="T53" s="92" t="str">
        <f t="shared" si="1"/>
        <v>31/12/2017</v>
      </c>
      <c r="U53" s="218"/>
      <c r="V53" s="222" t="s">
        <v>135</v>
      </c>
      <c r="W53" s="218"/>
      <c r="X53" s="190" t="s">
        <v>37</v>
      </c>
      <c r="Y53" s="190" t="s">
        <v>39</v>
      </c>
      <c r="Z53" s="190" t="s">
        <v>10</v>
      </c>
      <c r="AA53" s="190" t="s">
        <v>9</v>
      </c>
      <c r="AB53" s="190" t="s">
        <v>41</v>
      </c>
      <c r="AC53" s="190" t="s">
        <v>42</v>
      </c>
      <c r="AD53" s="190" t="s">
        <v>39</v>
      </c>
      <c r="AE53" s="190" t="s">
        <v>10</v>
      </c>
      <c r="AF53" s="190" t="s">
        <v>9</v>
      </c>
      <c r="AG53" s="190" t="s">
        <v>43</v>
      </c>
      <c r="AH53" s="190" t="s">
        <v>42</v>
      </c>
      <c r="AI53" s="190" t="s">
        <v>39</v>
      </c>
      <c r="AJ53" s="190" t="s">
        <v>12</v>
      </c>
      <c r="AK53" s="190" t="s">
        <v>9</v>
      </c>
      <c r="AL53" s="190" t="s">
        <v>44</v>
      </c>
      <c r="AM53" s="190" t="s">
        <v>42</v>
      </c>
      <c r="AN53" s="190" t="s">
        <v>39</v>
      </c>
      <c r="AO53" s="190" t="s">
        <v>12</v>
      </c>
      <c r="AP53" s="190" t="s">
        <v>9</v>
      </c>
      <c r="AQ53" s="190" t="s">
        <v>45</v>
      </c>
      <c r="AR53" s="190" t="s">
        <v>42</v>
      </c>
      <c r="AS53" s="190" t="s">
        <v>39</v>
      </c>
      <c r="AT53" s="190" t="s">
        <v>10</v>
      </c>
      <c r="AU53" s="190" t="s">
        <v>9</v>
      </c>
      <c r="AV53" s="190" t="s">
        <v>46</v>
      </c>
      <c r="AW53" s="190" t="s">
        <v>42</v>
      </c>
      <c r="AX53" s="190" t="s">
        <v>39</v>
      </c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 t="s">
        <v>12</v>
      </c>
      <c r="BJ53" s="194" t="s">
        <v>9</v>
      </c>
      <c r="BK53" s="194" t="s">
        <v>93</v>
      </c>
      <c r="BL53" s="194" t="s">
        <v>487</v>
      </c>
      <c r="BM53" s="194" t="s">
        <v>39</v>
      </c>
      <c r="BN53" s="194"/>
      <c r="BO53" s="101"/>
      <c r="BP53" s="101"/>
      <c r="BQ53" s="101"/>
      <c r="BR53" s="101"/>
      <c r="BS53" s="101"/>
      <c r="BT53" s="101"/>
      <c r="BU53" s="101"/>
      <c r="BV53" s="102"/>
      <c r="BW53" s="102"/>
      <c r="BX53" s="102"/>
      <c r="BY53" s="127"/>
      <c r="BZ53" s="127"/>
      <c r="CA53" s="127"/>
      <c r="CB53" s="127"/>
      <c r="CC53" s="127"/>
      <c r="CD53" s="127"/>
      <c r="CE53" s="127"/>
      <c r="CF53" s="127"/>
      <c r="CG53" s="129"/>
    </row>
    <row r="54" spans="1:85" ht="21" customHeight="1" x14ac:dyDescent="0.25">
      <c r="A54" s="224">
        <v>33</v>
      </c>
      <c r="C54" s="116" t="s">
        <v>238</v>
      </c>
      <c r="D54" s="271" t="s">
        <v>521</v>
      </c>
      <c r="E54" s="271"/>
      <c r="F54" s="157">
        <v>18012.48</v>
      </c>
      <c r="G54" s="278">
        <f t="shared" si="2"/>
        <v>9.2150975598921502E-3</v>
      </c>
      <c r="H54" s="157">
        <v>10794.6</v>
      </c>
      <c r="I54" s="157">
        <v>2850.68</v>
      </c>
      <c r="J54" s="158">
        <v>4367.2000000000098</v>
      </c>
      <c r="K54" s="69">
        <f t="shared" si="3"/>
        <v>0.24245412069853844</v>
      </c>
      <c r="L54" s="236"/>
      <c r="M54" s="235">
        <v>42886</v>
      </c>
      <c r="N54" s="236"/>
      <c r="O54" s="64">
        <f t="shared" ca="1" si="4"/>
        <v>-9.7922848664688438</v>
      </c>
      <c r="P54" s="236"/>
      <c r="Q54" s="235"/>
      <c r="R54" s="306"/>
      <c r="S54" s="236"/>
      <c r="T54" s="92">
        <f t="shared" si="1"/>
        <v>42886</v>
      </c>
      <c r="U54" s="236"/>
      <c r="V54" s="250"/>
      <c r="W54" s="236"/>
      <c r="X54" s="198" t="s">
        <v>109</v>
      </c>
      <c r="Y54" s="198" t="s">
        <v>110</v>
      </c>
      <c r="Z54" s="199"/>
      <c r="AA54" s="199"/>
      <c r="AB54" s="199"/>
      <c r="AC54" s="199"/>
      <c r="AD54" s="199"/>
      <c r="AE54" s="199" t="s">
        <v>14</v>
      </c>
      <c r="AF54" s="199"/>
      <c r="AG54" s="199" t="s">
        <v>116</v>
      </c>
      <c r="AH54" s="199" t="s">
        <v>117</v>
      </c>
      <c r="AI54" s="199" t="s">
        <v>118</v>
      </c>
      <c r="AJ54" s="199" t="s">
        <v>14</v>
      </c>
      <c r="AK54" s="199" t="s">
        <v>9</v>
      </c>
      <c r="AL54" s="199" t="s">
        <v>126</v>
      </c>
      <c r="AM54" s="199" t="s">
        <v>124</v>
      </c>
      <c r="AN54" s="199" t="s">
        <v>125</v>
      </c>
      <c r="AO54" s="199" t="s">
        <v>14</v>
      </c>
      <c r="AP54" s="199" t="s">
        <v>9</v>
      </c>
      <c r="AQ54" s="199" t="s">
        <v>130</v>
      </c>
      <c r="AR54" s="199" t="s">
        <v>124</v>
      </c>
      <c r="AS54" s="199" t="s">
        <v>125</v>
      </c>
      <c r="AT54" s="199" t="s">
        <v>14</v>
      </c>
      <c r="AU54" s="199" t="s">
        <v>9</v>
      </c>
      <c r="AV54" s="199" t="s">
        <v>324</v>
      </c>
      <c r="AW54" s="199" t="s">
        <v>323</v>
      </c>
      <c r="AX54" s="199" t="s">
        <v>325</v>
      </c>
      <c r="AY54" s="199" t="s">
        <v>14</v>
      </c>
      <c r="AZ54" s="199" t="s">
        <v>9</v>
      </c>
      <c r="BA54" s="199" t="s">
        <v>327</v>
      </c>
      <c r="BB54" s="199" t="s">
        <v>124</v>
      </c>
      <c r="BC54" s="199" t="s">
        <v>328</v>
      </c>
      <c r="BD54" s="199" t="s">
        <v>14</v>
      </c>
      <c r="BE54" s="199" t="s">
        <v>9</v>
      </c>
      <c r="BF54" s="199" t="s">
        <v>329</v>
      </c>
      <c r="BG54" s="199" t="s">
        <v>124</v>
      </c>
      <c r="BH54" s="199" t="s">
        <v>330</v>
      </c>
      <c r="BI54" s="199"/>
      <c r="BJ54" s="199"/>
      <c r="BK54" s="199"/>
      <c r="BL54" s="199"/>
      <c r="BM54" s="199"/>
      <c r="BN54" s="199" t="s">
        <v>14</v>
      </c>
      <c r="BO54" s="199" t="s">
        <v>9</v>
      </c>
      <c r="BP54" s="199" t="s">
        <v>338</v>
      </c>
      <c r="BQ54" s="199" t="s">
        <v>337</v>
      </c>
      <c r="BR54" s="199" t="s">
        <v>344</v>
      </c>
      <c r="BS54" s="199" t="s">
        <v>14</v>
      </c>
      <c r="BT54" s="199" t="s">
        <v>9</v>
      </c>
      <c r="BU54" s="199" t="s">
        <v>343</v>
      </c>
      <c r="BV54" s="199" t="s">
        <v>320</v>
      </c>
      <c r="BW54" s="199" t="s">
        <v>344</v>
      </c>
      <c r="BX54" s="199" t="s">
        <v>14</v>
      </c>
      <c r="BY54" s="127"/>
      <c r="BZ54" s="127"/>
      <c r="CA54" s="127"/>
      <c r="CB54" s="127"/>
      <c r="CC54" s="127"/>
      <c r="CD54" s="127"/>
      <c r="CE54" s="127"/>
      <c r="CF54" s="127"/>
      <c r="CG54" s="129"/>
    </row>
    <row r="55" spans="1:85" ht="21" customHeight="1" x14ac:dyDescent="0.25">
      <c r="A55" s="224">
        <v>34</v>
      </c>
      <c r="B55" s="232" t="s">
        <v>603</v>
      </c>
      <c r="C55" s="131" t="s">
        <v>251</v>
      </c>
      <c r="D55" s="272" t="s">
        <v>580</v>
      </c>
      <c r="E55" s="274" t="s">
        <v>527</v>
      </c>
      <c r="F55" s="159">
        <v>17420.21</v>
      </c>
      <c r="G55" s="278">
        <f t="shared" si="2"/>
        <v>8.9120950953899079E-3</v>
      </c>
      <c r="H55" s="157">
        <v>11884.65</v>
      </c>
      <c r="I55" s="157">
        <v>1308.54</v>
      </c>
      <c r="J55" s="158">
        <v>4227.0200000000004</v>
      </c>
      <c r="K55" s="69">
        <f t="shared" si="3"/>
        <v>0.24265034692463527</v>
      </c>
      <c r="L55" s="239"/>
      <c r="M55" s="137">
        <v>42767</v>
      </c>
      <c r="N55" s="239"/>
      <c r="O55" s="64">
        <f t="shared" ca="1" si="4"/>
        <v>-13.715792944279592</v>
      </c>
      <c r="P55" s="239"/>
      <c r="Q55" s="137"/>
      <c r="R55" s="306"/>
      <c r="S55" s="239"/>
      <c r="T55" s="92">
        <f t="shared" si="1"/>
        <v>42767</v>
      </c>
      <c r="U55" s="239"/>
      <c r="V55" s="138"/>
      <c r="W55" s="239"/>
      <c r="X55" s="190" t="s">
        <v>38</v>
      </c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94" t="s">
        <v>10</v>
      </c>
      <c r="AZ55" s="194" t="s">
        <v>9</v>
      </c>
      <c r="BA55" s="194" t="s">
        <v>283</v>
      </c>
      <c r="BB55" s="194" t="s">
        <v>498</v>
      </c>
      <c r="BC55" s="194" t="s">
        <v>499</v>
      </c>
      <c r="BD55" s="194" t="s">
        <v>12</v>
      </c>
      <c r="BE55" s="194" t="s">
        <v>9</v>
      </c>
      <c r="BF55" s="194" t="s">
        <v>277</v>
      </c>
      <c r="BG55" s="194" t="s">
        <v>498</v>
      </c>
      <c r="BH55" s="194" t="s">
        <v>499</v>
      </c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2"/>
      <c r="BW55" s="102"/>
      <c r="BX55" s="102"/>
      <c r="BY55" s="127"/>
      <c r="BZ55" s="127"/>
      <c r="CA55" s="127"/>
      <c r="CB55" s="127"/>
      <c r="CC55" s="101"/>
      <c r="CD55" s="101"/>
      <c r="CE55" s="101"/>
      <c r="CF55" s="101"/>
      <c r="CG55" s="120"/>
    </row>
    <row r="56" spans="1:85" ht="21" customHeight="1" x14ac:dyDescent="0.25">
      <c r="A56" s="224">
        <v>35</v>
      </c>
      <c r="B56" s="232" t="s">
        <v>600</v>
      </c>
      <c r="C56" s="131" t="s">
        <v>262</v>
      </c>
      <c r="D56" s="272" t="s">
        <v>548</v>
      </c>
      <c r="E56" s="272"/>
      <c r="F56" s="159">
        <v>17000</v>
      </c>
      <c r="G56" s="278">
        <f t="shared" si="2"/>
        <v>8.6971176938526254E-3</v>
      </c>
      <c r="H56" s="157"/>
      <c r="I56" s="157"/>
      <c r="J56" s="158"/>
      <c r="K56" s="69">
        <f t="shared" si="3"/>
        <v>0</v>
      </c>
      <c r="L56" s="239"/>
      <c r="M56" s="137">
        <v>43616</v>
      </c>
      <c r="N56" s="239"/>
      <c r="O56" s="64">
        <f t="shared" ca="1" si="4"/>
        <v>14.276294098252556</v>
      </c>
      <c r="P56" s="239"/>
      <c r="Q56" s="137"/>
      <c r="R56" s="306"/>
      <c r="S56" s="239"/>
      <c r="T56" s="92">
        <f t="shared" si="1"/>
        <v>43616</v>
      </c>
      <c r="U56" s="239"/>
      <c r="V56" s="138"/>
      <c r="W56" s="239"/>
      <c r="X56" s="101"/>
      <c r="Y56" s="101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 t="s">
        <v>12</v>
      </c>
      <c r="AK56" s="127" t="s">
        <v>9</v>
      </c>
      <c r="AL56" s="127" t="s">
        <v>184</v>
      </c>
      <c r="AM56" s="127" t="s">
        <v>189</v>
      </c>
      <c r="AN56" s="127" t="s">
        <v>190</v>
      </c>
      <c r="AO56" s="127" t="s">
        <v>12</v>
      </c>
      <c r="AP56" s="127" t="s">
        <v>9</v>
      </c>
      <c r="AQ56" s="127" t="s">
        <v>184</v>
      </c>
      <c r="AR56" s="127" t="s">
        <v>209</v>
      </c>
      <c r="AS56" s="127" t="s">
        <v>190</v>
      </c>
      <c r="AT56" s="127" t="s">
        <v>12</v>
      </c>
      <c r="AU56" s="127" t="s">
        <v>9</v>
      </c>
      <c r="AV56" s="127" t="s">
        <v>184</v>
      </c>
      <c r="AW56" s="127" t="s">
        <v>209</v>
      </c>
      <c r="AX56" s="127" t="s">
        <v>190</v>
      </c>
      <c r="AY56" s="127" t="s">
        <v>12</v>
      </c>
      <c r="AZ56" s="127" t="s">
        <v>9</v>
      </c>
      <c r="BA56" s="127" t="s">
        <v>184</v>
      </c>
      <c r="BB56" s="127" t="s">
        <v>209</v>
      </c>
      <c r="BC56" s="127" t="s">
        <v>190</v>
      </c>
      <c r="BD56" s="127"/>
      <c r="BE56" s="127"/>
      <c r="BF56" s="127" t="s">
        <v>184</v>
      </c>
      <c r="BG56" s="127" t="s">
        <v>465</v>
      </c>
      <c r="BH56" s="127" t="s">
        <v>190</v>
      </c>
      <c r="BI56" s="128"/>
      <c r="BJ56" s="127"/>
      <c r="BK56" s="127"/>
      <c r="BL56" s="127"/>
      <c r="BM56" s="127"/>
      <c r="BN56" s="127" t="s">
        <v>14</v>
      </c>
      <c r="BO56" s="127" t="s">
        <v>184</v>
      </c>
      <c r="BP56" s="127" t="s">
        <v>465</v>
      </c>
      <c r="BQ56" s="127" t="s">
        <v>190</v>
      </c>
      <c r="BR56" s="127"/>
      <c r="BS56" s="127" t="s">
        <v>14</v>
      </c>
      <c r="BT56" s="127" t="s">
        <v>184</v>
      </c>
      <c r="BU56" s="128"/>
      <c r="BV56" s="127" t="s">
        <v>465</v>
      </c>
      <c r="BW56" s="127" t="s">
        <v>190</v>
      </c>
      <c r="BX56" s="101"/>
      <c r="BY56" s="127"/>
      <c r="BZ56" s="127"/>
      <c r="CA56" s="127"/>
      <c r="CB56" s="127"/>
      <c r="CC56" s="127"/>
      <c r="CD56" s="127"/>
      <c r="CE56" s="127"/>
      <c r="CF56" s="127"/>
      <c r="CG56" s="129"/>
    </row>
    <row r="57" spans="1:85" ht="21" customHeight="1" x14ac:dyDescent="0.25">
      <c r="A57" s="224">
        <v>36</v>
      </c>
      <c r="B57" s="232" t="s">
        <v>599</v>
      </c>
      <c r="C57" s="116" t="s">
        <v>252</v>
      </c>
      <c r="D57" s="271" t="s">
        <v>580</v>
      </c>
      <c r="E57" s="271"/>
      <c r="F57" s="155">
        <v>16881</v>
      </c>
      <c r="G57" s="278">
        <f t="shared" si="2"/>
        <v>8.6362378699956568E-3</v>
      </c>
      <c r="H57" s="155">
        <v>6211.98</v>
      </c>
      <c r="I57" s="155">
        <v>4294.91</v>
      </c>
      <c r="J57" s="156">
        <v>6374.11</v>
      </c>
      <c r="K57" s="69">
        <f t="shared" si="3"/>
        <v>0.37759078253657957</v>
      </c>
      <c r="L57" s="213"/>
      <c r="M57" s="202">
        <v>43465</v>
      </c>
      <c r="N57" s="213"/>
      <c r="O57" s="64">
        <f t="shared" ca="1" si="4"/>
        <v>9.2977250247279919</v>
      </c>
      <c r="P57" s="213"/>
      <c r="Q57" s="202"/>
      <c r="R57" s="306"/>
      <c r="S57" s="213"/>
      <c r="T57" s="92">
        <f t="shared" si="1"/>
        <v>43465</v>
      </c>
      <c r="U57" s="213"/>
      <c r="V57" s="203" t="s">
        <v>135</v>
      </c>
      <c r="W57" s="213"/>
      <c r="X57" s="203" t="s">
        <v>213</v>
      </c>
      <c r="Y57" s="203" t="s">
        <v>58</v>
      </c>
      <c r="Z57" s="204" t="s">
        <v>476</v>
      </c>
      <c r="AA57" s="204" t="s">
        <v>9</v>
      </c>
      <c r="AB57" s="204" t="s">
        <v>264</v>
      </c>
      <c r="AC57" s="204" t="s">
        <v>477</v>
      </c>
      <c r="AD57" s="204"/>
      <c r="AE57" s="204"/>
      <c r="AF57" s="204"/>
      <c r="AG57" s="204"/>
      <c r="AH57" s="204"/>
      <c r="AI57" s="204"/>
      <c r="AJ57" s="204" t="s">
        <v>476</v>
      </c>
      <c r="AK57" s="204" t="s">
        <v>11</v>
      </c>
      <c r="AL57" s="204" t="s">
        <v>93</v>
      </c>
      <c r="AM57" s="204" t="s">
        <v>478</v>
      </c>
      <c r="AN57" s="204" t="s">
        <v>479</v>
      </c>
      <c r="AO57" s="204" t="s">
        <v>476</v>
      </c>
      <c r="AP57" s="204" t="s">
        <v>9</v>
      </c>
      <c r="AQ57" s="204" t="s">
        <v>266</v>
      </c>
      <c r="AR57" s="204" t="s">
        <v>478</v>
      </c>
      <c r="AS57" s="204" t="s">
        <v>479</v>
      </c>
      <c r="AT57" s="204" t="s">
        <v>476</v>
      </c>
      <c r="AU57" s="204" t="s">
        <v>9</v>
      </c>
      <c r="AV57" s="204" t="s">
        <v>69</v>
      </c>
      <c r="AW57" s="204" t="s">
        <v>478</v>
      </c>
      <c r="AX57" s="204" t="s">
        <v>479</v>
      </c>
      <c r="AY57" s="204"/>
      <c r="AZ57" s="204"/>
      <c r="BA57" s="204"/>
      <c r="BB57" s="204"/>
      <c r="BC57" s="204"/>
      <c r="BD57" s="204" t="s">
        <v>476</v>
      </c>
      <c r="BE57" s="204" t="s">
        <v>9</v>
      </c>
      <c r="BF57" s="204" t="s">
        <v>64</v>
      </c>
      <c r="BG57" s="204" t="s">
        <v>478</v>
      </c>
      <c r="BH57" s="204" t="s">
        <v>479</v>
      </c>
      <c r="BI57" s="204"/>
      <c r="BJ57" s="204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27"/>
      <c r="BZ57" s="127"/>
      <c r="CA57" s="127"/>
      <c r="CB57" s="127"/>
      <c r="CC57" s="127"/>
      <c r="CD57" s="127"/>
      <c r="CE57" s="127"/>
      <c r="CF57" s="127"/>
      <c r="CG57" s="129"/>
    </row>
    <row r="58" spans="1:85" ht="21" customHeight="1" x14ac:dyDescent="0.25">
      <c r="A58" s="224">
        <v>37</v>
      </c>
      <c r="B58" s="232" t="s">
        <v>603</v>
      </c>
      <c r="C58" s="116" t="s">
        <v>512</v>
      </c>
      <c r="D58" s="271" t="s">
        <v>521</v>
      </c>
      <c r="E58" s="271"/>
      <c r="F58" s="155">
        <v>16269.88</v>
      </c>
      <c r="G58" s="278">
        <f t="shared" si="2"/>
        <v>8.3235918367564089E-3</v>
      </c>
      <c r="H58" s="155">
        <v>10319.91</v>
      </c>
      <c r="I58" s="155">
        <v>2382.7199999999998</v>
      </c>
      <c r="J58" s="156">
        <v>3567.25000000001</v>
      </c>
      <c r="K58" s="69">
        <f t="shared" si="3"/>
        <v>0.21925484392017705</v>
      </c>
      <c r="L58" s="239"/>
      <c r="M58" s="137" t="s">
        <v>610</v>
      </c>
      <c r="N58" s="239"/>
      <c r="O58" s="64" t="e">
        <f t="shared" ca="1" si="4"/>
        <v>#VALUE!</v>
      </c>
      <c r="P58" s="239"/>
      <c r="Q58" s="137"/>
      <c r="R58" s="306"/>
      <c r="S58" s="239"/>
      <c r="T58" s="92" t="str">
        <f t="shared" si="1"/>
        <v>31/04/2017</v>
      </c>
      <c r="U58" s="239"/>
      <c r="V58" s="138"/>
      <c r="W58" s="239"/>
      <c r="X58" s="190" t="s">
        <v>38</v>
      </c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94" t="s">
        <v>10</v>
      </c>
      <c r="AZ58" s="194" t="s">
        <v>9</v>
      </c>
      <c r="BA58" s="194" t="s">
        <v>283</v>
      </c>
      <c r="BB58" s="194" t="s">
        <v>498</v>
      </c>
      <c r="BC58" s="194" t="s">
        <v>500</v>
      </c>
      <c r="BD58" s="194" t="s">
        <v>10</v>
      </c>
      <c r="BE58" s="194" t="s">
        <v>9</v>
      </c>
      <c r="BF58" s="194" t="s">
        <v>277</v>
      </c>
      <c r="BG58" s="194" t="s">
        <v>498</v>
      </c>
      <c r="BH58" s="194" t="s">
        <v>500</v>
      </c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2"/>
      <c r="BW58" s="102"/>
      <c r="BX58" s="102"/>
      <c r="BY58" s="240"/>
      <c r="BZ58" s="240"/>
      <c r="CA58" s="240"/>
      <c r="CB58" s="240"/>
      <c r="CC58" s="240"/>
      <c r="CD58" s="240"/>
      <c r="CE58" s="240"/>
      <c r="CF58" s="240"/>
      <c r="CG58" s="241"/>
    </row>
    <row r="59" spans="1:85" ht="21" customHeight="1" x14ac:dyDescent="0.25">
      <c r="A59" s="224">
        <v>38</v>
      </c>
      <c r="C59" s="116" t="s">
        <v>233</v>
      </c>
      <c r="D59" s="271" t="s">
        <v>521</v>
      </c>
      <c r="E59" s="271"/>
      <c r="F59" s="155">
        <v>16158.25</v>
      </c>
      <c r="G59" s="278">
        <f t="shared" si="2"/>
        <v>8.266482469217306E-3</v>
      </c>
      <c r="H59" s="155">
        <v>12627.55</v>
      </c>
      <c r="I59" s="155">
        <v>1161.1300000000001</v>
      </c>
      <c r="J59" s="156">
        <v>2369.5700000000002</v>
      </c>
      <c r="K59" s="69">
        <f t="shared" si="3"/>
        <v>0.14664768771370662</v>
      </c>
      <c r="L59" s="236"/>
      <c r="M59" s="235">
        <v>42886</v>
      </c>
      <c r="N59" s="236"/>
      <c r="O59" s="64">
        <f t="shared" ca="1" si="4"/>
        <v>-9.7922848664688438</v>
      </c>
      <c r="P59" s="236"/>
      <c r="Q59" s="235"/>
      <c r="R59" s="306"/>
      <c r="S59" s="236"/>
      <c r="T59" s="92">
        <f t="shared" si="1"/>
        <v>42886</v>
      </c>
      <c r="U59" s="236"/>
      <c r="V59" s="147"/>
      <c r="W59" s="236"/>
      <c r="X59" s="198" t="s">
        <v>111</v>
      </c>
      <c r="Y59" s="198" t="s">
        <v>112</v>
      </c>
      <c r="Z59" s="199" t="s">
        <v>14</v>
      </c>
      <c r="AA59" s="199"/>
      <c r="AB59" s="199" t="s">
        <v>113</v>
      </c>
      <c r="AC59" s="199" t="s">
        <v>114</v>
      </c>
      <c r="AD59" s="199" t="s">
        <v>115</v>
      </c>
      <c r="AE59" s="199"/>
      <c r="AF59" s="199"/>
      <c r="AG59" s="199"/>
      <c r="AH59" s="199"/>
      <c r="AI59" s="199"/>
      <c r="AJ59" s="199" t="s">
        <v>14</v>
      </c>
      <c r="AK59" s="199" t="s">
        <v>9</v>
      </c>
      <c r="AL59" s="199" t="s">
        <v>128</v>
      </c>
      <c r="AM59" s="199" t="s">
        <v>129</v>
      </c>
      <c r="AN59" s="199" t="s">
        <v>131</v>
      </c>
      <c r="AO59" s="199" t="s">
        <v>14</v>
      </c>
      <c r="AP59" s="199" t="s">
        <v>9</v>
      </c>
      <c r="AQ59" s="199" t="s">
        <v>132</v>
      </c>
      <c r="AR59" s="199" t="s">
        <v>129</v>
      </c>
      <c r="AS59" s="199" t="s">
        <v>133</v>
      </c>
      <c r="AT59" s="199" t="s">
        <v>14</v>
      </c>
      <c r="AU59" s="199" t="s">
        <v>9</v>
      </c>
      <c r="AV59" s="199" t="s">
        <v>326</v>
      </c>
      <c r="AW59" s="199" t="s">
        <v>129</v>
      </c>
      <c r="AX59" s="199" t="s">
        <v>133</v>
      </c>
      <c r="AY59" s="199" t="s">
        <v>14</v>
      </c>
      <c r="AZ59" s="199" t="s">
        <v>9</v>
      </c>
      <c r="BA59" s="199" t="s">
        <v>331</v>
      </c>
      <c r="BB59" s="199" t="s">
        <v>129</v>
      </c>
      <c r="BC59" s="199" t="s">
        <v>133</v>
      </c>
      <c r="BD59" s="199"/>
      <c r="BE59" s="199"/>
      <c r="BF59" s="199"/>
      <c r="BG59" s="199"/>
      <c r="BH59" s="199"/>
      <c r="BI59" s="199"/>
      <c r="BJ59" s="199"/>
      <c r="BK59" s="199"/>
      <c r="BL59" s="199"/>
      <c r="BM59" s="199"/>
      <c r="BN59" s="242" t="s">
        <v>14</v>
      </c>
      <c r="BO59" s="242" t="s">
        <v>9</v>
      </c>
      <c r="BP59" s="237">
        <v>42544</v>
      </c>
      <c r="BQ59" s="242" t="s">
        <v>342</v>
      </c>
      <c r="BR59" s="242" t="s">
        <v>115</v>
      </c>
      <c r="BS59" s="199" t="s">
        <v>14</v>
      </c>
      <c r="BT59" s="199" t="s">
        <v>9</v>
      </c>
      <c r="BU59" s="199" t="s">
        <v>345</v>
      </c>
      <c r="BV59" s="199" t="s">
        <v>346</v>
      </c>
      <c r="BW59" s="199" t="s">
        <v>347</v>
      </c>
      <c r="BX59" s="199"/>
      <c r="BY59" s="195"/>
      <c r="BZ59" s="195"/>
      <c r="CA59" s="195"/>
      <c r="CB59" s="195"/>
      <c r="CC59" s="195"/>
      <c r="CD59" s="195"/>
      <c r="CE59" s="195"/>
      <c r="CF59" s="195"/>
      <c r="CG59" s="207"/>
    </row>
    <row r="60" spans="1:85" ht="21" customHeight="1" x14ac:dyDescent="0.25">
      <c r="A60" s="224">
        <v>39</v>
      </c>
      <c r="C60" s="131" t="s">
        <v>237</v>
      </c>
      <c r="D60" s="272" t="s">
        <v>548</v>
      </c>
      <c r="E60" s="272"/>
      <c r="F60" s="159">
        <v>16100</v>
      </c>
      <c r="G60" s="278">
        <f t="shared" si="2"/>
        <v>8.2366820512368988E-3</v>
      </c>
      <c r="H60" s="155"/>
      <c r="I60" s="155"/>
      <c r="J60" s="156"/>
      <c r="K60" s="69">
        <f t="shared" si="3"/>
        <v>0</v>
      </c>
      <c r="L60" s="214"/>
      <c r="M60" s="126" t="s">
        <v>175</v>
      </c>
      <c r="N60" s="214"/>
      <c r="O60" s="64">
        <f t="shared" ca="1" si="4"/>
        <v>-14.276294098252556</v>
      </c>
      <c r="P60" s="214"/>
      <c r="Q60" s="126"/>
      <c r="R60" s="306"/>
      <c r="S60" s="214"/>
      <c r="T60" s="92" t="str">
        <f t="shared" si="1"/>
        <v>15/01/2017</v>
      </c>
      <c r="U60" s="214"/>
      <c r="V60" s="138"/>
      <c r="W60" s="214"/>
      <c r="X60" s="101"/>
      <c r="Y60" s="101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 t="s">
        <v>12</v>
      </c>
      <c r="AK60" s="127" t="s">
        <v>9</v>
      </c>
      <c r="AL60" s="127" t="s">
        <v>184</v>
      </c>
      <c r="AM60" s="127" t="s">
        <v>193</v>
      </c>
      <c r="AN60" s="127" t="s">
        <v>194</v>
      </c>
      <c r="AO60" s="127" t="s">
        <v>12</v>
      </c>
      <c r="AP60" s="127" t="s">
        <v>9</v>
      </c>
      <c r="AQ60" s="127" t="s">
        <v>184</v>
      </c>
      <c r="AR60" s="127" t="s">
        <v>193</v>
      </c>
      <c r="AS60" s="127" t="s">
        <v>194</v>
      </c>
      <c r="AT60" s="127" t="s">
        <v>12</v>
      </c>
      <c r="AU60" s="127" t="s">
        <v>9</v>
      </c>
      <c r="AV60" s="127" t="s">
        <v>184</v>
      </c>
      <c r="AW60" s="127" t="s">
        <v>193</v>
      </c>
      <c r="AX60" s="127" t="s">
        <v>194</v>
      </c>
      <c r="AY60" s="127" t="s">
        <v>12</v>
      </c>
      <c r="AZ60" s="127" t="s">
        <v>9</v>
      </c>
      <c r="BA60" s="127" t="s">
        <v>184</v>
      </c>
      <c r="BB60" s="127" t="s">
        <v>193</v>
      </c>
      <c r="BC60" s="127" t="s">
        <v>194</v>
      </c>
      <c r="BD60" s="127"/>
      <c r="BE60" s="127"/>
      <c r="BF60" s="127"/>
      <c r="BG60" s="130" t="s">
        <v>193</v>
      </c>
      <c r="BH60" s="127" t="s">
        <v>467</v>
      </c>
      <c r="BI60" s="127" t="s">
        <v>14</v>
      </c>
      <c r="BJ60" s="127"/>
      <c r="BK60" s="127"/>
      <c r="BL60" s="127"/>
      <c r="BM60" s="127"/>
      <c r="BN60" s="127"/>
      <c r="BO60" s="127" t="s">
        <v>13</v>
      </c>
      <c r="BP60" s="132"/>
      <c r="BQ60" s="127" t="s">
        <v>193</v>
      </c>
      <c r="BR60" s="127" t="s">
        <v>471</v>
      </c>
      <c r="BS60" s="127"/>
      <c r="BT60" s="127" t="s">
        <v>13</v>
      </c>
      <c r="BU60" s="132"/>
      <c r="BV60" s="127" t="s">
        <v>193</v>
      </c>
      <c r="BW60" s="127" t="s">
        <v>471</v>
      </c>
      <c r="BX60" s="127"/>
      <c r="BY60" s="195"/>
      <c r="BZ60" s="195"/>
      <c r="CA60" s="195"/>
      <c r="CB60" s="195"/>
      <c r="CC60" s="195"/>
      <c r="CD60" s="195"/>
      <c r="CE60" s="195"/>
      <c r="CF60" s="195"/>
      <c r="CG60" s="207"/>
    </row>
    <row r="61" spans="1:85" ht="21" customHeight="1" x14ac:dyDescent="0.25">
      <c r="A61" s="224">
        <v>40</v>
      </c>
      <c r="C61" s="131" t="s">
        <v>250</v>
      </c>
      <c r="D61" s="272" t="s">
        <v>580</v>
      </c>
      <c r="E61" s="272"/>
      <c r="F61" s="159">
        <v>16041</v>
      </c>
      <c r="G61" s="278">
        <f t="shared" si="2"/>
        <v>8.2064979368876457E-3</v>
      </c>
      <c r="H61" s="157"/>
      <c r="I61" s="157"/>
      <c r="J61" s="158"/>
      <c r="K61" s="69">
        <f t="shared" si="3"/>
        <v>0</v>
      </c>
      <c r="L61" s="214"/>
      <c r="M61" s="126" t="s">
        <v>514</v>
      </c>
      <c r="N61" s="214"/>
      <c r="O61" s="64">
        <f t="shared" ca="1" si="4"/>
        <v>4.2532146389713157</v>
      </c>
      <c r="P61" s="214"/>
      <c r="Q61" s="126"/>
      <c r="R61" s="306"/>
      <c r="S61" s="214"/>
      <c r="T61" s="92" t="str">
        <f t="shared" si="1"/>
        <v>31/07/2018</v>
      </c>
      <c r="U61" s="214"/>
      <c r="V61" s="138"/>
      <c r="W61" s="214"/>
      <c r="X61" s="101"/>
      <c r="Y61" s="101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 t="s">
        <v>57</v>
      </c>
      <c r="AK61" s="127" t="s">
        <v>9</v>
      </c>
      <c r="AL61" s="127"/>
      <c r="AM61" s="127" t="s">
        <v>191</v>
      </c>
      <c r="AN61" s="127" t="s">
        <v>192</v>
      </c>
      <c r="AO61" s="127"/>
      <c r="AP61" s="127"/>
      <c r="AQ61" s="127" t="s">
        <v>205</v>
      </c>
      <c r="AR61" s="127" t="s">
        <v>206</v>
      </c>
      <c r="AS61" s="127" t="s">
        <v>207</v>
      </c>
      <c r="AT61" s="127"/>
      <c r="AU61" s="127"/>
      <c r="AV61" s="127"/>
      <c r="AW61" s="127" t="s">
        <v>206</v>
      </c>
      <c r="AX61" s="127" t="s">
        <v>207</v>
      </c>
      <c r="AY61" s="127"/>
      <c r="AZ61" s="127"/>
      <c r="BA61" s="127"/>
      <c r="BB61" s="127" t="s">
        <v>206</v>
      </c>
      <c r="BC61" s="127" t="s">
        <v>207</v>
      </c>
      <c r="BD61" s="127" t="s">
        <v>12</v>
      </c>
      <c r="BE61" s="127"/>
      <c r="BF61" s="127" t="s">
        <v>459</v>
      </c>
      <c r="BG61" s="130" t="s">
        <v>464</v>
      </c>
      <c r="BH61" s="127" t="s">
        <v>450</v>
      </c>
      <c r="BI61" s="127" t="s">
        <v>12</v>
      </c>
      <c r="BJ61" s="127"/>
      <c r="BK61" s="127"/>
      <c r="BL61" s="127"/>
      <c r="BM61" s="127"/>
      <c r="BN61" s="127" t="s">
        <v>14</v>
      </c>
      <c r="BO61" s="127" t="s">
        <v>9</v>
      </c>
      <c r="BP61" s="127" t="s">
        <v>468</v>
      </c>
      <c r="BQ61" s="127" t="s">
        <v>470</v>
      </c>
      <c r="BR61" s="127" t="s">
        <v>450</v>
      </c>
      <c r="BS61" s="127" t="s">
        <v>14</v>
      </c>
      <c r="BT61" s="127" t="s">
        <v>9</v>
      </c>
      <c r="BU61" s="127"/>
      <c r="BV61" s="127" t="s">
        <v>470</v>
      </c>
      <c r="BW61" s="127" t="s">
        <v>450</v>
      </c>
      <c r="BX61" s="127"/>
      <c r="BY61" s="195"/>
      <c r="BZ61" s="195"/>
      <c r="CA61" s="101"/>
      <c r="CB61" s="101"/>
      <c r="CC61" s="101"/>
      <c r="CD61" s="101"/>
      <c r="CE61" s="101"/>
      <c r="CF61" s="101"/>
      <c r="CG61" s="120"/>
    </row>
    <row r="62" spans="1:85" ht="21" customHeight="1" x14ac:dyDescent="0.25">
      <c r="A62" s="224">
        <v>41</v>
      </c>
      <c r="C62" s="131" t="s">
        <v>513</v>
      </c>
      <c r="D62" s="272" t="s">
        <v>548</v>
      </c>
      <c r="E62" s="272"/>
      <c r="F62" s="155">
        <v>16000</v>
      </c>
      <c r="G62" s="278">
        <f t="shared" si="2"/>
        <v>8.1855225353907064E-3</v>
      </c>
      <c r="H62" s="155"/>
      <c r="I62" s="155"/>
      <c r="J62" s="156"/>
      <c r="K62" s="69">
        <f t="shared" si="3"/>
        <v>0</v>
      </c>
      <c r="L62" s="215"/>
      <c r="M62" s="220" t="s">
        <v>33</v>
      </c>
      <c r="N62" s="215"/>
      <c r="O62" s="64">
        <f t="shared" ca="1" si="4"/>
        <v>-8.8031651829871418</v>
      </c>
      <c r="P62" s="215"/>
      <c r="Q62" s="220"/>
      <c r="R62" s="306"/>
      <c r="S62" s="215"/>
      <c r="T62" s="92" t="str">
        <f t="shared" si="1"/>
        <v>30/06/2017</v>
      </c>
      <c r="U62" s="215"/>
      <c r="V62" s="251"/>
      <c r="W62" s="215"/>
      <c r="X62" s="200"/>
      <c r="Y62" s="200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101"/>
      <c r="AY62" s="192"/>
      <c r="AZ62" s="192"/>
      <c r="BA62" s="192"/>
      <c r="BB62" s="192"/>
      <c r="BC62" s="192"/>
      <c r="BD62" s="192"/>
      <c r="BE62" s="192"/>
      <c r="BF62" s="192"/>
      <c r="BG62" s="192"/>
      <c r="BH62" s="192"/>
      <c r="BI62" s="192"/>
      <c r="BJ62" s="192"/>
      <c r="BK62" s="192"/>
      <c r="BL62" s="192"/>
      <c r="BM62" s="192"/>
      <c r="BN62" s="192"/>
      <c r="BO62" s="192"/>
      <c r="BP62" s="192"/>
      <c r="BQ62" s="192"/>
      <c r="BR62" s="192"/>
      <c r="BS62" s="192"/>
      <c r="BT62" s="192"/>
      <c r="BU62" s="192"/>
      <c r="BV62" s="192"/>
      <c r="BW62" s="192"/>
      <c r="BX62" s="192"/>
      <c r="BY62" s="101"/>
      <c r="BZ62" s="101"/>
      <c r="CA62" s="101"/>
      <c r="CB62" s="101"/>
      <c r="CC62" s="101"/>
      <c r="CD62" s="101"/>
      <c r="CE62" s="101"/>
      <c r="CF62" s="101"/>
      <c r="CG62" s="120"/>
    </row>
    <row r="63" spans="1:85" ht="21" customHeight="1" x14ac:dyDescent="0.25">
      <c r="A63" s="224">
        <v>42</v>
      </c>
      <c r="C63" s="116" t="s">
        <v>239</v>
      </c>
      <c r="D63" s="271" t="s">
        <v>548</v>
      </c>
      <c r="E63" s="271"/>
      <c r="F63" s="157">
        <v>15857.65</v>
      </c>
      <c r="G63" s="278">
        <f t="shared" si="2"/>
        <v>8.1126969645836516E-3</v>
      </c>
      <c r="H63" s="157">
        <v>9393.5600000000195</v>
      </c>
      <c r="I63" s="157">
        <v>163.04</v>
      </c>
      <c r="J63" s="158">
        <v>6301.0499999999902</v>
      </c>
      <c r="K63" s="69">
        <f t="shared" si="3"/>
        <v>0.39735080544721257</v>
      </c>
      <c r="L63" s="216"/>
      <c r="M63" s="135" t="s">
        <v>27</v>
      </c>
      <c r="N63" s="216"/>
      <c r="O63" s="64">
        <f t="shared" ca="1" si="4"/>
        <v>-14.770853939993406</v>
      </c>
      <c r="P63" s="216"/>
      <c r="Q63" s="135"/>
      <c r="R63" s="306"/>
      <c r="S63" s="216"/>
      <c r="T63" s="92" t="str">
        <f t="shared" si="1"/>
        <v>31/12/2016</v>
      </c>
      <c r="U63" s="216"/>
      <c r="V63" s="249" t="s">
        <v>135</v>
      </c>
      <c r="W63" s="216"/>
      <c r="X63" s="118" t="s">
        <v>143</v>
      </c>
      <c r="Y63" s="118" t="s">
        <v>154</v>
      </c>
      <c r="Z63" s="117" t="s">
        <v>10</v>
      </c>
      <c r="AA63" s="195" t="s">
        <v>9</v>
      </c>
      <c r="AB63" s="234">
        <v>42293</v>
      </c>
      <c r="AC63" s="196" t="s">
        <v>147</v>
      </c>
      <c r="AD63" s="117" t="s">
        <v>162</v>
      </c>
      <c r="AE63" s="117" t="s">
        <v>10</v>
      </c>
      <c r="AF63" s="195" t="s">
        <v>9</v>
      </c>
      <c r="AG63" s="234">
        <v>42335</v>
      </c>
      <c r="AH63" s="196" t="s">
        <v>172</v>
      </c>
      <c r="AI63" s="117" t="s">
        <v>173</v>
      </c>
      <c r="AJ63" s="195"/>
      <c r="AK63" s="195"/>
      <c r="AL63" s="195"/>
      <c r="AM63" s="195"/>
      <c r="AN63" s="195"/>
      <c r="AO63" s="195" t="s">
        <v>10</v>
      </c>
      <c r="AP63" s="195" t="s">
        <v>11</v>
      </c>
      <c r="AQ63" s="195" t="s">
        <v>395</v>
      </c>
      <c r="AR63" s="197" t="s">
        <v>388</v>
      </c>
      <c r="AS63" s="197" t="s">
        <v>399</v>
      </c>
      <c r="AT63" s="195" t="s">
        <v>10</v>
      </c>
      <c r="AU63" s="195" t="s">
        <v>11</v>
      </c>
      <c r="AV63" s="195" t="s">
        <v>404</v>
      </c>
      <c r="AW63" s="195" t="s">
        <v>145</v>
      </c>
      <c r="AX63" s="197" t="s">
        <v>403</v>
      </c>
      <c r="AY63" s="195" t="s">
        <v>10</v>
      </c>
      <c r="AZ63" s="195" t="s">
        <v>11</v>
      </c>
      <c r="BA63" s="195" t="s">
        <v>360</v>
      </c>
      <c r="BB63" s="195" t="s">
        <v>145</v>
      </c>
      <c r="BC63" s="195" t="s">
        <v>373</v>
      </c>
      <c r="BD63" s="195" t="s">
        <v>10</v>
      </c>
      <c r="BE63" s="195" t="s">
        <v>11</v>
      </c>
      <c r="BF63" s="195" t="s">
        <v>380</v>
      </c>
      <c r="BG63" s="195" t="s">
        <v>145</v>
      </c>
      <c r="BH63" s="197" t="s">
        <v>381</v>
      </c>
      <c r="BI63" s="195" t="s">
        <v>10</v>
      </c>
      <c r="BJ63" s="195" t="s">
        <v>11</v>
      </c>
      <c r="BK63" s="197" t="s">
        <v>423</v>
      </c>
      <c r="BL63" s="197" t="s">
        <v>422</v>
      </c>
      <c r="BM63" s="197" t="s">
        <v>421</v>
      </c>
      <c r="BN63" s="195" t="s">
        <v>10</v>
      </c>
      <c r="BO63" s="195" t="s">
        <v>11</v>
      </c>
      <c r="BP63" s="195" t="s">
        <v>444</v>
      </c>
      <c r="BQ63" s="197" t="s">
        <v>172</v>
      </c>
      <c r="BR63" s="197" t="s">
        <v>373</v>
      </c>
      <c r="BS63" s="195" t="s">
        <v>10</v>
      </c>
      <c r="BT63" s="195" t="s">
        <v>11</v>
      </c>
      <c r="BU63" s="197"/>
      <c r="BV63" s="197" t="s">
        <v>422</v>
      </c>
      <c r="BW63" s="197" t="s">
        <v>421</v>
      </c>
      <c r="BX63" s="195"/>
      <c r="BY63" s="195"/>
      <c r="BZ63" s="195"/>
      <c r="CA63" s="195"/>
      <c r="CB63" s="195"/>
      <c r="CC63" s="101"/>
      <c r="CD63" s="101"/>
      <c r="CE63" s="101"/>
      <c r="CF63" s="101"/>
      <c r="CG63" s="120"/>
    </row>
    <row r="64" spans="1:85" ht="21" customHeight="1" x14ac:dyDescent="0.25">
      <c r="A64" s="224">
        <v>43</v>
      </c>
      <c r="C64" s="116" t="s">
        <v>253</v>
      </c>
      <c r="D64" s="271" t="s">
        <v>548</v>
      </c>
      <c r="E64" s="271"/>
      <c r="F64" s="157">
        <v>15513.81</v>
      </c>
      <c r="G64" s="278">
        <f t="shared" si="2"/>
        <v>7.9367900852981062E-3</v>
      </c>
      <c r="H64" s="157">
        <v>11180.73</v>
      </c>
      <c r="I64" s="157">
        <v>2689.78</v>
      </c>
      <c r="J64" s="158">
        <v>1643.3</v>
      </c>
      <c r="K64" s="69">
        <f t="shared" si="3"/>
        <v>0.10592497909926704</v>
      </c>
      <c r="L64" s="218"/>
      <c r="M64" s="222" t="s">
        <v>33</v>
      </c>
      <c r="N64" s="218"/>
      <c r="O64" s="64">
        <f t="shared" ca="1" si="4"/>
        <v>-8.8031651829871418</v>
      </c>
      <c r="P64" s="218"/>
      <c r="Q64" s="222"/>
      <c r="R64" s="306"/>
      <c r="S64" s="218"/>
      <c r="T64" s="92" t="str">
        <f t="shared" si="1"/>
        <v>30/06/2017</v>
      </c>
      <c r="U64" s="218"/>
      <c r="V64" s="222" t="s">
        <v>135</v>
      </c>
      <c r="W64" s="218"/>
      <c r="X64" s="190" t="s">
        <v>34</v>
      </c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1"/>
      <c r="AU64" s="101"/>
      <c r="AV64" s="101"/>
      <c r="AW64" s="101"/>
      <c r="AX64" s="101"/>
      <c r="AY64" s="194" t="s">
        <v>12</v>
      </c>
      <c r="AZ64" s="194" t="s">
        <v>9</v>
      </c>
      <c r="BA64" s="194" t="s">
        <v>276</v>
      </c>
      <c r="BB64" s="194" t="s">
        <v>496</v>
      </c>
      <c r="BC64" s="194" t="s">
        <v>495</v>
      </c>
      <c r="BD64" s="194" t="s">
        <v>12</v>
      </c>
      <c r="BE64" s="194" t="s">
        <v>9</v>
      </c>
      <c r="BF64" s="194" t="s">
        <v>274</v>
      </c>
      <c r="BG64" s="194" t="s">
        <v>494</v>
      </c>
      <c r="BH64" s="194" t="s">
        <v>495</v>
      </c>
      <c r="BI64" s="194" t="s">
        <v>10</v>
      </c>
      <c r="BJ64" s="194" t="s">
        <v>9</v>
      </c>
      <c r="BK64" s="194" t="s">
        <v>506</v>
      </c>
      <c r="BL64" s="194" t="s">
        <v>508</v>
      </c>
      <c r="BM64" s="194" t="s">
        <v>507</v>
      </c>
      <c r="BN64" s="194"/>
      <c r="BO64" s="194"/>
      <c r="BP64" s="194"/>
      <c r="BQ64" s="194"/>
      <c r="BR64" s="194"/>
      <c r="BS64" s="194"/>
      <c r="BT64" s="194"/>
      <c r="BU64" s="194"/>
      <c r="BV64" s="194"/>
      <c r="BW64" s="194"/>
      <c r="BX64" s="194"/>
      <c r="BY64" s="195"/>
      <c r="BZ64" s="195"/>
      <c r="CA64" s="101"/>
      <c r="CB64" s="101"/>
      <c r="CC64" s="101"/>
      <c r="CD64" s="101"/>
      <c r="CE64" s="101"/>
      <c r="CF64" s="101"/>
      <c r="CG64" s="120"/>
    </row>
    <row r="65" spans="1:85" ht="21" customHeight="1" x14ac:dyDescent="0.25">
      <c r="A65" s="224">
        <v>44</v>
      </c>
      <c r="C65" s="116" t="s">
        <v>236</v>
      </c>
      <c r="D65" s="271" t="s">
        <v>521</v>
      </c>
      <c r="E65" s="271"/>
      <c r="F65" s="157">
        <v>15131.98</v>
      </c>
      <c r="G65" s="278">
        <f t="shared" si="2"/>
        <v>7.7414477059425911E-3</v>
      </c>
      <c r="H65" s="157">
        <v>12740.64</v>
      </c>
      <c r="I65" s="157">
        <v>898.65</v>
      </c>
      <c r="J65" s="158">
        <v>1492.6899999999901</v>
      </c>
      <c r="K65" s="69">
        <f t="shared" si="3"/>
        <v>9.8644724616341689E-2</v>
      </c>
      <c r="L65" s="239"/>
      <c r="M65" s="137">
        <v>42643</v>
      </c>
      <c r="N65" s="239"/>
      <c r="O65" s="64">
        <f t="shared" ca="1" si="4"/>
        <v>-17.804154302670625</v>
      </c>
      <c r="P65" s="239"/>
      <c r="Q65" s="137"/>
      <c r="R65" s="306"/>
      <c r="S65" s="239"/>
      <c r="T65" s="92">
        <f t="shared" si="1"/>
        <v>42643</v>
      </c>
      <c r="U65" s="239"/>
      <c r="V65" s="138"/>
      <c r="W65" s="239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95"/>
      <c r="BZ65" s="195"/>
      <c r="CA65" s="195"/>
      <c r="CB65" s="195"/>
      <c r="CC65" s="195"/>
      <c r="CD65" s="195"/>
      <c r="CE65" s="195"/>
      <c r="CF65" s="195"/>
      <c r="CG65" s="207"/>
    </row>
    <row r="66" spans="1:85" ht="21" customHeight="1" x14ac:dyDescent="0.25">
      <c r="A66" s="224">
        <v>45</v>
      </c>
      <c r="C66" s="131" t="s">
        <v>226</v>
      </c>
      <c r="D66" s="272"/>
      <c r="E66" s="272"/>
      <c r="F66" s="159">
        <v>13769.87</v>
      </c>
      <c r="G66" s="278">
        <f t="shared" si="2"/>
        <v>7.0445988246500271E-3</v>
      </c>
      <c r="H66" s="157">
        <v>10715.31</v>
      </c>
      <c r="I66" s="157">
        <v>1123.68</v>
      </c>
      <c r="J66" s="158">
        <v>1930.8799999999701</v>
      </c>
      <c r="K66" s="69">
        <f t="shared" si="3"/>
        <v>0.14022499849308454</v>
      </c>
      <c r="L66" s="239"/>
      <c r="M66" s="137">
        <v>42767</v>
      </c>
      <c r="N66" s="239"/>
      <c r="O66" s="64">
        <f t="shared" ca="1" si="4"/>
        <v>-13.715792944279592</v>
      </c>
      <c r="P66" s="239"/>
      <c r="Q66" s="137"/>
      <c r="R66" s="306"/>
      <c r="S66" s="239"/>
      <c r="T66" s="92">
        <f t="shared" si="1"/>
        <v>42767</v>
      </c>
      <c r="U66" s="239"/>
      <c r="V66" s="138"/>
      <c r="W66" s="239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27" t="s">
        <v>10</v>
      </c>
      <c r="AZ66" s="127" t="s">
        <v>9</v>
      </c>
      <c r="BA66" s="127"/>
      <c r="BB66" s="127" t="s">
        <v>451</v>
      </c>
      <c r="BC66" s="127" t="s">
        <v>452</v>
      </c>
      <c r="BD66" s="127"/>
      <c r="BE66" s="127"/>
      <c r="BF66" s="127"/>
      <c r="BG66" s="128"/>
      <c r="BH66" s="127"/>
      <c r="BI66" s="127"/>
      <c r="BJ66" s="127"/>
      <c r="BK66" s="127"/>
      <c r="BL66" s="127"/>
      <c r="BM66" s="127"/>
      <c r="BN66" s="127" t="s">
        <v>57</v>
      </c>
      <c r="BO66" s="127" t="s">
        <v>11</v>
      </c>
      <c r="BP66" s="127"/>
      <c r="BQ66" s="127" t="s">
        <v>474</v>
      </c>
      <c r="BR66" s="127" t="s">
        <v>473</v>
      </c>
      <c r="BS66" s="127" t="s">
        <v>57</v>
      </c>
      <c r="BT66" s="127" t="s">
        <v>11</v>
      </c>
      <c r="BU66" s="127"/>
      <c r="BV66" s="127" t="s">
        <v>456</v>
      </c>
      <c r="BW66" s="127" t="s">
        <v>472</v>
      </c>
      <c r="BX66" s="127"/>
      <c r="BY66" s="195"/>
      <c r="BZ66" s="195"/>
      <c r="CA66" s="195"/>
      <c r="CB66" s="195"/>
      <c r="CC66" s="195"/>
      <c r="CD66" s="195"/>
      <c r="CE66" s="195"/>
      <c r="CF66" s="195"/>
      <c r="CG66" s="207"/>
    </row>
    <row r="67" spans="1:85" ht="21" customHeight="1" x14ac:dyDescent="0.25">
      <c r="A67" s="224">
        <v>46</v>
      </c>
      <c r="B67" s="232" t="s">
        <v>599</v>
      </c>
      <c r="C67" s="116" t="s">
        <v>254</v>
      </c>
      <c r="D67" s="271" t="s">
        <v>547</v>
      </c>
      <c r="E67" s="271"/>
      <c r="F67" s="157">
        <v>13744.05</v>
      </c>
      <c r="G67" s="278">
        <f t="shared" si="2"/>
        <v>7.0313894376585395E-3</v>
      </c>
      <c r="H67" s="157">
        <v>6075.4900000000098</v>
      </c>
      <c r="I67" s="157">
        <v>2600.14</v>
      </c>
      <c r="J67" s="158">
        <v>5068.4199999999901</v>
      </c>
      <c r="K67" s="69">
        <f t="shared" si="3"/>
        <v>0.36877194131278557</v>
      </c>
      <c r="L67" s="213"/>
      <c r="M67" s="202">
        <v>43554</v>
      </c>
      <c r="N67" s="213"/>
      <c r="O67" s="64">
        <f t="shared" ca="1" si="4"/>
        <v>12.23211341905704</v>
      </c>
      <c r="P67" s="213"/>
      <c r="Q67" s="202"/>
      <c r="R67" s="306"/>
      <c r="S67" s="213"/>
      <c r="T67" s="92">
        <f t="shared" si="1"/>
        <v>43554</v>
      </c>
      <c r="U67" s="213"/>
      <c r="V67" s="203" t="s">
        <v>135</v>
      </c>
      <c r="W67" s="213"/>
      <c r="X67" s="203" t="s">
        <v>212</v>
      </c>
      <c r="Y67" s="203" t="s">
        <v>58</v>
      </c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95"/>
      <c r="BZ67" s="195"/>
      <c r="CA67" s="195"/>
      <c r="CB67" s="195"/>
      <c r="CC67" s="195"/>
      <c r="CD67" s="195"/>
      <c r="CE67" s="195"/>
      <c r="CF67" s="195"/>
      <c r="CG67" s="207"/>
    </row>
    <row r="68" spans="1:85" ht="21" customHeight="1" x14ac:dyDescent="0.25">
      <c r="A68" s="224">
        <v>47</v>
      </c>
      <c r="B68" s="232" t="s">
        <v>600</v>
      </c>
      <c r="C68" s="131" t="s">
        <v>255</v>
      </c>
      <c r="D68" s="272" t="s">
        <v>580</v>
      </c>
      <c r="E68" s="272"/>
      <c r="F68" s="159">
        <v>13473.7</v>
      </c>
      <c r="G68" s="278">
        <f t="shared" si="2"/>
        <v>6.8930796865683602E-3</v>
      </c>
      <c r="H68" s="155">
        <v>6587.54000000001</v>
      </c>
      <c r="I68" s="155">
        <v>1668.54</v>
      </c>
      <c r="J68" s="156">
        <v>5217.6199999999899</v>
      </c>
      <c r="K68" s="69">
        <f t="shared" si="3"/>
        <v>0.38724478057252198</v>
      </c>
      <c r="L68" s="214"/>
      <c r="M68" s="126" t="s">
        <v>28</v>
      </c>
      <c r="N68" s="214"/>
      <c r="O68" s="64">
        <f t="shared" ca="1" si="4"/>
        <v>9.2977250247279919</v>
      </c>
      <c r="P68" s="214"/>
      <c r="Q68" s="126"/>
      <c r="R68" s="306"/>
      <c r="S68" s="214"/>
      <c r="T68" s="92" t="str">
        <f t="shared" si="1"/>
        <v>31/12/2018</v>
      </c>
      <c r="U68" s="214"/>
      <c r="V68" s="138"/>
      <c r="W68" s="214"/>
      <c r="X68" s="101"/>
      <c r="Y68" s="101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 t="s">
        <v>12</v>
      </c>
      <c r="AK68" s="127" t="s">
        <v>9</v>
      </c>
      <c r="AL68" s="127" t="s">
        <v>184</v>
      </c>
      <c r="AM68" s="127" t="s">
        <v>198</v>
      </c>
      <c r="AN68" s="127" t="s">
        <v>181</v>
      </c>
      <c r="AO68" s="127" t="s">
        <v>12</v>
      </c>
      <c r="AP68" s="127" t="s">
        <v>9</v>
      </c>
      <c r="AQ68" s="127" t="s">
        <v>200</v>
      </c>
      <c r="AR68" s="127" t="s">
        <v>199</v>
      </c>
      <c r="AS68" s="127" t="s">
        <v>201</v>
      </c>
      <c r="AT68" s="127" t="s">
        <v>12</v>
      </c>
      <c r="AU68" s="127" t="s">
        <v>9</v>
      </c>
      <c r="AV68" s="127"/>
      <c r="AW68" s="127" t="s">
        <v>199</v>
      </c>
      <c r="AX68" s="127" t="s">
        <v>201</v>
      </c>
      <c r="AY68" s="127" t="s">
        <v>12</v>
      </c>
      <c r="AZ68" s="127" t="s">
        <v>9</v>
      </c>
      <c r="BA68" s="127"/>
      <c r="BB68" s="127" t="s">
        <v>199</v>
      </c>
      <c r="BC68" s="127" t="s">
        <v>201</v>
      </c>
      <c r="BD68" s="127"/>
      <c r="BE68" s="127"/>
      <c r="BF68" s="127"/>
      <c r="BG68" s="127" t="s">
        <v>199</v>
      </c>
      <c r="BH68" s="127" t="s">
        <v>201</v>
      </c>
      <c r="BI68" s="127"/>
      <c r="BJ68" s="127"/>
      <c r="BK68" s="127"/>
      <c r="BL68" s="127"/>
      <c r="BM68" s="127"/>
      <c r="BN68" s="127"/>
      <c r="BO68" s="127"/>
      <c r="BP68" s="127"/>
      <c r="BQ68" s="127"/>
      <c r="BR68" s="127"/>
      <c r="BS68" s="127"/>
      <c r="BT68" s="127"/>
      <c r="BU68" s="127"/>
      <c r="BV68" s="127"/>
      <c r="BW68" s="127"/>
      <c r="BX68" s="127"/>
      <c r="BY68" s="195"/>
      <c r="BZ68" s="195"/>
      <c r="CA68" s="195"/>
      <c r="CB68" s="195"/>
      <c r="CC68" s="195"/>
      <c r="CD68" s="195"/>
      <c r="CE68" s="195"/>
      <c r="CF68" s="195"/>
      <c r="CG68" s="207"/>
    </row>
    <row r="69" spans="1:85" ht="21" customHeight="1" x14ac:dyDescent="0.25">
      <c r="A69" s="224">
        <v>48</v>
      </c>
      <c r="B69" s="232" t="s">
        <v>600</v>
      </c>
      <c r="C69" s="131" t="s">
        <v>256</v>
      </c>
      <c r="D69" s="272" t="s">
        <v>580</v>
      </c>
      <c r="E69" s="272"/>
      <c r="F69" s="159">
        <v>12000</v>
      </c>
      <c r="G69" s="278">
        <f t="shared" si="2"/>
        <v>6.1391419015430302E-3</v>
      </c>
      <c r="H69" s="157">
        <v>9865.2499999999909</v>
      </c>
      <c r="I69" s="157">
        <v>2557.0700000000002</v>
      </c>
      <c r="J69" s="158">
        <v>-422.31999999999402</v>
      </c>
      <c r="K69" s="69">
        <f t="shared" si="3"/>
        <v>-3.5193333333332834E-2</v>
      </c>
      <c r="L69" s="214"/>
      <c r="M69" s="126" t="s">
        <v>177</v>
      </c>
      <c r="N69" s="214"/>
      <c r="O69" s="64">
        <f t="shared" ca="1" si="4"/>
        <v>-1.714474118034949</v>
      </c>
      <c r="P69" s="214"/>
      <c r="Q69" s="126"/>
      <c r="R69" s="306"/>
      <c r="S69" s="214"/>
      <c r="T69" s="92" t="str">
        <f t="shared" si="1"/>
        <v>31/01/2018</v>
      </c>
      <c r="U69" s="214"/>
      <c r="V69" s="138"/>
      <c r="W69" s="214"/>
      <c r="X69" s="101"/>
      <c r="Y69" s="101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 t="s">
        <v>12</v>
      </c>
      <c r="AK69" s="127" t="s">
        <v>9</v>
      </c>
      <c r="AL69" s="127" t="s">
        <v>184</v>
      </c>
      <c r="AM69" s="127" t="s">
        <v>188</v>
      </c>
      <c r="AN69" s="127"/>
      <c r="AO69" s="127" t="s">
        <v>12</v>
      </c>
      <c r="AP69" s="127" t="s">
        <v>9</v>
      </c>
      <c r="AQ69" s="127" t="s">
        <v>184</v>
      </c>
      <c r="AR69" s="127" t="s">
        <v>188</v>
      </c>
      <c r="AS69" s="127"/>
      <c r="AT69" s="127" t="s">
        <v>12</v>
      </c>
      <c r="AU69" s="127" t="s">
        <v>9</v>
      </c>
      <c r="AV69" s="127" t="s">
        <v>184</v>
      </c>
      <c r="AW69" s="127" t="s">
        <v>188</v>
      </c>
      <c r="AX69" s="127"/>
      <c r="AY69" s="127" t="s">
        <v>12</v>
      </c>
      <c r="AZ69" s="127" t="s">
        <v>9</v>
      </c>
      <c r="BA69" s="127" t="s">
        <v>184</v>
      </c>
      <c r="BB69" s="127" t="s">
        <v>188</v>
      </c>
      <c r="BC69" s="127" t="s">
        <v>454</v>
      </c>
      <c r="BD69" s="127"/>
      <c r="BE69" s="127"/>
      <c r="BF69" s="127" t="s">
        <v>463</v>
      </c>
      <c r="BG69" s="127" t="s">
        <v>462</v>
      </c>
      <c r="BH69" s="127" t="s">
        <v>461</v>
      </c>
      <c r="BI69" s="127" t="s">
        <v>57</v>
      </c>
      <c r="BJ69" s="127"/>
      <c r="BK69" s="127"/>
      <c r="BL69" s="127"/>
      <c r="BM69" s="127"/>
      <c r="BN69" s="127"/>
      <c r="BO69" s="127"/>
      <c r="BP69" s="127"/>
      <c r="BQ69" s="127"/>
      <c r="BR69" s="127"/>
      <c r="BS69" s="127"/>
      <c r="BT69" s="127"/>
      <c r="BU69" s="127"/>
      <c r="BV69" s="127"/>
      <c r="BW69" s="127"/>
      <c r="BX69" s="127"/>
      <c r="BY69" s="199"/>
      <c r="BZ69" s="199" t="s">
        <v>351</v>
      </c>
      <c r="CA69" s="199" t="s">
        <v>352</v>
      </c>
      <c r="CB69" s="199" t="s">
        <v>134</v>
      </c>
      <c r="CC69" s="199"/>
      <c r="CD69" s="199"/>
      <c r="CE69" s="199"/>
      <c r="CF69" s="199"/>
      <c r="CG69" s="208"/>
    </row>
    <row r="70" spans="1:85" ht="21" customHeight="1" x14ac:dyDescent="0.25">
      <c r="A70" s="224">
        <v>49</v>
      </c>
      <c r="B70" s="232" t="s">
        <v>599</v>
      </c>
      <c r="C70" s="131" t="s">
        <v>249</v>
      </c>
      <c r="D70" s="272" t="s">
        <v>580</v>
      </c>
      <c r="E70" s="272"/>
      <c r="F70" s="159">
        <v>11981</v>
      </c>
      <c r="G70" s="278">
        <f t="shared" si="2"/>
        <v>6.1294215935322532E-3</v>
      </c>
      <c r="H70" s="157">
        <v>7588.7</v>
      </c>
      <c r="I70" s="157">
        <v>1020.6</v>
      </c>
      <c r="J70" s="158">
        <v>10858.53</v>
      </c>
      <c r="K70" s="69">
        <f t="shared" si="3"/>
        <v>0.90631249478340714</v>
      </c>
      <c r="L70" s="239"/>
      <c r="M70" s="137">
        <v>43100</v>
      </c>
      <c r="N70" s="239"/>
      <c r="O70" s="64">
        <f t="shared" ca="1" si="4"/>
        <v>-2.7365644576327068</v>
      </c>
      <c r="P70" s="239"/>
      <c r="Q70" s="137"/>
      <c r="R70" s="306"/>
      <c r="S70" s="239"/>
      <c r="T70" s="92">
        <f t="shared" si="1"/>
        <v>43100</v>
      </c>
      <c r="U70" s="239"/>
      <c r="V70" s="138"/>
      <c r="W70" s="239"/>
      <c r="X70" s="101"/>
      <c r="Y70" s="101"/>
      <c r="Z70" s="204"/>
      <c r="AA70" s="204"/>
      <c r="AB70" s="204"/>
      <c r="AC70" s="204"/>
      <c r="AD70" s="204"/>
      <c r="AE70" s="204"/>
      <c r="AF70" s="204"/>
      <c r="AG70" s="204"/>
      <c r="AH70" s="204"/>
      <c r="AI70" s="204"/>
      <c r="AJ70" s="204"/>
      <c r="AK70" s="204"/>
      <c r="AL70" s="204"/>
      <c r="AM70" s="204"/>
      <c r="AN70" s="204"/>
      <c r="AO70" s="204" t="s">
        <v>476</v>
      </c>
      <c r="AP70" s="204" t="s">
        <v>9</v>
      </c>
      <c r="AQ70" s="204" t="s">
        <v>274</v>
      </c>
      <c r="AR70" s="204" t="s">
        <v>480</v>
      </c>
      <c r="AS70" s="204"/>
      <c r="AT70" s="204"/>
      <c r="AU70" s="204"/>
      <c r="AV70" s="204"/>
      <c r="AW70" s="204"/>
      <c r="AX70" s="204"/>
      <c r="AY70" s="204"/>
      <c r="AZ70" s="204"/>
      <c r="BA70" s="204"/>
      <c r="BB70" s="204"/>
      <c r="BC70" s="204"/>
      <c r="BD70" s="204"/>
      <c r="BE70" s="204"/>
      <c r="BF70" s="204"/>
      <c r="BG70" s="204"/>
      <c r="BH70" s="204"/>
      <c r="BI70" s="204"/>
      <c r="BJ70" s="204"/>
      <c r="BK70" s="204"/>
      <c r="BL70" s="204"/>
      <c r="BM70" s="204"/>
      <c r="BN70" s="204"/>
      <c r="BO70" s="204"/>
      <c r="BP70" s="204"/>
      <c r="BQ70" s="204"/>
      <c r="BR70" s="101"/>
      <c r="BS70" s="101"/>
      <c r="BT70" s="101"/>
      <c r="BU70" s="101"/>
      <c r="BV70" s="101"/>
      <c r="BW70" s="101"/>
      <c r="BX70" s="101"/>
      <c r="BY70" s="199"/>
      <c r="BZ70" s="199" t="s">
        <v>348</v>
      </c>
      <c r="CA70" s="199" t="s">
        <v>349</v>
      </c>
      <c r="CB70" s="199" t="s">
        <v>350</v>
      </c>
      <c r="CC70" s="199"/>
      <c r="CD70" s="199"/>
      <c r="CE70" s="199"/>
      <c r="CF70" s="199"/>
      <c r="CG70" s="208"/>
    </row>
    <row r="71" spans="1:85" ht="21" customHeight="1" x14ac:dyDescent="0.25">
      <c r="A71" s="224">
        <v>50</v>
      </c>
      <c r="C71" s="116" t="s">
        <v>228</v>
      </c>
      <c r="D71" s="271" t="s">
        <v>521</v>
      </c>
      <c r="E71" s="271"/>
      <c r="F71" s="155">
        <v>11902.58</v>
      </c>
      <c r="G71" s="278">
        <f t="shared" si="2"/>
        <v>6.0893023012056693E-3</v>
      </c>
      <c r="H71" s="155">
        <v>7348.6400000000203</v>
      </c>
      <c r="I71" s="155">
        <v>540.15</v>
      </c>
      <c r="J71" s="156">
        <v>4013.78999999998</v>
      </c>
      <c r="K71" s="69">
        <f t="shared" si="3"/>
        <v>0.33722016571197</v>
      </c>
      <c r="L71" s="213"/>
      <c r="M71" s="202">
        <v>42735</v>
      </c>
      <c r="N71" s="213"/>
      <c r="O71" s="64">
        <f t="shared" ca="1" si="4"/>
        <v>-14.770853939993406</v>
      </c>
      <c r="P71" s="213"/>
      <c r="Q71" s="202"/>
      <c r="R71" s="306"/>
      <c r="S71" s="213"/>
      <c r="T71" s="92">
        <f t="shared" si="1"/>
        <v>42735</v>
      </c>
      <c r="U71" s="213"/>
      <c r="V71" s="203" t="s">
        <v>135</v>
      </c>
      <c r="W71" s="213"/>
      <c r="X71" s="203" t="s">
        <v>214</v>
      </c>
      <c r="Y71" s="203" t="s">
        <v>58</v>
      </c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101"/>
      <c r="AO71" s="101"/>
      <c r="AP71" s="101"/>
      <c r="AQ71" s="101"/>
      <c r="AR71" s="101"/>
      <c r="AS71" s="101"/>
      <c r="AT71" s="101"/>
      <c r="AU71" s="101"/>
      <c r="AV71" s="101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99"/>
      <c r="BZ71" s="199"/>
      <c r="CA71" s="199"/>
      <c r="CB71" s="199"/>
      <c r="CC71" s="199"/>
      <c r="CD71" s="199"/>
      <c r="CE71" s="199"/>
      <c r="CF71" s="199"/>
      <c r="CG71" s="208"/>
    </row>
    <row r="72" spans="1:85" ht="21" customHeight="1" x14ac:dyDescent="0.25">
      <c r="A72" s="224">
        <v>51</v>
      </c>
      <c r="C72" s="116" t="s">
        <v>243</v>
      </c>
      <c r="D72" s="271" t="s">
        <v>521</v>
      </c>
      <c r="E72" s="271"/>
      <c r="F72" s="155">
        <v>11893.32</v>
      </c>
      <c r="G72" s="278">
        <f t="shared" si="2"/>
        <v>6.0845649300383126E-3</v>
      </c>
      <c r="H72" s="155">
        <v>10948.42</v>
      </c>
      <c r="I72" s="155">
        <v>0</v>
      </c>
      <c r="J72" s="156">
        <v>944.899999999996</v>
      </c>
      <c r="K72" s="69">
        <f t="shared" si="3"/>
        <v>7.9447959022375253E-2</v>
      </c>
      <c r="L72" s="215"/>
      <c r="M72" s="220" t="s">
        <v>83</v>
      </c>
      <c r="N72" s="215"/>
      <c r="O72" s="64">
        <f t="shared" ca="1" si="4"/>
        <v>-16.782063963072865</v>
      </c>
      <c r="P72" s="215"/>
      <c r="Q72" s="220"/>
      <c r="R72" s="306"/>
      <c r="S72" s="215"/>
      <c r="T72" s="92" t="str">
        <f t="shared" si="1"/>
        <v>31/10/2016</v>
      </c>
      <c r="U72" s="215"/>
      <c r="V72" s="252" t="s">
        <v>135</v>
      </c>
      <c r="W72" s="215"/>
      <c r="X72" s="206" t="s">
        <v>67</v>
      </c>
      <c r="Y72" s="206" t="s">
        <v>76</v>
      </c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101"/>
      <c r="AU72" s="101"/>
      <c r="AV72" s="101"/>
      <c r="AW72" s="101"/>
      <c r="AX72" s="101"/>
      <c r="AY72" s="192" t="s">
        <v>12</v>
      </c>
      <c r="AZ72" s="192" t="s">
        <v>9</v>
      </c>
      <c r="BA72" s="192" t="s">
        <v>100</v>
      </c>
      <c r="BB72" s="192" t="s">
        <v>268</v>
      </c>
      <c r="BC72" s="192" t="s">
        <v>282</v>
      </c>
      <c r="BD72" s="192"/>
      <c r="BE72" s="192"/>
      <c r="BF72" s="192"/>
      <c r="BG72" s="192"/>
      <c r="BH72" s="192"/>
      <c r="BI72" s="192"/>
      <c r="BJ72" s="192"/>
      <c r="BK72" s="192"/>
      <c r="BL72" s="192"/>
      <c r="BM72" s="192"/>
      <c r="BN72" s="192"/>
      <c r="BO72" s="192"/>
      <c r="BP72" s="192"/>
      <c r="BQ72" s="192"/>
      <c r="BR72" s="192"/>
      <c r="BS72" s="192" t="s">
        <v>57</v>
      </c>
      <c r="BT72" s="192" t="s">
        <v>9</v>
      </c>
      <c r="BU72" s="192" t="s">
        <v>302</v>
      </c>
      <c r="BV72" s="192" t="s">
        <v>317</v>
      </c>
      <c r="BW72" s="192" t="s">
        <v>319</v>
      </c>
      <c r="BX72" s="192"/>
      <c r="BY72" s="192"/>
      <c r="BZ72" s="192"/>
      <c r="CA72" s="192"/>
      <c r="CB72" s="192"/>
      <c r="CC72" s="192"/>
      <c r="CD72" s="192"/>
      <c r="CE72" s="192"/>
      <c r="CF72" s="101"/>
      <c r="CG72" s="120"/>
    </row>
    <row r="73" spans="1:85" ht="21" customHeight="1" x14ac:dyDescent="0.25">
      <c r="A73" s="224">
        <v>52</v>
      </c>
      <c r="B73" s="232" t="s">
        <v>600</v>
      </c>
      <c r="C73" s="131" t="s">
        <v>244</v>
      </c>
      <c r="D73" s="272" t="s">
        <v>580</v>
      </c>
      <c r="E73" s="272"/>
      <c r="F73" s="159">
        <v>11300</v>
      </c>
      <c r="G73" s="278">
        <f t="shared" si="2"/>
        <v>5.7810252906196867E-3</v>
      </c>
      <c r="H73" s="157"/>
      <c r="I73" s="157"/>
      <c r="J73" s="158"/>
      <c r="K73" s="69">
        <f t="shared" si="3"/>
        <v>0</v>
      </c>
      <c r="L73" s="214"/>
      <c r="M73" s="126"/>
      <c r="N73" s="214"/>
      <c r="O73" s="64">
        <f t="shared" ca="1" si="4"/>
        <v>-1423.7718430596769</v>
      </c>
      <c r="P73" s="214"/>
      <c r="Q73" s="126" t="s">
        <v>591</v>
      </c>
      <c r="R73" s="306"/>
      <c r="S73" s="214"/>
      <c r="T73" s="92">
        <f t="shared" si="1"/>
        <v>0</v>
      </c>
      <c r="U73" s="214"/>
      <c r="V73" s="138"/>
      <c r="W73" s="214"/>
      <c r="X73" s="101"/>
      <c r="Y73" s="101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127"/>
      <c r="BQ73" s="127"/>
      <c r="BR73" s="127"/>
      <c r="BS73" s="127"/>
      <c r="BT73" s="127"/>
      <c r="BU73" s="127"/>
      <c r="BV73" s="127"/>
      <c r="BW73" s="127"/>
      <c r="BX73" s="127"/>
      <c r="BY73" s="192"/>
      <c r="BZ73" s="192"/>
      <c r="CA73" s="192"/>
      <c r="CB73" s="192"/>
      <c r="CC73" s="192"/>
      <c r="CD73" s="192"/>
      <c r="CE73" s="192"/>
      <c r="CF73" s="101"/>
      <c r="CG73" s="120"/>
    </row>
    <row r="74" spans="1:85" ht="21" customHeight="1" x14ac:dyDescent="0.25">
      <c r="A74" s="224">
        <v>53</v>
      </c>
      <c r="C74" s="116" t="s">
        <v>257</v>
      </c>
      <c r="D74" s="271"/>
      <c r="E74" s="271"/>
      <c r="F74" s="157">
        <v>11000</v>
      </c>
      <c r="G74" s="278">
        <f t="shared" si="2"/>
        <v>5.6275467430811112E-3</v>
      </c>
      <c r="H74" s="157">
        <v>7011.08</v>
      </c>
      <c r="I74" s="157">
        <v>696.82</v>
      </c>
      <c r="J74" s="158">
        <v>3292.1</v>
      </c>
      <c r="K74" s="69">
        <f t="shared" si="3"/>
        <v>0.29928181818181815</v>
      </c>
      <c r="L74" s="215"/>
      <c r="M74" s="220" t="s">
        <v>611</v>
      </c>
      <c r="N74" s="215"/>
      <c r="O74" s="64">
        <f t="shared" ca="1" si="4"/>
        <v>-97.955819320804494</v>
      </c>
      <c r="P74" s="215"/>
      <c r="Q74" s="220" t="s">
        <v>591</v>
      </c>
      <c r="R74" s="306">
        <v>12</v>
      </c>
      <c r="S74" s="215"/>
      <c r="T74" s="92">
        <f t="shared" si="1"/>
        <v>40212</v>
      </c>
      <c r="U74" s="215"/>
      <c r="V74" s="251" t="s">
        <v>519</v>
      </c>
      <c r="W74" s="215"/>
      <c r="X74" s="200" t="s">
        <v>74</v>
      </c>
      <c r="Y74" s="200" t="s">
        <v>75</v>
      </c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101"/>
      <c r="AU74" s="101"/>
      <c r="AV74" s="101"/>
      <c r="AW74" s="101"/>
      <c r="AX74" s="101"/>
      <c r="AY74" s="192" t="s">
        <v>12</v>
      </c>
      <c r="AZ74" s="192" t="s">
        <v>9</v>
      </c>
      <c r="BA74" s="192" t="s">
        <v>267</v>
      </c>
      <c r="BB74" s="192" t="s">
        <v>298</v>
      </c>
      <c r="BC74" s="192" t="s">
        <v>299</v>
      </c>
      <c r="BD74" s="192" t="s">
        <v>12</v>
      </c>
      <c r="BE74" s="192" t="s">
        <v>9</v>
      </c>
      <c r="BF74" s="192" t="s">
        <v>304</v>
      </c>
      <c r="BG74" s="192" t="s">
        <v>301</v>
      </c>
      <c r="BH74" s="192" t="s">
        <v>303</v>
      </c>
      <c r="BI74" s="192"/>
      <c r="BJ74" s="192"/>
      <c r="BK74" s="192"/>
      <c r="BL74" s="192"/>
      <c r="BM74" s="192"/>
      <c r="BN74" s="192"/>
      <c r="BO74" s="192"/>
      <c r="BP74" s="192"/>
      <c r="BQ74" s="192"/>
      <c r="BR74" s="192"/>
      <c r="BS74" s="192"/>
      <c r="BT74" s="192"/>
      <c r="BU74" s="192"/>
      <c r="BV74" s="192"/>
      <c r="BW74" s="192"/>
      <c r="BX74" s="192"/>
      <c r="BY74" s="192"/>
      <c r="BZ74" s="192"/>
      <c r="CA74" s="192"/>
      <c r="CB74" s="192"/>
      <c r="CC74" s="192"/>
      <c r="CD74" s="192"/>
      <c r="CE74" s="192"/>
      <c r="CF74" s="101"/>
      <c r="CG74" s="120"/>
    </row>
    <row r="75" spans="1:85" ht="21" customHeight="1" x14ac:dyDescent="0.25">
      <c r="A75" s="224">
        <v>54</v>
      </c>
      <c r="C75" s="116" t="s">
        <v>236</v>
      </c>
      <c r="D75" s="271" t="s">
        <v>521</v>
      </c>
      <c r="E75" s="271"/>
      <c r="F75" s="157">
        <v>10889.55</v>
      </c>
      <c r="G75" s="278">
        <f t="shared" si="2"/>
        <v>5.5710410578289913E-3</v>
      </c>
      <c r="H75" s="157">
        <v>7171.1000000000104</v>
      </c>
      <c r="I75" s="157">
        <v>654.16999999999996</v>
      </c>
      <c r="J75" s="158">
        <v>3064.2799999999902</v>
      </c>
      <c r="K75" s="69">
        <f t="shared" si="3"/>
        <v>0.28139638460726019</v>
      </c>
      <c r="L75" s="239"/>
      <c r="M75" s="137">
        <v>43374</v>
      </c>
      <c r="N75" s="239"/>
      <c r="O75" s="64">
        <f t="shared" ca="1" si="4"/>
        <v>6.2973953181668323</v>
      </c>
      <c r="P75" s="239"/>
      <c r="Q75" s="137"/>
      <c r="R75" s="306"/>
      <c r="S75" s="239"/>
      <c r="T75" s="92">
        <f t="shared" si="1"/>
        <v>43374</v>
      </c>
      <c r="U75" s="239"/>
      <c r="V75" s="138"/>
      <c r="W75" s="239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1"/>
      <c r="AY75" s="132"/>
      <c r="AZ75" s="127" t="s">
        <v>9</v>
      </c>
      <c r="BA75" s="127"/>
      <c r="BB75" s="127" t="s">
        <v>456</v>
      </c>
      <c r="BC75" s="243" t="s">
        <v>457</v>
      </c>
      <c r="BD75" s="132"/>
      <c r="BE75" s="132"/>
      <c r="BF75" s="132"/>
      <c r="BG75" s="127" t="s">
        <v>466</v>
      </c>
      <c r="BH75" s="243" t="s">
        <v>457</v>
      </c>
      <c r="BI75" s="127" t="s">
        <v>57</v>
      </c>
      <c r="BJ75" s="132"/>
      <c r="BK75" s="132"/>
      <c r="BL75" s="132"/>
      <c r="BM75" s="132"/>
      <c r="BN75" s="127" t="s">
        <v>12</v>
      </c>
      <c r="BO75" s="132" t="s">
        <v>59</v>
      </c>
      <c r="BP75" s="132"/>
      <c r="BQ75" s="132" t="s">
        <v>475</v>
      </c>
      <c r="BR75" s="132" t="s">
        <v>458</v>
      </c>
      <c r="BS75" s="127" t="s">
        <v>12</v>
      </c>
      <c r="BT75" s="132" t="s">
        <v>59</v>
      </c>
      <c r="BU75" s="132"/>
      <c r="BV75" s="132" t="s">
        <v>456</v>
      </c>
      <c r="BW75" s="132" t="s">
        <v>458</v>
      </c>
      <c r="BX75" s="240"/>
      <c r="BY75" s="192"/>
      <c r="BZ75" s="192"/>
      <c r="CA75" s="192"/>
      <c r="CB75" s="192"/>
      <c r="CC75" s="192"/>
      <c r="CD75" s="192"/>
      <c r="CE75" s="192"/>
      <c r="CF75" s="101"/>
      <c r="CG75" s="120"/>
    </row>
    <row r="76" spans="1:85" ht="21" customHeight="1" x14ac:dyDescent="0.25">
      <c r="A76" s="224">
        <v>55</v>
      </c>
      <c r="C76" s="116" t="s">
        <v>258</v>
      </c>
      <c r="D76" s="271"/>
      <c r="E76" s="271"/>
      <c r="F76" s="157">
        <v>10828.97</v>
      </c>
      <c r="G76" s="278">
        <f t="shared" si="2"/>
        <v>5.5400486231293681E-3</v>
      </c>
      <c r="H76" s="157">
        <v>6655.67</v>
      </c>
      <c r="I76" s="157">
        <v>1016.14</v>
      </c>
      <c r="J76" s="158">
        <v>3157.16</v>
      </c>
      <c r="K76" s="69">
        <f t="shared" si="3"/>
        <v>0.29154758024078004</v>
      </c>
      <c r="L76" s="216"/>
      <c r="M76" s="135" t="s">
        <v>609</v>
      </c>
      <c r="N76" s="216"/>
      <c r="O76" s="64">
        <f t="shared" ca="1" si="4"/>
        <v>-12.825585229146061</v>
      </c>
      <c r="P76" s="216"/>
      <c r="Q76" s="135"/>
      <c r="R76" s="306"/>
      <c r="S76" s="216"/>
      <c r="T76" s="92" t="str">
        <f t="shared" si="1"/>
        <v>28/02/2017</v>
      </c>
      <c r="U76" s="216"/>
      <c r="V76" s="249" t="s">
        <v>135</v>
      </c>
      <c r="W76" s="216"/>
      <c r="X76" s="119" t="s">
        <v>145</v>
      </c>
      <c r="Y76" s="119" t="s">
        <v>146</v>
      </c>
      <c r="Z76" s="117" t="s">
        <v>10</v>
      </c>
      <c r="AA76" s="195" t="s">
        <v>9</v>
      </c>
      <c r="AB76" s="234">
        <v>42290</v>
      </c>
      <c r="AC76" s="117" t="s">
        <v>145</v>
      </c>
      <c r="AD76" s="117" t="s">
        <v>163</v>
      </c>
      <c r="AE76" s="117" t="s">
        <v>10</v>
      </c>
      <c r="AF76" s="195" t="s">
        <v>9</v>
      </c>
      <c r="AG76" s="234">
        <v>42314</v>
      </c>
      <c r="AH76" s="117" t="s">
        <v>145</v>
      </c>
      <c r="AI76" s="117" t="s">
        <v>163</v>
      </c>
      <c r="AJ76" s="195"/>
      <c r="AK76" s="195"/>
      <c r="AL76" s="195"/>
      <c r="AM76" s="195"/>
      <c r="AN76" s="195"/>
      <c r="AO76" s="195" t="s">
        <v>10</v>
      </c>
      <c r="AP76" s="195" t="s">
        <v>9</v>
      </c>
      <c r="AQ76" s="195" t="s">
        <v>396</v>
      </c>
      <c r="AR76" s="197" t="s">
        <v>374</v>
      </c>
      <c r="AS76" s="195" t="s">
        <v>369</v>
      </c>
      <c r="AT76" s="195" t="s">
        <v>10</v>
      </c>
      <c r="AU76" s="195" t="s">
        <v>9</v>
      </c>
      <c r="AV76" s="195" t="s">
        <v>407</v>
      </c>
      <c r="AW76" s="197" t="s">
        <v>374</v>
      </c>
      <c r="AX76" s="195" t="s">
        <v>369</v>
      </c>
      <c r="AY76" s="195" t="s">
        <v>10</v>
      </c>
      <c r="AZ76" s="195" t="s">
        <v>9</v>
      </c>
      <c r="BA76" s="195" t="s">
        <v>372</v>
      </c>
      <c r="BB76" s="197" t="s">
        <v>374</v>
      </c>
      <c r="BC76" s="195" t="s">
        <v>369</v>
      </c>
      <c r="BD76" s="195" t="s">
        <v>10</v>
      </c>
      <c r="BE76" s="195" t="s">
        <v>9</v>
      </c>
      <c r="BF76" s="195" t="s">
        <v>385</v>
      </c>
      <c r="BG76" s="197" t="s">
        <v>374</v>
      </c>
      <c r="BH76" s="195" t="s">
        <v>369</v>
      </c>
      <c r="BI76" s="195" t="s">
        <v>10</v>
      </c>
      <c r="BJ76" s="195" t="s">
        <v>9</v>
      </c>
      <c r="BK76" s="195" t="s">
        <v>424</v>
      </c>
      <c r="BL76" s="197" t="s">
        <v>374</v>
      </c>
      <c r="BM76" s="195" t="s">
        <v>369</v>
      </c>
      <c r="BN76" s="195" t="s">
        <v>10</v>
      </c>
      <c r="BO76" s="195" t="s">
        <v>9</v>
      </c>
      <c r="BP76" s="195" t="s">
        <v>444</v>
      </c>
      <c r="BQ76" s="197" t="s">
        <v>374</v>
      </c>
      <c r="BR76" s="195" t="s">
        <v>448</v>
      </c>
      <c r="BS76" s="195" t="s">
        <v>10</v>
      </c>
      <c r="BT76" s="195" t="s">
        <v>9</v>
      </c>
      <c r="BU76" s="195" t="s">
        <v>446</v>
      </c>
      <c r="BV76" s="197" t="s">
        <v>374</v>
      </c>
      <c r="BW76" s="195" t="s">
        <v>447</v>
      </c>
      <c r="BX76" s="195"/>
      <c r="BY76" s="192"/>
      <c r="BZ76" s="192"/>
      <c r="CA76" s="192"/>
      <c r="CB76" s="192"/>
      <c r="CC76" s="192"/>
      <c r="CD76" s="192"/>
      <c r="CE76" s="192"/>
      <c r="CF76" s="101"/>
      <c r="CG76" s="120"/>
    </row>
    <row r="77" spans="1:85" ht="21" customHeight="1" x14ac:dyDescent="0.25">
      <c r="A77" s="224">
        <v>56</v>
      </c>
      <c r="C77" s="116" t="s">
        <v>259</v>
      </c>
      <c r="D77" s="271" t="s">
        <v>521</v>
      </c>
      <c r="E77" s="271"/>
      <c r="F77" s="155">
        <v>10733.37</v>
      </c>
      <c r="G77" s="278">
        <f t="shared" si="2"/>
        <v>5.4911401259804095E-3</v>
      </c>
      <c r="H77" s="155">
        <v>8242.02</v>
      </c>
      <c r="I77" s="155">
        <v>752.99999999999898</v>
      </c>
      <c r="J77" s="156">
        <v>1738.35</v>
      </c>
      <c r="K77" s="69">
        <f t="shared" si="3"/>
        <v>0.1619575212631261</v>
      </c>
      <c r="L77" s="218"/>
      <c r="M77" s="222" t="s">
        <v>83</v>
      </c>
      <c r="N77" s="218"/>
      <c r="O77" s="64">
        <f t="shared" ca="1" si="4"/>
        <v>-4.7477744807121667</v>
      </c>
      <c r="P77" s="218"/>
      <c r="Q77" s="222" t="s">
        <v>591</v>
      </c>
      <c r="R77" s="306">
        <v>12</v>
      </c>
      <c r="S77" s="218"/>
      <c r="T77" s="92">
        <f t="shared" si="1"/>
        <v>43039</v>
      </c>
      <c r="U77" s="218"/>
      <c r="V77" s="222" t="s">
        <v>135</v>
      </c>
      <c r="W77" s="218"/>
      <c r="X77" s="190" t="s">
        <v>36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  <c r="AM77" s="101"/>
      <c r="AN77" s="101"/>
      <c r="AO77" s="101"/>
      <c r="AP77" s="101"/>
      <c r="AQ77" s="101"/>
      <c r="AR77" s="101"/>
      <c r="AS77" s="101"/>
      <c r="AT77" s="101"/>
      <c r="AU77" s="101"/>
      <c r="AV77" s="101"/>
      <c r="AW77" s="101"/>
      <c r="AX77" s="101"/>
      <c r="AY77" s="194" t="s">
        <v>12</v>
      </c>
      <c r="AZ77" s="194" t="s">
        <v>9</v>
      </c>
      <c r="BA77" s="194" t="s">
        <v>89</v>
      </c>
      <c r="BB77" s="194" t="s">
        <v>487</v>
      </c>
      <c r="BC77" s="194" t="s">
        <v>493</v>
      </c>
      <c r="BD77" s="194" t="s">
        <v>12</v>
      </c>
      <c r="BE77" s="194" t="s">
        <v>9</v>
      </c>
      <c r="BF77" s="194" t="s">
        <v>505</v>
      </c>
      <c r="BG77" s="194" t="s">
        <v>487</v>
      </c>
      <c r="BH77" s="194" t="s">
        <v>493</v>
      </c>
      <c r="BI77" s="194"/>
      <c r="BJ77" s="194"/>
      <c r="BK77" s="194"/>
      <c r="BL77" s="194"/>
      <c r="BM77" s="194"/>
      <c r="BN77" s="194"/>
      <c r="BO77" s="194"/>
      <c r="BP77" s="194"/>
      <c r="BQ77" s="194"/>
      <c r="BR77" s="194"/>
      <c r="BS77" s="194"/>
      <c r="BT77" s="194"/>
      <c r="BU77" s="194"/>
      <c r="BV77" s="194"/>
      <c r="BW77" s="194"/>
      <c r="BX77" s="194"/>
      <c r="BY77" s="192"/>
      <c r="BZ77" s="192"/>
      <c r="CA77" s="192"/>
      <c r="CB77" s="192"/>
      <c r="CC77" s="192"/>
      <c r="CD77" s="192"/>
      <c r="CE77" s="192"/>
      <c r="CF77" s="101"/>
      <c r="CG77" s="120"/>
    </row>
    <row r="78" spans="1:85" ht="21" customHeight="1" x14ac:dyDescent="0.25">
      <c r="A78" s="224">
        <v>57</v>
      </c>
      <c r="C78" s="116" t="s">
        <v>238</v>
      </c>
      <c r="D78" s="271" t="s">
        <v>521</v>
      </c>
      <c r="E78" s="271"/>
      <c r="F78" s="155">
        <v>10708.38</v>
      </c>
      <c r="G78" s="278">
        <f t="shared" si="2"/>
        <v>5.4783553629704452E-3</v>
      </c>
      <c r="H78" s="155">
        <v>7376.66</v>
      </c>
      <c r="I78" s="155">
        <v>840.31</v>
      </c>
      <c r="J78" s="156">
        <v>2491.4100000000099</v>
      </c>
      <c r="K78" s="69">
        <f t="shared" si="3"/>
        <v>0.23265984210496921</v>
      </c>
      <c r="L78" s="236"/>
      <c r="M78" s="235">
        <v>42886</v>
      </c>
      <c r="N78" s="236"/>
      <c r="O78" s="64">
        <f t="shared" ca="1" si="4"/>
        <v>-9.7922848664688438</v>
      </c>
      <c r="P78" s="236"/>
      <c r="Q78" s="235"/>
      <c r="R78" s="306"/>
      <c r="S78" s="236"/>
      <c r="T78" s="92">
        <f t="shared" si="1"/>
        <v>42886</v>
      </c>
      <c r="U78" s="236"/>
      <c r="V78" s="138"/>
      <c r="W78" s="236"/>
      <c r="X78" s="244"/>
      <c r="Y78" s="102"/>
      <c r="Z78" s="204"/>
      <c r="AA78" s="204"/>
      <c r="AB78" s="204"/>
      <c r="AC78" s="204"/>
      <c r="AD78" s="204"/>
      <c r="AE78" s="204"/>
      <c r="AF78" s="204"/>
      <c r="AG78" s="204"/>
      <c r="AH78" s="204"/>
      <c r="AI78" s="204"/>
      <c r="AJ78" s="204"/>
      <c r="AK78" s="204"/>
      <c r="AL78" s="204"/>
      <c r="AM78" s="204"/>
      <c r="AN78" s="204"/>
      <c r="AO78" s="204"/>
      <c r="AP78" s="204"/>
      <c r="AQ78" s="204"/>
      <c r="AR78" s="204"/>
      <c r="AS78" s="204"/>
      <c r="AT78" s="204"/>
      <c r="AU78" s="204"/>
      <c r="AV78" s="204"/>
      <c r="AW78" s="204"/>
      <c r="AX78" s="204"/>
      <c r="AY78" s="204"/>
      <c r="AZ78" s="204"/>
      <c r="BA78" s="204"/>
      <c r="BB78" s="204"/>
      <c r="BC78" s="204"/>
      <c r="BD78" s="204" t="s">
        <v>12</v>
      </c>
      <c r="BE78" s="204" t="s">
        <v>11</v>
      </c>
      <c r="BF78" s="204" t="s">
        <v>275</v>
      </c>
      <c r="BG78" s="204" t="s">
        <v>485</v>
      </c>
      <c r="BH78" s="204" t="s">
        <v>486</v>
      </c>
      <c r="BI78" s="204"/>
      <c r="BJ78" s="204"/>
      <c r="BK78" s="204"/>
      <c r="BL78" s="204"/>
      <c r="BM78" s="204"/>
      <c r="BN78" s="204"/>
      <c r="BO78" s="204"/>
      <c r="BP78" s="204"/>
      <c r="BQ78" s="204"/>
      <c r="BR78" s="204"/>
      <c r="BS78" s="204"/>
      <c r="BT78" s="204"/>
      <c r="BU78" s="204"/>
      <c r="BV78" s="204"/>
      <c r="BW78" s="204"/>
      <c r="BX78" s="101"/>
      <c r="BY78" s="192"/>
      <c r="BZ78" s="192"/>
      <c r="CA78" s="192"/>
      <c r="CB78" s="192"/>
      <c r="CC78" s="192"/>
      <c r="CD78" s="192"/>
      <c r="CE78" s="192"/>
      <c r="CF78" s="101"/>
      <c r="CG78" s="120"/>
    </row>
    <row r="79" spans="1:85" ht="21" customHeight="1" x14ac:dyDescent="0.25">
      <c r="A79" s="224">
        <v>58</v>
      </c>
      <c r="B79" s="232" t="s">
        <v>603</v>
      </c>
      <c r="C79" s="116" t="s">
        <v>260</v>
      </c>
      <c r="D79" s="271" t="s">
        <v>548</v>
      </c>
      <c r="E79" s="275" t="s">
        <v>527</v>
      </c>
      <c r="F79" s="157">
        <v>10698.87</v>
      </c>
      <c r="G79" s="278">
        <f t="shared" si="2"/>
        <v>5.4734900930134738E-3</v>
      </c>
      <c r="H79" s="157">
        <v>7466.02</v>
      </c>
      <c r="I79" s="157">
        <v>340.89</v>
      </c>
      <c r="J79" s="158">
        <v>2891.96</v>
      </c>
      <c r="K79" s="69">
        <f t="shared" si="3"/>
        <v>0.2703051817621861</v>
      </c>
      <c r="L79" s="218"/>
      <c r="M79" s="222" t="s">
        <v>27</v>
      </c>
      <c r="N79" s="218"/>
      <c r="O79" s="64">
        <f t="shared" ca="1" si="4"/>
        <v>-14.770853939993406</v>
      </c>
      <c r="P79" s="218"/>
      <c r="Q79" s="222"/>
      <c r="R79" s="306"/>
      <c r="S79" s="218"/>
      <c r="T79" s="92" t="str">
        <f t="shared" si="1"/>
        <v>31/12/2016</v>
      </c>
      <c r="U79" s="218"/>
      <c r="V79" s="222" t="s">
        <v>552</v>
      </c>
      <c r="W79" s="218"/>
      <c r="X79" s="190" t="s">
        <v>37</v>
      </c>
      <c r="Y79" s="190" t="s">
        <v>48</v>
      </c>
      <c r="Z79" s="190" t="s">
        <v>14</v>
      </c>
      <c r="AA79" s="190" t="s">
        <v>11</v>
      </c>
      <c r="AB79" s="190" t="s">
        <v>47</v>
      </c>
      <c r="AC79" s="190" t="s">
        <v>42</v>
      </c>
      <c r="AD79" s="190" t="s">
        <v>48</v>
      </c>
      <c r="AE79" s="190" t="s">
        <v>14</v>
      </c>
      <c r="AF79" s="190" t="s">
        <v>11</v>
      </c>
      <c r="AG79" s="190" t="s">
        <v>49</v>
      </c>
      <c r="AH79" s="190" t="s">
        <v>42</v>
      </c>
      <c r="AI79" s="190" t="s">
        <v>48</v>
      </c>
      <c r="AJ79" s="190" t="s">
        <v>14</v>
      </c>
      <c r="AK79" s="190" t="s">
        <v>11</v>
      </c>
      <c r="AL79" s="190" t="s">
        <v>50</v>
      </c>
      <c r="AM79" s="190" t="s">
        <v>42</v>
      </c>
      <c r="AN79" s="190" t="s">
        <v>48</v>
      </c>
      <c r="AO79" s="190" t="s">
        <v>14</v>
      </c>
      <c r="AP79" s="190" t="s">
        <v>11</v>
      </c>
      <c r="AQ79" s="190" t="s">
        <v>54</v>
      </c>
      <c r="AR79" s="190" t="s">
        <v>42</v>
      </c>
      <c r="AS79" s="190" t="s">
        <v>48</v>
      </c>
      <c r="AT79" s="190" t="s">
        <v>12</v>
      </c>
      <c r="AU79" s="190" t="s">
        <v>11</v>
      </c>
      <c r="AV79" s="190" t="s">
        <v>55</v>
      </c>
      <c r="AW79" s="190" t="s">
        <v>56</v>
      </c>
      <c r="AX79" s="190" t="s">
        <v>48</v>
      </c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2"/>
      <c r="BW79" s="102"/>
      <c r="BX79" s="102"/>
      <c r="BY79" s="192"/>
      <c r="BZ79" s="192"/>
      <c r="CA79" s="192"/>
      <c r="CB79" s="192"/>
      <c r="CC79" s="192"/>
      <c r="CD79" s="192"/>
      <c r="CE79" s="192"/>
      <c r="CF79" s="101"/>
      <c r="CG79" s="120"/>
    </row>
    <row r="80" spans="1:85" ht="21" customHeight="1" x14ac:dyDescent="0.25">
      <c r="A80" s="224">
        <v>59</v>
      </c>
      <c r="C80" s="116" t="s">
        <v>218</v>
      </c>
      <c r="D80" s="271" t="s">
        <v>521</v>
      </c>
      <c r="E80" s="271"/>
      <c r="F80" s="155">
        <v>10538.74</v>
      </c>
      <c r="G80" s="278">
        <f t="shared" si="2"/>
        <v>5.3915683602889656E-3</v>
      </c>
      <c r="H80" s="155">
        <v>5836.5900000000101</v>
      </c>
      <c r="I80" s="155">
        <v>298.20999999999998</v>
      </c>
      <c r="J80" s="156">
        <v>4403.9399999999896</v>
      </c>
      <c r="K80" s="69">
        <f t="shared" si="3"/>
        <v>0.41788107496721522</v>
      </c>
      <c r="L80" s="216"/>
      <c r="M80" s="135" t="s">
        <v>27</v>
      </c>
      <c r="N80" s="216"/>
      <c r="O80" s="64">
        <f t="shared" ca="1" si="4"/>
        <v>-14.770853939993406</v>
      </c>
      <c r="P80" s="216"/>
      <c r="Q80" s="135"/>
      <c r="R80" s="306"/>
      <c r="S80" s="216"/>
      <c r="T80" s="92" t="str">
        <f t="shared" si="1"/>
        <v>31/12/2016</v>
      </c>
      <c r="U80" s="216"/>
      <c r="V80" s="249" t="s">
        <v>135</v>
      </c>
      <c r="W80" s="216"/>
      <c r="X80" s="119" t="s">
        <v>139</v>
      </c>
      <c r="Y80" s="119" t="s">
        <v>144</v>
      </c>
      <c r="Z80" s="117" t="s">
        <v>10</v>
      </c>
      <c r="AA80" s="195" t="s">
        <v>9</v>
      </c>
      <c r="AB80" s="234">
        <v>42283</v>
      </c>
      <c r="AC80" s="117" t="s">
        <v>139</v>
      </c>
      <c r="AD80" s="117" t="s">
        <v>144</v>
      </c>
      <c r="AE80" s="117" t="s">
        <v>10</v>
      </c>
      <c r="AF80" s="195" t="s">
        <v>9</v>
      </c>
      <c r="AG80" s="234">
        <v>42318</v>
      </c>
      <c r="AH80" s="117" t="s">
        <v>139</v>
      </c>
      <c r="AI80" s="117" t="s">
        <v>144</v>
      </c>
      <c r="AJ80" s="195"/>
      <c r="AK80" s="195"/>
      <c r="AL80" s="195"/>
      <c r="AM80" s="195"/>
      <c r="AN80" s="195"/>
      <c r="AO80" s="195" t="s">
        <v>10</v>
      </c>
      <c r="AP80" s="195" t="s">
        <v>9</v>
      </c>
      <c r="AQ80" s="195" t="s">
        <v>395</v>
      </c>
      <c r="AR80" s="197" t="s">
        <v>353</v>
      </c>
      <c r="AS80" s="195" t="s">
        <v>144</v>
      </c>
      <c r="AT80" s="195" t="s">
        <v>10</v>
      </c>
      <c r="AU80" s="195" t="s">
        <v>9</v>
      </c>
      <c r="AV80" s="195" t="s">
        <v>410</v>
      </c>
      <c r="AW80" s="195" t="s">
        <v>139</v>
      </c>
      <c r="AX80" s="195" t="s">
        <v>144</v>
      </c>
      <c r="AY80" s="195" t="s">
        <v>10</v>
      </c>
      <c r="AZ80" s="195" t="s">
        <v>9</v>
      </c>
      <c r="BA80" s="195" t="s">
        <v>371</v>
      </c>
      <c r="BB80" s="195" t="s">
        <v>145</v>
      </c>
      <c r="BC80" s="195" t="s">
        <v>370</v>
      </c>
      <c r="BD80" s="195" t="s">
        <v>10</v>
      </c>
      <c r="BE80" s="195" t="s">
        <v>9</v>
      </c>
      <c r="BF80" s="195" t="s">
        <v>382</v>
      </c>
      <c r="BG80" s="195" t="s">
        <v>139</v>
      </c>
      <c r="BH80" s="195" t="s">
        <v>144</v>
      </c>
      <c r="BI80" s="195" t="s">
        <v>10</v>
      </c>
      <c r="BJ80" s="195" t="s">
        <v>9</v>
      </c>
      <c r="BK80" s="195" t="s">
        <v>420</v>
      </c>
      <c r="BL80" s="195" t="s">
        <v>139</v>
      </c>
      <c r="BM80" s="195" t="s">
        <v>144</v>
      </c>
      <c r="BN80" s="195" t="s">
        <v>10</v>
      </c>
      <c r="BO80" s="195" t="s">
        <v>9</v>
      </c>
      <c r="BP80" s="195" t="s">
        <v>449</v>
      </c>
      <c r="BQ80" s="195" t="s">
        <v>139</v>
      </c>
      <c r="BR80" s="195" t="s">
        <v>144</v>
      </c>
      <c r="BS80" s="195" t="s">
        <v>10</v>
      </c>
      <c r="BT80" s="195" t="s">
        <v>9</v>
      </c>
      <c r="BU80" s="195"/>
      <c r="BV80" s="195" t="s">
        <v>139</v>
      </c>
      <c r="BW80" s="195" t="s">
        <v>144</v>
      </c>
      <c r="BX80" s="195"/>
      <c r="BY80" s="192"/>
      <c r="BZ80" s="192"/>
      <c r="CA80" s="192"/>
      <c r="CB80" s="192"/>
      <c r="CC80" s="192"/>
      <c r="CD80" s="192"/>
      <c r="CE80" s="192"/>
      <c r="CF80" s="101"/>
      <c r="CG80" s="120"/>
    </row>
    <row r="81" spans="1:85" ht="21" customHeight="1" thickBot="1" x14ac:dyDescent="0.3">
      <c r="A81" s="224">
        <v>60</v>
      </c>
      <c r="C81" s="121" t="s">
        <v>243</v>
      </c>
      <c r="D81" s="273" t="s">
        <v>521</v>
      </c>
      <c r="E81" s="273"/>
      <c r="F81" s="160">
        <v>10345.540000000001</v>
      </c>
      <c r="G81" s="279">
        <f t="shared" si="2"/>
        <v>5.2927281756741237E-3</v>
      </c>
      <c r="H81" s="160">
        <v>8234.36</v>
      </c>
      <c r="I81" s="160">
        <v>334.82</v>
      </c>
      <c r="J81" s="161">
        <v>1776.36</v>
      </c>
      <c r="K81" s="70">
        <f t="shared" si="3"/>
        <v>0.17170297538842821</v>
      </c>
      <c r="L81" s="216"/>
      <c r="M81" s="136" t="s">
        <v>612</v>
      </c>
      <c r="N81" s="216"/>
      <c r="O81" s="65">
        <f t="shared" ca="1" si="4"/>
        <v>-12.792614573030004</v>
      </c>
      <c r="P81" s="216"/>
      <c r="Q81" s="136"/>
      <c r="R81" s="307"/>
      <c r="S81" s="216"/>
      <c r="T81" s="93" t="str">
        <f t="shared" si="1"/>
        <v>01/03/2017</v>
      </c>
      <c r="U81" s="216"/>
      <c r="V81" s="253"/>
      <c r="W81" s="216"/>
      <c r="X81" s="122"/>
      <c r="Y81" s="122"/>
      <c r="Z81" s="123"/>
      <c r="AA81" s="209"/>
      <c r="AB81" s="245"/>
      <c r="AC81" s="210"/>
      <c r="AD81" s="123"/>
      <c r="AE81" s="123"/>
      <c r="AF81" s="209"/>
      <c r="AG81" s="245"/>
      <c r="AH81" s="210"/>
      <c r="AI81" s="123"/>
      <c r="AJ81" s="209"/>
      <c r="AK81" s="209"/>
      <c r="AL81" s="209"/>
      <c r="AM81" s="209"/>
      <c r="AN81" s="209"/>
      <c r="AO81" s="209" t="s">
        <v>10</v>
      </c>
      <c r="AP81" s="209" t="s">
        <v>9</v>
      </c>
      <c r="AQ81" s="209" t="s">
        <v>397</v>
      </c>
      <c r="AR81" s="211" t="s">
        <v>383</v>
      </c>
      <c r="AS81" s="211" t="s">
        <v>398</v>
      </c>
      <c r="AT81" s="209" t="s">
        <v>10</v>
      </c>
      <c r="AU81" s="209" t="s">
        <v>9</v>
      </c>
      <c r="AV81" s="209" t="s">
        <v>407</v>
      </c>
      <c r="AW81" s="211" t="s">
        <v>383</v>
      </c>
      <c r="AX81" s="209" t="s">
        <v>367</v>
      </c>
      <c r="AY81" s="209" t="s">
        <v>10</v>
      </c>
      <c r="AZ81" s="209" t="s">
        <v>9</v>
      </c>
      <c r="BA81" s="209"/>
      <c r="BB81" s="209" t="s">
        <v>368</v>
      </c>
      <c r="BC81" s="209" t="s">
        <v>367</v>
      </c>
      <c r="BD81" s="209" t="s">
        <v>10</v>
      </c>
      <c r="BE81" s="209" t="s">
        <v>9</v>
      </c>
      <c r="BF81" s="209" t="s">
        <v>376</v>
      </c>
      <c r="BG81" s="211" t="s">
        <v>383</v>
      </c>
      <c r="BH81" s="209" t="s">
        <v>367</v>
      </c>
      <c r="BI81" s="209" t="s">
        <v>10</v>
      </c>
      <c r="BJ81" s="209" t="s">
        <v>9</v>
      </c>
      <c r="BK81" s="209" t="s">
        <v>416</v>
      </c>
      <c r="BL81" s="211" t="s">
        <v>383</v>
      </c>
      <c r="BM81" s="209" t="s">
        <v>367</v>
      </c>
      <c r="BN81" s="209" t="s">
        <v>10</v>
      </c>
      <c r="BO81" s="209" t="s">
        <v>9</v>
      </c>
      <c r="BP81" s="209" t="s">
        <v>445</v>
      </c>
      <c r="BQ81" s="211" t="s">
        <v>383</v>
      </c>
      <c r="BR81" s="209" t="s">
        <v>367</v>
      </c>
      <c r="BS81" s="209" t="s">
        <v>10</v>
      </c>
      <c r="BT81" s="209" t="s">
        <v>9</v>
      </c>
      <c r="BU81" s="209" t="s">
        <v>442</v>
      </c>
      <c r="BV81" s="211" t="s">
        <v>383</v>
      </c>
      <c r="BW81" s="209" t="s">
        <v>367</v>
      </c>
      <c r="BX81" s="209"/>
      <c r="BY81" s="212"/>
      <c r="BZ81" s="212"/>
      <c r="CA81" s="212"/>
      <c r="CB81" s="212"/>
      <c r="CC81" s="212"/>
      <c r="CD81" s="212"/>
      <c r="CE81" s="212"/>
      <c r="CF81" s="246"/>
      <c r="CG81" s="247"/>
    </row>
    <row r="98" spans="22:22" x14ac:dyDescent="0.25">
      <c r="V98" s="95"/>
    </row>
    <row r="144" spans="22:22" x14ac:dyDescent="0.25">
      <c r="V144" s="95"/>
    </row>
  </sheetData>
  <sheetProtection algorithmName="SHA-512" hashValue="CDrpZ0nojw3rnZuYYdOjxVrUPYz0KnDKzApl0lh/wmvHEJxwtwQqs6JP/lrBpYyAGonTRwJT3y5oOe1vfqb5xw==" saltValue="NwqKOz0C1sKTKLpjIIzxnQ==" spinCount="100000" sheet="1" objects="1" scenarios="1"/>
  <mergeCells count="34">
    <mergeCell ref="C15:C17"/>
    <mergeCell ref="W9:AB9"/>
    <mergeCell ref="W6:Z6"/>
    <mergeCell ref="S6:T6"/>
    <mergeCell ref="S7:T7"/>
    <mergeCell ref="Q17:R17"/>
    <mergeCell ref="F15:K15"/>
    <mergeCell ref="F16:K16"/>
    <mergeCell ref="W4:Z4"/>
    <mergeCell ref="W7:Z7"/>
    <mergeCell ref="O9:R9"/>
    <mergeCell ref="O11:R11"/>
    <mergeCell ref="O12:R12"/>
    <mergeCell ref="S9:T9"/>
    <mergeCell ref="S11:T11"/>
    <mergeCell ref="S12:T12"/>
    <mergeCell ref="O4:R4"/>
    <mergeCell ref="O6:R6"/>
    <mergeCell ref="O7:R7"/>
    <mergeCell ref="S4:T4"/>
    <mergeCell ref="W11:Z11"/>
    <mergeCell ref="W12:Z12"/>
    <mergeCell ref="CC15:CG16"/>
    <mergeCell ref="BD15:BH16"/>
    <mergeCell ref="Z15:AD16"/>
    <mergeCell ref="AE15:AI16"/>
    <mergeCell ref="AJ15:AN16"/>
    <mergeCell ref="AO15:AS16"/>
    <mergeCell ref="AT15:AX16"/>
    <mergeCell ref="AY15:BC16"/>
    <mergeCell ref="BI15:BM16"/>
    <mergeCell ref="BN15:BR16"/>
    <mergeCell ref="BS15:BW16"/>
    <mergeCell ref="BX15:CB16"/>
  </mergeCells>
  <conditionalFormatting sqref="K21:K81">
    <cfRule type="iconSet" priority="1">
      <iconSet>
        <cfvo type="percent" val="0"/>
        <cfvo type="percent" val="9"/>
        <cfvo type="percent" val="20"/>
      </iconSet>
    </cfRule>
  </conditionalFormatting>
  <dataValidations count="5">
    <dataValidation type="list" allowBlank="1" showInputMessage="1" showErrorMessage="1" sqref="Q21:Q81">
      <formula1>OuiNon</formula1>
    </dataValidation>
    <dataValidation type="list" allowBlank="1" showInputMessage="1" showErrorMessage="1" sqref="R21:R81">
      <formula1>Reconduction</formula1>
    </dataValidation>
    <dataValidation type="list" allowBlank="1" showInputMessage="1" showErrorMessage="1" sqref="V21:V81">
      <formula1>Risque</formula1>
    </dataValidation>
    <dataValidation type="list" allowBlank="1" showInputMessage="1" showErrorMessage="1" sqref="D21:D81">
      <formula1>Origine</formula1>
    </dataValidation>
    <dataValidation type="list" allowBlank="1" showInputMessage="1" showErrorMessage="1" sqref="E21:E81">
      <formula1>Statut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O166"/>
  <sheetViews>
    <sheetView topLeftCell="A4" zoomScale="85" zoomScaleNormal="85" workbookViewId="0">
      <selection activeCell="AU33" sqref="AU33"/>
    </sheetView>
  </sheetViews>
  <sheetFormatPr baseColWidth="10" defaultRowHeight="16.5" x14ac:dyDescent="0.25"/>
  <cols>
    <col min="1" max="1" width="3.7109375" style="369" bestFit="1" customWidth="1"/>
    <col min="2" max="2" width="3.140625" style="36" bestFit="1" customWidth="1"/>
    <col min="3" max="3" width="45.7109375" style="16" customWidth="1"/>
    <col min="4" max="4" width="0.5703125" style="59" customWidth="1"/>
    <col min="5" max="5" width="6.7109375" style="84" customWidth="1"/>
    <col min="6" max="6" width="0.5703125" style="59" customWidth="1"/>
    <col min="7" max="7" width="15.7109375" style="16" customWidth="1"/>
    <col min="8" max="8" width="3" style="59" customWidth="1"/>
    <col min="9" max="9" width="45.7109375" style="16" customWidth="1"/>
    <col min="10" max="10" width="0.5703125" style="59" customWidth="1"/>
    <col min="11" max="11" width="6.7109375" style="16" customWidth="1"/>
    <col min="12" max="12" width="0.5703125" style="59" customWidth="1"/>
    <col min="13" max="13" width="15.7109375" style="16" customWidth="1"/>
    <col min="14" max="14" width="3.7109375" style="59" customWidth="1"/>
    <col min="15" max="15" width="45.7109375" style="16" customWidth="1"/>
    <col min="16" max="16" width="0.5703125" style="59" customWidth="1"/>
    <col min="17" max="17" width="6.7109375" style="16" customWidth="1"/>
    <col min="18" max="18" width="0.5703125" style="59" customWidth="1"/>
    <col min="19" max="19" width="15.7109375" style="16" customWidth="1"/>
    <col min="20" max="20" width="12.7109375" bestFit="1" customWidth="1"/>
    <col min="29" max="29" width="11.28515625" customWidth="1"/>
  </cols>
  <sheetData>
    <row r="1" spans="1:41" x14ac:dyDescent="0.25">
      <c r="C1" s="16" t="s">
        <v>539</v>
      </c>
      <c r="G1" s="108"/>
      <c r="I1" s="42"/>
      <c r="K1" s="42"/>
      <c r="M1" s="319"/>
      <c r="S1" s="320"/>
      <c r="U1" s="354">
        <f>SUM(U2:U4)</f>
        <v>0</v>
      </c>
      <c r="V1" s="108"/>
      <c r="W1" s="356"/>
      <c r="X1" s="357"/>
    </row>
    <row r="2" spans="1:41" x14ac:dyDescent="0.25">
      <c r="C2" s="16" t="s">
        <v>540</v>
      </c>
      <c r="G2" s="108"/>
      <c r="I2" s="42"/>
      <c r="K2" s="42"/>
      <c r="M2" s="319"/>
      <c r="S2" s="320"/>
      <c r="T2" s="108" t="s">
        <v>539</v>
      </c>
      <c r="U2" s="355">
        <f>G8</f>
        <v>0</v>
      </c>
      <c r="V2" s="108" t="s">
        <v>539</v>
      </c>
      <c r="W2" s="356">
        <f>-U2</f>
        <v>0</v>
      </c>
      <c r="X2" s="357" t="e">
        <f>U2/$U$1</f>
        <v>#DIV/0!</v>
      </c>
      <c r="AC2" s="358" t="s">
        <v>539</v>
      </c>
      <c r="AD2" s="361">
        <f>U2</f>
        <v>0</v>
      </c>
      <c r="AE2" s="364">
        <f>C8</f>
        <v>18</v>
      </c>
      <c r="AG2" s="355"/>
      <c r="AM2" s="358" t="s">
        <v>539</v>
      </c>
      <c r="AN2" s="361">
        <v>140109.56000000003</v>
      </c>
      <c r="AO2" s="364">
        <v>81</v>
      </c>
    </row>
    <row r="3" spans="1:41" x14ac:dyDescent="0.25">
      <c r="C3" s="16" t="s">
        <v>628</v>
      </c>
      <c r="G3" s="108"/>
      <c r="I3" s="42"/>
      <c r="K3" s="42"/>
      <c r="M3" s="319"/>
      <c r="P3" s="16"/>
      <c r="R3" s="16"/>
      <c r="S3" s="320"/>
      <c r="T3" s="108" t="s">
        <v>540</v>
      </c>
      <c r="U3" s="355">
        <f>M8</f>
        <v>0</v>
      </c>
      <c r="V3" s="108" t="s">
        <v>540</v>
      </c>
      <c r="W3" s="356">
        <f>-U3</f>
        <v>0</v>
      </c>
      <c r="X3" s="357" t="e">
        <f>U3/$U$1</f>
        <v>#DIV/0!</v>
      </c>
      <c r="AC3" s="359" t="s">
        <v>540</v>
      </c>
      <c r="AD3" s="362">
        <f>U3</f>
        <v>0</v>
      </c>
      <c r="AE3" s="365">
        <f>I8</f>
        <v>21</v>
      </c>
      <c r="AM3" s="359" t="s">
        <v>540</v>
      </c>
      <c r="AN3" s="362">
        <v>1056487.44</v>
      </c>
      <c r="AO3" s="365">
        <v>82</v>
      </c>
    </row>
    <row r="4" spans="1:41" x14ac:dyDescent="0.25">
      <c r="T4" s="108" t="s">
        <v>628</v>
      </c>
      <c r="U4" s="355">
        <f>S8</f>
        <v>0</v>
      </c>
      <c r="V4" s="108" t="s">
        <v>628</v>
      </c>
      <c r="W4" s="356">
        <f>-U4</f>
        <v>0</v>
      </c>
      <c r="X4" s="357" t="e">
        <f>U4/$U$1</f>
        <v>#DIV/0!</v>
      </c>
      <c r="AC4" s="360" t="s">
        <v>628</v>
      </c>
      <c r="AD4" s="363">
        <f>U4</f>
        <v>0</v>
      </c>
      <c r="AE4" s="366">
        <f>O8</f>
        <v>9</v>
      </c>
      <c r="AG4" s="355"/>
      <c r="AM4" s="360" t="s">
        <v>628</v>
      </c>
      <c r="AN4" s="363">
        <v>125826.84000000001</v>
      </c>
      <c r="AO4" s="366">
        <v>81</v>
      </c>
    </row>
    <row r="5" spans="1:41" ht="2.4500000000000002" customHeight="1" x14ac:dyDescent="0.25"/>
    <row r="6" spans="1:41" s="16" customFormat="1" ht="19.899999999999999" customHeight="1" x14ac:dyDescent="0.25">
      <c r="A6" s="15"/>
      <c r="B6" s="36"/>
      <c r="C6" s="321" t="s">
        <v>598</v>
      </c>
      <c r="D6" s="322"/>
      <c r="E6" s="323" t="s">
        <v>629</v>
      </c>
      <c r="F6" s="322"/>
      <c r="G6" s="321" t="s">
        <v>539</v>
      </c>
      <c r="H6" s="324"/>
      <c r="I6" s="321" t="s">
        <v>598</v>
      </c>
      <c r="J6" s="322"/>
      <c r="K6" s="323" t="s">
        <v>629</v>
      </c>
      <c r="L6" s="322"/>
      <c r="M6" s="321" t="s">
        <v>540</v>
      </c>
      <c r="N6" s="324"/>
      <c r="O6" s="321"/>
      <c r="P6" s="322"/>
      <c r="Q6" s="323"/>
      <c r="R6" s="322"/>
      <c r="S6" s="321"/>
      <c r="AD6" s="368">
        <f>SUM(AD2:AD5)</f>
        <v>0</v>
      </c>
      <c r="AM6" s="360" t="s">
        <v>631</v>
      </c>
      <c r="AN6" s="363">
        <f>SUM(AN2:AN4)</f>
        <v>1322423.8400000001</v>
      </c>
      <c r="AO6" s="366">
        <f>SUM(AO2:AO4)</f>
        <v>244</v>
      </c>
    </row>
    <row r="7" spans="1:41" s="16" customFormat="1" ht="2.25" customHeight="1" x14ac:dyDescent="0.25">
      <c r="A7" s="15"/>
      <c r="B7" s="36"/>
      <c r="D7" s="59"/>
      <c r="E7" s="84"/>
      <c r="F7" s="59"/>
      <c r="H7" s="59"/>
      <c r="I7" s="325"/>
      <c r="J7" s="59"/>
      <c r="K7" s="325"/>
      <c r="L7" s="59"/>
      <c r="N7" s="59"/>
      <c r="P7" s="59"/>
      <c r="R7" s="59"/>
    </row>
    <row r="8" spans="1:41" s="16" customFormat="1" x14ac:dyDescent="0.25">
      <c r="A8" s="15"/>
      <c r="B8" s="36"/>
      <c r="C8" s="16">
        <v>18</v>
      </c>
      <c r="D8" s="59"/>
      <c r="E8" s="84"/>
      <c r="F8" s="59"/>
      <c r="G8" s="354">
        <f>SUM(G10:G164)</f>
        <v>0</v>
      </c>
      <c r="H8" s="59"/>
      <c r="I8" s="16">
        <v>21</v>
      </c>
      <c r="J8" s="59"/>
      <c r="K8" s="42"/>
      <c r="L8" s="59"/>
      <c r="M8" s="354">
        <f>SUM(M10:M164)</f>
        <v>0</v>
      </c>
      <c r="N8" s="59"/>
      <c r="O8" s="16">
        <v>9</v>
      </c>
      <c r="Q8" s="311"/>
      <c r="S8" s="354">
        <f>SUM(S10:S164)</f>
        <v>0</v>
      </c>
    </row>
    <row r="9" spans="1:41" s="16" customFormat="1" ht="2.25" customHeight="1" x14ac:dyDescent="0.25">
      <c r="A9" s="15"/>
      <c r="B9" s="36"/>
      <c r="D9" s="59"/>
      <c r="E9" s="84"/>
      <c r="F9" s="59"/>
      <c r="G9" s="329"/>
      <c r="H9" s="59"/>
      <c r="J9" s="59"/>
      <c r="L9" s="59"/>
      <c r="M9" s="330"/>
      <c r="N9" s="59"/>
      <c r="P9" s="59"/>
      <c r="R9" s="59"/>
      <c r="S9" s="329"/>
    </row>
    <row r="10" spans="1:41" s="14" customFormat="1" ht="16.149999999999999" customHeight="1" x14ac:dyDescent="0.25">
      <c r="A10" s="370" t="s">
        <v>602</v>
      </c>
      <c r="B10" s="36">
        <v>1</v>
      </c>
      <c r="C10" s="331" t="str">
        <f t="array" ref="C10">+IFERROR(INDEX(#REF!,SMALL(IF((#REF!&gt;0)*(#REF!&lt;4),ROW(#REF!)-14),ROWS($1:1))),"")</f>
        <v/>
      </c>
      <c r="D10" s="13"/>
      <c r="E10" s="332" t="str">
        <f t="array" ref="E10">+IFERROR(INDEX(#REF!,SMALL(IF((#REF!&gt;0)*(#REF!&lt;4),ROW(#REF!)-14),ROWS($1:1))),"")</f>
        <v/>
      </c>
      <c r="F10" s="13"/>
      <c r="G10" s="333" t="str">
        <f t="array" ref="G10">+IFERROR(INDEX(#REF!,SMALL(IF((#REF!&gt;0)*(#REF!&lt;4),ROW(#REF!)-14),ROWS($1:1))),"")</f>
        <v/>
      </c>
      <c r="H10" s="13"/>
      <c r="I10" s="334" t="str">
        <f t="array" ref="I10">+IFERROR(INDEX(#REF!,SMALL(IF((#REF!&gt;4)*(#REF!&lt;8),ROW(#REF!)-14),ROWS($1:1))),"")</f>
        <v/>
      </c>
      <c r="J10" s="13"/>
      <c r="K10" s="335" t="str">
        <f t="array" ref="K10">+IFERROR(INDEX(#REF!,SMALL(IF((#REF!&gt;4)*(#REF!&lt;8),ROW(#REF!)-14),ROWS($1:1))),"")</f>
        <v/>
      </c>
      <c r="L10" s="13"/>
      <c r="M10" s="336" t="str">
        <f t="array" ref="M10">+IFERROR(INDEX(#REF!,SMALL(IF((#REF!&gt;4)*(#REF!&lt;8),ROW(#REF!)-14),ROWS($1:1))),"")</f>
        <v/>
      </c>
      <c r="N10" s="13"/>
      <c r="O10" s="337" t="str">
        <f t="array" ref="O10">+IFERROR(INDEX(#REF!,SMALL(IF((#REF!&gt;8)*(#REF!&lt;10),ROW(#REF!)-14),ROWS($1:1))),"")</f>
        <v/>
      </c>
      <c r="P10" s="13"/>
      <c r="Q10" s="338" t="str">
        <f t="array" ref="Q10">+IFERROR(INDEX(#REF!,SMALL(IF((#REF!&gt;8)*(#REF!&lt;10),ROW(#REF!)-14),ROWS($1:1))),"")</f>
        <v/>
      </c>
      <c r="R10" s="13"/>
      <c r="S10" s="339" t="str">
        <f t="array" ref="S10">+IFERROR(INDEX(#REF!,SMALL(IF((#REF!&gt;8)*(#REF!&lt;10),ROW(#REF!)-14),ROWS($1:1))),"")</f>
        <v/>
      </c>
      <c r="W10" s="340"/>
      <c r="AD10" s="373" t="s">
        <v>632</v>
      </c>
      <c r="AN10" s="340"/>
    </row>
    <row r="11" spans="1:41" s="14" customFormat="1" ht="16.149999999999999" customHeight="1" x14ac:dyDescent="0.25">
      <c r="A11" s="17"/>
      <c r="B11" s="36">
        <v>2</v>
      </c>
      <c r="C11" s="341" t="str">
        <f t="array" ref="C11">+IFERROR(INDEX(#REF!,SMALL(IF((#REF!&gt;0)*(#REF!&lt;4),ROW(#REF!)-14),ROWS($1:2))),"")</f>
        <v/>
      </c>
      <c r="D11" s="13"/>
      <c r="E11" s="342" t="str">
        <f t="array" ref="E11">+IFERROR(INDEX(#REF!,SMALL(IF((#REF!&gt;0)*(#REF!&lt;4),ROW(#REF!)-14),ROWS($1:2))),"")</f>
        <v/>
      </c>
      <c r="F11" s="13"/>
      <c r="G11" s="343" t="str">
        <f t="array" ref="G11">+IFERROR(INDEX(#REF!,SMALL(IF((#REF!&gt;0)*(#REF!&lt;4),ROW(#REF!)-14),ROWS($1:2))),"")</f>
        <v/>
      </c>
      <c r="H11" s="13"/>
      <c r="I11" s="344" t="str">
        <f t="array" ref="I11">+IFERROR(INDEX(#REF!,SMALL(IF((#REF!&gt;4)*(#REF!&lt;8),ROW(#REF!)-14),ROWS($1:2))),"")</f>
        <v/>
      </c>
      <c r="J11" s="13"/>
      <c r="K11" s="345" t="str">
        <f t="array" ref="K11">+IFERROR(INDEX(#REF!,SMALL(IF((#REF!&gt;4)*(#REF!&lt;8),ROW(#REF!)-14),ROWS($1:2))),"")</f>
        <v/>
      </c>
      <c r="L11" s="13"/>
      <c r="M11" s="346" t="str">
        <f t="array" ref="M11">+IFERROR(INDEX(#REF!,SMALL(IF((#REF!&gt;4)*(#REF!&lt;8),ROW(#REF!)-14),ROWS($1:2))),"")</f>
        <v/>
      </c>
      <c r="N11" s="13"/>
      <c r="O11" s="347" t="str">
        <f t="array" ref="O11">+IFERROR(INDEX(#REF!,SMALL(IF((#REF!&gt;8)*(#REF!&lt;10),ROW(#REF!)-14),ROWS($1:2))),"")</f>
        <v/>
      </c>
      <c r="P11" s="13"/>
      <c r="Q11" s="348" t="str">
        <f t="array" ref="Q11">+IFERROR(INDEX(#REF!,SMALL(IF((#REF!&gt;8)*(#REF!&lt;10),ROW(#REF!)-14),ROWS($1:2))),"")</f>
        <v/>
      </c>
      <c r="R11" s="13"/>
      <c r="S11" s="349" t="str">
        <f t="array" ref="S11">+IFERROR(INDEX(#REF!,SMALL(IF((#REF!&gt;8)*(#REF!&lt;10),ROW(#REF!)-14),ROWS($1:2))),"")</f>
        <v/>
      </c>
      <c r="W11" s="340"/>
      <c r="AC11" s="14" t="s">
        <v>521</v>
      </c>
      <c r="AD11" s="340">
        <f>SUMIFS($G$10:$G$164,$E$10:$E$164,"dcn")+SUMIFS($M$10:$M$164,$K$10:$K$164,"dcn")+SUMIFS($S$10:$S$164,$Q$10:$Q$164,"dcn")</f>
        <v>0</v>
      </c>
      <c r="AN11" s="340"/>
    </row>
    <row r="12" spans="1:41" s="14" customFormat="1" ht="16.149999999999999" customHeight="1" x14ac:dyDescent="0.25">
      <c r="A12" s="17"/>
      <c r="B12" s="36">
        <v>3</v>
      </c>
      <c r="C12" s="331" t="str">
        <f t="array" ref="C12">+IFERROR(INDEX(#REF!,SMALL(IF((#REF!&gt;0)*(#REF!&lt;4),ROW(#REF!)-14),ROWS($1:3))),"")</f>
        <v/>
      </c>
      <c r="D12" s="13"/>
      <c r="E12" s="332" t="str">
        <f t="array" ref="E12">+IFERROR(INDEX(#REF!,SMALL(IF((#REF!&gt;0)*(#REF!&lt;4),ROW(#REF!)-14),ROWS($1:3))),"")</f>
        <v/>
      </c>
      <c r="F12" s="13"/>
      <c r="G12" s="333" t="str">
        <f t="array" ref="G12">+IFERROR(INDEX(#REF!,SMALL(IF((#REF!&gt;0)*(#REF!&lt;4),ROW(#REF!)-14),ROWS($1:3))),"")</f>
        <v/>
      </c>
      <c r="H12" s="13"/>
      <c r="I12" s="334" t="str">
        <f t="array" ref="I12">+IFERROR(INDEX(#REF!,SMALL(IF((#REF!&gt;4)*(#REF!&lt;8),ROW(#REF!)-14),ROWS($1:3))),"")</f>
        <v/>
      </c>
      <c r="J12" s="13"/>
      <c r="K12" s="335" t="str">
        <f t="array" ref="K12">+IFERROR(INDEX(#REF!,SMALL(IF((#REF!&gt;4)*(#REF!&lt;8),ROW(#REF!)-14),ROWS($1:3))),"")</f>
        <v/>
      </c>
      <c r="L12" s="13"/>
      <c r="M12" s="336" t="str">
        <f t="array" ref="M12">+IFERROR(INDEX(#REF!,SMALL(IF((#REF!&gt;4)*(#REF!&lt;8),ROW(#REF!)-14),ROWS($1:3))),"")</f>
        <v/>
      </c>
      <c r="N12" s="13"/>
      <c r="O12" s="337" t="str">
        <f t="array" ref="O12">+IFERROR(INDEX(#REF!,SMALL(IF((#REF!&gt;8)*(#REF!&lt;10),ROW(#REF!)-14),ROWS($1:3))),"")</f>
        <v/>
      </c>
      <c r="P12" s="13"/>
      <c r="Q12" s="338" t="str">
        <f t="array" ref="Q12">+IFERROR(INDEX(#REF!,SMALL(IF((#REF!&gt;8)*(#REF!&lt;10),ROW(#REF!)-14),ROWS($1:3))),"")</f>
        <v/>
      </c>
      <c r="R12" s="13"/>
      <c r="S12" s="339" t="str">
        <f t="array" ref="S12">+IFERROR(INDEX(#REF!,SMALL(IF((#REF!&gt;8)*(#REF!&lt;10),ROW(#REF!)-14),ROWS($1:3))),"")</f>
        <v/>
      </c>
      <c r="W12" s="340"/>
      <c r="AC12" s="14" t="s">
        <v>580</v>
      </c>
      <c r="AD12" s="340">
        <f>SUMIFS($G$10:$G$164,$E$10:$E$164,"dI")+SUMIFS($M$10:$M$164,$K$10:$K$164,"dI")++SUMIFS($S$10:$S$164,$Q$10:$Q$164,"dI")</f>
        <v>0</v>
      </c>
      <c r="AN12" s="340"/>
    </row>
    <row r="13" spans="1:41" s="14" customFormat="1" ht="16.149999999999999" customHeight="1" x14ac:dyDescent="0.25">
      <c r="A13" s="17"/>
      <c r="B13" s="36">
        <v>4</v>
      </c>
      <c r="C13" s="341" t="str">
        <f t="array" ref="C13">+IFERROR(INDEX(#REF!,SMALL(IF((#REF!&gt;0)*(#REF!&lt;4),ROW(#REF!)-14),ROWS($1:4))),"")</f>
        <v/>
      </c>
      <c r="D13" s="13"/>
      <c r="E13" s="342" t="str">
        <f t="array" ref="E13">+IFERROR(INDEX(#REF!,SMALL(IF((#REF!&gt;0)*(#REF!&lt;4),ROW(#REF!)-14),ROWS($1:4))),"")</f>
        <v/>
      </c>
      <c r="F13" s="13"/>
      <c r="G13" s="343" t="str">
        <f t="array" ref="G13">+IFERROR(INDEX(#REF!,SMALL(IF((#REF!&gt;0)*(#REF!&lt;4),ROW(#REF!)-14),ROWS($1:4))),"")</f>
        <v/>
      </c>
      <c r="H13" s="13"/>
      <c r="I13" s="344" t="str">
        <f t="array" ref="I13">+IFERROR(INDEX(#REF!,SMALL(IF((#REF!&gt;4)*(#REF!&lt;8),ROW(#REF!)-14),ROWS($1:4))),"")</f>
        <v/>
      </c>
      <c r="J13" s="13"/>
      <c r="K13" s="345" t="str">
        <f t="array" ref="K13">+IFERROR(INDEX(#REF!,SMALL(IF((#REF!&gt;4)*(#REF!&lt;8),ROW(#REF!)-14),ROWS($1:4))),"")</f>
        <v/>
      </c>
      <c r="L13" s="13"/>
      <c r="M13" s="346" t="str">
        <f t="array" ref="M13">+IFERROR(INDEX(#REF!,SMALL(IF((#REF!&gt;4)*(#REF!&lt;8),ROW(#REF!)-14),ROWS($1:4))),"")</f>
        <v/>
      </c>
      <c r="N13" s="13"/>
      <c r="O13" s="347" t="str">
        <f t="array" ref="O13">+IFERROR(INDEX(#REF!,SMALL(IF((#REF!&gt;8)*(#REF!&lt;10),ROW(#REF!)-14),ROWS($1:4))),"")</f>
        <v/>
      </c>
      <c r="P13" s="13"/>
      <c r="Q13" s="348" t="str">
        <f t="array" ref="Q13">+IFERROR(INDEX(#REF!,SMALL(IF((#REF!&gt;8)*(#REF!&lt;10),ROW(#REF!)-14),ROWS($1:4))),"")</f>
        <v/>
      </c>
      <c r="R13" s="13"/>
      <c r="S13" s="349" t="str">
        <f t="array" ref="S13">+IFERROR(INDEX(#REF!,SMALL(IF((#REF!&gt;8)*(#REF!&lt;10),ROW(#REF!)-14),ROWS($1:4))),"")</f>
        <v/>
      </c>
      <c r="W13" s="340"/>
      <c r="AC13" s="14" t="s">
        <v>548</v>
      </c>
      <c r="AD13" s="340">
        <f>SUMIFS($G$10:$G$164,$E$10:$E$164,"AO")+SUMIFS($M$10:$M$164,$K$10:$K$164,"AO")++SUMIFS($S$10:$S$164,$Q$10:$Q$164,"AO")</f>
        <v>0</v>
      </c>
      <c r="AN13" s="340"/>
    </row>
    <row r="14" spans="1:41" s="14" customFormat="1" ht="16.149999999999999" customHeight="1" x14ac:dyDescent="0.25">
      <c r="A14" s="17"/>
      <c r="B14" s="36">
        <v>5</v>
      </c>
      <c r="C14" s="331" t="str">
        <f t="array" ref="C14">+IFERROR(INDEX(#REF!,SMALL(IF((#REF!&gt;0)*(#REF!&lt;4),ROW(#REF!)-14),ROWS($1:5))),"")</f>
        <v/>
      </c>
      <c r="D14" s="13"/>
      <c r="E14" s="332" t="str">
        <f t="array" ref="E14">+IFERROR(INDEX(#REF!,SMALL(IF((#REF!&gt;0)*(#REF!&lt;4),ROW(#REF!)-14),ROWS($1:5))),"")</f>
        <v/>
      </c>
      <c r="F14" s="13"/>
      <c r="G14" s="333" t="str">
        <f t="array" ref="G14">+IFERROR(INDEX(#REF!,SMALL(IF((#REF!&gt;0)*(#REF!&lt;4),ROW(#REF!)-14),ROWS($1:5))),"")</f>
        <v/>
      </c>
      <c r="H14" s="13"/>
      <c r="I14" s="334" t="str">
        <f t="array" ref="I14">+IFERROR(INDEX(#REF!,SMALL(IF((#REF!&gt;4)*(#REF!&lt;8),ROW(#REF!)-14),ROWS($1:5))),"")</f>
        <v/>
      </c>
      <c r="J14" s="13"/>
      <c r="K14" s="335" t="str">
        <f t="array" ref="K14">+IFERROR(INDEX(#REF!,SMALL(IF((#REF!&gt;4)*(#REF!&lt;8),ROW(#REF!)-14),ROWS($1:5))),"")</f>
        <v/>
      </c>
      <c r="L14" s="13"/>
      <c r="M14" s="336" t="str">
        <f t="array" ref="M14">+IFERROR(INDEX(#REF!,SMALL(IF((#REF!&gt;4)*(#REF!&lt;8),ROW(#REF!)-14),ROWS($1:5))),"")</f>
        <v/>
      </c>
      <c r="N14" s="13"/>
      <c r="O14" s="337" t="str">
        <f t="array" ref="O14">+IFERROR(INDEX(#REF!,SMALL(IF((#REF!&gt;8)*(#REF!&lt;10),ROW(#REF!)-14),ROWS($1:5))),"")</f>
        <v/>
      </c>
      <c r="P14" s="13"/>
      <c r="Q14" s="338" t="str">
        <f t="array" ref="Q14">+IFERROR(INDEX(#REF!,SMALL(IF((#REF!&gt;8)*(#REF!&lt;10),ROW(#REF!)-14),ROWS($1:5))),"")</f>
        <v/>
      </c>
      <c r="R14" s="13"/>
      <c r="S14" s="339" t="str">
        <f t="array" ref="S14">+IFERROR(INDEX(#REF!,SMALL(IF((#REF!&gt;8)*(#REF!&lt;10),ROW(#REF!)-14),ROWS($1:5))),"")</f>
        <v/>
      </c>
      <c r="AC14" s="14" t="s">
        <v>547</v>
      </c>
      <c r="AD14" s="340">
        <f>SUMIFS($G$10:$G$164,$E$10:$E$164,"REG")+SUMIFS($M$10:$M$164,$K$10:$K$164,"REG")+SUMIFS($S$10:$S$164,$Q$10:$Q$164,"REG")</f>
        <v>0</v>
      </c>
    </row>
    <row r="15" spans="1:41" s="14" customFormat="1" ht="16.149999999999999" customHeight="1" x14ac:dyDescent="0.25">
      <c r="A15" s="17"/>
      <c r="B15" s="36">
        <v>6</v>
      </c>
      <c r="C15" s="341" t="str">
        <f t="array" ref="C15">+IFERROR(INDEX(#REF!,SMALL(IF((#REF!&gt;0)*(#REF!&lt;4),ROW(#REF!)-14),ROWS($1:6))),"")</f>
        <v/>
      </c>
      <c r="D15" s="13"/>
      <c r="E15" s="342" t="str">
        <f t="array" ref="E15">+IFERROR(INDEX(#REF!,SMALL(IF((#REF!&gt;0)*(#REF!&lt;4),ROW(#REF!)-14),ROWS($1:6))),"")</f>
        <v/>
      </c>
      <c r="F15" s="13"/>
      <c r="G15" s="343" t="str">
        <f t="array" ref="G15">+IFERROR(INDEX(#REF!,SMALL(IF((#REF!&gt;0)*(#REF!&lt;4),ROW(#REF!)-14),ROWS($1:6))),"")</f>
        <v/>
      </c>
      <c r="H15" s="13"/>
      <c r="I15" s="344" t="str">
        <f t="array" ref="I15">+IFERROR(INDEX(#REF!,SMALL(IF((#REF!&gt;4)*(#REF!&lt;8),ROW(#REF!)-14),ROWS($1:6))),"")</f>
        <v/>
      </c>
      <c r="J15" s="13"/>
      <c r="K15" s="345" t="str">
        <f t="array" ref="K15">+IFERROR(INDEX(#REF!,SMALL(IF((#REF!&gt;4)*(#REF!&lt;8),ROW(#REF!)-14),ROWS($1:6))),"")</f>
        <v/>
      </c>
      <c r="L15" s="13"/>
      <c r="M15" s="346" t="str">
        <f t="array" ref="M15">+IFERROR(INDEX(#REF!,SMALL(IF((#REF!&gt;4)*(#REF!&lt;8),ROW(#REF!)-14),ROWS($1:6))),"")</f>
        <v/>
      </c>
      <c r="N15" s="13"/>
      <c r="O15" s="347" t="str">
        <f t="array" ref="O15">+IFERROR(INDEX(#REF!,SMALL(IF((#REF!&gt;8)*(#REF!&lt;10),ROW(#REF!)-14),ROWS($1:6))),"")</f>
        <v/>
      </c>
      <c r="P15" s="13"/>
      <c r="Q15" s="348" t="str">
        <f t="array" ref="Q15">+IFERROR(INDEX(#REF!,SMALL(IF((#REF!&gt;8)*(#REF!&lt;10),ROW(#REF!)-14),ROWS($1:6))),"")</f>
        <v/>
      </c>
      <c r="R15" s="13"/>
      <c r="S15" s="349" t="str">
        <f t="array" ref="S15">+IFERROR(INDEX(#REF!,SMALL(IF((#REF!&gt;8)*(#REF!&lt;10),ROW(#REF!)-14),ROWS($1:6))),"")</f>
        <v/>
      </c>
      <c r="AC15" s="371" t="s">
        <v>635</v>
      </c>
      <c r="AD15" s="367">
        <f>SUM(AD11:AD14)</f>
        <v>0</v>
      </c>
    </row>
    <row r="16" spans="1:41" s="14" customFormat="1" ht="16.149999999999999" customHeight="1" x14ac:dyDescent="0.25">
      <c r="A16" s="17"/>
      <c r="B16" s="36">
        <v>7</v>
      </c>
      <c r="C16" s="331" t="str">
        <f t="array" ref="C16">+IFERROR(INDEX(#REF!,SMALL(IF((#REF!&gt;0)*(#REF!&lt;4),ROW(#REF!)-14),ROWS($1:7))),"")</f>
        <v/>
      </c>
      <c r="D16" s="13"/>
      <c r="E16" s="332" t="str">
        <f t="array" ref="E16">+IFERROR(INDEX(#REF!,SMALL(IF((#REF!&gt;0)*(#REF!&lt;4),ROW(#REF!)-14),ROWS($1:7))),"")</f>
        <v/>
      </c>
      <c r="F16" s="13"/>
      <c r="G16" s="333" t="str">
        <f t="array" ref="G16">+IFERROR(INDEX(#REF!,SMALL(IF((#REF!&gt;0)*(#REF!&lt;4),ROW(#REF!)-14),ROWS($1:7))),"")</f>
        <v/>
      </c>
      <c r="H16" s="13"/>
      <c r="I16" s="334" t="str">
        <f t="array" ref="I16">+IFERROR(INDEX(#REF!,SMALL(IF((#REF!&gt;4)*(#REF!&lt;8),ROW(#REF!)-14),ROWS($1:7))),"")</f>
        <v/>
      </c>
      <c r="J16" s="13"/>
      <c r="K16" s="335" t="str">
        <f t="array" ref="K16">+IFERROR(INDEX(#REF!,SMALL(IF((#REF!&gt;4)*(#REF!&lt;8),ROW(#REF!)-14),ROWS($1:7))),"")</f>
        <v/>
      </c>
      <c r="L16" s="13"/>
      <c r="M16" s="336" t="str">
        <f t="array" ref="M16">+IFERROR(INDEX(#REF!,SMALL(IF((#REF!&gt;4)*(#REF!&lt;8),ROW(#REF!)-14),ROWS($1:7))),"")</f>
        <v/>
      </c>
      <c r="N16" s="13"/>
      <c r="O16" s="337" t="str">
        <f t="array" ref="O16">+IFERROR(INDEX(#REF!,SMALL(IF((#REF!&gt;8)*(#REF!&lt;10),ROW(#REF!)-14),ROWS($1:7))),"")</f>
        <v/>
      </c>
      <c r="P16" s="13"/>
      <c r="Q16" s="338" t="str">
        <f t="array" ref="Q16">+IFERROR(INDEX(#REF!,SMALL(IF((#REF!&gt;8)*(#REF!&lt;10),ROW(#REF!)-14),ROWS($1:7))),"")</f>
        <v/>
      </c>
      <c r="R16" s="13"/>
      <c r="S16" s="339" t="str">
        <f t="array" ref="S16">+IFERROR(INDEX(#REF!,SMALL(IF((#REF!&gt;8)*(#REF!&lt;10),ROW(#REF!)-14),ROWS($1:7))),"")</f>
        <v/>
      </c>
      <c r="AC16" s="371" t="s">
        <v>634</v>
      </c>
      <c r="AD16" s="372">
        <f>+AD6-AD15</f>
        <v>0</v>
      </c>
    </row>
    <row r="17" spans="1:30" s="14" customFormat="1" ht="16.149999999999999" customHeight="1" x14ac:dyDescent="0.25">
      <c r="A17" s="17"/>
      <c r="B17" s="36">
        <v>8</v>
      </c>
      <c r="C17" s="341" t="str">
        <f t="array" ref="C17">+IFERROR(INDEX(#REF!,SMALL(IF((#REF!&gt;0)*(#REF!&lt;4),ROW(#REF!)-14),ROWS($1:8))),"")</f>
        <v/>
      </c>
      <c r="D17" s="13"/>
      <c r="E17" s="342" t="str">
        <f t="array" ref="E17">+IFERROR(INDEX(#REF!,SMALL(IF((#REF!&gt;0)*(#REF!&lt;4),ROW(#REF!)-14),ROWS($1:8))),"")</f>
        <v/>
      </c>
      <c r="F17" s="13"/>
      <c r="G17" s="343" t="str">
        <f t="array" ref="G17">+IFERROR(INDEX(#REF!,SMALL(IF((#REF!&gt;0)*(#REF!&lt;4),ROW(#REF!)-14),ROWS($1:8))),"")</f>
        <v/>
      </c>
      <c r="H17" s="13"/>
      <c r="I17" s="344" t="str">
        <f t="array" ref="I17">+IFERROR(INDEX(#REF!,SMALL(IF((#REF!&gt;4)*(#REF!&lt;8),ROW(#REF!)-14),ROWS($1:8))),"")</f>
        <v/>
      </c>
      <c r="J17" s="13"/>
      <c r="K17" s="345" t="str">
        <f t="array" ref="K17">+IFERROR(INDEX(#REF!,SMALL(IF((#REF!&gt;4)*(#REF!&lt;8),ROW(#REF!)-14),ROWS($1:8))),"")</f>
        <v/>
      </c>
      <c r="L17" s="13"/>
      <c r="M17" s="346" t="str">
        <f t="array" ref="M17">+IFERROR(INDEX(#REF!,SMALL(IF((#REF!&gt;4)*(#REF!&lt;8),ROW(#REF!)-14),ROWS($1:8))),"")</f>
        <v/>
      </c>
      <c r="N17" s="13"/>
      <c r="O17" s="347" t="str">
        <f t="array" ref="O17">+IFERROR(INDEX(#REF!,SMALL(IF((#REF!&gt;8)*(#REF!&lt;10),ROW(#REF!)-14),ROWS($1:8))),"")</f>
        <v/>
      </c>
      <c r="P17" s="13"/>
      <c r="Q17" s="348" t="str">
        <f t="array" ref="Q17">+IFERROR(INDEX(#REF!,SMALL(IF((#REF!&gt;8)*(#REF!&lt;10),ROW(#REF!)-14),ROWS($1:8))),"")</f>
        <v/>
      </c>
      <c r="R17" s="13"/>
      <c r="S17" s="349" t="str">
        <f t="array" ref="S17">+IFERROR(INDEX(#REF!,SMALL(IF((#REF!&gt;8)*(#REF!&lt;10),ROW(#REF!)-14),ROWS($1:8))),"")</f>
        <v/>
      </c>
    </row>
    <row r="18" spans="1:30" s="14" customFormat="1" ht="16.149999999999999" customHeight="1" x14ac:dyDescent="0.25">
      <c r="A18" s="17"/>
      <c r="B18" s="36">
        <v>9</v>
      </c>
      <c r="C18" s="331" t="str">
        <f t="array" ref="C18">+IFERROR(INDEX(#REF!,SMALL(IF((#REF!&gt;0)*(#REF!&lt;4),ROW(#REF!)-14),ROWS($1:9))),"")</f>
        <v/>
      </c>
      <c r="D18" s="13"/>
      <c r="E18" s="332" t="str">
        <f t="array" ref="E18">+IFERROR(INDEX(#REF!,SMALL(IF((#REF!&gt;0)*(#REF!&lt;4),ROW(#REF!)-14),ROWS($1:9))),"")</f>
        <v/>
      </c>
      <c r="F18" s="13"/>
      <c r="G18" s="333" t="str">
        <f t="array" ref="G18">+IFERROR(INDEX(#REF!,SMALL(IF((#REF!&gt;0)*(#REF!&lt;4),ROW(#REF!)-14),ROWS($1:9))),"")</f>
        <v/>
      </c>
      <c r="H18" s="13"/>
      <c r="I18" s="334" t="str">
        <f t="array" ref="I18">+IFERROR(INDEX(#REF!,SMALL(IF((#REF!&gt;4)*(#REF!&lt;8),ROW(#REF!)-14),ROWS($1:9))),"")</f>
        <v/>
      </c>
      <c r="J18" s="13"/>
      <c r="K18" s="335" t="str">
        <f t="array" ref="K18">+IFERROR(INDEX(#REF!,SMALL(IF((#REF!&gt;4)*(#REF!&lt;8),ROW(#REF!)-14),ROWS($1:9))),"")</f>
        <v/>
      </c>
      <c r="L18" s="13"/>
      <c r="M18" s="336" t="str">
        <f t="array" ref="M18">+IFERROR(INDEX(#REF!,SMALL(IF((#REF!&gt;4)*(#REF!&lt;8),ROW(#REF!)-14),ROWS($1:9))),"")</f>
        <v/>
      </c>
      <c r="N18" s="13"/>
      <c r="O18" s="337" t="str">
        <f t="array" ref="O18">+IFERROR(INDEX(#REF!,SMALL(IF((#REF!&gt;8)*(#REF!&lt;10),ROW(#REF!)-14),ROWS($1:9))),"")</f>
        <v/>
      </c>
      <c r="P18" s="13"/>
      <c r="Q18" s="338" t="str">
        <f t="array" ref="Q18">+IFERROR(INDEX(#REF!,SMALL(IF((#REF!&gt;8)*(#REF!&lt;10),ROW(#REF!)-14),ROWS($1:9))),"")</f>
        <v/>
      </c>
      <c r="R18" s="13"/>
      <c r="S18" s="339" t="str">
        <f t="array" ref="S18">+IFERROR(INDEX(#REF!,SMALL(IF((#REF!&gt;8)*(#REF!&lt;10),ROW(#REF!)-14),ROWS($1:9))),"")</f>
        <v/>
      </c>
    </row>
    <row r="19" spans="1:30" s="14" customFormat="1" ht="16.149999999999999" customHeight="1" x14ac:dyDescent="0.25">
      <c r="A19" s="17"/>
      <c r="B19" s="36">
        <v>10</v>
      </c>
      <c r="C19" s="341" t="str">
        <f t="array" ref="C19">+IFERROR(INDEX(#REF!,SMALL(IF((#REF!&gt;0)*(#REF!&lt;4),ROW(#REF!)-14),ROWS($1:10))),"")</f>
        <v/>
      </c>
      <c r="D19" s="13"/>
      <c r="E19" s="342" t="str">
        <f t="array" ref="E19">+IFERROR(INDEX(#REF!,SMALL(IF((#REF!&gt;0)*(#REF!&lt;4),ROW(#REF!)-14),ROWS($1:10))),"")</f>
        <v/>
      </c>
      <c r="F19" s="13"/>
      <c r="G19" s="343" t="str">
        <f t="array" ref="G19">+IFERROR(INDEX(#REF!,SMALL(IF((#REF!&gt;0)*(#REF!&lt;4),ROW(#REF!)-14),ROWS($1:10))),"")</f>
        <v/>
      </c>
      <c r="H19" s="13"/>
      <c r="I19" s="344" t="str">
        <f t="array" ref="I19">+IFERROR(INDEX(#REF!,SMALL(IF((#REF!&gt;4)*(#REF!&lt;8),ROW(#REF!)-14),ROWS($1:10))),"")</f>
        <v/>
      </c>
      <c r="J19" s="13"/>
      <c r="K19" s="345" t="str">
        <f t="array" ref="K19">+IFERROR(INDEX(#REF!,SMALL(IF((#REF!&gt;4)*(#REF!&lt;8),ROW(#REF!)-14),ROWS($1:10))),"")</f>
        <v/>
      </c>
      <c r="L19" s="13"/>
      <c r="M19" s="346" t="str">
        <f t="array" ref="M19">+IFERROR(INDEX(#REF!,SMALL(IF((#REF!&gt;4)*(#REF!&lt;8),ROW(#REF!)-14),ROWS($1:10))),"")</f>
        <v/>
      </c>
      <c r="N19" s="13"/>
      <c r="O19" s="347" t="str">
        <f t="array" ref="O19">+IFERROR(INDEX(#REF!,SMALL(IF((#REF!&gt;8)*(#REF!&lt;10),ROW(#REF!)-14),ROWS($1:10))),"")</f>
        <v/>
      </c>
      <c r="P19" s="13"/>
      <c r="Q19" s="348" t="str">
        <f t="array" ref="Q19">+IFERROR(INDEX(#REF!,SMALL(IF((#REF!&gt;8)*(#REF!&lt;10),ROW(#REF!)-14),ROWS($1:10))),"")</f>
        <v/>
      </c>
      <c r="R19" s="13"/>
      <c r="S19" s="349" t="str">
        <f t="array" ref="S19">+IFERROR(INDEX(#REF!,SMALL(IF((#REF!&gt;8)*(#REF!&lt;10),ROW(#REF!)-14),ROWS($1:10))),"")</f>
        <v/>
      </c>
    </row>
    <row r="20" spans="1:30" s="14" customFormat="1" ht="16.149999999999999" customHeight="1" x14ac:dyDescent="0.25">
      <c r="A20" s="17"/>
      <c r="B20" s="36">
        <v>11</v>
      </c>
      <c r="C20" s="331" t="str">
        <f t="array" ref="C20">+IFERROR(INDEX(#REF!,SMALL(IF((#REF!&gt;0)*(#REF!&lt;4),ROW(#REF!)-14),ROWS($1:11))),"")</f>
        <v/>
      </c>
      <c r="D20" s="13"/>
      <c r="E20" s="332" t="str">
        <f t="array" ref="E20">+IFERROR(INDEX(#REF!,SMALL(IF((#REF!&gt;0)*(#REF!&lt;4),ROW(#REF!)-14),ROWS($1:11))),"")</f>
        <v/>
      </c>
      <c r="F20" s="13"/>
      <c r="G20" s="333" t="str">
        <f t="array" ref="G20">+IFERROR(INDEX(#REF!,SMALL(IF((#REF!&gt;0)*(#REF!&lt;4),ROW(#REF!)-14),ROWS($1:11))),"")</f>
        <v/>
      </c>
      <c r="H20" s="13"/>
      <c r="I20" s="334" t="str">
        <f t="array" ref="I20">+IFERROR(INDEX(#REF!,SMALL(IF((#REF!&gt;4)*(#REF!&lt;8),ROW(#REF!)-14),ROWS($1:11))),"")</f>
        <v/>
      </c>
      <c r="J20" s="13"/>
      <c r="K20" s="335" t="str">
        <f t="array" ref="K20">+IFERROR(INDEX(#REF!,SMALL(IF((#REF!&gt;4)*(#REF!&lt;8),ROW(#REF!)-14),ROWS($1:11))),"")</f>
        <v/>
      </c>
      <c r="L20" s="13"/>
      <c r="M20" s="336" t="str">
        <f t="array" ref="M20">+IFERROR(INDEX(#REF!,SMALL(IF((#REF!&gt;4)*(#REF!&lt;8),ROW(#REF!)-14),ROWS($1:11))),"")</f>
        <v/>
      </c>
      <c r="N20" s="13"/>
      <c r="O20" s="337" t="str">
        <f t="array" ref="O20">+IFERROR(INDEX(#REF!,SMALL(IF((#REF!&gt;8)*(#REF!&lt;10),ROW(#REF!)-14),ROWS($1:11))),"")</f>
        <v/>
      </c>
      <c r="P20" s="13"/>
      <c r="Q20" s="338" t="str">
        <f t="array" ref="Q20">+IFERROR(INDEX(#REF!,SMALL(IF((#REF!&gt;8)*(#REF!&lt;10),ROW(#REF!)-14),ROWS($1:11))),"")</f>
        <v/>
      </c>
      <c r="R20" s="13"/>
      <c r="S20" s="339" t="str">
        <f t="array" ref="S20">+IFERROR(INDEX(#REF!,SMALL(IF((#REF!&gt;8)*(#REF!&lt;10),ROW(#REF!)-14),ROWS($1:11))),"")</f>
        <v/>
      </c>
    </row>
    <row r="21" spans="1:30" s="14" customFormat="1" ht="16.149999999999999" customHeight="1" x14ac:dyDescent="0.25">
      <c r="A21" s="17"/>
      <c r="B21" s="36">
        <v>12</v>
      </c>
      <c r="C21" s="341" t="str">
        <f t="array" ref="C21">+IFERROR(INDEX(#REF!,SMALL(IF((#REF!&gt;0)*(#REF!&lt;4),ROW(#REF!)-14),ROWS($1:12))),"")</f>
        <v/>
      </c>
      <c r="D21" s="13"/>
      <c r="E21" s="342" t="str">
        <f t="array" ref="E21">+IFERROR(INDEX(#REF!,SMALL(IF((#REF!&gt;0)*(#REF!&lt;4),ROW(#REF!)-14),ROWS($1:12))),"")</f>
        <v/>
      </c>
      <c r="F21" s="13"/>
      <c r="G21" s="343" t="str">
        <f t="array" ref="G21">+IFERROR(INDEX(#REF!,SMALL(IF((#REF!&gt;0)*(#REF!&lt;4),ROW(#REF!)-14),ROWS($1:12))),"")</f>
        <v/>
      </c>
      <c r="H21" s="13"/>
      <c r="I21" s="344" t="str">
        <f t="array" ref="I21">+IFERROR(INDEX(#REF!,SMALL(IF((#REF!&gt;4)*(#REF!&lt;8),ROW(#REF!)-14),ROWS($1:12))),"")</f>
        <v/>
      </c>
      <c r="J21" s="13"/>
      <c r="K21" s="345" t="str">
        <f t="array" ref="K21">+IFERROR(INDEX(#REF!,SMALL(IF((#REF!&gt;4)*(#REF!&lt;8),ROW(#REF!)-14),ROWS($1:12))),"")</f>
        <v/>
      </c>
      <c r="L21" s="13"/>
      <c r="M21" s="346" t="str">
        <f t="array" ref="M21">+IFERROR(INDEX(#REF!,SMALL(IF((#REF!&gt;4)*(#REF!&lt;8),ROW(#REF!)-14),ROWS($1:12))),"")</f>
        <v/>
      </c>
      <c r="N21" s="13"/>
      <c r="O21" s="347" t="str">
        <f t="array" ref="O21">+IFERROR(INDEX(#REF!,SMALL(IF((#REF!&gt;8)*(#REF!&lt;10),ROW(#REF!)-14),ROWS($1:12))),"")</f>
        <v/>
      </c>
      <c r="P21" s="13"/>
      <c r="Q21" s="348" t="str">
        <f t="array" ref="Q21">+IFERROR(INDEX(#REF!,SMALL(IF((#REF!&gt;8)*(#REF!&lt;10),ROW(#REF!)-14),ROWS($1:12))),"")</f>
        <v/>
      </c>
      <c r="R21" s="13"/>
      <c r="S21" s="349" t="str">
        <f t="array" ref="S21">+IFERROR(INDEX(#REF!,SMALL(IF((#REF!&gt;8)*(#REF!&lt;10),ROW(#REF!)-14),ROWS($1:12))),"")</f>
        <v/>
      </c>
    </row>
    <row r="22" spans="1:30" s="14" customFormat="1" ht="16.149999999999999" customHeight="1" x14ac:dyDescent="0.25">
      <c r="A22" s="17"/>
      <c r="B22" s="36">
        <v>13</v>
      </c>
      <c r="C22" s="331" t="str">
        <f t="array" ref="C22">+IFERROR(INDEX(#REF!,SMALL(IF((#REF!&gt;0)*(#REF!&lt;4),ROW(#REF!)-14),ROWS($1:13))),"")</f>
        <v/>
      </c>
      <c r="D22" s="13"/>
      <c r="E22" s="332" t="str">
        <f t="array" ref="E22">+IFERROR(INDEX(#REF!,SMALL(IF((#REF!&gt;0)*(#REF!&lt;4),ROW(#REF!)-14),ROWS($1:13))),"")</f>
        <v/>
      </c>
      <c r="F22" s="13"/>
      <c r="G22" s="333" t="str">
        <f t="array" ref="G22">+IFERROR(INDEX(#REF!,SMALL(IF((#REF!&gt;0)*(#REF!&lt;4),ROW(#REF!)-14),ROWS($1:13))),"")</f>
        <v/>
      </c>
      <c r="H22" s="13"/>
      <c r="I22" s="334" t="str">
        <f t="array" ref="I22">+IFERROR(INDEX(#REF!,SMALL(IF((#REF!&gt;4)*(#REF!&lt;8),ROW(#REF!)-14),ROWS($1:13))),"")</f>
        <v/>
      </c>
      <c r="J22" s="13"/>
      <c r="K22" s="335" t="str">
        <f t="array" ref="K22">+IFERROR(INDEX(#REF!,SMALL(IF((#REF!&gt;4)*(#REF!&lt;8),ROW(#REF!)-14),ROWS($1:13))),"")</f>
        <v/>
      </c>
      <c r="L22" s="13"/>
      <c r="M22" s="336" t="str">
        <f t="array" ref="M22">+IFERROR(INDEX(#REF!,SMALL(IF((#REF!&gt;4)*(#REF!&lt;8),ROW(#REF!)-14),ROWS($1:13))),"")</f>
        <v/>
      </c>
      <c r="N22" s="13"/>
      <c r="O22" s="337" t="str">
        <f t="array" ref="O22">+IFERROR(INDEX(#REF!,SMALL(IF((#REF!&gt;8)*(#REF!&lt;10),ROW(#REF!)-14),ROWS($1:13))),"")</f>
        <v/>
      </c>
      <c r="P22" s="13"/>
      <c r="Q22" s="338" t="str">
        <f t="array" ref="Q22">+IFERROR(INDEX(#REF!,SMALL(IF((#REF!&gt;8)*(#REF!&lt;10),ROW(#REF!)-14),ROWS($1:13))),"")</f>
        <v/>
      </c>
      <c r="R22" s="13"/>
      <c r="S22" s="339" t="str">
        <f t="array" ref="S22">+IFERROR(INDEX(#REF!,SMALL(IF((#REF!&gt;8)*(#REF!&lt;10),ROW(#REF!)-14),ROWS($1:13))),"")</f>
        <v/>
      </c>
    </row>
    <row r="23" spans="1:30" s="14" customFormat="1" ht="16.149999999999999" customHeight="1" x14ac:dyDescent="0.25">
      <c r="A23" s="17"/>
      <c r="B23" s="36">
        <v>14</v>
      </c>
      <c r="C23" s="341" t="str">
        <f t="array" ref="C23">+IFERROR(INDEX(#REF!,SMALL(IF((#REF!&gt;0)*(#REF!&lt;4),ROW(#REF!)-14),ROWS($1:14))),"")</f>
        <v/>
      </c>
      <c r="D23" s="13"/>
      <c r="E23" s="342" t="str">
        <f t="array" ref="E23">+IFERROR(INDEX(#REF!,SMALL(IF((#REF!&gt;0)*(#REF!&lt;4),ROW(#REF!)-14),ROWS($1:14))),"")</f>
        <v/>
      </c>
      <c r="F23" s="13"/>
      <c r="G23" s="343" t="str">
        <f t="array" ref="G23">+IFERROR(INDEX(#REF!,SMALL(IF((#REF!&gt;0)*(#REF!&lt;4),ROW(#REF!)-14),ROWS($1:14))),"")</f>
        <v/>
      </c>
      <c r="H23" s="13"/>
      <c r="I23" s="344" t="str">
        <f t="array" ref="I23">+IFERROR(INDEX(#REF!,SMALL(IF((#REF!&gt;4)*(#REF!&lt;8),ROW(#REF!)-14),ROWS($1:14))),"")</f>
        <v/>
      </c>
      <c r="J23" s="13"/>
      <c r="K23" s="345" t="str">
        <f t="array" ref="K23">+IFERROR(INDEX(#REF!,SMALL(IF((#REF!&gt;4)*(#REF!&lt;8),ROW(#REF!)-14),ROWS($1:14))),"")</f>
        <v/>
      </c>
      <c r="L23" s="13"/>
      <c r="M23" s="346" t="str">
        <f t="array" ref="M23">+IFERROR(INDEX(#REF!,SMALL(IF((#REF!&gt;4)*(#REF!&lt;8),ROW(#REF!)-14),ROWS($1:14))),"")</f>
        <v/>
      </c>
      <c r="N23" s="13"/>
      <c r="O23" s="347" t="str">
        <f t="array" ref="O23">+IFERROR(INDEX(#REF!,SMALL(IF((#REF!&gt;8)*(#REF!&lt;10),ROW(#REF!)-14),ROWS($1:14))),"")</f>
        <v/>
      </c>
      <c r="P23" s="13"/>
      <c r="Q23" s="348" t="str">
        <f t="array" ref="Q23">+IFERROR(INDEX(#REF!,SMALL(IF((#REF!&gt;8)*(#REF!&lt;10),ROW(#REF!)-14),ROWS($1:14))),"")</f>
        <v/>
      </c>
      <c r="R23" s="13"/>
      <c r="S23" s="349" t="str">
        <f t="array" ref="S23">+IFERROR(INDEX(#REF!,SMALL(IF((#REF!&gt;8)*(#REF!&lt;10),ROW(#REF!)-14),ROWS($1:14))),"")</f>
        <v/>
      </c>
    </row>
    <row r="24" spans="1:30" s="14" customFormat="1" ht="16.149999999999999" customHeight="1" x14ac:dyDescent="0.25">
      <c r="A24" s="17"/>
      <c r="B24" s="36">
        <v>15</v>
      </c>
      <c r="C24" s="331" t="str">
        <f t="array" ref="C24">+IFERROR(INDEX(#REF!,SMALL(IF((#REF!&gt;0)*(#REF!&lt;4),ROW(#REF!)-14),ROWS($1:15))),"")</f>
        <v/>
      </c>
      <c r="D24" s="13"/>
      <c r="E24" s="332" t="str">
        <f t="array" ref="E24">+IFERROR(INDEX(#REF!,SMALL(IF((#REF!&gt;0)*(#REF!&lt;4),ROW(#REF!)-14),ROWS($1:15))),"")</f>
        <v/>
      </c>
      <c r="F24" s="13"/>
      <c r="G24" s="333" t="str">
        <f t="array" ref="G24">+IFERROR(INDEX(#REF!,SMALL(IF((#REF!&gt;0)*(#REF!&lt;4),ROW(#REF!)-14),ROWS($1:15))),"")</f>
        <v/>
      </c>
      <c r="H24" s="13"/>
      <c r="I24" s="334" t="str">
        <f t="array" ref="I24">+IFERROR(INDEX(#REF!,SMALL(IF((#REF!&gt;4)*(#REF!&lt;8),ROW(#REF!)-14),ROWS($1:15))),"")</f>
        <v/>
      </c>
      <c r="J24" s="13"/>
      <c r="K24" s="335" t="str">
        <f t="array" ref="K24">+IFERROR(INDEX(#REF!,SMALL(IF((#REF!&gt;4)*(#REF!&lt;8),ROW(#REF!)-14),ROWS($1:15))),"")</f>
        <v/>
      </c>
      <c r="L24" s="13"/>
      <c r="M24" s="336" t="str">
        <f t="array" ref="M24">+IFERROR(INDEX(#REF!,SMALL(IF((#REF!&gt;4)*(#REF!&lt;8),ROW(#REF!)-14),ROWS($1:15))),"")</f>
        <v/>
      </c>
      <c r="N24" s="13"/>
      <c r="O24" s="337" t="str">
        <f t="array" ref="O24">+IFERROR(INDEX(#REF!,SMALL(IF((#REF!&gt;8)*(#REF!&lt;10),ROW(#REF!)-14),ROWS($1:15))),"")</f>
        <v/>
      </c>
      <c r="P24" s="13"/>
      <c r="Q24" s="338" t="str">
        <f t="array" ref="Q24">+IFERROR(INDEX(#REF!,SMALL(IF((#REF!&gt;8)*(#REF!&lt;10),ROW(#REF!)-14),ROWS($1:15))),"")</f>
        <v/>
      </c>
      <c r="R24" s="13"/>
      <c r="S24" s="339" t="str">
        <f t="array" ref="S24">+IFERROR(INDEX(#REF!,SMALL(IF((#REF!&gt;8)*(#REF!&lt;10),ROW(#REF!)-14),ROWS($1:15))),"")</f>
        <v/>
      </c>
    </row>
    <row r="25" spans="1:30" s="14" customFormat="1" ht="16.149999999999999" customHeight="1" x14ac:dyDescent="0.25">
      <c r="A25" s="17"/>
      <c r="B25" s="36">
        <v>16</v>
      </c>
      <c r="C25" s="341" t="str">
        <f t="array" ref="C25">+IFERROR(INDEX(#REF!,SMALL(IF((#REF!&gt;0)*(#REF!&lt;4),ROW(#REF!)-14),ROWS($1:16))),"")</f>
        <v/>
      </c>
      <c r="D25" s="13"/>
      <c r="E25" s="342" t="str">
        <f t="array" ref="E25">+IFERROR(INDEX(#REF!,SMALL(IF((#REF!&gt;0)*(#REF!&lt;4),ROW(#REF!)-14),ROWS($1:16))),"")</f>
        <v/>
      </c>
      <c r="F25" s="13"/>
      <c r="G25" s="343" t="str">
        <f t="array" ref="G25">+IFERROR(INDEX(#REF!,SMALL(IF((#REF!&gt;0)*(#REF!&lt;4),ROW(#REF!)-14),ROWS($1:16))),"")</f>
        <v/>
      </c>
      <c r="H25" s="13"/>
      <c r="I25" s="344" t="str">
        <f t="array" ref="I25">+IFERROR(INDEX(#REF!,SMALL(IF((#REF!&gt;4)*(#REF!&lt;8),ROW(#REF!)-14),ROWS($1:16))),"")</f>
        <v/>
      </c>
      <c r="J25" s="13"/>
      <c r="K25" s="345" t="str">
        <f t="array" ref="K25">+IFERROR(INDEX(#REF!,SMALL(IF((#REF!&gt;4)*(#REF!&lt;8),ROW(#REF!)-14),ROWS($1:16))),"")</f>
        <v/>
      </c>
      <c r="L25" s="13"/>
      <c r="M25" s="346" t="str">
        <f t="array" ref="M25">+IFERROR(INDEX(#REF!,SMALL(IF((#REF!&gt;4)*(#REF!&lt;8),ROW(#REF!)-14),ROWS($1:16))),"")</f>
        <v/>
      </c>
      <c r="N25" s="13"/>
      <c r="O25" s="347" t="str">
        <f t="array" ref="O25">+IFERROR(INDEX(#REF!,SMALL(IF((#REF!&gt;8)*(#REF!&lt;10),ROW(#REF!)-14),ROWS($1:16))),"")</f>
        <v/>
      </c>
      <c r="P25" s="13"/>
      <c r="Q25" s="348" t="str">
        <f t="array" ref="Q25">+IFERROR(INDEX(#REF!,SMALL(IF((#REF!&gt;8)*(#REF!&lt;10),ROW(#REF!)-14),ROWS($1:16))),"")</f>
        <v/>
      </c>
      <c r="R25" s="13"/>
      <c r="S25" s="349" t="str">
        <f t="array" ref="S25">+IFERROR(INDEX(#REF!,SMALL(IF((#REF!&gt;8)*(#REF!&lt;10),ROW(#REF!)-14),ROWS($1:16))),"")</f>
        <v/>
      </c>
    </row>
    <row r="26" spans="1:30" s="14" customFormat="1" ht="16.149999999999999" customHeight="1" x14ac:dyDescent="0.25">
      <c r="A26" s="17"/>
      <c r="B26" s="36">
        <v>17</v>
      </c>
      <c r="C26" s="331" t="str">
        <f t="array" ref="C26">+IFERROR(INDEX(#REF!,SMALL(IF((#REF!&gt;0)*(#REF!&lt;4),ROW(#REF!)-14),ROWS($1:17))),"")</f>
        <v/>
      </c>
      <c r="D26" s="13"/>
      <c r="E26" s="332" t="str">
        <f t="array" ref="E26">+IFERROR(INDEX(#REF!,SMALL(IF((#REF!&gt;0)*(#REF!&lt;4),ROW(#REF!)-14),ROWS($1:17))),"")</f>
        <v/>
      </c>
      <c r="F26" s="13"/>
      <c r="G26" s="333" t="str">
        <f t="array" ref="G26">+IFERROR(INDEX(#REF!,SMALL(IF((#REF!&gt;0)*(#REF!&lt;4),ROW(#REF!)-14),ROWS($1:17))),"")</f>
        <v/>
      </c>
      <c r="H26" s="13"/>
      <c r="I26" s="334" t="str">
        <f t="array" ref="I26">+IFERROR(INDEX(#REF!,SMALL(IF((#REF!&gt;4)*(#REF!&lt;8),ROW(#REF!)-14),ROWS($1:17))),"")</f>
        <v/>
      </c>
      <c r="J26" s="13"/>
      <c r="K26" s="335" t="str">
        <f t="array" ref="K26">+IFERROR(INDEX(#REF!,SMALL(IF((#REF!&gt;4)*(#REF!&lt;8),ROW(#REF!)-14),ROWS($1:17))),"")</f>
        <v/>
      </c>
      <c r="L26" s="13"/>
      <c r="M26" s="336" t="str">
        <f t="array" ref="M26">+IFERROR(INDEX(#REF!,SMALL(IF((#REF!&gt;4)*(#REF!&lt;8),ROW(#REF!)-14),ROWS($1:17))),"")</f>
        <v/>
      </c>
      <c r="N26" s="13"/>
      <c r="O26" s="337" t="str">
        <f t="array" ref="O26">+IFERROR(INDEX(#REF!,SMALL(IF((#REF!&gt;8)*(#REF!&lt;10),ROW(#REF!)-14),ROWS($1:17))),"")</f>
        <v/>
      </c>
      <c r="P26" s="13"/>
      <c r="Q26" s="338" t="str">
        <f t="array" ref="Q26">+IFERROR(INDEX(#REF!,SMALL(IF((#REF!&gt;8)*(#REF!&lt;10),ROW(#REF!)-14),ROWS($1:17))),"")</f>
        <v/>
      </c>
      <c r="R26" s="13"/>
      <c r="S26" s="339" t="str">
        <f t="array" ref="S26">+IFERROR(INDEX(#REF!,SMALL(IF((#REF!&gt;8)*(#REF!&lt;10),ROW(#REF!)-14),ROWS($1:17))),"")</f>
        <v/>
      </c>
    </row>
    <row r="27" spans="1:30" s="14" customFormat="1" ht="16.149999999999999" customHeight="1" x14ac:dyDescent="0.25">
      <c r="A27" s="17"/>
      <c r="B27" s="36">
        <v>18</v>
      </c>
      <c r="C27" s="341" t="str">
        <f t="array" ref="C27">+IFERROR(INDEX(#REF!,SMALL(IF((#REF!&gt;0)*(#REF!&lt;4),ROW(#REF!)-14),ROWS($1:18))),"")</f>
        <v/>
      </c>
      <c r="D27" s="13"/>
      <c r="E27" s="342" t="str">
        <f t="array" ref="E27">+IFERROR(INDEX(#REF!,SMALL(IF((#REF!&gt;0)*(#REF!&lt;4),ROW(#REF!)-14),ROWS($1:18))),"")</f>
        <v/>
      </c>
      <c r="F27" s="13"/>
      <c r="G27" s="343" t="str">
        <f t="array" ref="G27">+IFERROR(INDEX(#REF!,SMALL(IF((#REF!&gt;0)*(#REF!&lt;4),ROW(#REF!)-14),ROWS($1:18))),"")</f>
        <v/>
      </c>
      <c r="H27" s="13"/>
      <c r="I27" s="344" t="str">
        <f t="array" ref="I27">+IFERROR(INDEX(#REF!,SMALL(IF((#REF!&gt;4)*(#REF!&lt;8),ROW(#REF!)-14),ROWS($1:18))),"")</f>
        <v/>
      </c>
      <c r="J27" s="13"/>
      <c r="K27" s="345" t="str">
        <f t="array" ref="K27">+IFERROR(INDEX(#REF!,SMALL(IF((#REF!&gt;4)*(#REF!&lt;8),ROW(#REF!)-14),ROWS($1:18))),"")</f>
        <v/>
      </c>
      <c r="L27" s="13"/>
      <c r="M27" s="346" t="str">
        <f t="array" ref="M27">+IFERROR(INDEX(#REF!,SMALL(IF((#REF!&gt;4)*(#REF!&lt;8),ROW(#REF!)-14),ROWS($1:18))),"")</f>
        <v/>
      </c>
      <c r="N27" s="13"/>
      <c r="O27" s="347" t="str">
        <f t="array" ref="O27">+IFERROR(INDEX(#REF!,SMALL(IF((#REF!&gt;8)*(#REF!&lt;10),ROW(#REF!)-14),ROWS($1:18))),"")</f>
        <v/>
      </c>
      <c r="P27" s="13"/>
      <c r="Q27" s="348" t="str">
        <f t="array" ref="Q27">+IFERROR(INDEX(#REF!,SMALL(IF((#REF!&gt;8)*(#REF!&lt;10),ROW(#REF!)-14),ROWS($1:18))),"")</f>
        <v/>
      </c>
      <c r="R27" s="13"/>
      <c r="S27" s="349" t="str">
        <f t="array" ref="S27">+IFERROR(INDEX(#REF!,SMALL(IF((#REF!&gt;8)*(#REF!&lt;10),ROW(#REF!)-14),ROWS($1:18))),"")</f>
        <v/>
      </c>
      <c r="AD27" s="373" t="s">
        <v>539</v>
      </c>
    </row>
    <row r="28" spans="1:30" s="14" customFormat="1" ht="16.149999999999999" customHeight="1" x14ac:dyDescent="0.25">
      <c r="A28" s="17"/>
      <c r="B28" s="36">
        <v>19</v>
      </c>
      <c r="C28" s="331" t="str">
        <f t="array" ref="C28">+IFERROR(INDEX(#REF!,SMALL(IF((#REF!&gt;0)*(#REF!&lt;4),ROW(#REF!)-14),ROWS($1:19))),"")</f>
        <v/>
      </c>
      <c r="D28" s="13"/>
      <c r="E28" s="332" t="str">
        <f t="array" ref="E28">+IFERROR(INDEX(#REF!,SMALL(IF((#REF!&gt;0)*(#REF!&lt;4),ROW(#REF!)-14),ROWS($1:19))),"")</f>
        <v/>
      </c>
      <c r="F28" s="13"/>
      <c r="G28" s="333" t="str">
        <f t="array" ref="G28">+IFERROR(INDEX(#REF!,SMALL(IF((#REF!&gt;0)*(#REF!&lt;4),ROW(#REF!)-14),ROWS($1:19))),"")</f>
        <v/>
      </c>
      <c r="H28" s="13"/>
      <c r="I28" s="334" t="str">
        <f t="array" ref="I28">+IFERROR(INDEX(#REF!,SMALL(IF((#REF!&gt;4)*(#REF!&lt;8),ROW(#REF!)-14),ROWS($1:19))),"")</f>
        <v/>
      </c>
      <c r="J28" s="13"/>
      <c r="K28" s="335" t="str">
        <f t="array" ref="K28">+IFERROR(INDEX(#REF!,SMALL(IF((#REF!&gt;4)*(#REF!&lt;8),ROW(#REF!)-14),ROWS($1:19))),"")</f>
        <v/>
      </c>
      <c r="L28" s="13"/>
      <c r="M28" s="336" t="str">
        <f t="array" ref="M28">+IFERROR(INDEX(#REF!,SMALL(IF((#REF!&gt;4)*(#REF!&lt;8),ROW(#REF!)-14),ROWS($1:19))),"")</f>
        <v/>
      </c>
      <c r="N28" s="13"/>
      <c r="O28" s="337" t="str">
        <f t="array" ref="O28">+IFERROR(INDEX(#REF!,SMALL(IF((#REF!&gt;8)*(#REF!&lt;10),ROW(#REF!)-14),ROWS($1:19))),"")</f>
        <v/>
      </c>
      <c r="P28" s="13"/>
      <c r="Q28" s="338" t="str">
        <f t="array" ref="Q28">+IFERROR(INDEX(#REF!,SMALL(IF((#REF!&gt;8)*(#REF!&lt;10),ROW(#REF!)-14),ROWS($1:19))),"")</f>
        <v/>
      </c>
      <c r="R28" s="13"/>
      <c r="S28" s="339" t="str">
        <f t="array" ref="S28">+IFERROR(INDEX(#REF!,SMALL(IF((#REF!&gt;8)*(#REF!&lt;10),ROW(#REF!)-14),ROWS($1:19))),"")</f>
        <v/>
      </c>
      <c r="AC28" s="14" t="s">
        <v>521</v>
      </c>
      <c r="AD28" s="340">
        <f>SUMIFS($G$10:$G$164,$E$10:$E$164,"dcn")</f>
        <v>0</v>
      </c>
    </row>
    <row r="29" spans="1:30" s="14" customFormat="1" ht="16.149999999999999" customHeight="1" x14ac:dyDescent="0.25">
      <c r="A29" s="17"/>
      <c r="B29" s="36">
        <v>20</v>
      </c>
      <c r="C29" s="341" t="str">
        <f t="array" ref="C29">+IFERROR(INDEX(#REF!,SMALL(IF((#REF!&gt;0)*(#REF!&lt;4),ROW(#REF!)-14),ROWS($1:20))),"")</f>
        <v/>
      </c>
      <c r="D29" s="13"/>
      <c r="E29" s="342" t="str">
        <f t="array" ref="E29">+IFERROR(INDEX(#REF!,SMALL(IF((#REF!&gt;0)*(#REF!&lt;4),ROW(#REF!)-14),ROWS($1:20))),"")</f>
        <v/>
      </c>
      <c r="F29" s="13"/>
      <c r="G29" s="343" t="str">
        <f t="array" ref="G29">+IFERROR(INDEX(#REF!,SMALL(IF((#REF!&gt;0)*(#REF!&lt;4),ROW(#REF!)-14),ROWS($1:20))),"")</f>
        <v/>
      </c>
      <c r="H29" s="13"/>
      <c r="I29" s="344" t="str">
        <f t="array" ref="I29">+IFERROR(INDEX(#REF!,SMALL(IF((#REF!&gt;4)*(#REF!&lt;8),ROW(#REF!)-14),ROWS($1:20))),"")</f>
        <v/>
      </c>
      <c r="J29" s="13"/>
      <c r="K29" s="345" t="str">
        <f t="array" ref="K29">+IFERROR(INDEX(#REF!,SMALL(IF((#REF!&gt;4)*(#REF!&lt;8),ROW(#REF!)-14),ROWS($1:20))),"")</f>
        <v/>
      </c>
      <c r="L29" s="13"/>
      <c r="M29" s="346" t="str">
        <f t="array" ref="M29">+IFERROR(INDEX(#REF!,SMALL(IF((#REF!&gt;4)*(#REF!&lt;8),ROW(#REF!)-14),ROWS($1:20))),"")</f>
        <v/>
      </c>
      <c r="N29" s="13"/>
      <c r="O29" s="347" t="str">
        <f t="array" ref="O29">+IFERROR(INDEX(#REF!,SMALL(IF((#REF!&gt;8)*(#REF!&lt;10),ROW(#REF!)-14),ROWS($1:20))),"")</f>
        <v/>
      </c>
      <c r="P29" s="13"/>
      <c r="Q29" s="348" t="str">
        <f t="array" ref="Q29">+IFERROR(INDEX(#REF!,SMALL(IF((#REF!&gt;8)*(#REF!&lt;10),ROW(#REF!)-14),ROWS($1:20))),"")</f>
        <v/>
      </c>
      <c r="R29" s="13"/>
      <c r="S29" s="349" t="str">
        <f t="array" ref="S29">+IFERROR(INDEX(#REF!,SMALL(IF((#REF!&gt;8)*(#REF!&lt;10),ROW(#REF!)-14),ROWS($1:20))),"")</f>
        <v/>
      </c>
      <c r="AC29" s="14" t="s">
        <v>580</v>
      </c>
      <c r="AD29" s="340">
        <f>SUMIFS($G$10:$G$164,$E$10:$E$164,"dI")</f>
        <v>0</v>
      </c>
    </row>
    <row r="30" spans="1:30" s="14" customFormat="1" ht="16.149999999999999" customHeight="1" x14ac:dyDescent="0.25">
      <c r="A30" s="17"/>
      <c r="B30" s="36">
        <v>21</v>
      </c>
      <c r="C30" s="331" t="str">
        <f t="array" ref="C30">+IFERROR(INDEX(#REF!,SMALL(IF((#REF!&gt;0)*(#REF!&lt;4),ROW(#REF!)-14),ROWS($1:21))),"")</f>
        <v/>
      </c>
      <c r="D30" s="13"/>
      <c r="E30" s="332" t="str">
        <f t="array" ref="E30">+IFERROR(INDEX(#REF!,SMALL(IF((#REF!&gt;0)*(#REF!&lt;4),ROW(#REF!)-14),ROWS($1:21))),"")</f>
        <v/>
      </c>
      <c r="F30" s="13"/>
      <c r="G30" s="333" t="str">
        <f t="array" ref="G30">+IFERROR(INDEX(#REF!,SMALL(IF((#REF!&gt;0)*(#REF!&lt;4),ROW(#REF!)-14),ROWS($1:21))),"")</f>
        <v/>
      </c>
      <c r="H30" s="13"/>
      <c r="I30" s="334" t="str">
        <f t="array" ref="I30">+IFERROR(INDEX(#REF!,SMALL(IF((#REF!&gt;4)*(#REF!&lt;8),ROW(#REF!)-14),ROWS($1:21))),"")</f>
        <v/>
      </c>
      <c r="J30" s="13"/>
      <c r="K30" s="335" t="str">
        <f t="array" ref="K30">+IFERROR(INDEX(#REF!,SMALL(IF((#REF!&gt;4)*(#REF!&lt;8),ROW(#REF!)-14),ROWS($1:21))),"")</f>
        <v/>
      </c>
      <c r="L30" s="13"/>
      <c r="M30" s="336" t="str">
        <f t="array" ref="M30">+IFERROR(INDEX(#REF!,SMALL(IF((#REF!&gt;4)*(#REF!&lt;8),ROW(#REF!)-14),ROWS($1:21))),"")</f>
        <v/>
      </c>
      <c r="N30" s="13"/>
      <c r="O30" s="337" t="str">
        <f t="array" ref="O30">+IFERROR(INDEX(#REF!,SMALL(IF((#REF!&gt;8)*(#REF!&lt;10),ROW(#REF!)-14),ROWS($1:21))),"")</f>
        <v/>
      </c>
      <c r="P30" s="13"/>
      <c r="Q30" s="338" t="str">
        <f t="array" ref="Q30">+IFERROR(INDEX(#REF!,SMALL(IF((#REF!&gt;8)*(#REF!&lt;10),ROW(#REF!)-14),ROWS($1:21))),"")</f>
        <v/>
      </c>
      <c r="R30" s="13"/>
      <c r="S30" s="339" t="str">
        <f t="array" ref="S30">+IFERROR(INDEX(#REF!,SMALL(IF((#REF!&gt;8)*(#REF!&lt;10),ROW(#REF!)-14),ROWS($1:21))),"")</f>
        <v/>
      </c>
      <c r="AC30" s="14" t="s">
        <v>548</v>
      </c>
      <c r="AD30" s="340">
        <f>SUMIFS($G$10:$G$164,$E$10:$E$164,"AO")</f>
        <v>0</v>
      </c>
    </row>
    <row r="31" spans="1:30" s="14" customFormat="1" ht="16.149999999999999" customHeight="1" x14ac:dyDescent="0.25">
      <c r="A31" s="17"/>
      <c r="B31" s="36">
        <v>22</v>
      </c>
      <c r="C31" s="341" t="str">
        <f t="array" ref="C31">+IFERROR(INDEX(#REF!,SMALL(IF((#REF!&gt;0)*(#REF!&lt;4),ROW(#REF!)-14),ROWS($1:22))),"")</f>
        <v/>
      </c>
      <c r="D31" s="13"/>
      <c r="E31" s="342" t="str">
        <f t="array" ref="E31">+IFERROR(INDEX(#REF!,SMALL(IF((#REF!&gt;0)*(#REF!&lt;4),ROW(#REF!)-14),ROWS($1:22))),"")</f>
        <v/>
      </c>
      <c r="F31" s="13"/>
      <c r="G31" s="343" t="str">
        <f t="array" ref="G31">+IFERROR(INDEX(#REF!,SMALL(IF((#REF!&gt;0)*(#REF!&lt;4),ROW(#REF!)-14),ROWS($1:22))),"")</f>
        <v/>
      </c>
      <c r="H31" s="13"/>
      <c r="I31" s="344" t="str">
        <f t="array" ref="I31">+IFERROR(INDEX(#REF!,SMALL(IF((#REF!&gt;4)*(#REF!&lt;8),ROW(#REF!)-14),ROWS($1:22))),"")</f>
        <v/>
      </c>
      <c r="J31" s="13"/>
      <c r="K31" s="345" t="str">
        <f t="array" ref="K31">+IFERROR(INDEX(#REF!,SMALL(IF((#REF!&gt;4)*(#REF!&lt;8),ROW(#REF!)-14),ROWS($1:22))),"")</f>
        <v/>
      </c>
      <c r="L31" s="13"/>
      <c r="M31" s="346" t="str">
        <f t="array" ref="M31">+IFERROR(INDEX(#REF!,SMALL(IF((#REF!&gt;4)*(#REF!&lt;8),ROW(#REF!)-14),ROWS($1:22))),"")</f>
        <v/>
      </c>
      <c r="N31" s="13"/>
      <c r="O31" s="347" t="str">
        <f t="array" ref="O31">+IFERROR(INDEX(#REF!,SMALL(IF((#REF!&gt;8)*(#REF!&lt;10),ROW(#REF!)-14),ROWS($1:22))),"")</f>
        <v/>
      </c>
      <c r="P31" s="13"/>
      <c r="Q31" s="348" t="str">
        <f t="array" ref="Q31">+IFERROR(INDEX(#REF!,SMALL(IF((#REF!&gt;8)*(#REF!&lt;10),ROW(#REF!)-14),ROWS($1:22))),"")</f>
        <v/>
      </c>
      <c r="R31" s="13"/>
      <c r="S31" s="349" t="str">
        <f t="array" ref="S31">+IFERROR(INDEX(#REF!,SMALL(IF((#REF!&gt;8)*(#REF!&lt;10),ROW(#REF!)-14),ROWS($1:22))),"")</f>
        <v/>
      </c>
      <c r="AC31" s="14" t="s">
        <v>547</v>
      </c>
      <c r="AD31" s="340">
        <f>SUMIFS($G$10:$G$164,$E$10:$E$164,"REG")</f>
        <v>0</v>
      </c>
    </row>
    <row r="32" spans="1:30" s="14" customFormat="1" ht="16.149999999999999" customHeight="1" x14ac:dyDescent="0.25">
      <c r="A32" s="17"/>
      <c r="B32" s="36">
        <v>23</v>
      </c>
      <c r="C32" s="331" t="str">
        <f t="array" ref="C32">+IFERROR(INDEX(#REF!,SMALL(IF((#REF!&gt;0)*(#REF!&lt;4),ROW(#REF!)-14),ROWS($1:23))),"")</f>
        <v/>
      </c>
      <c r="D32" s="13"/>
      <c r="E32" s="332" t="str">
        <f t="array" ref="E32">+IFERROR(INDEX(#REF!,SMALL(IF((#REF!&gt;0)*(#REF!&lt;4),ROW(#REF!)-14),ROWS($1:23))),"")</f>
        <v/>
      </c>
      <c r="F32" s="13"/>
      <c r="G32" s="333" t="str">
        <f t="array" ref="G32">+IFERROR(INDEX(#REF!,SMALL(IF((#REF!&gt;0)*(#REF!&lt;4),ROW(#REF!)-14),ROWS($1:23))),"")</f>
        <v/>
      </c>
      <c r="H32" s="13"/>
      <c r="I32" s="334" t="str">
        <f t="array" ref="I32">+IFERROR(INDEX(#REF!,SMALL(IF((#REF!&gt;4)*(#REF!&lt;8),ROW(#REF!)-14),ROWS($1:23))),"")</f>
        <v/>
      </c>
      <c r="J32" s="13"/>
      <c r="K32" s="335" t="str">
        <f t="array" ref="K32">+IFERROR(INDEX(#REF!,SMALL(IF((#REF!&gt;4)*(#REF!&lt;8),ROW(#REF!)-14),ROWS($1:23))),"")</f>
        <v/>
      </c>
      <c r="L32" s="13"/>
      <c r="M32" s="336" t="str">
        <f t="array" ref="M32">+IFERROR(INDEX(#REF!,SMALL(IF((#REF!&gt;4)*(#REF!&lt;8),ROW(#REF!)-14),ROWS($1:23))),"")</f>
        <v/>
      </c>
      <c r="N32" s="13"/>
      <c r="O32" s="337" t="str">
        <f t="array" ref="O32">+IFERROR(INDEX(#REF!,SMALL(IF((#REF!&gt;8)*(#REF!&lt;10),ROW(#REF!)-14),ROWS($1:23))),"")</f>
        <v/>
      </c>
      <c r="P32" s="13"/>
      <c r="Q32" s="338" t="str">
        <f t="array" ref="Q32">+IFERROR(INDEX(#REF!,SMALL(IF((#REF!&gt;8)*(#REF!&lt;10),ROW(#REF!)-14),ROWS($1:23))),"")</f>
        <v/>
      </c>
      <c r="R32" s="13"/>
      <c r="S32" s="339" t="str">
        <f t="array" ref="S32">+IFERROR(INDEX(#REF!,SMALL(IF((#REF!&gt;8)*(#REF!&lt;10),ROW(#REF!)-14),ROWS($1:23))),"")</f>
        <v/>
      </c>
      <c r="AC32" s="371" t="s">
        <v>635</v>
      </c>
      <c r="AD32" s="340">
        <f>SUM(AD28:AD31)</f>
        <v>0</v>
      </c>
    </row>
    <row r="33" spans="1:37" s="14" customFormat="1" ht="16.149999999999999" customHeight="1" x14ac:dyDescent="0.25">
      <c r="A33" s="17"/>
      <c r="B33" s="36">
        <v>24</v>
      </c>
      <c r="C33" s="341" t="str">
        <f t="array" ref="C33">+IFERROR(INDEX(#REF!,SMALL(IF((#REF!&gt;0)*(#REF!&lt;4),ROW(#REF!)-14),ROWS($1:24))),"")</f>
        <v/>
      </c>
      <c r="D33" s="13"/>
      <c r="E33" s="342" t="str">
        <f t="array" ref="E33">+IFERROR(INDEX(#REF!,SMALL(IF((#REF!&gt;0)*(#REF!&lt;4),ROW(#REF!)-14),ROWS($1:24))),"")</f>
        <v/>
      </c>
      <c r="F33" s="13"/>
      <c r="G33" s="343" t="str">
        <f t="array" ref="G33">+IFERROR(INDEX(#REF!,SMALL(IF((#REF!&gt;0)*(#REF!&lt;4),ROW(#REF!)-14),ROWS($1:24))),"")</f>
        <v/>
      </c>
      <c r="H33" s="13"/>
      <c r="I33" s="344" t="str">
        <f t="array" ref="I33">+IFERROR(INDEX(#REF!,SMALL(IF((#REF!&gt;4)*(#REF!&lt;8),ROW(#REF!)-14),ROWS($1:24))),"")</f>
        <v/>
      </c>
      <c r="J33" s="13"/>
      <c r="K33" s="345" t="str">
        <f t="array" ref="K33">+IFERROR(INDEX(#REF!,SMALL(IF((#REF!&gt;4)*(#REF!&lt;8),ROW(#REF!)-14),ROWS($1:24))),"")</f>
        <v/>
      </c>
      <c r="L33" s="13"/>
      <c r="M33" s="346" t="str">
        <f t="array" ref="M33">+IFERROR(INDEX(#REF!,SMALL(IF((#REF!&gt;4)*(#REF!&lt;8),ROW(#REF!)-14),ROWS($1:24))),"")</f>
        <v/>
      </c>
      <c r="N33" s="13"/>
      <c r="O33" s="347" t="str">
        <f t="array" ref="O33">+IFERROR(INDEX(#REF!,SMALL(IF((#REF!&gt;8)*(#REF!&lt;10),ROW(#REF!)-14),ROWS($1:24))),"")</f>
        <v/>
      </c>
      <c r="P33" s="13"/>
      <c r="Q33" s="348" t="str">
        <f t="array" ref="Q33">+IFERROR(INDEX(#REF!,SMALL(IF((#REF!&gt;8)*(#REF!&lt;10),ROW(#REF!)-14),ROWS($1:24))),"")</f>
        <v/>
      </c>
      <c r="R33" s="13"/>
      <c r="S33" s="349" t="str">
        <f t="array" ref="S33">+IFERROR(INDEX(#REF!,SMALL(IF((#REF!&gt;8)*(#REF!&lt;10),ROW(#REF!)-14),ROWS($1:24))),"")</f>
        <v/>
      </c>
      <c r="AC33" s="371" t="s">
        <v>634</v>
      </c>
      <c r="AD33" s="372">
        <f>+$U$2-AD32</f>
        <v>0</v>
      </c>
    </row>
    <row r="34" spans="1:37" s="14" customFormat="1" ht="16.149999999999999" customHeight="1" x14ac:dyDescent="0.25">
      <c r="A34" s="17"/>
      <c r="B34" s="36">
        <v>25</v>
      </c>
      <c r="C34" s="331" t="str">
        <f t="array" ref="C34">+IFERROR(INDEX(#REF!,SMALL(IF((#REF!&gt;0)*(#REF!&lt;4),ROW(#REF!)-14),ROWS($1:25))),"")</f>
        <v/>
      </c>
      <c r="D34" s="13"/>
      <c r="E34" s="332" t="str">
        <f t="array" ref="E34">+IFERROR(INDEX(#REF!,SMALL(IF((#REF!&gt;0)*(#REF!&lt;4),ROW(#REF!)-14),ROWS($1:25))),"")</f>
        <v/>
      </c>
      <c r="F34" s="13"/>
      <c r="G34" s="333" t="str">
        <f t="array" ref="G34">+IFERROR(INDEX(#REF!,SMALL(IF((#REF!&gt;0)*(#REF!&lt;4),ROW(#REF!)-14),ROWS($1:25))),"")</f>
        <v/>
      </c>
      <c r="H34" s="13"/>
      <c r="I34" s="334" t="str">
        <f t="array" ref="I34">+IFERROR(INDEX(#REF!,SMALL(IF((#REF!&gt;4)*(#REF!&lt;8),ROW(#REF!)-14),ROWS($1:25))),"")</f>
        <v/>
      </c>
      <c r="J34" s="13"/>
      <c r="K34" s="335" t="str">
        <f t="array" ref="K34">+IFERROR(INDEX(#REF!,SMALL(IF((#REF!&gt;4)*(#REF!&lt;8),ROW(#REF!)-14),ROWS($1:25))),"")</f>
        <v/>
      </c>
      <c r="L34" s="13"/>
      <c r="M34" s="336" t="str">
        <f t="array" ref="M34">+IFERROR(INDEX(#REF!,SMALL(IF((#REF!&gt;4)*(#REF!&lt;8),ROW(#REF!)-14),ROWS($1:25))),"")</f>
        <v/>
      </c>
      <c r="N34" s="13"/>
      <c r="O34" s="337" t="str">
        <f t="array" ref="O34">+IFERROR(INDEX(#REF!,SMALL(IF((#REF!&gt;8)*(#REF!&lt;10),ROW(#REF!)-14),ROWS($1:25))),"")</f>
        <v/>
      </c>
      <c r="P34" s="13"/>
      <c r="Q34" s="338" t="str">
        <f t="array" ref="Q34">+IFERROR(INDEX(#REF!,SMALL(IF((#REF!&gt;8)*(#REF!&lt;10),ROW(#REF!)-14),ROWS($1:25))),"")</f>
        <v/>
      </c>
      <c r="R34" s="13"/>
      <c r="S34" s="339" t="str">
        <f t="array" ref="S34">+IFERROR(INDEX(#REF!,SMALL(IF((#REF!&gt;8)*(#REF!&lt;10),ROW(#REF!)-14),ROWS($1:25))),"")</f>
        <v/>
      </c>
      <c r="AD34" s="340"/>
    </row>
    <row r="35" spans="1:37" x14ac:dyDescent="0.25">
      <c r="AK35" s="14"/>
    </row>
    <row r="36" spans="1:37" s="14" customFormat="1" ht="16.149999999999999" customHeight="1" x14ac:dyDescent="0.25">
      <c r="A36" s="370" t="s">
        <v>599</v>
      </c>
      <c r="B36" s="36">
        <v>1</v>
      </c>
      <c r="C36" s="341" t="str">
        <f t="array" ref="C36">+IFERROR(INDEX(#REF!,SMALL(IF((#REF!&gt;0)*(#REF!&lt;4),ROW(#REF!)-14),ROWS($1:1))),"")</f>
        <v/>
      </c>
      <c r="D36" s="13"/>
      <c r="E36" s="342" t="str">
        <f t="array" ref="E36">+IFERROR(INDEX(#REF!,SMALL(IF((#REF!&gt;0)*(#REF!&lt;4),ROW(#REF!)-14),ROWS($1:1))),"")</f>
        <v/>
      </c>
      <c r="F36" s="13"/>
      <c r="G36" s="343" t="str">
        <f t="array" ref="G36">+IFERROR(INDEX(#REF!,SMALL(IF((#REF!&gt;0)*(#REF!&lt;4),ROW(#REF!)-14),ROWS($1:1))),"")</f>
        <v/>
      </c>
      <c r="H36" s="13"/>
      <c r="I36" s="344" t="str">
        <f t="array" ref="I36">+IFERROR(INDEX(#REF!,SMALL(IF((#REF!&gt;4)*(#REF!&lt;8),ROW(#REF!)-14),ROWS($1:1))),"")</f>
        <v/>
      </c>
      <c r="J36" s="13"/>
      <c r="K36" s="345" t="str">
        <f t="array" ref="K36">+IFERROR(INDEX(#REF!,SMALL(IF((#REF!&gt;4)*(#REF!&lt;8),ROW(#REF!)-14),ROWS($1:1))),"")</f>
        <v/>
      </c>
      <c r="L36" s="13"/>
      <c r="M36" s="346" t="str">
        <f t="array" ref="M36">+IFERROR(INDEX(#REF!,SMALL(IF((#REF!&gt;4)*(#REF!&lt;8),ROW(#REF!)-14),ROWS($1:1))),"")</f>
        <v/>
      </c>
      <c r="N36" s="13"/>
      <c r="O36" s="347" t="str">
        <f t="array" ref="O36">+IFERROR(INDEX(#REF!,SMALL(IF((#REF!&gt;8)*(#REF!&lt;10),ROW(#REF!)-14),ROWS($1:1))),"")</f>
        <v/>
      </c>
      <c r="P36" s="13"/>
      <c r="Q36" s="348" t="str">
        <f t="array" ref="Q36">+IFERROR(INDEX(#REF!,SMALL(IF((#REF!&gt;8)*(#REF!&lt;10),ROW(#REF!)-14),ROWS($1:1))),"")</f>
        <v/>
      </c>
      <c r="R36" s="13"/>
      <c r="S36" s="349" t="str">
        <f t="array" ref="S36">+IFERROR(INDEX(#REF!,SMALL(IF((#REF!&gt;8)*(#REF!&lt;10),ROW(#REF!)-14),ROWS($1:1))),"")</f>
        <v/>
      </c>
      <c r="V36" s="14" t="s">
        <v>521</v>
      </c>
      <c r="W36" s="340">
        <v>16372.529999999999</v>
      </c>
    </row>
    <row r="37" spans="1:37" s="14" customFormat="1" ht="16.149999999999999" customHeight="1" x14ac:dyDescent="0.25">
      <c r="A37" s="17"/>
      <c r="B37" s="36">
        <v>2</v>
      </c>
      <c r="C37" s="331" t="str">
        <f t="array" ref="C37">+IFERROR(INDEX(#REF!,SMALL(IF((#REF!&gt;0)*(#REF!&lt;4),ROW(#REF!)-14),ROWS($1:2))),"")</f>
        <v/>
      </c>
      <c r="D37" s="13"/>
      <c r="E37" s="332" t="str">
        <f t="array" ref="E37">+IFERROR(INDEX(#REF!,SMALL(IF((#REF!&gt;0)*(#REF!&lt;4),ROW(#REF!)-14),ROWS($1:2))),"")</f>
        <v/>
      </c>
      <c r="F37" s="13"/>
      <c r="G37" s="333" t="str">
        <f t="array" ref="G37">+IFERROR(INDEX(#REF!,SMALL(IF((#REF!&gt;0)*(#REF!&lt;4),ROW(#REF!)-14),ROWS($1:2))),"")</f>
        <v/>
      </c>
      <c r="H37" s="13"/>
      <c r="I37" s="334" t="str">
        <f t="array" ref="I37">+IFERROR(INDEX(#REF!,SMALL(IF((#REF!&gt;4)*(#REF!&lt;8),ROW(#REF!)-14),ROWS($1:2))),"")</f>
        <v/>
      </c>
      <c r="J37" s="13"/>
      <c r="K37" s="335" t="str">
        <f t="array" ref="K37">+IFERROR(INDEX(#REF!,SMALL(IF((#REF!&gt;4)*(#REF!&lt;8),ROW(#REF!)-14),ROWS($1:2))),"")</f>
        <v/>
      </c>
      <c r="L37" s="13"/>
      <c r="M37" s="336" t="str">
        <f t="array" ref="M37">+IFERROR(INDEX(#REF!,SMALL(IF((#REF!&gt;4)*(#REF!&lt;8),ROW(#REF!)-14),ROWS($1:2))),"")</f>
        <v/>
      </c>
      <c r="N37" s="13"/>
      <c r="O37" s="337" t="str">
        <f t="array" ref="O37">+IFERROR(INDEX(#REF!,SMALL(IF((#REF!&gt;8)*(#REF!&lt;10),ROW(#REF!)-14),ROWS($1:2))),"")</f>
        <v/>
      </c>
      <c r="P37" s="13"/>
      <c r="Q37" s="338" t="str">
        <f t="array" ref="Q37">+IFERROR(INDEX(#REF!,SMALL(IF((#REF!&gt;8)*(#REF!&lt;10),ROW(#REF!)-14),ROWS($1:2))),"")</f>
        <v/>
      </c>
      <c r="R37" s="13"/>
      <c r="S37" s="339" t="str">
        <f t="array" ref="S37">+IFERROR(INDEX(#REF!,SMALL(IF((#REF!&gt;8)*(#REF!&lt;10),ROW(#REF!)-14),ROWS($1:2))),"")</f>
        <v/>
      </c>
      <c r="V37" s="14" t="s">
        <v>580</v>
      </c>
      <c r="W37" s="340">
        <v>41445.689999999988</v>
      </c>
    </row>
    <row r="38" spans="1:37" s="14" customFormat="1" ht="16.149999999999999" customHeight="1" x14ac:dyDescent="0.25">
      <c r="A38" s="17"/>
      <c r="B38" s="36">
        <v>3</v>
      </c>
      <c r="C38" s="341" t="str">
        <f t="array" ref="C38">+IFERROR(INDEX(#REF!,SMALL(IF((#REF!&gt;0)*(#REF!&lt;4),ROW(#REF!)-14),ROWS($1:3))),"")</f>
        <v/>
      </c>
      <c r="D38" s="13"/>
      <c r="E38" s="342" t="str">
        <f t="array" ref="E38">+IFERROR(INDEX(#REF!,SMALL(IF((#REF!&gt;0)*(#REF!&lt;4),ROW(#REF!)-14),ROWS($1:3))),"")</f>
        <v/>
      </c>
      <c r="F38" s="13"/>
      <c r="G38" s="343" t="str">
        <f t="array" ref="G38">+IFERROR(INDEX(#REF!,SMALL(IF((#REF!&gt;0)*(#REF!&lt;4),ROW(#REF!)-14),ROWS($1:3))),"")</f>
        <v/>
      </c>
      <c r="H38" s="13"/>
      <c r="I38" s="344" t="str">
        <f t="array" ref="I38">+IFERROR(INDEX(#REF!,SMALL(IF((#REF!&gt;4)*(#REF!&lt;8),ROW(#REF!)-14),ROWS($1:3))),"")</f>
        <v/>
      </c>
      <c r="J38" s="13"/>
      <c r="K38" s="345" t="str">
        <f t="array" ref="K38">+IFERROR(INDEX(#REF!,SMALL(IF((#REF!&gt;4)*(#REF!&lt;8),ROW(#REF!)-14),ROWS($1:3))),"")</f>
        <v/>
      </c>
      <c r="L38" s="13"/>
      <c r="M38" s="346" t="str">
        <f t="array" ref="M38">+IFERROR(INDEX(#REF!,SMALL(IF((#REF!&gt;4)*(#REF!&lt;8),ROW(#REF!)-14),ROWS($1:3))),"")</f>
        <v/>
      </c>
      <c r="N38" s="13"/>
      <c r="O38" s="347" t="str">
        <f t="array" ref="O38">+IFERROR(INDEX(#REF!,SMALL(IF((#REF!&gt;8)*(#REF!&lt;10),ROW(#REF!)-14),ROWS($1:3))),"")</f>
        <v/>
      </c>
      <c r="P38" s="13"/>
      <c r="Q38" s="348" t="str">
        <f t="array" ref="Q38">+IFERROR(INDEX(#REF!,SMALL(IF((#REF!&gt;8)*(#REF!&lt;10),ROW(#REF!)-14),ROWS($1:3))),"")</f>
        <v/>
      </c>
      <c r="R38" s="13"/>
      <c r="S38" s="349" t="str">
        <f t="array" ref="S38">+IFERROR(INDEX(#REF!,SMALL(IF((#REF!&gt;8)*(#REF!&lt;10),ROW(#REF!)-14),ROWS($1:3))),"")</f>
        <v/>
      </c>
      <c r="V38" s="14" t="s">
        <v>548</v>
      </c>
      <c r="W38" s="340">
        <v>0</v>
      </c>
    </row>
    <row r="39" spans="1:37" s="14" customFormat="1" ht="16.149999999999999" customHeight="1" x14ac:dyDescent="0.25">
      <c r="A39" s="17"/>
      <c r="B39" s="36">
        <v>4</v>
      </c>
      <c r="C39" s="331" t="str">
        <f t="array" ref="C39">+IFERROR(INDEX(#REF!,SMALL(IF((#REF!&gt;0)*(#REF!&lt;4),ROW(#REF!)-14),ROWS($1:4))),"")</f>
        <v/>
      </c>
      <c r="D39" s="13"/>
      <c r="E39" s="332" t="str">
        <f t="array" ref="E39">+IFERROR(INDEX(#REF!,SMALL(IF((#REF!&gt;0)*(#REF!&lt;4),ROW(#REF!)-14),ROWS($1:4))),"")</f>
        <v/>
      </c>
      <c r="F39" s="13"/>
      <c r="G39" s="333" t="str">
        <f t="array" ref="G39">+IFERROR(INDEX(#REF!,SMALL(IF((#REF!&gt;0)*(#REF!&lt;4),ROW(#REF!)-14),ROWS($1:4))),"")</f>
        <v/>
      </c>
      <c r="H39" s="13"/>
      <c r="I39" s="334" t="str">
        <f t="array" ref="I39">+IFERROR(INDEX(#REF!,SMALL(IF((#REF!&gt;4)*(#REF!&lt;8),ROW(#REF!)-14),ROWS($1:4))),"")</f>
        <v/>
      </c>
      <c r="J39" s="13"/>
      <c r="K39" s="335" t="str">
        <f t="array" ref="K39">+IFERROR(INDEX(#REF!,SMALL(IF((#REF!&gt;4)*(#REF!&lt;8),ROW(#REF!)-14),ROWS($1:4))),"")</f>
        <v/>
      </c>
      <c r="L39" s="13"/>
      <c r="M39" s="336" t="str">
        <f t="array" ref="M39">+IFERROR(INDEX(#REF!,SMALL(IF((#REF!&gt;4)*(#REF!&lt;8),ROW(#REF!)-14),ROWS($1:4))),"")</f>
        <v/>
      </c>
      <c r="N39" s="13"/>
      <c r="O39" s="337" t="str">
        <f t="array" ref="O39">+IFERROR(INDEX(#REF!,SMALL(IF((#REF!&gt;8)*(#REF!&lt;10),ROW(#REF!)-14),ROWS($1:4))),"")</f>
        <v/>
      </c>
      <c r="P39" s="13"/>
      <c r="Q39" s="338" t="str">
        <f t="array" ref="Q39">+IFERROR(INDEX(#REF!,SMALL(IF((#REF!&gt;8)*(#REF!&lt;10),ROW(#REF!)-14),ROWS($1:4))),"")</f>
        <v/>
      </c>
      <c r="R39" s="13"/>
      <c r="S39" s="339" t="str">
        <f t="array" ref="S39">+IFERROR(INDEX(#REF!,SMALL(IF((#REF!&gt;8)*(#REF!&lt;10),ROW(#REF!)-14),ROWS($1:4))),"")</f>
        <v/>
      </c>
      <c r="V39" s="14" t="s">
        <v>547</v>
      </c>
      <c r="W39" s="340">
        <v>3234.95</v>
      </c>
    </row>
    <row r="40" spans="1:37" s="14" customFormat="1" ht="16.149999999999999" customHeight="1" x14ac:dyDescent="0.25">
      <c r="A40" s="17"/>
      <c r="B40" s="36">
        <v>5</v>
      </c>
      <c r="C40" s="341" t="str">
        <f t="array" ref="C40">+IFERROR(INDEX(#REF!,SMALL(IF((#REF!&gt;0)*(#REF!&lt;4),ROW(#REF!)-14),ROWS($1:5))),"")</f>
        <v/>
      </c>
      <c r="D40" s="13"/>
      <c r="E40" s="342" t="str">
        <f t="array" ref="E40">+IFERROR(INDEX(#REF!,SMALL(IF((#REF!&gt;0)*(#REF!&lt;4),ROW(#REF!)-14),ROWS($1:5))),"")</f>
        <v/>
      </c>
      <c r="F40" s="13"/>
      <c r="G40" s="343" t="str">
        <f t="array" ref="G40">+IFERROR(INDEX(#REF!,SMALL(IF((#REF!&gt;0)*(#REF!&lt;4),ROW(#REF!)-14),ROWS($1:5))),"")</f>
        <v/>
      </c>
      <c r="H40" s="13"/>
      <c r="I40" s="344" t="str">
        <f t="array" ref="I40">+IFERROR(INDEX(#REF!,SMALL(IF((#REF!&gt;4)*(#REF!&lt;8),ROW(#REF!)-14),ROWS($1:5))),"")</f>
        <v/>
      </c>
      <c r="J40" s="13"/>
      <c r="K40" s="345" t="str">
        <f t="array" ref="K40">+IFERROR(INDEX(#REF!,SMALL(IF((#REF!&gt;4)*(#REF!&lt;8),ROW(#REF!)-14),ROWS($1:5))),"")</f>
        <v/>
      </c>
      <c r="L40" s="13"/>
      <c r="M40" s="346" t="str">
        <f t="array" ref="M40">+IFERROR(INDEX(#REF!,SMALL(IF((#REF!&gt;4)*(#REF!&lt;8),ROW(#REF!)-14),ROWS($1:5))),"")</f>
        <v/>
      </c>
      <c r="N40" s="13"/>
      <c r="O40" s="347" t="str">
        <f t="array" ref="O40">+IFERROR(INDEX(#REF!,SMALL(IF((#REF!&gt;8)*(#REF!&lt;10),ROW(#REF!)-14),ROWS($1:5))),"")</f>
        <v/>
      </c>
      <c r="P40" s="13"/>
      <c r="Q40" s="348" t="str">
        <f t="array" ref="Q40">+IFERROR(INDEX(#REF!,SMALL(IF((#REF!&gt;8)*(#REF!&lt;10),ROW(#REF!)-14),ROWS($1:5))),"")</f>
        <v/>
      </c>
      <c r="R40" s="13"/>
      <c r="S40" s="349" t="str">
        <f t="array" ref="S40">+IFERROR(INDEX(#REF!,SMALL(IF((#REF!&gt;8)*(#REF!&lt;10),ROW(#REF!)-14),ROWS($1:5))),"")</f>
        <v/>
      </c>
    </row>
    <row r="41" spans="1:37" s="14" customFormat="1" ht="16.149999999999999" customHeight="1" x14ac:dyDescent="0.25">
      <c r="A41" s="17"/>
      <c r="B41" s="36">
        <v>6</v>
      </c>
      <c r="C41" s="331" t="str">
        <f t="array" ref="C41">+IFERROR(INDEX(#REF!,SMALL(IF((#REF!&gt;0)*(#REF!&lt;4),ROW(#REF!)-14),ROWS($1:6))),"")</f>
        <v/>
      </c>
      <c r="D41" s="13"/>
      <c r="E41" s="332" t="str">
        <f t="array" ref="E41">+IFERROR(INDEX(#REF!,SMALL(IF((#REF!&gt;0)*(#REF!&lt;4),ROW(#REF!)-14),ROWS($1:6))),"")</f>
        <v/>
      </c>
      <c r="F41" s="13"/>
      <c r="G41" s="333" t="str">
        <f t="array" ref="G41">+IFERROR(INDEX(#REF!,SMALL(IF((#REF!&gt;0)*(#REF!&lt;4),ROW(#REF!)-14),ROWS($1:6))),"")</f>
        <v/>
      </c>
      <c r="H41" s="13"/>
      <c r="I41" s="334" t="str">
        <f t="array" ref="I41">+IFERROR(INDEX(#REF!,SMALL(IF((#REF!&gt;4)*(#REF!&lt;8),ROW(#REF!)-14),ROWS($1:6))),"")</f>
        <v/>
      </c>
      <c r="J41" s="13"/>
      <c r="K41" s="335" t="str">
        <f t="array" ref="K41">+IFERROR(INDEX(#REF!,SMALL(IF((#REF!&gt;4)*(#REF!&lt;8),ROW(#REF!)-14),ROWS($1:6))),"")</f>
        <v/>
      </c>
      <c r="L41" s="13"/>
      <c r="M41" s="336" t="str">
        <f t="array" ref="M41">+IFERROR(INDEX(#REF!,SMALL(IF((#REF!&gt;4)*(#REF!&lt;8),ROW(#REF!)-14),ROWS($1:6))),"")</f>
        <v/>
      </c>
      <c r="N41" s="13"/>
      <c r="O41" s="337" t="str">
        <f t="array" ref="O41">+IFERROR(INDEX(#REF!,SMALL(IF((#REF!&gt;8)*(#REF!&lt;10),ROW(#REF!)-14),ROWS($1:6))),"")</f>
        <v/>
      </c>
      <c r="P41" s="13"/>
      <c r="Q41" s="338" t="str">
        <f t="array" ref="Q41">+IFERROR(INDEX(#REF!,SMALL(IF((#REF!&gt;8)*(#REF!&lt;10),ROW(#REF!)-14),ROWS($1:6))),"")</f>
        <v/>
      </c>
      <c r="R41" s="13"/>
      <c r="S41" s="339" t="str">
        <f t="array" ref="S41">+IFERROR(INDEX(#REF!,SMALL(IF((#REF!&gt;8)*(#REF!&lt;10),ROW(#REF!)-14),ROWS($1:6))),"")</f>
        <v/>
      </c>
    </row>
    <row r="42" spans="1:37" s="14" customFormat="1" ht="16.149999999999999" customHeight="1" x14ac:dyDescent="0.25">
      <c r="A42" s="17"/>
      <c r="B42" s="36">
        <v>7</v>
      </c>
      <c r="C42" s="341" t="str">
        <f t="array" ref="C42">+IFERROR(INDEX(#REF!,SMALL(IF((#REF!&gt;0)*(#REF!&lt;4),ROW(#REF!)-14),ROWS($1:7))),"")</f>
        <v/>
      </c>
      <c r="D42" s="13"/>
      <c r="E42" s="342" t="str">
        <f t="array" ref="E42">+IFERROR(INDEX(#REF!,SMALL(IF((#REF!&gt;0)*(#REF!&lt;4),ROW(#REF!)-14),ROWS($1:7))),"")</f>
        <v/>
      </c>
      <c r="F42" s="13"/>
      <c r="G42" s="343" t="str">
        <f t="array" ref="G42">+IFERROR(INDEX(#REF!,SMALL(IF((#REF!&gt;0)*(#REF!&lt;4),ROW(#REF!)-14),ROWS($1:7))),"")</f>
        <v/>
      </c>
      <c r="H42" s="13"/>
      <c r="I42" s="344" t="str">
        <f t="array" ref="I42">+IFERROR(INDEX(#REF!,SMALL(IF((#REF!&gt;4)*(#REF!&lt;8),ROW(#REF!)-14),ROWS($1:7))),"")</f>
        <v/>
      </c>
      <c r="J42" s="13"/>
      <c r="K42" s="345" t="str">
        <f t="array" ref="K42">+IFERROR(INDEX(#REF!,SMALL(IF((#REF!&gt;4)*(#REF!&lt;8),ROW(#REF!)-14),ROWS($1:7))),"")</f>
        <v/>
      </c>
      <c r="L42" s="13"/>
      <c r="M42" s="346" t="str">
        <f t="array" ref="M42">+IFERROR(INDEX(#REF!,SMALL(IF((#REF!&gt;4)*(#REF!&lt;8),ROW(#REF!)-14),ROWS($1:7))),"")</f>
        <v/>
      </c>
      <c r="N42" s="13"/>
      <c r="O42" s="347" t="str">
        <f t="array" ref="O42">+IFERROR(INDEX(#REF!,SMALL(IF((#REF!&gt;8)*(#REF!&lt;10),ROW(#REF!)-14),ROWS($1:7))),"")</f>
        <v/>
      </c>
      <c r="P42" s="13"/>
      <c r="Q42" s="348" t="str">
        <f t="array" ref="Q42">+IFERROR(INDEX(#REF!,SMALL(IF((#REF!&gt;8)*(#REF!&lt;10),ROW(#REF!)-14),ROWS($1:7))),"")</f>
        <v/>
      </c>
      <c r="R42" s="13"/>
      <c r="S42" s="349" t="str">
        <f t="array" ref="S42">+IFERROR(INDEX(#REF!,SMALL(IF((#REF!&gt;8)*(#REF!&lt;10),ROW(#REF!)-14),ROWS($1:7))),"")</f>
        <v/>
      </c>
    </row>
    <row r="43" spans="1:37" s="14" customFormat="1" ht="16.149999999999999" customHeight="1" x14ac:dyDescent="0.25">
      <c r="A43" s="17"/>
      <c r="B43" s="36">
        <v>8</v>
      </c>
      <c r="C43" s="331" t="str">
        <f t="array" ref="C43">+IFERROR(INDEX(#REF!,SMALL(IF((#REF!&gt;0)*(#REF!&lt;4),ROW(#REF!)-14),ROWS($1:8))),"")</f>
        <v/>
      </c>
      <c r="D43" s="13"/>
      <c r="E43" s="332" t="str">
        <f t="array" ref="E43">+IFERROR(INDEX(#REF!,SMALL(IF((#REF!&gt;0)*(#REF!&lt;4),ROW(#REF!)-14),ROWS($1:8))),"")</f>
        <v/>
      </c>
      <c r="F43" s="13"/>
      <c r="G43" s="333" t="str">
        <f t="array" ref="G43">+IFERROR(INDEX(#REF!,SMALL(IF((#REF!&gt;0)*(#REF!&lt;4),ROW(#REF!)-14),ROWS($1:8))),"")</f>
        <v/>
      </c>
      <c r="H43" s="13"/>
      <c r="I43" s="334" t="str">
        <f t="array" ref="I43">+IFERROR(INDEX(#REF!,SMALL(IF((#REF!&gt;4)*(#REF!&lt;8),ROW(#REF!)-14),ROWS($1:8))),"")</f>
        <v/>
      </c>
      <c r="J43" s="13"/>
      <c r="K43" s="335" t="str">
        <f t="array" ref="K43">+IFERROR(INDEX(#REF!,SMALL(IF((#REF!&gt;4)*(#REF!&lt;8),ROW(#REF!)-14),ROWS($1:8))),"")</f>
        <v/>
      </c>
      <c r="L43" s="13"/>
      <c r="M43" s="336" t="str">
        <f t="array" ref="M43">+IFERROR(INDEX(#REF!,SMALL(IF((#REF!&gt;4)*(#REF!&lt;8),ROW(#REF!)-14),ROWS($1:8))),"")</f>
        <v/>
      </c>
      <c r="N43" s="13"/>
      <c r="O43" s="337" t="str">
        <f t="array" ref="O43">+IFERROR(INDEX(#REF!,SMALL(IF((#REF!&gt;8)*(#REF!&lt;10),ROW(#REF!)-14),ROWS($1:8))),"")</f>
        <v/>
      </c>
      <c r="P43" s="13"/>
      <c r="Q43" s="338" t="str">
        <f t="array" ref="Q43">+IFERROR(INDEX(#REF!,SMALL(IF((#REF!&gt;8)*(#REF!&lt;10),ROW(#REF!)-14),ROWS($1:8))),"")</f>
        <v/>
      </c>
      <c r="R43" s="13"/>
      <c r="S43" s="339" t="str">
        <f t="array" ref="S43">+IFERROR(INDEX(#REF!,SMALL(IF((#REF!&gt;8)*(#REF!&lt;10),ROW(#REF!)-14),ROWS($1:8))),"")</f>
        <v/>
      </c>
      <c r="AD43" s="373" t="s">
        <v>540</v>
      </c>
    </row>
    <row r="44" spans="1:37" s="14" customFormat="1" ht="16.149999999999999" customHeight="1" x14ac:dyDescent="0.25">
      <c r="A44" s="17"/>
      <c r="B44" s="36">
        <v>9</v>
      </c>
      <c r="C44" s="341" t="str">
        <f t="array" ref="C44">+IFERROR(INDEX(#REF!,SMALL(IF((#REF!&gt;0)*(#REF!&lt;4),ROW(#REF!)-14),ROWS($1:9))),"")</f>
        <v/>
      </c>
      <c r="D44" s="13"/>
      <c r="E44" s="342" t="str">
        <f t="array" ref="E44">+IFERROR(INDEX(#REF!,SMALL(IF((#REF!&gt;0)*(#REF!&lt;4),ROW(#REF!)-14),ROWS($1:9))),"")</f>
        <v/>
      </c>
      <c r="F44" s="13"/>
      <c r="G44" s="343" t="str">
        <f t="array" ref="G44">+IFERROR(INDEX(#REF!,SMALL(IF((#REF!&gt;0)*(#REF!&lt;4),ROW(#REF!)-14),ROWS($1:9))),"")</f>
        <v/>
      </c>
      <c r="H44" s="13"/>
      <c r="I44" s="344" t="str">
        <f t="array" ref="I44">+IFERROR(INDEX(#REF!,SMALL(IF((#REF!&gt;4)*(#REF!&lt;8),ROW(#REF!)-14),ROWS($1:9))),"")</f>
        <v/>
      </c>
      <c r="J44" s="13"/>
      <c r="K44" s="345" t="str">
        <f t="array" ref="K44">+IFERROR(INDEX(#REF!,SMALL(IF((#REF!&gt;4)*(#REF!&lt;8),ROW(#REF!)-14),ROWS($1:9))),"")</f>
        <v/>
      </c>
      <c r="L44" s="13"/>
      <c r="M44" s="346" t="str">
        <f t="array" ref="M44">+IFERROR(INDEX(#REF!,SMALL(IF((#REF!&gt;4)*(#REF!&lt;8),ROW(#REF!)-14),ROWS($1:9))),"")</f>
        <v/>
      </c>
      <c r="N44" s="13"/>
      <c r="O44" s="347" t="str">
        <f t="array" ref="O44">+IFERROR(INDEX(#REF!,SMALL(IF((#REF!&gt;8)*(#REF!&lt;10),ROW(#REF!)-14),ROWS($1:9))),"")</f>
        <v/>
      </c>
      <c r="P44" s="13"/>
      <c r="Q44" s="348" t="str">
        <f t="array" ref="Q44">+IFERROR(INDEX(#REF!,SMALL(IF((#REF!&gt;8)*(#REF!&lt;10),ROW(#REF!)-14),ROWS($1:9))),"")</f>
        <v/>
      </c>
      <c r="R44" s="13"/>
      <c r="S44" s="349" t="str">
        <f t="array" ref="S44">+IFERROR(INDEX(#REF!,SMALL(IF((#REF!&gt;8)*(#REF!&lt;10),ROW(#REF!)-14),ROWS($1:9))),"")</f>
        <v/>
      </c>
      <c r="AC44" s="14" t="s">
        <v>521</v>
      </c>
      <c r="AD44" s="340">
        <f>SUMIFS($M$10:$M$164,$K$10:$K$164,"dcn")</f>
        <v>0</v>
      </c>
    </row>
    <row r="45" spans="1:37" s="14" customFormat="1" ht="16.149999999999999" customHeight="1" x14ac:dyDescent="0.25">
      <c r="A45" s="17"/>
      <c r="B45" s="36">
        <v>10</v>
      </c>
      <c r="C45" s="331" t="str">
        <f t="array" ref="C45">+IFERROR(INDEX(#REF!,SMALL(IF((#REF!&gt;0)*(#REF!&lt;4),ROW(#REF!)-14),ROWS($1:10))),"")</f>
        <v/>
      </c>
      <c r="D45" s="13"/>
      <c r="E45" s="332" t="str">
        <f t="array" ref="E45">+IFERROR(INDEX(#REF!,SMALL(IF((#REF!&gt;0)*(#REF!&lt;4),ROW(#REF!)-14),ROWS($1:10))),"")</f>
        <v/>
      </c>
      <c r="F45" s="13"/>
      <c r="G45" s="333" t="str">
        <f t="array" ref="G45">+IFERROR(INDEX(#REF!,SMALL(IF((#REF!&gt;0)*(#REF!&lt;4),ROW(#REF!)-14),ROWS($1:10))),"")</f>
        <v/>
      </c>
      <c r="H45" s="13"/>
      <c r="I45" s="334" t="str">
        <f t="array" ref="I45">+IFERROR(INDEX(#REF!,SMALL(IF((#REF!&gt;4)*(#REF!&lt;8),ROW(#REF!)-14),ROWS($1:10))),"")</f>
        <v/>
      </c>
      <c r="J45" s="13"/>
      <c r="K45" s="335" t="str">
        <f t="array" ref="K45">+IFERROR(INDEX(#REF!,SMALL(IF((#REF!&gt;4)*(#REF!&lt;8),ROW(#REF!)-14),ROWS($1:10))),"")</f>
        <v/>
      </c>
      <c r="L45" s="13"/>
      <c r="M45" s="336" t="str">
        <f t="array" ref="M45">+IFERROR(INDEX(#REF!,SMALL(IF((#REF!&gt;4)*(#REF!&lt;8),ROW(#REF!)-14),ROWS($1:10))),"")</f>
        <v/>
      </c>
      <c r="N45" s="13"/>
      <c r="O45" s="337" t="str">
        <f t="array" ref="O45">+IFERROR(INDEX(#REF!,SMALL(IF((#REF!&gt;8)*(#REF!&lt;10),ROW(#REF!)-14),ROWS($1:10))),"")</f>
        <v/>
      </c>
      <c r="P45" s="13"/>
      <c r="Q45" s="338" t="str">
        <f t="array" ref="Q45">+IFERROR(INDEX(#REF!,SMALL(IF((#REF!&gt;8)*(#REF!&lt;10),ROW(#REF!)-14),ROWS($1:10))),"")</f>
        <v/>
      </c>
      <c r="R45" s="13"/>
      <c r="S45" s="339" t="str">
        <f t="array" ref="S45">+IFERROR(INDEX(#REF!,SMALL(IF((#REF!&gt;8)*(#REF!&lt;10),ROW(#REF!)-14),ROWS($1:10))),"")</f>
        <v/>
      </c>
      <c r="AC45" s="14" t="s">
        <v>580</v>
      </c>
      <c r="AD45" s="340">
        <f>SUMIFS($M$10:$M$164,$K$10:$K$164,"dI")</f>
        <v>0</v>
      </c>
    </row>
    <row r="46" spans="1:37" s="14" customFormat="1" ht="16.149999999999999" customHeight="1" x14ac:dyDescent="0.25">
      <c r="A46" s="17"/>
      <c r="B46" s="36">
        <v>11</v>
      </c>
      <c r="C46" s="341" t="str">
        <f t="array" ref="C46">+IFERROR(INDEX(#REF!,SMALL(IF((#REF!&gt;0)*(#REF!&lt;4),ROW(#REF!)-14),ROWS($1:11))),"")</f>
        <v/>
      </c>
      <c r="D46" s="13"/>
      <c r="E46" s="342" t="str">
        <f t="array" ref="E46">+IFERROR(INDEX(#REF!,SMALL(IF((#REF!&gt;0)*(#REF!&lt;4),ROW(#REF!)-14),ROWS($1:11))),"")</f>
        <v/>
      </c>
      <c r="F46" s="13"/>
      <c r="G46" s="343" t="str">
        <f t="array" ref="G46">+IFERROR(INDEX(#REF!,SMALL(IF((#REF!&gt;0)*(#REF!&lt;4),ROW(#REF!)-14),ROWS($1:11))),"")</f>
        <v/>
      </c>
      <c r="H46" s="13"/>
      <c r="I46" s="344" t="str">
        <f t="array" ref="I46">+IFERROR(INDEX(#REF!,SMALL(IF((#REF!&gt;4)*(#REF!&lt;8),ROW(#REF!)-14),ROWS($1:11))),"")</f>
        <v/>
      </c>
      <c r="J46" s="13"/>
      <c r="K46" s="345" t="str">
        <f t="array" ref="K46">+IFERROR(INDEX(#REF!,SMALL(IF((#REF!&gt;4)*(#REF!&lt;8),ROW(#REF!)-14),ROWS($1:11))),"")</f>
        <v/>
      </c>
      <c r="L46" s="13"/>
      <c r="M46" s="346" t="str">
        <f t="array" ref="M46">+IFERROR(INDEX(#REF!,SMALL(IF((#REF!&gt;4)*(#REF!&lt;8),ROW(#REF!)-14),ROWS($1:11))),"")</f>
        <v/>
      </c>
      <c r="N46" s="13"/>
      <c r="O46" s="347" t="str">
        <f t="array" ref="O46">+IFERROR(INDEX(#REF!,SMALL(IF((#REF!&gt;8)*(#REF!&lt;10),ROW(#REF!)-14),ROWS($1:11))),"")</f>
        <v/>
      </c>
      <c r="P46" s="13"/>
      <c r="Q46" s="348" t="str">
        <f t="array" ref="Q46">+IFERROR(INDEX(#REF!,SMALL(IF((#REF!&gt;8)*(#REF!&lt;10),ROW(#REF!)-14),ROWS($1:11))),"")</f>
        <v/>
      </c>
      <c r="R46" s="13"/>
      <c r="S46" s="349" t="str">
        <f t="array" ref="S46">+IFERROR(INDEX(#REF!,SMALL(IF((#REF!&gt;8)*(#REF!&lt;10),ROW(#REF!)-14),ROWS($1:11))),"")</f>
        <v/>
      </c>
      <c r="AC46" s="14" t="s">
        <v>548</v>
      </c>
      <c r="AD46" s="340">
        <f>SUMIFS($M$10:$M$164,$K$10:$K$164,"AO")</f>
        <v>0</v>
      </c>
    </row>
    <row r="47" spans="1:37" s="14" customFormat="1" ht="16.149999999999999" customHeight="1" x14ac:dyDescent="0.25">
      <c r="A47" s="17"/>
      <c r="B47" s="36">
        <v>12</v>
      </c>
      <c r="C47" s="331" t="str">
        <f t="array" ref="C47">+IFERROR(INDEX(#REF!,SMALL(IF((#REF!&gt;0)*(#REF!&lt;4),ROW(#REF!)-14),ROWS($1:12))),"")</f>
        <v/>
      </c>
      <c r="D47" s="13"/>
      <c r="E47" s="332" t="str">
        <f t="array" ref="E47">+IFERROR(INDEX(#REF!,SMALL(IF((#REF!&gt;0)*(#REF!&lt;4),ROW(#REF!)-14),ROWS($1:12))),"")</f>
        <v/>
      </c>
      <c r="F47" s="13"/>
      <c r="G47" s="333" t="str">
        <f t="array" ref="G47">+IFERROR(INDEX(#REF!,SMALL(IF((#REF!&gt;0)*(#REF!&lt;4),ROW(#REF!)-14),ROWS($1:12))),"")</f>
        <v/>
      </c>
      <c r="H47" s="13"/>
      <c r="I47" s="334" t="str">
        <f t="array" ref="I47">+IFERROR(INDEX(#REF!,SMALL(IF((#REF!&gt;4)*(#REF!&lt;8),ROW(#REF!)-14),ROWS($1:12))),"")</f>
        <v/>
      </c>
      <c r="J47" s="13"/>
      <c r="K47" s="335" t="str">
        <f t="array" ref="K47">+IFERROR(INDEX(#REF!,SMALL(IF((#REF!&gt;4)*(#REF!&lt;8),ROW(#REF!)-14),ROWS($1:12))),"")</f>
        <v/>
      </c>
      <c r="L47" s="13"/>
      <c r="M47" s="336" t="str">
        <f t="array" ref="M47">+IFERROR(INDEX(#REF!,SMALL(IF((#REF!&gt;4)*(#REF!&lt;8),ROW(#REF!)-14),ROWS($1:12))),"")</f>
        <v/>
      </c>
      <c r="N47" s="13"/>
      <c r="O47" s="337" t="str">
        <f t="array" ref="O47">+IFERROR(INDEX(#REF!,SMALL(IF((#REF!&gt;8)*(#REF!&lt;10),ROW(#REF!)-14),ROWS($1:12))),"")</f>
        <v/>
      </c>
      <c r="P47" s="13"/>
      <c r="Q47" s="338" t="str">
        <f t="array" ref="Q47">+IFERROR(INDEX(#REF!,SMALL(IF((#REF!&gt;8)*(#REF!&lt;10),ROW(#REF!)-14),ROWS($1:12))),"")</f>
        <v/>
      </c>
      <c r="R47" s="13"/>
      <c r="S47" s="339" t="str">
        <f t="array" ref="S47">+IFERROR(INDEX(#REF!,SMALL(IF((#REF!&gt;8)*(#REF!&lt;10),ROW(#REF!)-14),ROWS($1:12))),"")</f>
        <v/>
      </c>
      <c r="AC47" s="14" t="s">
        <v>547</v>
      </c>
      <c r="AD47" s="340">
        <f>SUMIFS($M$10:$M$164,$K$10:$K$164,"REG")</f>
        <v>0</v>
      </c>
    </row>
    <row r="48" spans="1:37" s="14" customFormat="1" ht="16.149999999999999" customHeight="1" x14ac:dyDescent="0.25">
      <c r="A48" s="17"/>
      <c r="B48" s="36">
        <v>13</v>
      </c>
      <c r="C48" s="341" t="str">
        <f t="array" ref="C48">+IFERROR(INDEX(#REF!,SMALL(IF((#REF!&gt;0)*(#REF!&lt;4),ROW(#REF!)-14),ROWS($1:13))),"")</f>
        <v/>
      </c>
      <c r="D48" s="13"/>
      <c r="E48" s="342" t="str">
        <f t="array" ref="E48">+IFERROR(INDEX(#REF!,SMALL(IF((#REF!&gt;0)*(#REF!&lt;4),ROW(#REF!)-14),ROWS($1:13))),"")</f>
        <v/>
      </c>
      <c r="F48" s="13"/>
      <c r="G48" s="343" t="str">
        <f t="array" ref="G48">+IFERROR(INDEX(#REF!,SMALL(IF((#REF!&gt;0)*(#REF!&lt;4),ROW(#REF!)-14),ROWS($1:13))),"")</f>
        <v/>
      </c>
      <c r="H48" s="13"/>
      <c r="I48" s="344" t="str">
        <f t="array" ref="I48">+IFERROR(INDEX(#REF!,SMALL(IF((#REF!&gt;4)*(#REF!&lt;8),ROW(#REF!)-14),ROWS($1:13))),"")</f>
        <v/>
      </c>
      <c r="J48" s="13"/>
      <c r="K48" s="345" t="str">
        <f t="array" ref="K48">+IFERROR(INDEX(#REF!,SMALL(IF((#REF!&gt;4)*(#REF!&lt;8),ROW(#REF!)-14),ROWS($1:13))),"")</f>
        <v/>
      </c>
      <c r="L48" s="13"/>
      <c r="M48" s="346" t="str">
        <f t="array" ref="M48">+IFERROR(INDEX(#REF!,SMALL(IF((#REF!&gt;4)*(#REF!&lt;8),ROW(#REF!)-14),ROWS($1:13))),"")</f>
        <v/>
      </c>
      <c r="N48" s="13"/>
      <c r="O48" s="347" t="str">
        <f t="array" ref="O48">+IFERROR(INDEX(#REF!,SMALL(IF((#REF!&gt;8)*(#REF!&lt;10),ROW(#REF!)-14),ROWS($1:13))),"")</f>
        <v/>
      </c>
      <c r="P48" s="13"/>
      <c r="Q48" s="348" t="str">
        <f t="array" ref="Q48">+IFERROR(INDEX(#REF!,SMALL(IF((#REF!&gt;8)*(#REF!&lt;10),ROW(#REF!)-14),ROWS($1:13))),"")</f>
        <v/>
      </c>
      <c r="R48" s="13"/>
      <c r="S48" s="349" t="str">
        <f t="array" ref="S48">+IFERROR(INDEX(#REF!,SMALL(IF((#REF!&gt;8)*(#REF!&lt;10),ROW(#REF!)-14),ROWS($1:13))),"")</f>
        <v/>
      </c>
      <c r="AC48" s="371" t="s">
        <v>635</v>
      </c>
      <c r="AD48" s="340">
        <f>SUM(AD44:AD47)</f>
        <v>0</v>
      </c>
    </row>
    <row r="49" spans="1:37" s="14" customFormat="1" ht="16.149999999999999" customHeight="1" x14ac:dyDescent="0.25">
      <c r="A49" s="17"/>
      <c r="B49" s="36">
        <v>14</v>
      </c>
      <c r="C49" s="331" t="str">
        <f t="array" ref="C49">+IFERROR(INDEX(#REF!,SMALL(IF((#REF!&gt;0)*(#REF!&lt;4),ROW(#REF!)-14),ROWS($1:14))),"")</f>
        <v/>
      </c>
      <c r="D49" s="13"/>
      <c r="E49" s="332" t="str">
        <f t="array" ref="E49">+IFERROR(INDEX(#REF!,SMALL(IF((#REF!&gt;0)*(#REF!&lt;4),ROW(#REF!)-14),ROWS($1:14))),"")</f>
        <v/>
      </c>
      <c r="F49" s="13"/>
      <c r="G49" s="333" t="str">
        <f t="array" ref="G49">+IFERROR(INDEX(#REF!,SMALL(IF((#REF!&gt;0)*(#REF!&lt;4),ROW(#REF!)-14),ROWS($1:14))),"")</f>
        <v/>
      </c>
      <c r="H49" s="13"/>
      <c r="I49" s="334" t="str">
        <f t="array" ref="I49">+IFERROR(INDEX(#REF!,SMALL(IF((#REF!&gt;4)*(#REF!&lt;8),ROW(#REF!)-14),ROWS($1:14))),"")</f>
        <v/>
      </c>
      <c r="J49" s="13"/>
      <c r="K49" s="335" t="str">
        <f t="array" ref="K49">+IFERROR(INDEX(#REF!,SMALL(IF((#REF!&gt;4)*(#REF!&lt;8),ROW(#REF!)-14),ROWS($1:14))),"")</f>
        <v/>
      </c>
      <c r="L49" s="13"/>
      <c r="M49" s="336" t="str">
        <f t="array" ref="M49">+IFERROR(INDEX(#REF!,SMALL(IF((#REF!&gt;4)*(#REF!&lt;8),ROW(#REF!)-14),ROWS($1:14))),"")</f>
        <v/>
      </c>
      <c r="N49" s="13"/>
      <c r="O49" s="337" t="str">
        <f t="array" ref="O49">+IFERROR(INDEX(#REF!,SMALL(IF((#REF!&gt;8)*(#REF!&lt;10),ROW(#REF!)-14),ROWS($1:14))),"")</f>
        <v/>
      </c>
      <c r="P49" s="13"/>
      <c r="Q49" s="338" t="str">
        <f t="array" ref="Q49">+IFERROR(INDEX(#REF!,SMALL(IF((#REF!&gt;8)*(#REF!&lt;10),ROW(#REF!)-14),ROWS($1:14))),"")</f>
        <v/>
      </c>
      <c r="R49" s="13"/>
      <c r="S49" s="339" t="str">
        <f t="array" ref="S49">+IFERROR(INDEX(#REF!,SMALL(IF((#REF!&gt;8)*(#REF!&lt;10),ROW(#REF!)-14),ROWS($1:14))),"")</f>
        <v/>
      </c>
      <c r="AC49" s="371" t="s">
        <v>634</v>
      </c>
      <c r="AD49" s="372">
        <f>+U3-AD48</f>
        <v>0</v>
      </c>
    </row>
    <row r="50" spans="1:37" s="14" customFormat="1" ht="16.149999999999999" customHeight="1" x14ac:dyDescent="0.25">
      <c r="A50" s="17"/>
      <c r="B50" s="36">
        <v>15</v>
      </c>
      <c r="C50" s="341" t="str">
        <f t="array" ref="C50">+IFERROR(INDEX(#REF!,SMALL(IF((#REF!&gt;0)*(#REF!&lt;4),ROW(#REF!)-14),ROWS($1:15))),"")</f>
        <v/>
      </c>
      <c r="D50" s="13"/>
      <c r="E50" s="342" t="str">
        <f t="array" ref="E50">+IFERROR(INDEX(#REF!,SMALL(IF((#REF!&gt;0)*(#REF!&lt;4),ROW(#REF!)-14),ROWS($1:15))),"")</f>
        <v/>
      </c>
      <c r="F50" s="13"/>
      <c r="G50" s="343" t="str">
        <f t="array" ref="G50">+IFERROR(INDEX(#REF!,SMALL(IF((#REF!&gt;0)*(#REF!&lt;4),ROW(#REF!)-14),ROWS($1:15))),"")</f>
        <v/>
      </c>
      <c r="H50" s="13"/>
      <c r="I50" s="344" t="str">
        <f t="array" ref="I50">+IFERROR(INDEX(#REF!,SMALL(IF((#REF!&gt;4)*(#REF!&lt;8),ROW(#REF!)-14),ROWS($1:15))),"")</f>
        <v/>
      </c>
      <c r="J50" s="13"/>
      <c r="K50" s="345" t="str">
        <f t="array" ref="K50">+IFERROR(INDEX(#REF!,SMALL(IF((#REF!&gt;4)*(#REF!&lt;8),ROW(#REF!)-14),ROWS($1:15))),"")</f>
        <v/>
      </c>
      <c r="L50" s="13"/>
      <c r="M50" s="346" t="str">
        <f t="array" ref="M50">+IFERROR(INDEX(#REF!,SMALL(IF((#REF!&gt;4)*(#REF!&lt;8),ROW(#REF!)-14),ROWS($1:15))),"")</f>
        <v/>
      </c>
      <c r="N50" s="13"/>
      <c r="O50" s="347" t="str">
        <f t="array" ref="O50">+IFERROR(INDEX(#REF!,SMALL(IF((#REF!&gt;8)*(#REF!&lt;10),ROW(#REF!)-14),ROWS($1:15))),"")</f>
        <v/>
      </c>
      <c r="P50" s="13"/>
      <c r="Q50" s="348" t="str">
        <f t="array" ref="Q50">+IFERROR(INDEX(#REF!,SMALL(IF((#REF!&gt;8)*(#REF!&lt;10),ROW(#REF!)-14),ROWS($1:15))),"")</f>
        <v/>
      </c>
      <c r="R50" s="13"/>
      <c r="S50" s="349" t="str">
        <f t="array" ref="S50">+IFERROR(INDEX(#REF!,SMALL(IF((#REF!&gt;8)*(#REF!&lt;10),ROW(#REF!)-14),ROWS($1:15))),"")</f>
        <v/>
      </c>
    </row>
    <row r="51" spans="1:37" s="14" customFormat="1" ht="16.149999999999999" customHeight="1" x14ac:dyDescent="0.25">
      <c r="A51" s="17"/>
      <c r="B51" s="36">
        <v>16</v>
      </c>
      <c r="C51" s="331" t="str">
        <f t="array" ref="C51">+IFERROR(INDEX(#REF!,SMALL(IF((#REF!&gt;0)*(#REF!&lt;4),ROW(#REF!)-14),ROWS($1:16))),"")</f>
        <v/>
      </c>
      <c r="D51" s="13"/>
      <c r="E51" s="332" t="str">
        <f t="array" ref="E51">+IFERROR(INDEX(#REF!,SMALL(IF((#REF!&gt;0)*(#REF!&lt;4),ROW(#REF!)-14),ROWS($1:16))),"")</f>
        <v/>
      </c>
      <c r="F51" s="13"/>
      <c r="G51" s="333" t="str">
        <f t="array" ref="G51">+IFERROR(INDEX(#REF!,SMALL(IF((#REF!&gt;0)*(#REF!&lt;4),ROW(#REF!)-14),ROWS($1:16))),"")</f>
        <v/>
      </c>
      <c r="H51" s="13"/>
      <c r="I51" s="334" t="str">
        <f t="array" ref="I51">+IFERROR(INDEX(#REF!,SMALL(IF((#REF!&gt;4)*(#REF!&lt;8),ROW(#REF!)-14),ROWS($1:16))),"")</f>
        <v/>
      </c>
      <c r="J51" s="13"/>
      <c r="K51" s="335" t="str">
        <f t="array" ref="K51">+IFERROR(INDEX(#REF!,SMALL(IF((#REF!&gt;4)*(#REF!&lt;8),ROW(#REF!)-14),ROWS($1:16))),"")</f>
        <v/>
      </c>
      <c r="L51" s="13"/>
      <c r="M51" s="336" t="str">
        <f t="array" ref="M51">+IFERROR(INDEX(#REF!,SMALL(IF((#REF!&gt;4)*(#REF!&lt;8),ROW(#REF!)-14),ROWS($1:16))),"")</f>
        <v/>
      </c>
      <c r="N51" s="13"/>
      <c r="O51" s="337" t="str">
        <f t="array" ref="O51">+IFERROR(INDEX(#REF!,SMALL(IF((#REF!&gt;8)*(#REF!&lt;10),ROW(#REF!)-14),ROWS($1:16))),"")</f>
        <v/>
      </c>
      <c r="P51" s="13"/>
      <c r="Q51" s="338" t="str">
        <f t="array" ref="Q51">+IFERROR(INDEX(#REF!,SMALL(IF((#REF!&gt;8)*(#REF!&lt;10),ROW(#REF!)-14),ROWS($1:16))),"")</f>
        <v/>
      </c>
      <c r="R51" s="13"/>
      <c r="S51" s="339" t="str">
        <f t="array" ref="S51">+IFERROR(INDEX(#REF!,SMALL(IF((#REF!&gt;8)*(#REF!&lt;10),ROW(#REF!)-14),ROWS($1:16))),"")</f>
        <v/>
      </c>
    </row>
    <row r="52" spans="1:37" s="14" customFormat="1" ht="16.149999999999999" customHeight="1" x14ac:dyDescent="0.25">
      <c r="A52" s="17"/>
      <c r="B52" s="36">
        <v>17</v>
      </c>
      <c r="C52" s="341" t="str">
        <f t="array" ref="C52">+IFERROR(INDEX(#REF!,SMALL(IF((#REF!&gt;0)*(#REF!&lt;4),ROW(#REF!)-14),ROWS($1:17))),"")</f>
        <v/>
      </c>
      <c r="D52" s="13"/>
      <c r="E52" s="342" t="str">
        <f t="array" ref="E52">+IFERROR(INDEX(#REF!,SMALL(IF((#REF!&gt;0)*(#REF!&lt;4),ROW(#REF!)-14),ROWS($1:17))),"")</f>
        <v/>
      </c>
      <c r="F52" s="13"/>
      <c r="G52" s="343" t="str">
        <f t="array" ref="G52">+IFERROR(INDEX(#REF!,SMALL(IF((#REF!&gt;0)*(#REF!&lt;4),ROW(#REF!)-14),ROWS($1:17))),"")</f>
        <v/>
      </c>
      <c r="H52" s="13"/>
      <c r="I52" s="344" t="str">
        <f t="array" ref="I52">+IFERROR(INDEX(#REF!,SMALL(IF((#REF!&gt;4)*(#REF!&lt;8),ROW(#REF!)-14),ROWS($1:17))),"")</f>
        <v/>
      </c>
      <c r="J52" s="13"/>
      <c r="K52" s="345" t="str">
        <f t="array" ref="K52">+IFERROR(INDEX(#REF!,SMALL(IF((#REF!&gt;4)*(#REF!&lt;8),ROW(#REF!)-14),ROWS($1:17))),"")</f>
        <v/>
      </c>
      <c r="L52" s="13"/>
      <c r="M52" s="346" t="str">
        <f t="array" ref="M52">+IFERROR(INDEX(#REF!,SMALL(IF((#REF!&gt;4)*(#REF!&lt;8),ROW(#REF!)-14),ROWS($1:17))),"")</f>
        <v/>
      </c>
      <c r="N52" s="13"/>
      <c r="O52" s="347" t="str">
        <f t="array" ref="O52">+IFERROR(INDEX(#REF!,SMALL(IF((#REF!&gt;8)*(#REF!&lt;10),ROW(#REF!)-14),ROWS($1:17))),"")</f>
        <v/>
      </c>
      <c r="P52" s="13"/>
      <c r="Q52" s="348" t="str">
        <f t="array" ref="Q52">+IFERROR(INDEX(#REF!,SMALL(IF((#REF!&gt;8)*(#REF!&lt;10),ROW(#REF!)-14),ROWS($1:17))),"")</f>
        <v/>
      </c>
      <c r="R52" s="13"/>
      <c r="S52" s="349" t="str">
        <f t="array" ref="S52">+IFERROR(INDEX(#REF!,SMALL(IF((#REF!&gt;8)*(#REF!&lt;10),ROW(#REF!)-14),ROWS($1:17))),"")</f>
        <v/>
      </c>
    </row>
    <row r="53" spans="1:37" s="14" customFormat="1" ht="16.149999999999999" customHeight="1" x14ac:dyDescent="0.25">
      <c r="A53" s="17"/>
      <c r="B53" s="36">
        <v>18</v>
      </c>
      <c r="C53" s="331" t="str">
        <f t="array" ref="C53">+IFERROR(INDEX(#REF!,SMALL(IF((#REF!&gt;0)*(#REF!&lt;4),ROW(#REF!)-14),ROWS($1:18))),"")</f>
        <v/>
      </c>
      <c r="D53" s="13"/>
      <c r="E53" s="332" t="str">
        <f t="array" ref="E53">+IFERROR(INDEX(#REF!,SMALL(IF((#REF!&gt;0)*(#REF!&lt;4),ROW(#REF!)-14),ROWS($1:18))),"")</f>
        <v/>
      </c>
      <c r="F53" s="13"/>
      <c r="G53" s="333" t="str">
        <f t="array" ref="G53">+IFERROR(INDEX(#REF!,SMALL(IF((#REF!&gt;0)*(#REF!&lt;4),ROW(#REF!)-14),ROWS($1:18))),"")</f>
        <v/>
      </c>
      <c r="H53" s="13"/>
      <c r="I53" s="334" t="str">
        <f t="array" ref="I53">+IFERROR(INDEX(#REF!,SMALL(IF((#REF!&gt;4)*(#REF!&lt;8),ROW(#REF!)-14),ROWS($1:18))),"")</f>
        <v/>
      </c>
      <c r="J53" s="13"/>
      <c r="K53" s="335" t="str">
        <f t="array" ref="K53">+IFERROR(INDEX(#REF!,SMALL(IF((#REF!&gt;4)*(#REF!&lt;8),ROW(#REF!)-14),ROWS($1:18))),"")</f>
        <v/>
      </c>
      <c r="L53" s="13"/>
      <c r="M53" s="336" t="str">
        <f t="array" ref="M53">+IFERROR(INDEX(#REF!,SMALL(IF((#REF!&gt;4)*(#REF!&lt;8),ROW(#REF!)-14),ROWS($1:18))),"")</f>
        <v/>
      </c>
      <c r="N53" s="13"/>
      <c r="O53" s="337" t="str">
        <f t="array" ref="O53">+IFERROR(INDEX(#REF!,SMALL(IF((#REF!&gt;8)*(#REF!&lt;10),ROW(#REF!)-14),ROWS($1:18))),"")</f>
        <v/>
      </c>
      <c r="P53" s="13"/>
      <c r="Q53" s="338" t="str">
        <f t="array" ref="Q53">+IFERROR(INDEX(#REF!,SMALL(IF((#REF!&gt;8)*(#REF!&lt;10),ROW(#REF!)-14),ROWS($1:18))),"")</f>
        <v/>
      </c>
      <c r="R53" s="13"/>
      <c r="S53" s="339" t="str">
        <f t="array" ref="S53">+IFERROR(INDEX(#REF!,SMALL(IF((#REF!&gt;8)*(#REF!&lt;10),ROW(#REF!)-14),ROWS($1:18))),"")</f>
        <v/>
      </c>
    </row>
    <row r="54" spans="1:37" s="14" customFormat="1" ht="16.149999999999999" customHeight="1" x14ac:dyDescent="0.25">
      <c r="A54" s="17"/>
      <c r="B54" s="36">
        <v>19</v>
      </c>
      <c r="C54" s="341" t="str">
        <f t="array" ref="C54">+IFERROR(INDEX(#REF!,SMALL(IF((#REF!&gt;0)*(#REF!&lt;4),ROW(#REF!)-14),ROWS($1:19))),"")</f>
        <v/>
      </c>
      <c r="D54" s="13"/>
      <c r="E54" s="342" t="str">
        <f t="array" ref="E54">+IFERROR(INDEX(#REF!,SMALL(IF((#REF!&gt;0)*(#REF!&lt;4),ROW(#REF!)-14),ROWS($1:19))),"")</f>
        <v/>
      </c>
      <c r="F54" s="13"/>
      <c r="G54" s="343" t="str">
        <f t="array" ref="G54">+IFERROR(INDEX(#REF!,SMALL(IF((#REF!&gt;0)*(#REF!&lt;4),ROW(#REF!)-14),ROWS($1:19))),"")</f>
        <v/>
      </c>
      <c r="H54" s="13"/>
      <c r="I54" s="344" t="str">
        <f t="array" ref="I54">+IFERROR(INDEX(#REF!,SMALL(IF((#REF!&gt;4)*(#REF!&lt;8),ROW(#REF!)-14),ROWS($1:19))),"")</f>
        <v/>
      </c>
      <c r="J54" s="13"/>
      <c r="K54" s="345" t="str">
        <f t="array" ref="K54">+IFERROR(INDEX(#REF!,SMALL(IF((#REF!&gt;4)*(#REF!&lt;8),ROW(#REF!)-14),ROWS($1:19))),"")</f>
        <v/>
      </c>
      <c r="L54" s="13"/>
      <c r="M54" s="346" t="str">
        <f t="array" ref="M54">+IFERROR(INDEX(#REF!,SMALL(IF((#REF!&gt;4)*(#REF!&lt;8),ROW(#REF!)-14),ROWS($1:19))),"")</f>
        <v/>
      </c>
      <c r="N54" s="13"/>
      <c r="O54" s="347" t="str">
        <f t="array" ref="O54">+IFERROR(INDEX(#REF!,SMALL(IF((#REF!&gt;8)*(#REF!&lt;10),ROW(#REF!)-14),ROWS($1:19))),"")</f>
        <v/>
      </c>
      <c r="P54" s="13"/>
      <c r="Q54" s="348" t="str">
        <f t="array" ref="Q54">+IFERROR(INDEX(#REF!,SMALL(IF((#REF!&gt;8)*(#REF!&lt;10),ROW(#REF!)-14),ROWS($1:19))),"")</f>
        <v/>
      </c>
      <c r="R54" s="13"/>
      <c r="S54" s="349" t="str">
        <f t="array" ref="S54">+IFERROR(INDEX(#REF!,SMALL(IF((#REF!&gt;8)*(#REF!&lt;10),ROW(#REF!)-14),ROWS($1:19))),"")</f>
        <v/>
      </c>
    </row>
    <row r="55" spans="1:37" s="14" customFormat="1" ht="16.149999999999999" customHeight="1" x14ac:dyDescent="0.25">
      <c r="A55" s="17"/>
      <c r="B55" s="36">
        <v>20</v>
      </c>
      <c r="C55" s="331" t="str">
        <f t="array" ref="C55">+IFERROR(INDEX(#REF!,SMALL(IF((#REF!&gt;0)*(#REF!&lt;4),ROW(#REF!)-14),ROWS($1:20))),"")</f>
        <v/>
      </c>
      <c r="D55" s="13"/>
      <c r="E55" s="332" t="str">
        <f t="array" ref="E55">+IFERROR(INDEX(#REF!,SMALL(IF((#REF!&gt;0)*(#REF!&lt;4),ROW(#REF!)-14),ROWS($1:20))),"")</f>
        <v/>
      </c>
      <c r="F55" s="13"/>
      <c r="G55" s="333" t="str">
        <f t="array" ref="G55">+IFERROR(INDEX(#REF!,SMALL(IF((#REF!&gt;0)*(#REF!&lt;4),ROW(#REF!)-14),ROWS($1:20))),"")</f>
        <v/>
      </c>
      <c r="H55" s="13"/>
      <c r="I55" s="334" t="str">
        <f t="array" ref="I55">+IFERROR(INDEX(#REF!,SMALL(IF((#REF!&gt;4)*(#REF!&lt;8),ROW(#REF!)-14),ROWS($1:20))),"")</f>
        <v/>
      </c>
      <c r="J55" s="13"/>
      <c r="K55" s="335" t="str">
        <f t="array" ref="K55">+IFERROR(INDEX(#REF!,SMALL(IF((#REF!&gt;4)*(#REF!&lt;8),ROW(#REF!)-14),ROWS($1:20))),"")</f>
        <v/>
      </c>
      <c r="L55" s="13"/>
      <c r="M55" s="336" t="str">
        <f t="array" ref="M55">+IFERROR(INDEX(#REF!,SMALL(IF((#REF!&gt;4)*(#REF!&lt;8),ROW(#REF!)-14),ROWS($1:20))),"")</f>
        <v/>
      </c>
      <c r="N55" s="13"/>
      <c r="O55" s="337" t="str">
        <f t="array" ref="O55">+IFERROR(INDEX(#REF!,SMALL(IF((#REF!&gt;8)*(#REF!&lt;10),ROW(#REF!)-14),ROWS($1:20))),"")</f>
        <v/>
      </c>
      <c r="P55" s="13"/>
      <c r="Q55" s="338" t="str">
        <f t="array" ref="Q55">+IFERROR(INDEX(#REF!,SMALL(IF((#REF!&gt;8)*(#REF!&lt;10),ROW(#REF!)-14),ROWS($1:20))),"")</f>
        <v/>
      </c>
      <c r="R55" s="13"/>
      <c r="S55" s="339" t="str">
        <f t="array" ref="S55">+IFERROR(INDEX(#REF!,SMALL(IF((#REF!&gt;8)*(#REF!&lt;10),ROW(#REF!)-14),ROWS($1:20))),"")</f>
        <v/>
      </c>
    </row>
    <row r="56" spans="1:37" s="14" customFormat="1" ht="16.149999999999999" customHeight="1" x14ac:dyDescent="0.25">
      <c r="A56" s="17"/>
      <c r="B56" s="36">
        <v>21</v>
      </c>
      <c r="C56" s="341" t="str">
        <f t="array" ref="C56">+IFERROR(INDEX(#REF!,SMALL(IF((#REF!&gt;0)*(#REF!&lt;4),ROW(#REF!)-14),ROWS($1:21))),"")</f>
        <v/>
      </c>
      <c r="D56" s="13"/>
      <c r="E56" s="342" t="str">
        <f t="array" ref="E56">+IFERROR(INDEX(#REF!,SMALL(IF((#REF!&gt;0)*(#REF!&lt;4),ROW(#REF!)-14),ROWS($1:21))),"")</f>
        <v/>
      </c>
      <c r="F56" s="13"/>
      <c r="G56" s="343" t="str">
        <f t="array" ref="G56">+IFERROR(INDEX(#REF!,SMALL(IF((#REF!&gt;0)*(#REF!&lt;4),ROW(#REF!)-14),ROWS($1:21))),"")</f>
        <v/>
      </c>
      <c r="H56" s="13"/>
      <c r="I56" s="344" t="str">
        <f t="array" ref="I56">+IFERROR(INDEX(#REF!,SMALL(IF((#REF!&gt;4)*(#REF!&lt;8),ROW(#REF!)-14),ROWS($1:21))),"")</f>
        <v/>
      </c>
      <c r="J56" s="13"/>
      <c r="K56" s="345" t="str">
        <f t="array" ref="K56">+IFERROR(INDEX(#REF!,SMALL(IF((#REF!&gt;4)*(#REF!&lt;8),ROW(#REF!)-14),ROWS($1:21))),"")</f>
        <v/>
      </c>
      <c r="L56" s="13"/>
      <c r="M56" s="346" t="str">
        <f t="array" ref="M56">+IFERROR(INDEX(#REF!,SMALL(IF((#REF!&gt;4)*(#REF!&lt;8),ROW(#REF!)-14),ROWS($1:21))),"")</f>
        <v/>
      </c>
      <c r="N56" s="13"/>
      <c r="O56" s="347" t="str">
        <f t="array" ref="O56">+IFERROR(INDEX(#REF!,SMALL(IF((#REF!&gt;8)*(#REF!&lt;10),ROW(#REF!)-14),ROWS($1:21))),"")</f>
        <v/>
      </c>
      <c r="P56" s="13"/>
      <c r="Q56" s="348" t="str">
        <f t="array" ref="Q56">+IFERROR(INDEX(#REF!,SMALL(IF((#REF!&gt;8)*(#REF!&lt;10),ROW(#REF!)-14),ROWS($1:21))),"")</f>
        <v/>
      </c>
      <c r="R56" s="13"/>
      <c r="S56" s="349" t="str">
        <f t="array" ref="S56">+IFERROR(INDEX(#REF!,SMALL(IF((#REF!&gt;8)*(#REF!&lt;10),ROW(#REF!)-14),ROWS($1:21))),"")</f>
        <v/>
      </c>
    </row>
    <row r="57" spans="1:37" s="14" customFormat="1" ht="16.149999999999999" customHeight="1" x14ac:dyDescent="0.25">
      <c r="A57" s="17"/>
      <c r="B57" s="36">
        <v>22</v>
      </c>
      <c r="C57" s="331" t="str">
        <f t="array" ref="C57">+IFERROR(INDEX(#REF!,SMALL(IF((#REF!&gt;0)*(#REF!&lt;4),ROW(#REF!)-14),ROWS($1:22))),"")</f>
        <v/>
      </c>
      <c r="D57" s="13"/>
      <c r="E57" s="332" t="str">
        <f t="array" ref="E57">+IFERROR(INDEX(#REF!,SMALL(IF((#REF!&gt;0)*(#REF!&lt;4),ROW(#REF!)-14),ROWS($1:22))),"")</f>
        <v/>
      </c>
      <c r="F57" s="13"/>
      <c r="G57" s="333" t="str">
        <f t="array" ref="G57">+IFERROR(INDEX(#REF!,SMALL(IF((#REF!&gt;0)*(#REF!&lt;4),ROW(#REF!)-14),ROWS($1:22))),"")</f>
        <v/>
      </c>
      <c r="H57" s="13"/>
      <c r="I57" s="334" t="str">
        <f t="array" ref="I57">+IFERROR(INDEX(#REF!,SMALL(IF((#REF!&gt;4)*(#REF!&lt;8),ROW(#REF!)-14),ROWS($1:22))),"")</f>
        <v/>
      </c>
      <c r="J57" s="13"/>
      <c r="K57" s="335" t="str">
        <f t="array" ref="K57">+IFERROR(INDEX(#REF!,SMALL(IF((#REF!&gt;4)*(#REF!&lt;8),ROW(#REF!)-14),ROWS($1:22))),"")</f>
        <v/>
      </c>
      <c r="L57" s="13"/>
      <c r="M57" s="336" t="str">
        <f t="array" ref="M57">+IFERROR(INDEX(#REF!,SMALL(IF((#REF!&gt;4)*(#REF!&lt;8),ROW(#REF!)-14),ROWS($1:22))),"")</f>
        <v/>
      </c>
      <c r="N57" s="13"/>
      <c r="O57" s="337" t="str">
        <f t="array" ref="O57">+IFERROR(INDEX(#REF!,SMALL(IF((#REF!&gt;8)*(#REF!&lt;10),ROW(#REF!)-14),ROWS($1:22))),"")</f>
        <v/>
      </c>
      <c r="P57" s="13"/>
      <c r="Q57" s="338" t="str">
        <f t="array" ref="Q57">+IFERROR(INDEX(#REF!,SMALL(IF((#REF!&gt;8)*(#REF!&lt;10),ROW(#REF!)-14),ROWS($1:22))),"")</f>
        <v/>
      </c>
      <c r="R57" s="13"/>
      <c r="S57" s="339" t="str">
        <f t="array" ref="S57">+IFERROR(INDEX(#REF!,SMALL(IF((#REF!&gt;8)*(#REF!&lt;10),ROW(#REF!)-14),ROWS($1:22))),"")</f>
        <v/>
      </c>
    </row>
    <row r="58" spans="1:37" s="14" customFormat="1" ht="16.149999999999999" customHeight="1" x14ac:dyDescent="0.25">
      <c r="A58" s="17"/>
      <c r="B58" s="36">
        <v>23</v>
      </c>
      <c r="C58" s="341" t="str">
        <f t="array" ref="C58">+IFERROR(INDEX(#REF!,SMALL(IF((#REF!&gt;0)*(#REF!&lt;4),ROW(#REF!)-14),ROWS($1:23))),"")</f>
        <v/>
      </c>
      <c r="D58" s="13"/>
      <c r="E58" s="342" t="str">
        <f t="array" ref="E58">+IFERROR(INDEX(#REF!,SMALL(IF((#REF!&gt;0)*(#REF!&lt;4),ROW(#REF!)-14),ROWS($1:23))),"")</f>
        <v/>
      </c>
      <c r="F58" s="13"/>
      <c r="G58" s="343" t="str">
        <f t="array" ref="G58">+IFERROR(INDEX(#REF!,SMALL(IF((#REF!&gt;0)*(#REF!&lt;4),ROW(#REF!)-14),ROWS($1:23))),"")</f>
        <v/>
      </c>
      <c r="H58" s="13"/>
      <c r="I58" s="344" t="str">
        <f t="array" ref="I58">+IFERROR(INDEX(#REF!,SMALL(IF((#REF!&gt;4)*(#REF!&lt;8),ROW(#REF!)-14),ROWS($1:23))),"")</f>
        <v/>
      </c>
      <c r="J58" s="13"/>
      <c r="K58" s="345" t="str">
        <f t="array" ref="K58">+IFERROR(INDEX(#REF!,SMALL(IF((#REF!&gt;4)*(#REF!&lt;8),ROW(#REF!)-14),ROWS($1:23))),"")</f>
        <v/>
      </c>
      <c r="L58" s="13"/>
      <c r="M58" s="346" t="str">
        <f t="array" ref="M58">+IFERROR(INDEX(#REF!,SMALL(IF((#REF!&gt;4)*(#REF!&lt;8),ROW(#REF!)-14),ROWS($1:23))),"")</f>
        <v/>
      </c>
      <c r="N58" s="13"/>
      <c r="O58" s="347" t="str">
        <f t="array" ref="O58">+IFERROR(INDEX(#REF!,SMALL(IF((#REF!&gt;8)*(#REF!&lt;10),ROW(#REF!)-14),ROWS($1:23))),"")</f>
        <v/>
      </c>
      <c r="P58" s="13"/>
      <c r="Q58" s="348" t="str">
        <f t="array" ref="Q58">+IFERROR(INDEX(#REF!,SMALL(IF((#REF!&gt;8)*(#REF!&lt;10),ROW(#REF!)-14),ROWS($1:23))),"")</f>
        <v/>
      </c>
      <c r="R58" s="13"/>
      <c r="S58" s="349" t="str">
        <f t="array" ref="S58">+IFERROR(INDEX(#REF!,SMALL(IF((#REF!&gt;8)*(#REF!&lt;10),ROW(#REF!)-14),ROWS($1:23))),"")</f>
        <v/>
      </c>
    </row>
    <row r="59" spans="1:37" s="14" customFormat="1" ht="16.149999999999999" customHeight="1" x14ac:dyDescent="0.25">
      <c r="A59" s="17"/>
      <c r="B59" s="36">
        <v>24</v>
      </c>
      <c r="C59" s="331" t="str">
        <f t="array" ref="C59">+IFERROR(INDEX(#REF!,SMALL(IF((#REF!&gt;0)*(#REF!&lt;4),ROW(#REF!)-14),ROWS($1:24))),"")</f>
        <v/>
      </c>
      <c r="D59" s="13"/>
      <c r="E59" s="332" t="str">
        <f t="array" ref="E59">+IFERROR(INDEX(#REF!,SMALL(IF((#REF!&gt;0)*(#REF!&lt;4),ROW(#REF!)-14),ROWS($1:24))),"")</f>
        <v/>
      </c>
      <c r="F59" s="13"/>
      <c r="G59" s="333" t="str">
        <f t="array" ref="G59">+IFERROR(INDEX(#REF!,SMALL(IF((#REF!&gt;0)*(#REF!&lt;4),ROW(#REF!)-14),ROWS($1:24))),"")</f>
        <v/>
      </c>
      <c r="H59" s="13"/>
      <c r="I59" s="334" t="str">
        <f t="array" ref="I59">+IFERROR(INDEX(#REF!,SMALL(IF((#REF!&gt;4)*(#REF!&lt;8),ROW(#REF!)-14),ROWS($1:24))),"")</f>
        <v/>
      </c>
      <c r="J59" s="13"/>
      <c r="K59" s="335" t="str">
        <f t="array" ref="K59">+IFERROR(INDEX(#REF!,SMALL(IF((#REF!&gt;4)*(#REF!&lt;8),ROW(#REF!)-14),ROWS($1:24))),"")</f>
        <v/>
      </c>
      <c r="L59" s="13"/>
      <c r="M59" s="336" t="str">
        <f t="array" ref="M59">+IFERROR(INDEX(#REF!,SMALL(IF((#REF!&gt;4)*(#REF!&lt;8),ROW(#REF!)-14),ROWS($1:24))),"")</f>
        <v/>
      </c>
      <c r="N59" s="13"/>
      <c r="O59" s="337" t="str">
        <f t="array" ref="O59">+IFERROR(INDEX(#REF!,SMALL(IF((#REF!&gt;8)*(#REF!&lt;10),ROW(#REF!)-14),ROWS($1:24))),"")</f>
        <v/>
      </c>
      <c r="P59" s="13"/>
      <c r="Q59" s="338" t="str">
        <f t="array" ref="Q59">+IFERROR(INDEX(#REF!,SMALL(IF((#REF!&gt;8)*(#REF!&lt;10),ROW(#REF!)-14),ROWS($1:24))),"")</f>
        <v/>
      </c>
      <c r="R59" s="13"/>
      <c r="S59" s="339" t="str">
        <f t="array" ref="S59">+IFERROR(INDEX(#REF!,SMALL(IF((#REF!&gt;8)*(#REF!&lt;10),ROW(#REF!)-14),ROWS($1:24))),"")</f>
        <v/>
      </c>
    </row>
    <row r="60" spans="1:37" ht="15" x14ac:dyDescent="0.25">
      <c r="B60" s="36">
        <v>25</v>
      </c>
      <c r="C60" s="341" t="str">
        <f t="array" ref="C60">+IFERROR(INDEX(#REF!,SMALL(IF((#REF!&gt;0)*(#REF!&lt;4),ROW(#REF!)-14),ROWS($1:25))),"")</f>
        <v/>
      </c>
      <c r="D60" s="13"/>
      <c r="E60" s="342" t="str">
        <f t="array" ref="E60">+IFERROR(INDEX(#REF!,SMALL(IF((#REF!&gt;0)*(#REF!&lt;4),ROW(#REF!)-14),ROWS($1:25))),"")</f>
        <v/>
      </c>
      <c r="F60" s="13"/>
      <c r="G60" s="343" t="str">
        <f t="array" ref="G60">+IFERROR(INDEX(#REF!,SMALL(IF((#REF!&gt;0)*(#REF!&lt;4),ROW(#REF!)-14),ROWS($1:25))),"")</f>
        <v/>
      </c>
      <c r="H60" s="13"/>
      <c r="I60" s="344" t="str">
        <f t="array" ref="I60">+IFERROR(INDEX(#REF!,SMALL(IF((#REF!&gt;4)*(#REF!&lt;8),ROW(#REF!)-14),ROWS($1:25))),"")</f>
        <v/>
      </c>
      <c r="J60" s="13"/>
      <c r="K60" s="345" t="str">
        <f t="array" ref="K60">+IFERROR(INDEX(#REF!,SMALL(IF((#REF!&gt;4)*(#REF!&lt;8),ROW(#REF!)-14),ROWS($1:25))),"")</f>
        <v/>
      </c>
      <c r="L60" s="13"/>
      <c r="M60" s="346" t="str">
        <f t="array" ref="M60">+IFERROR(INDEX(#REF!,SMALL(IF((#REF!&gt;4)*(#REF!&lt;8),ROW(#REF!)-14),ROWS($1:25))),"")</f>
        <v/>
      </c>
      <c r="N60" s="13"/>
      <c r="O60" s="347" t="str">
        <f t="array" ref="O60">+IFERROR(INDEX(#REF!,SMALL(IF((#REF!&gt;8)*(#REF!&lt;10),ROW(#REF!)-14),ROWS($1:25))),"")</f>
        <v/>
      </c>
      <c r="P60" s="13"/>
      <c r="Q60" s="348" t="str">
        <f t="array" ref="Q60">+IFERROR(INDEX(#REF!,SMALL(IF((#REF!&gt;8)*(#REF!&lt;10),ROW(#REF!)-14),ROWS($1:25))),"")</f>
        <v/>
      </c>
      <c r="R60" s="13"/>
      <c r="S60" s="349" t="str">
        <f t="array" ref="S60">+IFERROR(INDEX(#REF!,SMALL(IF((#REF!&gt;8)*(#REF!&lt;10),ROW(#REF!)-14),ROWS($1:25))),"")</f>
        <v/>
      </c>
      <c r="AK60" s="14"/>
    </row>
    <row r="61" spans="1:37" x14ac:dyDescent="0.25">
      <c r="C61" s="16" t="s">
        <v>630</v>
      </c>
      <c r="E61" s="84" t="s">
        <v>630</v>
      </c>
      <c r="G61" s="16" t="s">
        <v>630</v>
      </c>
      <c r="I61" s="16" t="s">
        <v>630</v>
      </c>
      <c r="K61" s="16" t="s">
        <v>630</v>
      </c>
      <c r="M61" s="16" t="s">
        <v>630</v>
      </c>
      <c r="O61" s="16" t="s">
        <v>630</v>
      </c>
      <c r="Q61" s="16" t="s">
        <v>630</v>
      </c>
      <c r="S61" s="16" t="s">
        <v>630</v>
      </c>
      <c r="V61" t="s">
        <v>521</v>
      </c>
      <c r="W61">
        <v>93302.52</v>
      </c>
      <c r="AC61" s="14"/>
      <c r="AD61" s="340"/>
      <c r="AK61" s="14"/>
    </row>
    <row r="62" spans="1:37" s="14" customFormat="1" ht="16.149999999999999" customHeight="1" x14ac:dyDescent="0.25">
      <c r="A62" s="370" t="s">
        <v>603</v>
      </c>
      <c r="B62" s="36">
        <v>1</v>
      </c>
      <c r="C62" s="331" t="str">
        <f t="array" ref="C62">+IFERROR(INDEX(#REF!,SMALL(IF((#REF!&gt;0)*(#REF!&lt;4),ROW(#REF!)-14),ROWS($1:1))),"")</f>
        <v/>
      </c>
      <c r="D62" s="13"/>
      <c r="E62" s="332" t="str">
        <f t="array" ref="E62">+IFERROR(INDEX(#REF!,SMALL(IF((#REF!&gt;0)*(#REF!&lt;4),ROW(#REF!)-14),ROWS($1:1))),"")</f>
        <v/>
      </c>
      <c r="F62" s="13"/>
      <c r="G62" s="333" t="str">
        <f t="array" ref="G62">+IFERROR(INDEX(#REF!,SMALL(IF((#REF!&gt;0)*(#REF!&lt;4),ROW(#REF!)-14),ROWS($1:1))),"")</f>
        <v/>
      </c>
      <c r="H62" s="13"/>
      <c r="I62" s="334" t="str">
        <f t="array" ref="I62">+IFERROR(INDEX(#REF!,SMALL(IF((#REF!&gt;4)*(#REF!&lt;8),ROW(#REF!)-14),ROWS($1:1))),"")</f>
        <v/>
      </c>
      <c r="J62" s="13"/>
      <c r="K62" s="335" t="str">
        <f t="array" ref="K62">+IFERROR(INDEX(#REF!,SMALL(IF((#REF!&gt;4)*(#REF!&lt;8),ROW(#REF!)-14),ROWS($1:1))),"")</f>
        <v/>
      </c>
      <c r="L62" s="13"/>
      <c r="M62" s="336" t="str">
        <f t="array" ref="M62">+IFERROR(INDEX(#REF!,SMALL(IF((#REF!&gt;4)*(#REF!&lt;8),ROW(#REF!)-14),ROWS($1:1))),"")</f>
        <v/>
      </c>
      <c r="N62" s="13"/>
      <c r="O62" s="337" t="str">
        <f t="array" ref="O62">+IFERROR(INDEX(#REF!,SMALL(IF((#REF!&gt;8)*(#REF!&lt;10),ROW(#REF!)-14),ROWS($1:1))),"")</f>
        <v/>
      </c>
      <c r="P62" s="13"/>
      <c r="Q62" s="338" t="str">
        <f t="array" ref="Q62">+IFERROR(INDEX(#REF!,SMALL(IF((#REF!&gt;8)*(#REF!&lt;10),ROW(#REF!)-14),ROWS($1:1))),"")</f>
        <v/>
      </c>
      <c r="R62" s="13"/>
      <c r="S62" s="339" t="str">
        <f t="array" ref="S62">+IFERROR(INDEX(#REF!,SMALL(IF((#REF!&gt;8)*(#REF!&lt;10),ROW(#REF!)-14),ROWS($1:1))),"")</f>
        <v/>
      </c>
      <c r="V62" s="14" t="s">
        <v>580</v>
      </c>
      <c r="W62" s="340">
        <v>0</v>
      </c>
      <c r="Z62" s="14" t="s">
        <v>632</v>
      </c>
      <c r="AD62" s="373" t="s">
        <v>628</v>
      </c>
    </row>
    <row r="63" spans="1:37" s="14" customFormat="1" ht="16.149999999999999" customHeight="1" x14ac:dyDescent="0.25">
      <c r="A63" s="17"/>
      <c r="B63" s="36">
        <v>2</v>
      </c>
      <c r="C63" s="341" t="str">
        <f t="array" ref="C63">+IFERROR(INDEX(#REF!,SMALL(IF((#REF!&gt;0)*(#REF!&lt;4),ROW(#REF!)-14),ROWS($1:2))),"")</f>
        <v/>
      </c>
      <c r="D63" s="13"/>
      <c r="E63" s="342" t="str">
        <f t="array" ref="E63">+IFERROR(INDEX(#REF!,SMALL(IF((#REF!&gt;0)*(#REF!&lt;4),ROW(#REF!)-14),ROWS($1:2))),"")</f>
        <v/>
      </c>
      <c r="F63" s="13"/>
      <c r="G63" s="343" t="str">
        <f t="array" ref="G63">+IFERROR(INDEX(#REF!,SMALL(IF((#REF!&gt;0)*(#REF!&lt;4),ROW(#REF!)-14),ROWS($1:2))),"")</f>
        <v/>
      </c>
      <c r="H63" s="13"/>
      <c r="I63" s="344" t="str">
        <f t="array" ref="I63">+IFERROR(INDEX(#REF!,SMALL(IF((#REF!&gt;4)*(#REF!&lt;8),ROW(#REF!)-14),ROWS($1:2))),"")</f>
        <v/>
      </c>
      <c r="J63" s="13"/>
      <c r="K63" s="345" t="str">
        <f t="array" ref="K63">+IFERROR(INDEX(#REF!,SMALL(IF((#REF!&gt;4)*(#REF!&lt;8),ROW(#REF!)-14),ROWS($1:2))),"")</f>
        <v/>
      </c>
      <c r="L63" s="13"/>
      <c r="M63" s="346" t="str">
        <f t="array" ref="M63">+IFERROR(INDEX(#REF!,SMALL(IF((#REF!&gt;4)*(#REF!&lt;8),ROW(#REF!)-14),ROWS($1:2))),"")</f>
        <v/>
      </c>
      <c r="N63" s="13"/>
      <c r="O63" s="347" t="str">
        <f t="array" ref="O63">+IFERROR(INDEX(#REF!,SMALL(IF((#REF!&gt;8)*(#REF!&lt;10),ROW(#REF!)-14),ROWS($1:2))),"")</f>
        <v/>
      </c>
      <c r="P63" s="13"/>
      <c r="Q63" s="348" t="str">
        <f t="array" ref="Q63">+IFERROR(INDEX(#REF!,SMALL(IF((#REF!&gt;8)*(#REF!&lt;10),ROW(#REF!)-14),ROWS($1:2))),"")</f>
        <v/>
      </c>
      <c r="R63" s="13"/>
      <c r="S63" s="349" t="str">
        <f t="array" ref="S63">+IFERROR(INDEX(#REF!,SMALL(IF((#REF!&gt;8)*(#REF!&lt;10),ROW(#REF!)-14),ROWS($1:2))),"")</f>
        <v/>
      </c>
      <c r="V63" s="14" t="s">
        <v>548</v>
      </c>
      <c r="W63" s="340">
        <v>12405.92</v>
      </c>
      <c r="Z63" s="14" t="s">
        <v>521</v>
      </c>
      <c r="AA63" s="340">
        <f>AD28+AD44+AD91</f>
        <v>0</v>
      </c>
      <c r="AC63" s="14" t="s">
        <v>521</v>
      </c>
      <c r="AD63" s="340">
        <f>SUMIFS($S$10:$S$164,$Q$10:$Q$164,"dcn")</f>
        <v>0</v>
      </c>
    </row>
    <row r="64" spans="1:37" s="14" customFormat="1" ht="16.149999999999999" customHeight="1" x14ac:dyDescent="0.25">
      <c r="A64" s="17"/>
      <c r="B64" s="36">
        <v>3</v>
      </c>
      <c r="C64" s="331" t="str">
        <f t="array" ref="C64">+IFERROR(INDEX(#REF!,SMALL(IF((#REF!&gt;0)*(#REF!&lt;4),ROW(#REF!)-14),ROWS($1:3))),"")</f>
        <v/>
      </c>
      <c r="D64" s="13"/>
      <c r="E64" s="332" t="str">
        <f t="array" ref="E64">+IFERROR(INDEX(#REF!,SMALL(IF((#REF!&gt;0)*(#REF!&lt;4),ROW(#REF!)-14),ROWS($1:3))),"")</f>
        <v/>
      </c>
      <c r="F64" s="13"/>
      <c r="G64" s="333" t="str">
        <f t="array" ref="G64">+IFERROR(INDEX(#REF!,SMALL(IF((#REF!&gt;0)*(#REF!&lt;4),ROW(#REF!)-14),ROWS($1:3))),"")</f>
        <v/>
      </c>
      <c r="H64" s="13"/>
      <c r="I64" s="334" t="str">
        <f t="array" ref="I64">+IFERROR(INDEX(#REF!,SMALL(IF((#REF!&gt;4)*(#REF!&lt;8),ROW(#REF!)-14),ROWS($1:3))),"")</f>
        <v/>
      </c>
      <c r="J64" s="13"/>
      <c r="K64" s="335" t="str">
        <f t="array" ref="K64">+IFERROR(INDEX(#REF!,SMALL(IF((#REF!&gt;4)*(#REF!&lt;8),ROW(#REF!)-14),ROWS($1:3))),"")</f>
        <v/>
      </c>
      <c r="L64" s="13"/>
      <c r="M64" s="336" t="str">
        <f t="array" ref="M64">+IFERROR(INDEX(#REF!,SMALL(IF((#REF!&gt;4)*(#REF!&lt;8),ROW(#REF!)-14),ROWS($1:3))),"")</f>
        <v/>
      </c>
      <c r="N64" s="13"/>
      <c r="O64" s="337" t="str">
        <f t="array" ref="O64">+IFERROR(INDEX(#REF!,SMALL(IF((#REF!&gt;8)*(#REF!&lt;10),ROW(#REF!)-14),ROWS($1:3))),"")</f>
        <v/>
      </c>
      <c r="P64" s="13"/>
      <c r="Q64" s="338" t="str">
        <f t="array" ref="Q64">+IFERROR(INDEX(#REF!,SMALL(IF((#REF!&gt;8)*(#REF!&lt;10),ROW(#REF!)-14),ROWS($1:3))),"")</f>
        <v/>
      </c>
      <c r="R64" s="13"/>
      <c r="S64" s="339" t="str">
        <f t="array" ref="S64">+IFERROR(INDEX(#REF!,SMALL(IF((#REF!&gt;8)*(#REF!&lt;10),ROW(#REF!)-14),ROWS($1:3))),"")</f>
        <v/>
      </c>
      <c r="V64" s="14" t="s">
        <v>547</v>
      </c>
      <c r="W64" s="340">
        <v>0</v>
      </c>
      <c r="Z64" s="14" t="s">
        <v>580</v>
      </c>
      <c r="AA64" s="340">
        <f>AD29+AD45+AD92</f>
        <v>0</v>
      </c>
      <c r="AC64" s="14" t="s">
        <v>580</v>
      </c>
      <c r="AD64" s="340">
        <f>SUMIFS($S$10:$S$164,$Q$10:$Q$164,"dI")</f>
        <v>0</v>
      </c>
    </row>
    <row r="65" spans="1:30" s="14" customFormat="1" ht="16.149999999999999" customHeight="1" x14ac:dyDescent="0.25">
      <c r="A65" s="17"/>
      <c r="B65" s="36">
        <v>4</v>
      </c>
      <c r="C65" s="341" t="str">
        <f t="array" ref="C65">+IFERROR(INDEX(#REF!,SMALL(IF((#REF!&gt;0)*(#REF!&lt;4),ROW(#REF!)-14),ROWS($1:4))),"")</f>
        <v/>
      </c>
      <c r="D65" s="13"/>
      <c r="E65" s="342" t="str">
        <f t="array" ref="E65">+IFERROR(INDEX(#REF!,SMALL(IF((#REF!&gt;0)*(#REF!&lt;4),ROW(#REF!)-14),ROWS($1:4))),"")</f>
        <v/>
      </c>
      <c r="F65" s="13"/>
      <c r="G65" s="343" t="str">
        <f t="array" ref="G65">+IFERROR(INDEX(#REF!,SMALL(IF((#REF!&gt;0)*(#REF!&lt;4),ROW(#REF!)-14),ROWS($1:4))),"")</f>
        <v/>
      </c>
      <c r="H65" s="13"/>
      <c r="I65" s="344" t="str">
        <f t="array" ref="I65">+IFERROR(INDEX(#REF!,SMALL(IF((#REF!&gt;4)*(#REF!&lt;8),ROW(#REF!)-14),ROWS($1:4))),"")</f>
        <v/>
      </c>
      <c r="J65" s="13"/>
      <c r="K65" s="345" t="str">
        <f t="array" ref="K65">+IFERROR(INDEX(#REF!,SMALL(IF((#REF!&gt;4)*(#REF!&lt;8),ROW(#REF!)-14),ROWS($1:4))),"")</f>
        <v/>
      </c>
      <c r="L65" s="13"/>
      <c r="M65" s="346" t="str">
        <f t="array" ref="M65">+IFERROR(INDEX(#REF!,SMALL(IF((#REF!&gt;4)*(#REF!&lt;8),ROW(#REF!)-14),ROWS($1:4))),"")</f>
        <v/>
      </c>
      <c r="N65" s="13"/>
      <c r="O65" s="347" t="str">
        <f t="array" ref="O65">+IFERROR(INDEX(#REF!,SMALL(IF((#REF!&gt;8)*(#REF!&lt;10),ROW(#REF!)-14),ROWS($1:4))),"")</f>
        <v/>
      </c>
      <c r="P65" s="13"/>
      <c r="Q65" s="348" t="str">
        <f t="array" ref="Q65">+IFERROR(INDEX(#REF!,SMALL(IF((#REF!&gt;8)*(#REF!&lt;10),ROW(#REF!)-14),ROWS($1:4))),"")</f>
        <v/>
      </c>
      <c r="R65" s="13"/>
      <c r="S65" s="349" t="str">
        <f t="array" ref="S65">+IFERROR(INDEX(#REF!,SMALL(IF((#REF!&gt;8)*(#REF!&lt;10),ROW(#REF!)-14),ROWS($1:4))),"")</f>
        <v/>
      </c>
      <c r="Z65" s="14" t="s">
        <v>548</v>
      </c>
      <c r="AA65" s="340">
        <f>AD30+AD46+AD93</f>
        <v>0</v>
      </c>
      <c r="AC65" s="14" t="s">
        <v>548</v>
      </c>
      <c r="AD65" s="340">
        <f>SUMIFS($S$10:$S$164,$Q$10:$Q$164,"AO")</f>
        <v>0</v>
      </c>
    </row>
    <row r="66" spans="1:30" s="14" customFormat="1" ht="16.149999999999999" customHeight="1" x14ac:dyDescent="0.25">
      <c r="A66" s="17"/>
      <c r="B66" s="36">
        <v>5</v>
      </c>
      <c r="C66" s="331" t="str">
        <f t="array" ref="C66">+IFERROR(INDEX(#REF!,SMALL(IF((#REF!&gt;0)*(#REF!&lt;4),ROW(#REF!)-14),ROWS($1:5))),"")</f>
        <v/>
      </c>
      <c r="D66" s="13"/>
      <c r="E66" s="332" t="str">
        <f t="array" ref="E66">+IFERROR(INDEX(#REF!,SMALL(IF((#REF!&gt;0)*(#REF!&lt;4),ROW(#REF!)-14),ROWS($1:5))),"")</f>
        <v/>
      </c>
      <c r="F66" s="13"/>
      <c r="G66" s="333" t="str">
        <f t="array" ref="G66">+IFERROR(INDEX(#REF!,SMALL(IF((#REF!&gt;0)*(#REF!&lt;4),ROW(#REF!)-14),ROWS($1:5))),"")</f>
        <v/>
      </c>
      <c r="H66" s="13"/>
      <c r="I66" s="334" t="str">
        <f t="array" ref="I66">+IFERROR(INDEX(#REF!,SMALL(IF((#REF!&gt;4)*(#REF!&lt;8),ROW(#REF!)-14),ROWS($1:5))),"")</f>
        <v/>
      </c>
      <c r="J66" s="13"/>
      <c r="K66" s="335" t="str">
        <f t="array" ref="K66">+IFERROR(INDEX(#REF!,SMALL(IF((#REF!&gt;4)*(#REF!&lt;8),ROW(#REF!)-14),ROWS($1:5))),"")</f>
        <v/>
      </c>
      <c r="L66" s="13"/>
      <c r="M66" s="336" t="str">
        <f t="array" ref="M66">+IFERROR(INDEX(#REF!,SMALL(IF((#REF!&gt;4)*(#REF!&lt;8),ROW(#REF!)-14),ROWS($1:5))),"")</f>
        <v/>
      </c>
      <c r="N66" s="13"/>
      <c r="O66" s="337" t="str">
        <f t="array" ref="O66">+IFERROR(INDEX(#REF!,SMALL(IF((#REF!&gt;8)*(#REF!&lt;10),ROW(#REF!)-14),ROWS($1:5))),"")</f>
        <v/>
      </c>
      <c r="P66" s="13"/>
      <c r="Q66" s="338" t="str">
        <f t="array" ref="Q66">+IFERROR(INDEX(#REF!,SMALL(IF((#REF!&gt;8)*(#REF!&lt;10),ROW(#REF!)-14),ROWS($1:5))),"")</f>
        <v/>
      </c>
      <c r="R66" s="13"/>
      <c r="S66" s="339" t="str">
        <f t="array" ref="S66">+IFERROR(INDEX(#REF!,SMALL(IF((#REF!&gt;8)*(#REF!&lt;10),ROW(#REF!)-14),ROWS($1:5))),"")</f>
        <v/>
      </c>
      <c r="Z66" s="14" t="s">
        <v>547</v>
      </c>
      <c r="AA66" s="340">
        <f>AD31+AD47+AD94</f>
        <v>0</v>
      </c>
      <c r="AC66" s="14" t="s">
        <v>547</v>
      </c>
      <c r="AD66" s="340">
        <f>SUMIFS($S$10:$S$164,$Q$10:$Q$164,"REG")</f>
        <v>0</v>
      </c>
    </row>
    <row r="67" spans="1:30" s="14" customFormat="1" ht="16.149999999999999" customHeight="1" x14ac:dyDescent="0.25">
      <c r="A67" s="17"/>
      <c r="B67" s="36">
        <v>6</v>
      </c>
      <c r="C67" s="341" t="str">
        <f t="array" ref="C67">+IFERROR(INDEX(#REF!,SMALL(IF((#REF!&gt;0)*(#REF!&lt;4),ROW(#REF!)-14),ROWS($1:6))),"")</f>
        <v/>
      </c>
      <c r="D67" s="13"/>
      <c r="E67" s="342" t="str">
        <f t="array" ref="E67">+IFERROR(INDEX(#REF!,SMALL(IF((#REF!&gt;0)*(#REF!&lt;4),ROW(#REF!)-14),ROWS($1:6))),"")</f>
        <v/>
      </c>
      <c r="F67" s="13"/>
      <c r="G67" s="343" t="str">
        <f t="array" ref="G67">+IFERROR(INDEX(#REF!,SMALL(IF((#REF!&gt;0)*(#REF!&lt;4),ROW(#REF!)-14),ROWS($1:6))),"")</f>
        <v/>
      </c>
      <c r="H67" s="13"/>
      <c r="I67" s="344" t="str">
        <f t="array" ref="I67">+IFERROR(INDEX(#REF!,SMALL(IF((#REF!&gt;4)*(#REF!&lt;8),ROW(#REF!)-14),ROWS($1:6))),"")</f>
        <v/>
      </c>
      <c r="J67" s="13"/>
      <c r="K67" s="345" t="str">
        <f t="array" ref="K67">+IFERROR(INDEX(#REF!,SMALL(IF((#REF!&gt;4)*(#REF!&lt;8),ROW(#REF!)-14),ROWS($1:6))),"")</f>
        <v/>
      </c>
      <c r="L67" s="13"/>
      <c r="M67" s="346" t="str">
        <f t="array" ref="M67">+IFERROR(INDEX(#REF!,SMALL(IF((#REF!&gt;4)*(#REF!&lt;8),ROW(#REF!)-14),ROWS($1:6))),"")</f>
        <v/>
      </c>
      <c r="N67" s="13"/>
      <c r="O67" s="347" t="str">
        <f t="array" ref="O67">+IFERROR(INDEX(#REF!,SMALL(IF((#REF!&gt;8)*(#REF!&lt;10),ROW(#REF!)-14),ROWS($1:6))),"")</f>
        <v/>
      </c>
      <c r="P67" s="13"/>
      <c r="Q67" s="348" t="str">
        <f t="array" ref="Q67">+IFERROR(INDEX(#REF!,SMALL(IF((#REF!&gt;8)*(#REF!&lt;10),ROW(#REF!)-14),ROWS($1:6))),"")</f>
        <v/>
      </c>
      <c r="R67" s="13"/>
      <c r="S67" s="349" t="str">
        <f t="array" ref="S67">+IFERROR(INDEX(#REF!,SMALL(IF((#REF!&gt;8)*(#REF!&lt;10),ROW(#REF!)-14),ROWS($1:6))),"")</f>
        <v/>
      </c>
      <c r="Z67" s="340">
        <f>SUM(AA63:AA66)</f>
        <v>0</v>
      </c>
      <c r="AC67" s="371" t="s">
        <v>635</v>
      </c>
      <c r="AD67" s="340">
        <f>SUM(AD63:AD66)</f>
        <v>0</v>
      </c>
    </row>
    <row r="68" spans="1:30" s="14" customFormat="1" ht="16.149999999999999" customHeight="1" x14ac:dyDescent="0.25">
      <c r="A68" s="17"/>
      <c r="B68" s="36">
        <v>7</v>
      </c>
      <c r="C68" s="331" t="str">
        <f t="array" ref="C68">+IFERROR(INDEX(#REF!,SMALL(IF((#REF!&gt;0)*(#REF!&lt;4),ROW(#REF!)-14),ROWS($1:7))),"")</f>
        <v/>
      </c>
      <c r="D68" s="13"/>
      <c r="E68" s="332" t="str">
        <f t="array" ref="E68">+IFERROR(INDEX(#REF!,SMALL(IF((#REF!&gt;0)*(#REF!&lt;4),ROW(#REF!)-14),ROWS($1:7))),"")</f>
        <v/>
      </c>
      <c r="F68" s="13"/>
      <c r="G68" s="333" t="str">
        <f t="array" ref="G68">+IFERROR(INDEX(#REF!,SMALL(IF((#REF!&gt;0)*(#REF!&lt;4),ROW(#REF!)-14),ROWS($1:7))),"")</f>
        <v/>
      </c>
      <c r="H68" s="13"/>
      <c r="I68" s="334" t="str">
        <f t="array" ref="I68">+IFERROR(INDEX(#REF!,SMALL(IF((#REF!&gt;4)*(#REF!&lt;8),ROW(#REF!)-14),ROWS($1:7))),"")</f>
        <v/>
      </c>
      <c r="J68" s="13"/>
      <c r="K68" s="335" t="str">
        <f t="array" ref="K68">+IFERROR(INDEX(#REF!,SMALL(IF((#REF!&gt;4)*(#REF!&lt;8),ROW(#REF!)-14),ROWS($1:7))),"")</f>
        <v/>
      </c>
      <c r="L68" s="13"/>
      <c r="M68" s="336" t="str">
        <f t="array" ref="M68">+IFERROR(INDEX(#REF!,SMALL(IF((#REF!&gt;4)*(#REF!&lt;8),ROW(#REF!)-14),ROWS($1:7))),"")</f>
        <v/>
      </c>
      <c r="N68" s="13"/>
      <c r="O68" s="337" t="str">
        <f t="array" ref="O68">+IFERROR(INDEX(#REF!,SMALL(IF((#REF!&gt;8)*(#REF!&lt;10),ROW(#REF!)-14),ROWS($1:7))),"")</f>
        <v/>
      </c>
      <c r="P68" s="13"/>
      <c r="Q68" s="338" t="str">
        <f t="array" ref="Q68">+IFERROR(INDEX(#REF!,SMALL(IF((#REF!&gt;8)*(#REF!&lt;10),ROW(#REF!)-14),ROWS($1:7))),"")</f>
        <v/>
      </c>
      <c r="R68" s="13"/>
      <c r="S68" s="339" t="str">
        <f t="array" ref="S68">+IFERROR(INDEX(#REF!,SMALL(IF((#REF!&gt;8)*(#REF!&lt;10),ROW(#REF!)-14),ROWS($1:7))),"")</f>
        <v/>
      </c>
      <c r="AC68" s="371" t="s">
        <v>634</v>
      </c>
      <c r="AD68" s="372">
        <f>U4-AD67</f>
        <v>0</v>
      </c>
    </row>
    <row r="69" spans="1:30" s="14" customFormat="1" ht="16.149999999999999" customHeight="1" x14ac:dyDescent="0.25">
      <c r="A69" s="17"/>
      <c r="B69" s="36">
        <v>8</v>
      </c>
      <c r="C69" s="341" t="str">
        <f t="array" ref="C69">+IFERROR(INDEX(#REF!,SMALL(IF((#REF!&gt;0)*(#REF!&lt;4),ROW(#REF!)-14),ROWS($1:8))),"")</f>
        <v/>
      </c>
      <c r="D69" s="13"/>
      <c r="E69" s="342" t="str">
        <f t="array" ref="E69">+IFERROR(INDEX(#REF!,SMALL(IF((#REF!&gt;0)*(#REF!&lt;4),ROW(#REF!)-14),ROWS($1:8))),"")</f>
        <v/>
      </c>
      <c r="F69" s="13"/>
      <c r="G69" s="343" t="str">
        <f t="array" ref="G69">+IFERROR(INDEX(#REF!,SMALL(IF((#REF!&gt;0)*(#REF!&lt;4),ROW(#REF!)-14),ROWS($1:8))),"")</f>
        <v/>
      </c>
      <c r="H69" s="13"/>
      <c r="I69" s="344" t="str">
        <f t="array" ref="I69">+IFERROR(INDEX(#REF!,SMALL(IF((#REF!&gt;4)*(#REF!&lt;8),ROW(#REF!)-14),ROWS($1:8))),"")</f>
        <v/>
      </c>
      <c r="J69" s="13"/>
      <c r="K69" s="345" t="str">
        <f t="array" ref="K69">+IFERROR(INDEX(#REF!,SMALL(IF((#REF!&gt;4)*(#REF!&lt;8),ROW(#REF!)-14),ROWS($1:8))),"")</f>
        <v/>
      </c>
      <c r="L69" s="13"/>
      <c r="M69" s="346" t="str">
        <f t="array" ref="M69">+IFERROR(INDEX(#REF!,SMALL(IF((#REF!&gt;4)*(#REF!&lt;8),ROW(#REF!)-14),ROWS($1:8))),"")</f>
        <v/>
      </c>
      <c r="N69" s="13"/>
      <c r="O69" s="347" t="str">
        <f t="array" ref="O69">+IFERROR(INDEX(#REF!,SMALL(IF((#REF!&gt;8)*(#REF!&lt;10),ROW(#REF!)-14),ROWS($1:8))),"")</f>
        <v/>
      </c>
      <c r="P69" s="13"/>
      <c r="Q69" s="348" t="str">
        <f t="array" ref="Q69">+IFERROR(INDEX(#REF!,SMALL(IF((#REF!&gt;8)*(#REF!&lt;10),ROW(#REF!)-14),ROWS($1:8))),"")</f>
        <v/>
      </c>
      <c r="R69" s="13"/>
      <c r="S69" s="349" t="str">
        <f t="array" ref="S69">+IFERROR(INDEX(#REF!,SMALL(IF((#REF!&gt;8)*(#REF!&lt;10),ROW(#REF!)-14),ROWS($1:8))),"")</f>
        <v/>
      </c>
    </row>
    <row r="70" spans="1:30" s="14" customFormat="1" ht="16.149999999999999" customHeight="1" x14ac:dyDescent="0.25">
      <c r="A70" s="17"/>
      <c r="B70" s="36">
        <v>9</v>
      </c>
      <c r="C70" s="331" t="str">
        <f t="array" ref="C70">+IFERROR(INDEX(#REF!,SMALL(IF((#REF!&gt;0)*(#REF!&lt;4),ROW(#REF!)-14),ROWS($1:9))),"")</f>
        <v/>
      </c>
      <c r="D70" s="13"/>
      <c r="E70" s="332" t="str">
        <f t="array" ref="E70">+IFERROR(INDEX(#REF!,SMALL(IF((#REF!&gt;0)*(#REF!&lt;4),ROW(#REF!)-14),ROWS($1:9))),"")</f>
        <v/>
      </c>
      <c r="F70" s="13"/>
      <c r="G70" s="333" t="str">
        <f t="array" ref="G70">+IFERROR(INDEX(#REF!,SMALL(IF((#REF!&gt;0)*(#REF!&lt;4),ROW(#REF!)-14),ROWS($1:9))),"")</f>
        <v/>
      </c>
      <c r="H70" s="13"/>
      <c r="I70" s="334" t="str">
        <f t="array" ref="I70">+IFERROR(INDEX(#REF!,SMALL(IF((#REF!&gt;4)*(#REF!&lt;8),ROW(#REF!)-14),ROWS($1:9))),"")</f>
        <v/>
      </c>
      <c r="J70" s="13"/>
      <c r="K70" s="335" t="str">
        <f t="array" ref="K70">+IFERROR(INDEX(#REF!,SMALL(IF((#REF!&gt;4)*(#REF!&lt;8),ROW(#REF!)-14),ROWS($1:9))),"")</f>
        <v/>
      </c>
      <c r="L70" s="13"/>
      <c r="M70" s="336" t="str">
        <f t="array" ref="M70">+IFERROR(INDEX(#REF!,SMALL(IF((#REF!&gt;4)*(#REF!&lt;8),ROW(#REF!)-14),ROWS($1:9))),"")</f>
        <v/>
      </c>
      <c r="N70" s="13"/>
      <c r="O70" s="337" t="str">
        <f t="array" ref="O70">+IFERROR(INDEX(#REF!,SMALL(IF((#REF!&gt;8)*(#REF!&lt;10),ROW(#REF!)-14),ROWS($1:9))),"")</f>
        <v/>
      </c>
      <c r="P70" s="13"/>
      <c r="Q70" s="338" t="str">
        <f t="array" ref="Q70">+IFERROR(INDEX(#REF!,SMALL(IF((#REF!&gt;8)*(#REF!&lt;10),ROW(#REF!)-14),ROWS($1:9))),"")</f>
        <v/>
      </c>
      <c r="R70" s="13"/>
      <c r="S70" s="339" t="str">
        <f t="array" ref="S70">+IFERROR(INDEX(#REF!,SMALL(IF((#REF!&gt;8)*(#REF!&lt;10),ROW(#REF!)-14),ROWS($1:9))),"")</f>
        <v/>
      </c>
    </row>
    <row r="71" spans="1:30" s="14" customFormat="1" ht="16.149999999999999" customHeight="1" x14ac:dyDescent="0.25">
      <c r="A71" s="17"/>
      <c r="B71" s="36">
        <v>10</v>
      </c>
      <c r="C71" s="341" t="str">
        <f t="array" ref="C71">+IFERROR(INDEX(#REF!,SMALL(IF((#REF!&gt;0)*(#REF!&lt;4),ROW(#REF!)-14),ROWS($1:10))),"")</f>
        <v/>
      </c>
      <c r="D71" s="13"/>
      <c r="E71" s="342" t="str">
        <f t="array" ref="E71">+IFERROR(INDEX(#REF!,SMALL(IF((#REF!&gt;0)*(#REF!&lt;4),ROW(#REF!)-14),ROWS($1:10))),"")</f>
        <v/>
      </c>
      <c r="F71" s="13"/>
      <c r="G71" s="343" t="str">
        <f t="array" ref="G71">+IFERROR(INDEX(#REF!,SMALL(IF((#REF!&gt;0)*(#REF!&lt;4),ROW(#REF!)-14),ROWS($1:10))),"")</f>
        <v/>
      </c>
      <c r="H71" s="13"/>
      <c r="I71" s="344" t="str">
        <f t="array" ref="I71">+IFERROR(INDEX(#REF!,SMALL(IF((#REF!&gt;4)*(#REF!&lt;8),ROW(#REF!)-14),ROWS($1:10))),"")</f>
        <v/>
      </c>
      <c r="J71" s="13"/>
      <c r="K71" s="345" t="str">
        <f t="array" ref="K71">+IFERROR(INDEX(#REF!,SMALL(IF((#REF!&gt;4)*(#REF!&lt;8),ROW(#REF!)-14),ROWS($1:10))),"")</f>
        <v/>
      </c>
      <c r="L71" s="13"/>
      <c r="M71" s="346" t="str">
        <f t="array" ref="M71">+IFERROR(INDEX(#REF!,SMALL(IF((#REF!&gt;4)*(#REF!&lt;8),ROW(#REF!)-14),ROWS($1:10))),"")</f>
        <v/>
      </c>
      <c r="N71" s="13"/>
      <c r="O71" s="347" t="str">
        <f t="array" ref="O71">+IFERROR(INDEX(#REF!,SMALL(IF((#REF!&gt;8)*(#REF!&lt;10),ROW(#REF!)-14),ROWS($1:10))),"")</f>
        <v/>
      </c>
      <c r="P71" s="13"/>
      <c r="Q71" s="348" t="str">
        <f t="array" ref="Q71">+IFERROR(INDEX(#REF!,SMALL(IF((#REF!&gt;8)*(#REF!&lt;10),ROW(#REF!)-14),ROWS($1:10))),"")</f>
        <v/>
      </c>
      <c r="R71" s="13"/>
      <c r="S71" s="349" t="str">
        <f t="array" ref="S71">+IFERROR(INDEX(#REF!,SMALL(IF((#REF!&gt;8)*(#REF!&lt;10),ROW(#REF!)-14),ROWS($1:10))),"")</f>
        <v/>
      </c>
    </row>
    <row r="72" spans="1:30" s="14" customFormat="1" ht="16.149999999999999" customHeight="1" x14ac:dyDescent="0.25">
      <c r="A72" s="17"/>
      <c r="B72" s="36">
        <v>11</v>
      </c>
      <c r="C72" s="331" t="str">
        <f t="array" ref="C72">+IFERROR(INDEX(#REF!,SMALL(IF((#REF!&gt;0)*(#REF!&lt;4),ROW(#REF!)-14),ROWS($1:11))),"")</f>
        <v/>
      </c>
      <c r="D72" s="13"/>
      <c r="E72" s="332" t="str">
        <f t="array" ref="E72">+IFERROR(INDEX(#REF!,SMALL(IF((#REF!&gt;0)*(#REF!&lt;4),ROW(#REF!)-14),ROWS($1:11))),"")</f>
        <v/>
      </c>
      <c r="F72" s="13"/>
      <c r="G72" s="333" t="str">
        <f t="array" ref="G72">+IFERROR(INDEX(#REF!,SMALL(IF((#REF!&gt;0)*(#REF!&lt;4),ROW(#REF!)-14),ROWS($1:11))),"")</f>
        <v/>
      </c>
      <c r="H72" s="13"/>
      <c r="I72" s="334" t="str">
        <f t="array" ref="I72">+IFERROR(INDEX(#REF!,SMALL(IF((#REF!&gt;4)*(#REF!&lt;8),ROW(#REF!)-14),ROWS($1:11))),"")</f>
        <v/>
      </c>
      <c r="J72" s="13"/>
      <c r="K72" s="335" t="str">
        <f t="array" ref="K72">+IFERROR(INDEX(#REF!,SMALL(IF((#REF!&gt;4)*(#REF!&lt;8),ROW(#REF!)-14),ROWS($1:11))),"")</f>
        <v/>
      </c>
      <c r="L72" s="13"/>
      <c r="M72" s="336" t="str">
        <f t="array" ref="M72">+IFERROR(INDEX(#REF!,SMALL(IF((#REF!&gt;4)*(#REF!&lt;8),ROW(#REF!)-14),ROWS($1:11))),"")</f>
        <v/>
      </c>
      <c r="N72" s="13"/>
      <c r="O72" s="337" t="str">
        <f t="array" ref="O72">+IFERROR(INDEX(#REF!,SMALL(IF((#REF!&gt;8)*(#REF!&lt;10),ROW(#REF!)-14),ROWS($1:11))),"")</f>
        <v/>
      </c>
      <c r="P72" s="13"/>
      <c r="Q72" s="338" t="str">
        <f t="array" ref="Q72">+IFERROR(INDEX(#REF!,SMALL(IF((#REF!&gt;8)*(#REF!&lt;10),ROW(#REF!)-14),ROWS($1:11))),"")</f>
        <v/>
      </c>
      <c r="R72" s="13"/>
      <c r="S72" s="339" t="str">
        <f t="array" ref="S72">+IFERROR(INDEX(#REF!,SMALL(IF((#REF!&gt;8)*(#REF!&lt;10),ROW(#REF!)-14),ROWS($1:11))),"")</f>
        <v/>
      </c>
    </row>
    <row r="73" spans="1:30" s="14" customFormat="1" ht="16.149999999999999" customHeight="1" x14ac:dyDescent="0.25">
      <c r="A73" s="17"/>
      <c r="B73" s="36">
        <v>12</v>
      </c>
      <c r="C73" s="341" t="str">
        <f t="array" ref="C73">+IFERROR(INDEX(#REF!,SMALL(IF((#REF!&gt;0)*(#REF!&lt;4),ROW(#REF!)-14),ROWS($1:12))),"")</f>
        <v/>
      </c>
      <c r="D73" s="13"/>
      <c r="E73" s="342" t="str">
        <f t="array" ref="E73">+IFERROR(INDEX(#REF!,SMALL(IF((#REF!&gt;0)*(#REF!&lt;4),ROW(#REF!)-14),ROWS($1:12))),"")</f>
        <v/>
      </c>
      <c r="F73" s="13"/>
      <c r="G73" s="343" t="str">
        <f t="array" ref="G73">+IFERROR(INDEX(#REF!,SMALL(IF((#REF!&gt;0)*(#REF!&lt;4),ROW(#REF!)-14),ROWS($1:12))),"")</f>
        <v/>
      </c>
      <c r="H73" s="13"/>
      <c r="I73" s="344" t="str">
        <f t="array" ref="I73">+IFERROR(INDEX(#REF!,SMALL(IF((#REF!&gt;4)*(#REF!&lt;8),ROW(#REF!)-14),ROWS($1:12))),"")</f>
        <v/>
      </c>
      <c r="J73" s="13"/>
      <c r="K73" s="345" t="str">
        <f t="array" ref="K73">+IFERROR(INDEX(#REF!,SMALL(IF((#REF!&gt;4)*(#REF!&lt;8),ROW(#REF!)-14),ROWS($1:12))),"")</f>
        <v/>
      </c>
      <c r="L73" s="13"/>
      <c r="M73" s="346" t="str">
        <f t="array" ref="M73">+IFERROR(INDEX(#REF!,SMALL(IF((#REF!&gt;4)*(#REF!&lt;8),ROW(#REF!)-14),ROWS($1:12))),"")</f>
        <v/>
      </c>
      <c r="N73" s="13"/>
      <c r="O73" s="347" t="str">
        <f t="array" ref="O73">+IFERROR(INDEX(#REF!,SMALL(IF((#REF!&gt;8)*(#REF!&lt;10),ROW(#REF!)-14),ROWS($1:12))),"")</f>
        <v/>
      </c>
      <c r="P73" s="13"/>
      <c r="Q73" s="348" t="str">
        <f t="array" ref="Q73">+IFERROR(INDEX(#REF!,SMALL(IF((#REF!&gt;8)*(#REF!&lt;10),ROW(#REF!)-14),ROWS($1:12))),"")</f>
        <v/>
      </c>
      <c r="R73" s="13"/>
      <c r="S73" s="349" t="str">
        <f t="array" ref="S73">+IFERROR(INDEX(#REF!,SMALL(IF((#REF!&gt;8)*(#REF!&lt;10),ROW(#REF!)-14),ROWS($1:12))),"")</f>
        <v/>
      </c>
    </row>
    <row r="74" spans="1:30" s="14" customFormat="1" ht="16.149999999999999" customHeight="1" x14ac:dyDescent="0.25">
      <c r="A74" s="17"/>
      <c r="B74" s="36">
        <v>13</v>
      </c>
      <c r="C74" s="331" t="str">
        <f t="array" ref="C74">+IFERROR(INDEX(#REF!,SMALL(IF((#REF!&gt;0)*(#REF!&lt;4),ROW(#REF!)-14),ROWS($1:13))),"")</f>
        <v/>
      </c>
      <c r="D74" s="13"/>
      <c r="E74" s="332" t="str">
        <f t="array" ref="E74">+IFERROR(INDEX(#REF!,SMALL(IF((#REF!&gt;0)*(#REF!&lt;4),ROW(#REF!)-14),ROWS($1:13))),"")</f>
        <v/>
      </c>
      <c r="F74" s="13"/>
      <c r="G74" s="333" t="str">
        <f t="array" ref="G74">+IFERROR(INDEX(#REF!,SMALL(IF((#REF!&gt;0)*(#REF!&lt;4),ROW(#REF!)-14),ROWS($1:13))),"")</f>
        <v/>
      </c>
      <c r="H74" s="13"/>
      <c r="I74" s="334" t="str">
        <f t="array" ref="I74">+IFERROR(INDEX(#REF!,SMALL(IF((#REF!&gt;4)*(#REF!&lt;8),ROW(#REF!)-14),ROWS($1:13))),"")</f>
        <v/>
      </c>
      <c r="J74" s="13"/>
      <c r="K74" s="335" t="str">
        <f t="array" ref="K74">+IFERROR(INDEX(#REF!,SMALL(IF((#REF!&gt;4)*(#REF!&lt;8),ROW(#REF!)-14),ROWS($1:13))),"")</f>
        <v/>
      </c>
      <c r="L74" s="13"/>
      <c r="M74" s="336" t="str">
        <f t="array" ref="M74">+IFERROR(INDEX(#REF!,SMALL(IF((#REF!&gt;4)*(#REF!&lt;8),ROW(#REF!)-14),ROWS($1:13))),"")</f>
        <v/>
      </c>
      <c r="N74" s="13"/>
      <c r="O74" s="337" t="str">
        <f t="array" ref="O74">+IFERROR(INDEX(#REF!,SMALL(IF((#REF!&gt;8)*(#REF!&lt;10),ROW(#REF!)-14),ROWS($1:13))),"")</f>
        <v/>
      </c>
      <c r="P74" s="13"/>
      <c r="Q74" s="338" t="str">
        <f t="array" ref="Q74">+IFERROR(INDEX(#REF!,SMALL(IF((#REF!&gt;8)*(#REF!&lt;10),ROW(#REF!)-14),ROWS($1:13))),"")</f>
        <v/>
      </c>
      <c r="R74" s="13"/>
      <c r="S74" s="339" t="str">
        <f t="array" ref="S74">+IFERROR(INDEX(#REF!,SMALL(IF((#REF!&gt;8)*(#REF!&lt;10),ROW(#REF!)-14),ROWS($1:13))),"")</f>
        <v/>
      </c>
    </row>
    <row r="75" spans="1:30" s="14" customFormat="1" ht="16.149999999999999" customHeight="1" x14ac:dyDescent="0.25">
      <c r="A75" s="17"/>
      <c r="B75" s="36">
        <v>14</v>
      </c>
      <c r="C75" s="341" t="str">
        <f t="array" ref="C75">+IFERROR(INDEX(#REF!,SMALL(IF((#REF!&gt;0)*(#REF!&lt;4),ROW(#REF!)-14),ROWS($1:14))),"")</f>
        <v/>
      </c>
      <c r="D75" s="13"/>
      <c r="E75" s="342" t="str">
        <f t="array" ref="E75">+IFERROR(INDEX(#REF!,SMALL(IF((#REF!&gt;0)*(#REF!&lt;4),ROW(#REF!)-14),ROWS($1:14))),"")</f>
        <v/>
      </c>
      <c r="F75" s="13"/>
      <c r="G75" s="343" t="str">
        <f t="array" ref="G75">+IFERROR(INDEX(#REF!,SMALL(IF((#REF!&gt;0)*(#REF!&lt;4),ROW(#REF!)-14),ROWS($1:14))),"")</f>
        <v/>
      </c>
      <c r="H75" s="13"/>
      <c r="I75" s="344" t="str">
        <f t="array" ref="I75">+IFERROR(INDEX(#REF!,SMALL(IF((#REF!&gt;4)*(#REF!&lt;8),ROW(#REF!)-14),ROWS($1:14))),"")</f>
        <v/>
      </c>
      <c r="J75" s="13"/>
      <c r="K75" s="345" t="str">
        <f t="array" ref="K75">+IFERROR(INDEX(#REF!,SMALL(IF((#REF!&gt;4)*(#REF!&lt;8),ROW(#REF!)-14),ROWS($1:14))),"")</f>
        <v/>
      </c>
      <c r="L75" s="13"/>
      <c r="M75" s="346" t="str">
        <f t="array" ref="M75">+IFERROR(INDEX(#REF!,SMALL(IF((#REF!&gt;4)*(#REF!&lt;8),ROW(#REF!)-14),ROWS($1:14))),"")</f>
        <v/>
      </c>
      <c r="N75" s="13"/>
      <c r="O75" s="347" t="str">
        <f t="array" ref="O75">+IFERROR(INDEX(#REF!,SMALL(IF((#REF!&gt;8)*(#REF!&lt;10),ROW(#REF!)-14),ROWS($1:14))),"")</f>
        <v/>
      </c>
      <c r="P75" s="13"/>
      <c r="Q75" s="348" t="str">
        <f t="array" ref="Q75">+IFERROR(INDEX(#REF!,SMALL(IF((#REF!&gt;8)*(#REF!&lt;10),ROW(#REF!)-14),ROWS($1:14))),"")</f>
        <v/>
      </c>
      <c r="R75" s="13"/>
      <c r="S75" s="349" t="str">
        <f t="array" ref="S75">+IFERROR(INDEX(#REF!,SMALL(IF((#REF!&gt;8)*(#REF!&lt;10),ROW(#REF!)-14),ROWS($1:14))),"")</f>
        <v/>
      </c>
    </row>
    <row r="76" spans="1:30" s="14" customFormat="1" ht="16.149999999999999" customHeight="1" x14ac:dyDescent="0.25">
      <c r="A76" s="17"/>
      <c r="B76" s="36">
        <v>15</v>
      </c>
      <c r="C76" s="331" t="str">
        <f t="array" ref="C76">+IFERROR(INDEX(#REF!,SMALL(IF((#REF!&gt;0)*(#REF!&lt;4),ROW(#REF!)-14),ROWS($1:15))),"")</f>
        <v/>
      </c>
      <c r="D76" s="13"/>
      <c r="E76" s="332" t="str">
        <f t="array" ref="E76">+IFERROR(INDEX(#REF!,SMALL(IF((#REF!&gt;0)*(#REF!&lt;4),ROW(#REF!)-14),ROWS($1:15))),"")</f>
        <v/>
      </c>
      <c r="F76" s="13"/>
      <c r="G76" s="333" t="str">
        <f t="array" ref="G76">+IFERROR(INDEX(#REF!,SMALL(IF((#REF!&gt;0)*(#REF!&lt;4),ROW(#REF!)-14),ROWS($1:15))),"")</f>
        <v/>
      </c>
      <c r="H76" s="13"/>
      <c r="I76" s="334" t="str">
        <f t="array" ref="I76">+IFERROR(INDEX(#REF!,SMALL(IF((#REF!&gt;4)*(#REF!&lt;8),ROW(#REF!)-14),ROWS($1:15))),"")</f>
        <v/>
      </c>
      <c r="J76" s="13"/>
      <c r="K76" s="335" t="str">
        <f t="array" ref="K76">+IFERROR(INDEX(#REF!,SMALL(IF((#REF!&gt;4)*(#REF!&lt;8),ROW(#REF!)-14),ROWS($1:15))),"")</f>
        <v/>
      </c>
      <c r="L76" s="13"/>
      <c r="M76" s="336" t="str">
        <f t="array" ref="M76">+IFERROR(INDEX(#REF!,SMALL(IF((#REF!&gt;4)*(#REF!&lt;8),ROW(#REF!)-14),ROWS($1:15))),"")</f>
        <v/>
      </c>
      <c r="N76" s="13"/>
      <c r="O76" s="337" t="str">
        <f t="array" ref="O76">+IFERROR(INDEX(#REF!,SMALL(IF((#REF!&gt;8)*(#REF!&lt;10),ROW(#REF!)-14),ROWS($1:15))),"")</f>
        <v/>
      </c>
      <c r="P76" s="13"/>
      <c r="Q76" s="338" t="str">
        <f t="array" ref="Q76">+IFERROR(INDEX(#REF!,SMALL(IF((#REF!&gt;8)*(#REF!&lt;10),ROW(#REF!)-14),ROWS($1:15))),"")</f>
        <v/>
      </c>
      <c r="R76" s="13"/>
      <c r="S76" s="339" t="str">
        <f t="array" ref="S76">+IFERROR(INDEX(#REF!,SMALL(IF((#REF!&gt;8)*(#REF!&lt;10),ROW(#REF!)-14),ROWS($1:15))),"")</f>
        <v/>
      </c>
    </row>
    <row r="77" spans="1:30" s="14" customFormat="1" ht="16.149999999999999" customHeight="1" x14ac:dyDescent="0.25">
      <c r="A77" s="17"/>
      <c r="B77" s="36">
        <v>16</v>
      </c>
      <c r="C77" s="341" t="str">
        <f t="array" ref="C77">+IFERROR(INDEX(#REF!,SMALL(IF((#REF!&gt;0)*(#REF!&lt;4),ROW(#REF!)-14),ROWS($1:16))),"")</f>
        <v/>
      </c>
      <c r="D77" s="13"/>
      <c r="E77" s="342" t="str">
        <f t="array" ref="E77">+IFERROR(INDEX(#REF!,SMALL(IF((#REF!&gt;0)*(#REF!&lt;4),ROW(#REF!)-14),ROWS($1:16))),"")</f>
        <v/>
      </c>
      <c r="F77" s="13"/>
      <c r="G77" s="343" t="str">
        <f t="array" ref="G77">+IFERROR(INDEX(#REF!,SMALL(IF((#REF!&gt;0)*(#REF!&lt;4),ROW(#REF!)-14),ROWS($1:16))),"")</f>
        <v/>
      </c>
      <c r="H77" s="13"/>
      <c r="I77" s="344" t="str">
        <f t="array" ref="I77">+IFERROR(INDEX(#REF!,SMALL(IF((#REF!&gt;4)*(#REF!&lt;8),ROW(#REF!)-14),ROWS($1:16))),"")</f>
        <v/>
      </c>
      <c r="J77" s="13"/>
      <c r="K77" s="345" t="str">
        <f t="array" ref="K77">+IFERROR(INDEX(#REF!,SMALL(IF((#REF!&gt;4)*(#REF!&lt;8),ROW(#REF!)-14),ROWS($1:16))),"")</f>
        <v/>
      </c>
      <c r="L77" s="13"/>
      <c r="M77" s="346" t="str">
        <f t="array" ref="M77">+IFERROR(INDEX(#REF!,SMALL(IF((#REF!&gt;4)*(#REF!&lt;8),ROW(#REF!)-14),ROWS($1:16))),"")</f>
        <v/>
      </c>
      <c r="N77" s="13"/>
      <c r="O77" s="347" t="str">
        <f t="array" ref="O77">+IFERROR(INDEX(#REF!,SMALL(IF((#REF!&gt;8)*(#REF!&lt;10),ROW(#REF!)-14),ROWS($1:16))),"")</f>
        <v/>
      </c>
      <c r="P77" s="13"/>
      <c r="Q77" s="348" t="str">
        <f t="array" ref="Q77">+IFERROR(INDEX(#REF!,SMALL(IF((#REF!&gt;8)*(#REF!&lt;10),ROW(#REF!)-14),ROWS($1:16))),"")</f>
        <v/>
      </c>
      <c r="R77" s="13"/>
      <c r="S77" s="349" t="str">
        <f t="array" ref="S77">+IFERROR(INDEX(#REF!,SMALL(IF((#REF!&gt;8)*(#REF!&lt;10),ROW(#REF!)-14),ROWS($1:16))),"")</f>
        <v/>
      </c>
    </row>
    <row r="78" spans="1:30" s="14" customFormat="1" ht="16.149999999999999" customHeight="1" x14ac:dyDescent="0.25">
      <c r="A78" s="17"/>
      <c r="B78" s="36">
        <v>17</v>
      </c>
      <c r="C78" s="331" t="str">
        <f t="array" ref="C78">+IFERROR(INDEX(#REF!,SMALL(IF((#REF!&gt;0)*(#REF!&lt;4),ROW(#REF!)-14),ROWS($1:17))),"")</f>
        <v/>
      </c>
      <c r="D78" s="13"/>
      <c r="E78" s="332" t="str">
        <f t="array" ref="E78">+IFERROR(INDEX(#REF!,SMALL(IF((#REF!&gt;0)*(#REF!&lt;4),ROW(#REF!)-14),ROWS($1:17))),"")</f>
        <v/>
      </c>
      <c r="F78" s="13"/>
      <c r="G78" s="333" t="str">
        <f t="array" ref="G78">+IFERROR(INDEX(#REF!,SMALL(IF((#REF!&gt;0)*(#REF!&lt;4),ROW(#REF!)-14),ROWS($1:17))),"")</f>
        <v/>
      </c>
      <c r="H78" s="13"/>
      <c r="I78" s="334" t="str">
        <f t="array" ref="I78">+IFERROR(INDEX(#REF!,SMALL(IF((#REF!&gt;4)*(#REF!&lt;8),ROW(#REF!)-14),ROWS($1:17))),"")</f>
        <v/>
      </c>
      <c r="J78" s="13"/>
      <c r="K78" s="335" t="str">
        <f t="array" ref="K78">+IFERROR(INDEX(#REF!,SMALL(IF((#REF!&gt;4)*(#REF!&lt;8),ROW(#REF!)-14),ROWS($1:17))),"")</f>
        <v/>
      </c>
      <c r="L78" s="13"/>
      <c r="M78" s="336" t="str">
        <f t="array" ref="M78">+IFERROR(INDEX(#REF!,SMALL(IF((#REF!&gt;4)*(#REF!&lt;8),ROW(#REF!)-14),ROWS($1:17))),"")</f>
        <v/>
      </c>
      <c r="N78" s="13"/>
      <c r="O78" s="337" t="str">
        <f t="array" ref="O78">+IFERROR(INDEX(#REF!,SMALL(IF((#REF!&gt;8)*(#REF!&lt;10),ROW(#REF!)-14),ROWS($1:17))),"")</f>
        <v/>
      </c>
      <c r="P78" s="13"/>
      <c r="Q78" s="338" t="str">
        <f t="array" ref="Q78">+IFERROR(INDEX(#REF!,SMALL(IF((#REF!&gt;8)*(#REF!&lt;10),ROW(#REF!)-14),ROWS($1:17))),"")</f>
        <v/>
      </c>
      <c r="R78" s="13"/>
      <c r="S78" s="339" t="str">
        <f t="array" ref="S78">+IFERROR(INDEX(#REF!,SMALL(IF((#REF!&gt;8)*(#REF!&lt;10),ROW(#REF!)-14),ROWS($1:17))),"")</f>
        <v/>
      </c>
    </row>
    <row r="79" spans="1:30" s="14" customFormat="1" ht="16.149999999999999" customHeight="1" x14ac:dyDescent="0.25">
      <c r="A79" s="17"/>
      <c r="B79" s="36">
        <v>18</v>
      </c>
      <c r="C79" s="341" t="str">
        <f t="array" ref="C79">+IFERROR(INDEX(#REF!,SMALL(IF((#REF!&gt;0)*(#REF!&lt;4),ROW(#REF!)-14),ROWS($1:18))),"")</f>
        <v/>
      </c>
      <c r="D79" s="13"/>
      <c r="E79" s="342" t="str">
        <f t="array" ref="E79">+IFERROR(INDEX(#REF!,SMALL(IF((#REF!&gt;0)*(#REF!&lt;4),ROW(#REF!)-14),ROWS($1:18))),"")</f>
        <v/>
      </c>
      <c r="F79" s="13"/>
      <c r="G79" s="343" t="str">
        <f t="array" ref="G79">+IFERROR(INDEX(#REF!,SMALL(IF((#REF!&gt;0)*(#REF!&lt;4),ROW(#REF!)-14),ROWS($1:18))),"")</f>
        <v/>
      </c>
      <c r="H79" s="13"/>
      <c r="I79" s="344" t="str">
        <f t="array" ref="I79">+IFERROR(INDEX(#REF!,SMALL(IF((#REF!&gt;4)*(#REF!&lt;8),ROW(#REF!)-14),ROWS($1:18))),"")</f>
        <v/>
      </c>
      <c r="J79" s="13"/>
      <c r="K79" s="345" t="str">
        <f t="array" ref="K79">+IFERROR(INDEX(#REF!,SMALL(IF((#REF!&gt;4)*(#REF!&lt;8),ROW(#REF!)-14),ROWS($1:18))),"")</f>
        <v/>
      </c>
      <c r="L79" s="13"/>
      <c r="M79" s="346" t="str">
        <f t="array" ref="M79">+IFERROR(INDEX(#REF!,SMALL(IF((#REF!&gt;4)*(#REF!&lt;8),ROW(#REF!)-14),ROWS($1:18))),"")</f>
        <v/>
      </c>
      <c r="N79" s="13"/>
      <c r="O79" s="347" t="str">
        <f t="array" ref="O79">+IFERROR(INDEX(#REF!,SMALL(IF((#REF!&gt;8)*(#REF!&lt;10),ROW(#REF!)-14),ROWS($1:18))),"")</f>
        <v/>
      </c>
      <c r="P79" s="13"/>
      <c r="Q79" s="348" t="str">
        <f t="array" ref="Q79">+IFERROR(INDEX(#REF!,SMALL(IF((#REF!&gt;8)*(#REF!&lt;10),ROW(#REF!)-14),ROWS($1:18))),"")</f>
        <v/>
      </c>
      <c r="R79" s="13"/>
      <c r="S79" s="349" t="str">
        <f t="array" ref="S79">+IFERROR(INDEX(#REF!,SMALL(IF((#REF!&gt;8)*(#REF!&lt;10),ROW(#REF!)-14),ROWS($1:18))),"")</f>
        <v/>
      </c>
    </row>
    <row r="80" spans="1:30" s="14" customFormat="1" ht="16.149999999999999" customHeight="1" x14ac:dyDescent="0.25">
      <c r="A80" s="17"/>
      <c r="B80" s="36">
        <v>19</v>
      </c>
      <c r="C80" s="331" t="str">
        <f t="array" ref="C80">+IFERROR(INDEX(#REF!,SMALL(IF((#REF!&gt;0)*(#REF!&lt;4),ROW(#REF!)-14),ROWS($1:19))),"")</f>
        <v/>
      </c>
      <c r="D80" s="13"/>
      <c r="E80" s="332" t="str">
        <f t="array" ref="E80">+IFERROR(INDEX(#REF!,SMALL(IF((#REF!&gt;0)*(#REF!&lt;4),ROW(#REF!)-14),ROWS($1:19))),"")</f>
        <v/>
      </c>
      <c r="F80" s="13"/>
      <c r="G80" s="333" t="str">
        <f t="array" ref="G80">+IFERROR(INDEX(#REF!,SMALL(IF((#REF!&gt;0)*(#REF!&lt;4),ROW(#REF!)-14),ROWS($1:19))),"")</f>
        <v/>
      </c>
      <c r="H80" s="13"/>
      <c r="I80" s="334" t="str">
        <f t="array" ref="I80">+IFERROR(INDEX(#REF!,SMALL(IF((#REF!&gt;4)*(#REF!&lt;8),ROW(#REF!)-14),ROWS($1:19))),"")</f>
        <v/>
      </c>
      <c r="J80" s="13"/>
      <c r="K80" s="335" t="str">
        <f t="array" ref="K80">+IFERROR(INDEX(#REF!,SMALL(IF((#REF!&gt;4)*(#REF!&lt;8),ROW(#REF!)-14),ROWS($1:19))),"")</f>
        <v/>
      </c>
      <c r="L80" s="13"/>
      <c r="M80" s="336" t="str">
        <f t="array" ref="M80">+IFERROR(INDEX(#REF!,SMALL(IF((#REF!&gt;4)*(#REF!&lt;8),ROW(#REF!)-14),ROWS($1:19))),"")</f>
        <v/>
      </c>
      <c r="N80" s="13"/>
      <c r="O80" s="337" t="str">
        <f t="array" ref="O80">+IFERROR(INDEX(#REF!,SMALL(IF((#REF!&gt;8)*(#REF!&lt;10),ROW(#REF!)-14),ROWS($1:19))),"")</f>
        <v/>
      </c>
      <c r="P80" s="13"/>
      <c r="Q80" s="338" t="str">
        <f t="array" ref="Q80">+IFERROR(INDEX(#REF!,SMALL(IF((#REF!&gt;8)*(#REF!&lt;10),ROW(#REF!)-14),ROWS($1:19))),"")</f>
        <v/>
      </c>
      <c r="R80" s="13"/>
      <c r="S80" s="339" t="str">
        <f t="array" ref="S80">+IFERROR(INDEX(#REF!,SMALL(IF((#REF!&gt;8)*(#REF!&lt;10),ROW(#REF!)-14),ROWS($1:19))),"")</f>
        <v/>
      </c>
    </row>
    <row r="81" spans="1:30" s="14" customFormat="1" ht="16.149999999999999" customHeight="1" x14ac:dyDescent="0.25">
      <c r="A81" s="17"/>
      <c r="B81" s="36">
        <v>20</v>
      </c>
      <c r="C81" s="341" t="str">
        <f t="array" ref="C81">+IFERROR(INDEX(#REF!,SMALL(IF((#REF!&gt;0)*(#REF!&lt;4),ROW(#REF!)-14),ROWS($1:20))),"")</f>
        <v/>
      </c>
      <c r="D81" s="13"/>
      <c r="E81" s="342" t="str">
        <f t="array" ref="E81">+IFERROR(INDEX(#REF!,SMALL(IF((#REF!&gt;0)*(#REF!&lt;4),ROW(#REF!)-14),ROWS($1:20))),"")</f>
        <v/>
      </c>
      <c r="F81" s="13"/>
      <c r="G81" s="343" t="str">
        <f t="array" ref="G81">+IFERROR(INDEX(#REF!,SMALL(IF((#REF!&gt;0)*(#REF!&lt;4),ROW(#REF!)-14),ROWS($1:20))),"")</f>
        <v/>
      </c>
      <c r="H81" s="13"/>
      <c r="I81" s="344" t="str">
        <f t="array" ref="I81">+IFERROR(INDEX(#REF!,SMALL(IF((#REF!&gt;4)*(#REF!&lt;8),ROW(#REF!)-14),ROWS($1:20))),"")</f>
        <v/>
      </c>
      <c r="J81" s="13"/>
      <c r="K81" s="345" t="str">
        <f t="array" ref="K81">+IFERROR(INDEX(#REF!,SMALL(IF((#REF!&gt;4)*(#REF!&lt;8),ROW(#REF!)-14),ROWS($1:20))),"")</f>
        <v/>
      </c>
      <c r="L81" s="13"/>
      <c r="M81" s="346" t="str">
        <f t="array" ref="M81">+IFERROR(INDEX(#REF!,SMALL(IF((#REF!&gt;4)*(#REF!&lt;8),ROW(#REF!)-14),ROWS($1:20))),"")</f>
        <v/>
      </c>
      <c r="N81" s="13"/>
      <c r="O81" s="347" t="str">
        <f t="array" ref="O81">+IFERROR(INDEX(#REF!,SMALL(IF((#REF!&gt;8)*(#REF!&lt;10),ROW(#REF!)-14),ROWS($1:20))),"")</f>
        <v/>
      </c>
      <c r="P81" s="13"/>
      <c r="Q81" s="348" t="str">
        <f t="array" ref="Q81">+IFERROR(INDEX(#REF!,SMALL(IF((#REF!&gt;8)*(#REF!&lt;10),ROW(#REF!)-14),ROWS($1:20))),"")</f>
        <v/>
      </c>
      <c r="R81" s="13"/>
      <c r="S81" s="349" t="str">
        <f t="array" ref="S81">+IFERROR(INDEX(#REF!,SMALL(IF((#REF!&gt;8)*(#REF!&lt;10),ROW(#REF!)-14),ROWS($1:20))),"")</f>
        <v/>
      </c>
    </row>
    <row r="82" spans="1:30" s="14" customFormat="1" ht="16.149999999999999" customHeight="1" x14ac:dyDescent="0.25">
      <c r="A82" s="17"/>
      <c r="B82" s="36">
        <v>21</v>
      </c>
      <c r="C82" s="331" t="str">
        <f t="array" ref="C82">+IFERROR(INDEX(#REF!,SMALL(IF((#REF!&gt;0)*(#REF!&lt;4),ROW(#REF!)-14),ROWS($1:21))),"")</f>
        <v/>
      </c>
      <c r="D82" s="13"/>
      <c r="E82" s="332" t="str">
        <f t="array" ref="E82">+IFERROR(INDEX(#REF!,SMALL(IF((#REF!&gt;0)*(#REF!&lt;4),ROW(#REF!)-14),ROWS($1:21))),"")</f>
        <v/>
      </c>
      <c r="F82" s="13"/>
      <c r="G82" s="333" t="str">
        <f t="array" ref="G82">+IFERROR(INDEX(#REF!,SMALL(IF((#REF!&gt;0)*(#REF!&lt;4),ROW(#REF!)-14),ROWS($1:21))),"")</f>
        <v/>
      </c>
      <c r="H82" s="13"/>
      <c r="I82" s="334" t="str">
        <f t="array" ref="I82">+IFERROR(INDEX(#REF!,SMALL(IF((#REF!&gt;4)*(#REF!&lt;8),ROW(#REF!)-14),ROWS($1:21))),"")</f>
        <v/>
      </c>
      <c r="J82" s="13"/>
      <c r="K82" s="335" t="str">
        <f t="array" ref="K82">+IFERROR(INDEX(#REF!,SMALL(IF((#REF!&gt;4)*(#REF!&lt;8),ROW(#REF!)-14),ROWS($1:21))),"")</f>
        <v/>
      </c>
      <c r="L82" s="13"/>
      <c r="M82" s="336" t="str">
        <f t="array" ref="M82">+IFERROR(INDEX(#REF!,SMALL(IF((#REF!&gt;4)*(#REF!&lt;8),ROW(#REF!)-14),ROWS($1:21))),"")</f>
        <v/>
      </c>
      <c r="N82" s="13"/>
      <c r="O82" s="337" t="str">
        <f t="array" ref="O82">+IFERROR(INDEX(#REF!,SMALL(IF((#REF!&gt;8)*(#REF!&lt;10),ROW(#REF!)-14),ROWS($1:21))),"")</f>
        <v/>
      </c>
      <c r="P82" s="13"/>
      <c r="Q82" s="338" t="str">
        <f t="array" ref="Q82">+IFERROR(INDEX(#REF!,SMALL(IF((#REF!&gt;8)*(#REF!&lt;10),ROW(#REF!)-14),ROWS($1:21))),"")</f>
        <v/>
      </c>
      <c r="R82" s="13"/>
      <c r="S82" s="339" t="str">
        <f t="array" ref="S82">+IFERROR(INDEX(#REF!,SMALL(IF((#REF!&gt;8)*(#REF!&lt;10),ROW(#REF!)-14),ROWS($1:21))),"")</f>
        <v/>
      </c>
    </row>
    <row r="83" spans="1:30" s="14" customFormat="1" ht="16.149999999999999" customHeight="1" x14ac:dyDescent="0.25">
      <c r="A83" s="17"/>
      <c r="B83" s="36">
        <v>22</v>
      </c>
      <c r="C83" s="341" t="str">
        <f t="array" ref="C83">+IFERROR(INDEX(#REF!,SMALL(IF((#REF!&gt;0)*(#REF!&lt;4),ROW(#REF!)-14),ROWS($1:22))),"")</f>
        <v/>
      </c>
      <c r="D83" s="13"/>
      <c r="E83" s="342" t="str">
        <f t="array" ref="E83">+IFERROR(INDEX(#REF!,SMALL(IF((#REF!&gt;0)*(#REF!&lt;4),ROW(#REF!)-14),ROWS($1:22))),"")</f>
        <v/>
      </c>
      <c r="F83" s="13"/>
      <c r="G83" s="343" t="str">
        <f t="array" ref="G83">+IFERROR(INDEX(#REF!,SMALL(IF((#REF!&gt;0)*(#REF!&lt;4),ROW(#REF!)-14),ROWS($1:22))),"")</f>
        <v/>
      </c>
      <c r="H83" s="13"/>
      <c r="I83" s="344" t="str">
        <f t="array" ref="I83">+IFERROR(INDEX(#REF!,SMALL(IF((#REF!&gt;4)*(#REF!&lt;8),ROW(#REF!)-14),ROWS($1:22))),"")</f>
        <v/>
      </c>
      <c r="J83" s="13"/>
      <c r="K83" s="345" t="str">
        <f t="array" ref="K83">+IFERROR(INDEX(#REF!,SMALL(IF((#REF!&gt;4)*(#REF!&lt;8),ROW(#REF!)-14),ROWS($1:22))),"")</f>
        <v/>
      </c>
      <c r="L83" s="13"/>
      <c r="M83" s="346" t="str">
        <f t="array" ref="M83">+IFERROR(INDEX(#REF!,SMALL(IF((#REF!&gt;4)*(#REF!&lt;8),ROW(#REF!)-14),ROWS($1:22))),"")</f>
        <v/>
      </c>
      <c r="N83" s="13"/>
      <c r="O83" s="347" t="str">
        <f t="array" ref="O83">+IFERROR(INDEX(#REF!,SMALL(IF((#REF!&gt;8)*(#REF!&lt;10),ROW(#REF!)-14),ROWS($1:22))),"")</f>
        <v/>
      </c>
      <c r="P83" s="13"/>
      <c r="Q83" s="348" t="str">
        <f t="array" ref="Q83">+IFERROR(INDEX(#REF!,SMALL(IF((#REF!&gt;8)*(#REF!&lt;10),ROW(#REF!)-14),ROWS($1:22))),"")</f>
        <v/>
      </c>
      <c r="R83" s="13"/>
      <c r="S83" s="349" t="str">
        <f t="array" ref="S83">+IFERROR(INDEX(#REF!,SMALL(IF((#REF!&gt;8)*(#REF!&lt;10),ROW(#REF!)-14),ROWS($1:22))),"")</f>
        <v/>
      </c>
    </row>
    <row r="84" spans="1:30" s="14" customFormat="1" ht="15.75" customHeight="1" x14ac:dyDescent="0.25">
      <c r="A84" s="17"/>
      <c r="B84" s="36">
        <v>23</v>
      </c>
      <c r="C84" s="331" t="str">
        <f t="array" ref="C84">+IFERROR(INDEX(#REF!,SMALL(IF((#REF!&gt;0)*(#REF!&lt;4),ROW(#REF!)-14),ROWS($1:23))),"")</f>
        <v/>
      </c>
      <c r="D84" s="13"/>
      <c r="E84" s="332" t="str">
        <f t="array" ref="E84">+IFERROR(INDEX(#REF!,SMALL(IF((#REF!&gt;0)*(#REF!&lt;4),ROW(#REF!)-14),ROWS($1:23))),"")</f>
        <v/>
      </c>
      <c r="F84" s="13"/>
      <c r="G84" s="333" t="str">
        <f t="array" ref="G84">+IFERROR(INDEX(#REF!,SMALL(IF((#REF!&gt;0)*(#REF!&lt;4),ROW(#REF!)-14),ROWS($1:23))),"")</f>
        <v/>
      </c>
      <c r="H84" s="13"/>
      <c r="I84" s="334" t="str">
        <f t="array" ref="I84">+IFERROR(INDEX(#REF!,SMALL(IF((#REF!&gt;4)*(#REF!&lt;8),ROW(#REF!)-14),ROWS($1:23))),"")</f>
        <v/>
      </c>
      <c r="J84" s="13"/>
      <c r="K84" s="335" t="str">
        <f t="array" ref="K84">+IFERROR(INDEX(#REF!,SMALL(IF((#REF!&gt;4)*(#REF!&lt;8),ROW(#REF!)-14),ROWS($1:23))),"")</f>
        <v/>
      </c>
      <c r="L84" s="13"/>
      <c r="M84" s="336" t="str">
        <f t="array" ref="M84">+IFERROR(INDEX(#REF!,SMALL(IF((#REF!&gt;4)*(#REF!&lt;8),ROW(#REF!)-14),ROWS($1:23))),"")</f>
        <v/>
      </c>
      <c r="N84" s="13"/>
      <c r="O84" s="337" t="str">
        <f t="array" ref="O84">+IFERROR(INDEX(#REF!,SMALL(IF((#REF!&gt;8)*(#REF!&lt;10),ROW(#REF!)-14),ROWS($1:23))),"")</f>
        <v/>
      </c>
      <c r="P84" s="13"/>
      <c r="Q84" s="338" t="str">
        <f t="array" ref="Q84">+IFERROR(INDEX(#REF!,SMALL(IF((#REF!&gt;8)*(#REF!&lt;10),ROW(#REF!)-14),ROWS($1:23))),"")</f>
        <v/>
      </c>
      <c r="R84" s="13"/>
      <c r="S84" s="339" t="str">
        <f t="array" ref="S84">+IFERROR(INDEX(#REF!,SMALL(IF((#REF!&gt;8)*(#REF!&lt;10),ROW(#REF!)-14),ROWS($1:23))),"")</f>
        <v/>
      </c>
    </row>
    <row r="85" spans="1:30" s="14" customFormat="1" ht="15.75" customHeight="1" x14ac:dyDescent="0.25">
      <c r="A85" s="17"/>
      <c r="B85" s="36">
        <v>24</v>
      </c>
      <c r="C85" s="341" t="str">
        <f t="array" ref="C85">+IFERROR(INDEX(#REF!,SMALL(IF((#REF!&gt;0)*(#REF!&lt;4),ROW(#REF!)-14),ROWS($1:24))),"")</f>
        <v/>
      </c>
      <c r="D85" s="13"/>
      <c r="E85" s="342" t="str">
        <f t="array" ref="E85">+IFERROR(INDEX(#REF!,SMALL(IF((#REF!&gt;0)*(#REF!&lt;4),ROW(#REF!)-14),ROWS($1:24))),"")</f>
        <v/>
      </c>
      <c r="F85" s="13"/>
      <c r="G85" s="343" t="str">
        <f t="array" ref="G85">+IFERROR(INDEX(#REF!,SMALL(IF((#REF!&gt;0)*(#REF!&lt;4),ROW(#REF!)-14),ROWS($1:24))),"")</f>
        <v/>
      </c>
      <c r="H85" s="13"/>
      <c r="I85" s="344" t="str">
        <f t="array" ref="I85">+IFERROR(INDEX(#REF!,SMALL(IF((#REF!&gt;4)*(#REF!&lt;8),ROW(#REF!)-14),ROWS($1:24))),"")</f>
        <v/>
      </c>
      <c r="J85" s="13"/>
      <c r="K85" s="345" t="str">
        <f t="array" ref="K85">+IFERROR(INDEX(#REF!,SMALL(IF((#REF!&gt;4)*(#REF!&lt;8),ROW(#REF!)-14),ROWS($1:24))),"")</f>
        <v/>
      </c>
      <c r="L85" s="13"/>
      <c r="M85" s="346" t="str">
        <f t="array" ref="M85">+IFERROR(INDEX(#REF!,SMALL(IF((#REF!&gt;4)*(#REF!&lt;8),ROW(#REF!)-14),ROWS($1:24))),"")</f>
        <v/>
      </c>
      <c r="N85" s="13"/>
      <c r="O85" s="347" t="str">
        <f t="array" ref="O85">+IFERROR(INDEX(#REF!,SMALL(IF((#REF!&gt;8)*(#REF!&lt;10),ROW(#REF!)-14),ROWS($1:24))),"")</f>
        <v/>
      </c>
      <c r="P85" s="13"/>
      <c r="Q85" s="348" t="str">
        <f t="array" ref="Q85">+IFERROR(INDEX(#REF!,SMALL(IF((#REF!&gt;8)*(#REF!&lt;10),ROW(#REF!)-14),ROWS($1:24))),"")</f>
        <v/>
      </c>
      <c r="R85" s="13"/>
      <c r="S85" s="349" t="str">
        <f t="array" ref="S85">+IFERROR(INDEX(#REF!,SMALL(IF((#REF!&gt;8)*(#REF!&lt;10),ROW(#REF!)-14),ROWS($1:24))),"")</f>
        <v/>
      </c>
    </row>
    <row r="86" spans="1:30" s="14" customFormat="1" ht="15.75" customHeight="1" x14ac:dyDescent="0.25">
      <c r="A86" s="17"/>
      <c r="B86" s="36">
        <v>25</v>
      </c>
      <c r="C86" s="331" t="str">
        <f t="array" ref="C86">+IFERROR(INDEX(#REF!,SMALL(IF((#REF!&gt;0)*(#REF!&lt;4),ROW(#REF!)-14),ROWS($1:25))),"")</f>
        <v/>
      </c>
      <c r="D86" s="13"/>
      <c r="E86" s="332" t="str">
        <f t="array" ref="E86">+IFERROR(INDEX(#REF!,SMALL(IF((#REF!&gt;0)*(#REF!&lt;4),ROW(#REF!)-14),ROWS($1:25))),"")</f>
        <v/>
      </c>
      <c r="F86" s="13"/>
      <c r="G86" s="333" t="str">
        <f t="array" ref="G86">+IFERROR(INDEX(#REF!,SMALL(IF((#REF!&gt;0)*(#REF!&lt;4),ROW(#REF!)-14),ROWS($1:25))),"")</f>
        <v/>
      </c>
      <c r="H86" s="13"/>
      <c r="I86" s="334" t="str">
        <f t="array" ref="I86">+IFERROR(INDEX(#REF!,SMALL(IF((#REF!&gt;4)*(#REF!&lt;8),ROW(#REF!)-14),ROWS($1:25))),"")</f>
        <v/>
      </c>
      <c r="J86" s="13"/>
      <c r="K86" s="335" t="str">
        <f t="array" ref="K86">+IFERROR(INDEX(#REF!,SMALL(IF((#REF!&gt;4)*(#REF!&lt;8),ROW(#REF!)-14),ROWS($1:25))),"")</f>
        <v/>
      </c>
      <c r="L86" s="13"/>
      <c r="M86" s="336" t="str">
        <f t="array" ref="M86">+IFERROR(INDEX(#REF!,SMALL(IF((#REF!&gt;4)*(#REF!&lt;8),ROW(#REF!)-14),ROWS($1:25))),"")</f>
        <v/>
      </c>
      <c r="N86" s="13"/>
      <c r="O86" s="337" t="str">
        <f t="array" ref="O86">+IFERROR(INDEX(#REF!,SMALL(IF((#REF!&gt;8)*(#REF!&lt;10),ROW(#REF!)-14),ROWS($1:25))),"")</f>
        <v/>
      </c>
      <c r="P86" s="13"/>
      <c r="Q86" s="338" t="str">
        <f t="array" ref="Q86">+IFERROR(INDEX(#REF!,SMALL(IF((#REF!&gt;8)*(#REF!&lt;10),ROW(#REF!)-14),ROWS($1:25))),"")</f>
        <v/>
      </c>
      <c r="R86" s="13"/>
      <c r="S86" s="339" t="str">
        <f t="array" ref="S86">+IFERROR(INDEX(#REF!,SMALL(IF((#REF!&gt;8)*(#REF!&lt;10),ROW(#REF!)-14),ROWS($1:25))),"")</f>
        <v/>
      </c>
    </row>
    <row r="87" spans="1:30" x14ac:dyDescent="0.25">
      <c r="C87" s="16" t="s">
        <v>630</v>
      </c>
      <c r="E87" s="84" t="s">
        <v>630</v>
      </c>
      <c r="G87" s="16" t="s">
        <v>630</v>
      </c>
      <c r="I87" s="16" t="s">
        <v>630</v>
      </c>
      <c r="K87" s="16" t="s">
        <v>630</v>
      </c>
      <c r="M87" s="16" t="s">
        <v>630</v>
      </c>
      <c r="O87" s="16" t="s">
        <v>630</v>
      </c>
      <c r="Q87" s="16" t="s">
        <v>630</v>
      </c>
      <c r="S87" s="16" t="s">
        <v>630</v>
      </c>
      <c r="AC87" s="14"/>
      <c r="AD87" s="340"/>
    </row>
    <row r="88" spans="1:30" s="14" customFormat="1" ht="16.149999999999999" customHeight="1" x14ac:dyDescent="0.25">
      <c r="A88" s="370" t="s">
        <v>633</v>
      </c>
      <c r="B88" s="36">
        <v>1</v>
      </c>
      <c r="C88" s="331" t="str">
        <f t="array" ref="C88">+IFERROR(INDEX(#REF!,SMALL(IF((#REF!&gt;0)*(#REF!&lt;4),ROW(#REF!)-14),ROWS($1:1))),"")</f>
        <v/>
      </c>
      <c r="D88" s="13"/>
      <c r="E88" s="332" t="str">
        <f t="array" ref="E88">+IFERROR(INDEX(#REF!,SMALL(IF((#REF!&gt;0)*(#REF!&lt;4),ROW(#REF!)-14),ROWS($1:1))),"")</f>
        <v/>
      </c>
      <c r="F88" s="13"/>
      <c r="G88" s="333" t="str">
        <f t="array" ref="G88">+IFERROR(INDEX(#REF!,SMALL(IF((#REF!&gt;0)*(#REF!&lt;4),ROW(#REF!)-14),ROWS($1:1))),"")</f>
        <v/>
      </c>
      <c r="H88" s="13" t="str">
        <f>+IFERROR(INDEX(#REF!,SMALL(IF((#REF!&gt;0)*(#REF!&lt;4),ROW(#REF!)-14),ROWS($1:1))),"")</f>
        <v/>
      </c>
      <c r="I88" s="334" t="str">
        <f t="array" ref="I88">+IFERROR(INDEX(#REF!,SMALL(IF((#REF!&gt;4)*(#REF!&lt;8),ROW(#REF!)-14),ROWS($1:1))),"")</f>
        <v/>
      </c>
      <c r="J88" s="13"/>
      <c r="K88" s="335" t="str">
        <f t="array" ref="K88">+IFERROR(INDEX(#REF!,SMALL(IF((#REF!&gt;4)*(#REF!&lt;8),ROW(#REF!)-14),ROWS($1:1))),"")</f>
        <v/>
      </c>
      <c r="L88" s="13"/>
      <c r="M88" s="336" t="str">
        <f t="array" ref="M88">+IFERROR(INDEX(#REF!,SMALL(IF((#REF!&gt;4)*(#REF!&lt;8),ROW(#REF!)-14),ROWS($1:1))),"")</f>
        <v/>
      </c>
      <c r="N88" s="13" t="str">
        <f>+IFERROR(INDEX(#REF!,SMALL(IF((#REF!&gt;0)*(#REF!&lt;4),ROW(#REF!)-14),ROWS($1:1))),"")</f>
        <v/>
      </c>
      <c r="O88" s="337" t="str">
        <f t="array" ref="O88">+IFERROR(INDEX(#REF!,SMALL(IF((#REF!&gt;8)*(#REF!&lt;10),ROW(#REF!)-14),ROWS($1:1))),"")</f>
        <v/>
      </c>
      <c r="P88" s="13"/>
      <c r="Q88" s="338" t="str">
        <f t="array" ref="Q88">+IFERROR(INDEX(#REF!,SMALL(IF((#REF!&gt;8)*(#REF!&lt;10),ROW(#REF!)-14),ROWS($1:1))),"")</f>
        <v/>
      </c>
      <c r="R88" s="13"/>
      <c r="S88" s="339" t="str">
        <f t="array" ref="S88">+IFERROR(INDEX(#REF!,SMALL(IF((#REF!&gt;8)*(#REF!&lt;10),ROW(#REF!)-14),ROWS($1:1))),"")</f>
        <v/>
      </c>
    </row>
    <row r="89" spans="1:30" s="14" customFormat="1" ht="16.149999999999999" customHeight="1" x14ac:dyDescent="0.25">
      <c r="A89" s="17"/>
      <c r="B89" s="36">
        <v>2</v>
      </c>
      <c r="C89" s="341" t="str">
        <f t="array" ref="C89">+IFERROR(INDEX(#REF!,SMALL(IF((#REF!&gt;0)*(#REF!&lt;4),ROW(#REF!)-14),ROWS($1:2))),"")</f>
        <v/>
      </c>
      <c r="D89" s="13"/>
      <c r="E89" s="342" t="str">
        <f t="array" ref="E89">+IFERROR(INDEX(#REF!,SMALL(IF((#REF!&gt;0)*(#REF!&lt;4),ROW(#REF!)-14),ROWS($1:2))),"")</f>
        <v/>
      </c>
      <c r="F89" s="13"/>
      <c r="G89" s="343" t="str">
        <f t="array" ref="G89">+IFERROR(INDEX(#REF!,SMALL(IF((#REF!&gt;0)*(#REF!&lt;4),ROW(#REF!)-14),ROWS($1:2))),"")</f>
        <v/>
      </c>
      <c r="H89" s="13"/>
      <c r="I89" s="344" t="str">
        <f t="array" ref="I89">+IFERROR(INDEX(#REF!,SMALL(IF((#REF!&gt;4)*(#REF!&lt;8),ROW(#REF!)-14),ROWS($1:2))),"")</f>
        <v/>
      </c>
      <c r="J89" s="13"/>
      <c r="K89" s="345" t="str">
        <f t="array" ref="K89">+IFERROR(INDEX(#REF!,SMALL(IF((#REF!&gt;4)*(#REF!&lt;8),ROW(#REF!)-14),ROWS($1:2))),"")</f>
        <v/>
      </c>
      <c r="L89" s="13"/>
      <c r="M89" s="346" t="str">
        <f t="array" ref="M89">+IFERROR(INDEX(#REF!,SMALL(IF((#REF!&gt;4)*(#REF!&lt;8),ROW(#REF!)-14),ROWS($1:2))),"")</f>
        <v/>
      </c>
      <c r="N89" s="13"/>
      <c r="O89" s="347" t="str">
        <f t="array" ref="O89">+IFERROR(INDEX(#REF!,SMALL(IF((#REF!&gt;8)*(#REF!&lt;10),ROW(#REF!)-14),ROWS($1:2))),"")</f>
        <v/>
      </c>
      <c r="P89" s="13"/>
      <c r="Q89" s="348" t="str">
        <f t="array" ref="Q89">+IFERROR(INDEX(#REF!,SMALL(IF((#REF!&gt;8)*(#REF!&lt;10),ROW(#REF!)-14),ROWS($1:2))),"")</f>
        <v/>
      </c>
      <c r="R89" s="13"/>
      <c r="S89" s="349" t="str">
        <f t="array" ref="S89">+IFERROR(INDEX(#REF!,SMALL(IF((#REF!&gt;8)*(#REF!&lt;10),ROW(#REF!)-14),ROWS($1:2))),"")</f>
        <v/>
      </c>
    </row>
    <row r="90" spans="1:30" s="14" customFormat="1" ht="16.149999999999999" customHeight="1" x14ac:dyDescent="0.25">
      <c r="A90" s="17"/>
      <c r="B90" s="36">
        <v>3</v>
      </c>
      <c r="C90" s="331" t="str">
        <f t="array" ref="C90">+IFERROR(INDEX(#REF!,SMALL(IF((#REF!&gt;0)*(#REF!&lt;4),ROW(#REF!)-14),ROWS($1:3))),"")</f>
        <v/>
      </c>
      <c r="D90" s="13"/>
      <c r="E90" s="332" t="str">
        <f t="array" ref="E90">+IFERROR(INDEX(#REF!,SMALL(IF((#REF!&gt;0)*(#REF!&lt;4),ROW(#REF!)-14),ROWS($1:3))),"")</f>
        <v/>
      </c>
      <c r="F90" s="13"/>
      <c r="G90" s="333" t="str">
        <f t="array" ref="G90">+IFERROR(INDEX(#REF!,SMALL(IF((#REF!&gt;0)*(#REF!&lt;4),ROW(#REF!)-14),ROWS($1:3))),"")</f>
        <v/>
      </c>
      <c r="H90" s="13"/>
      <c r="I90" s="334" t="str">
        <f t="array" ref="I90">+IFERROR(INDEX(#REF!,SMALL(IF((#REF!&gt;4)*(#REF!&lt;8),ROW(#REF!)-14),ROWS($1:3))),"")</f>
        <v/>
      </c>
      <c r="J90" s="13"/>
      <c r="K90" s="335" t="str">
        <f t="array" ref="K90">+IFERROR(INDEX(#REF!,SMALL(IF((#REF!&gt;4)*(#REF!&lt;8),ROW(#REF!)-14),ROWS($1:3))),"")</f>
        <v/>
      </c>
      <c r="L90" s="13"/>
      <c r="M90" s="336" t="str">
        <f t="array" ref="M90">+IFERROR(INDEX(#REF!,SMALL(IF((#REF!&gt;4)*(#REF!&lt;8),ROW(#REF!)-14),ROWS($1:3))),"")</f>
        <v/>
      </c>
      <c r="N90" s="13"/>
      <c r="O90" s="337" t="str">
        <f t="array" ref="O90">+IFERROR(INDEX(#REF!,SMALL(IF((#REF!&gt;8)*(#REF!&lt;10),ROW(#REF!)-14),ROWS($1:3))),"")</f>
        <v/>
      </c>
      <c r="P90" s="13"/>
      <c r="Q90" s="338" t="str">
        <f t="array" ref="Q90">+IFERROR(INDEX(#REF!,SMALL(IF((#REF!&gt;8)*(#REF!&lt;10),ROW(#REF!)-14),ROWS($1:3))),"")</f>
        <v/>
      </c>
      <c r="R90" s="13"/>
      <c r="S90" s="339" t="str">
        <f t="array" ref="S90">+IFERROR(INDEX(#REF!,SMALL(IF((#REF!&gt;8)*(#REF!&lt;10),ROW(#REF!)-14),ROWS($1:3))),"")</f>
        <v/>
      </c>
      <c r="AD90" s="14" t="s">
        <v>628</v>
      </c>
    </row>
    <row r="91" spans="1:30" ht="15" x14ac:dyDescent="0.25">
      <c r="B91" s="36">
        <v>4</v>
      </c>
      <c r="C91" s="341" t="str">
        <f t="array" ref="C91">+IFERROR(INDEX(#REF!,SMALL(IF((#REF!&gt;0)*(#REF!&lt;4),ROW(#REF!)-14),ROWS($1:4))),"")</f>
        <v/>
      </c>
      <c r="D91" s="13"/>
      <c r="E91" s="342" t="str">
        <f t="array" ref="E91">+IFERROR(INDEX(#REF!,SMALL(IF((#REF!&gt;0)*(#REF!&lt;4),ROW(#REF!)-14),ROWS($1:4))),"")</f>
        <v/>
      </c>
      <c r="F91" s="13"/>
      <c r="G91" s="343" t="str">
        <f t="array" ref="G91">+IFERROR(INDEX(#REF!,SMALL(IF((#REF!&gt;0)*(#REF!&lt;4),ROW(#REF!)-14),ROWS($1:4))),"")</f>
        <v/>
      </c>
      <c r="H91" s="13"/>
      <c r="I91" s="344" t="str">
        <f t="array" ref="I91">+IFERROR(INDEX(#REF!,SMALL(IF((#REF!&gt;4)*(#REF!&lt;8),ROW(#REF!)-14),ROWS($1:4))),"")</f>
        <v/>
      </c>
      <c r="J91" s="13"/>
      <c r="K91" s="345" t="str">
        <f t="array" ref="K91">+IFERROR(INDEX(#REF!,SMALL(IF((#REF!&gt;4)*(#REF!&lt;8),ROW(#REF!)-14),ROWS($1:4))),"")</f>
        <v/>
      </c>
      <c r="L91" s="13"/>
      <c r="M91" s="346" t="str">
        <f t="array" ref="M91">+IFERROR(INDEX(#REF!,SMALL(IF((#REF!&gt;4)*(#REF!&lt;8),ROW(#REF!)-14),ROWS($1:4))),"")</f>
        <v/>
      </c>
      <c r="N91" s="13"/>
      <c r="O91" s="347" t="str">
        <f t="array" ref="O91">+IFERROR(INDEX(#REF!,SMALL(IF((#REF!&gt;8)*(#REF!&lt;10),ROW(#REF!)-14),ROWS($1:4))),"")</f>
        <v/>
      </c>
      <c r="P91" s="13"/>
      <c r="Q91" s="348" t="str">
        <f t="array" ref="Q91">+IFERROR(INDEX(#REF!,SMALL(IF((#REF!&gt;8)*(#REF!&lt;10),ROW(#REF!)-14),ROWS($1:4))),"")</f>
        <v/>
      </c>
      <c r="R91" s="13"/>
      <c r="S91" s="349" t="str">
        <f t="array" ref="S91">+IFERROR(INDEX(#REF!,SMALL(IF((#REF!&gt;8)*(#REF!&lt;10),ROW(#REF!)-14),ROWS($1:4))),"")</f>
        <v/>
      </c>
      <c r="AC91" s="14" t="s">
        <v>521</v>
      </c>
      <c r="AD91" s="340">
        <f>SUMIFS($S$10:$S$154,$Q$10:$Q$154,"dcn")</f>
        <v>0</v>
      </c>
    </row>
    <row r="92" spans="1:30" s="16" customFormat="1" ht="16.149999999999999" customHeight="1" x14ac:dyDescent="0.25">
      <c r="A92" s="15"/>
      <c r="B92" s="36">
        <v>5</v>
      </c>
      <c r="C92" s="331" t="str">
        <f t="array" ref="C92">+IFERROR(INDEX(#REF!,SMALL(IF((#REF!&gt;0)*(#REF!&lt;4),ROW(#REF!)-14),ROWS($1:5))),"")</f>
        <v/>
      </c>
      <c r="D92" s="13"/>
      <c r="E92" s="332" t="str">
        <f t="array" ref="E92">+IFERROR(INDEX(#REF!,SMALL(IF((#REF!&gt;0)*(#REF!&lt;4),ROW(#REF!)-14),ROWS($1:5))),"")</f>
        <v/>
      </c>
      <c r="F92" s="13"/>
      <c r="G92" s="333" t="str">
        <f t="array" ref="G92">+IFERROR(INDEX(#REF!,SMALL(IF((#REF!&gt;0)*(#REF!&lt;4),ROW(#REF!)-14),ROWS($1:5))),"")</f>
        <v/>
      </c>
      <c r="H92" s="13"/>
      <c r="I92" s="334" t="str">
        <f t="array" ref="I92">+IFERROR(INDEX(#REF!,SMALL(IF((#REF!&gt;4)*(#REF!&lt;8),ROW(#REF!)-14),ROWS($1:5))),"")</f>
        <v/>
      </c>
      <c r="J92" s="13"/>
      <c r="K92" s="335" t="str">
        <f t="array" ref="K92">+IFERROR(INDEX(#REF!,SMALL(IF((#REF!&gt;4)*(#REF!&lt;8),ROW(#REF!)-14),ROWS($1:5))),"")</f>
        <v/>
      </c>
      <c r="L92" s="13"/>
      <c r="M92" s="336" t="str">
        <f t="array" ref="M92">+IFERROR(INDEX(#REF!,SMALL(IF((#REF!&gt;4)*(#REF!&lt;8),ROW(#REF!)-14),ROWS($1:5))),"")</f>
        <v/>
      </c>
      <c r="N92" s="13"/>
      <c r="O92" s="337" t="str">
        <f t="array" ref="O92">+IFERROR(INDEX(#REF!,SMALL(IF((#REF!&gt;8)*(#REF!&lt;10),ROW(#REF!)-14),ROWS($1:5))),"")</f>
        <v/>
      </c>
      <c r="P92" s="13"/>
      <c r="Q92" s="338" t="str">
        <f t="array" ref="Q92">+IFERROR(INDEX(#REF!,SMALL(IF((#REF!&gt;8)*(#REF!&lt;10),ROW(#REF!)-14),ROWS($1:5))),"")</f>
        <v/>
      </c>
      <c r="R92" s="13"/>
      <c r="S92" s="339" t="str">
        <f t="array" ref="S92">+IFERROR(INDEX(#REF!,SMALL(IF((#REF!&gt;8)*(#REF!&lt;10),ROW(#REF!)-14),ROWS($1:5))),"")</f>
        <v/>
      </c>
      <c r="U92" s="108"/>
      <c r="V92" s="14" t="s">
        <v>521</v>
      </c>
      <c r="W92" s="340">
        <v>5981.05</v>
      </c>
      <c r="AC92" s="14" t="s">
        <v>580</v>
      </c>
      <c r="AD92" s="340">
        <f>SUMIFS($S$10:$S$154,$Q$10:$Q$154,"dI")</f>
        <v>0</v>
      </c>
    </row>
    <row r="93" spans="1:30" s="16" customFormat="1" ht="16.149999999999999" customHeight="1" x14ac:dyDescent="0.25">
      <c r="A93" s="15"/>
      <c r="B93" s="36">
        <v>6</v>
      </c>
      <c r="C93" s="341" t="str">
        <f t="array" ref="C93">+IFERROR(INDEX(#REF!,SMALL(IF((#REF!&gt;0)*(#REF!&lt;4),ROW(#REF!)-14),ROWS($1:6))),"")</f>
        <v/>
      </c>
      <c r="D93" s="13"/>
      <c r="E93" s="342" t="str">
        <f t="array" ref="E93">+IFERROR(INDEX(#REF!,SMALL(IF((#REF!&gt;0)*(#REF!&lt;4),ROW(#REF!)-14),ROWS($1:6))),"")</f>
        <v/>
      </c>
      <c r="F93" s="13"/>
      <c r="G93" s="343" t="str">
        <f t="array" ref="G93">+IFERROR(INDEX(#REF!,SMALL(IF((#REF!&gt;0)*(#REF!&lt;4),ROW(#REF!)-14),ROWS($1:6))),"")</f>
        <v/>
      </c>
      <c r="H93" s="13"/>
      <c r="I93" s="344" t="str">
        <f t="array" ref="I93">+IFERROR(INDEX(#REF!,SMALL(IF((#REF!&gt;4)*(#REF!&lt;8),ROW(#REF!)-14),ROWS($1:6))),"")</f>
        <v/>
      </c>
      <c r="J93" s="13"/>
      <c r="K93" s="345" t="str">
        <f t="array" ref="K93">+IFERROR(INDEX(#REF!,SMALL(IF((#REF!&gt;4)*(#REF!&lt;8),ROW(#REF!)-14),ROWS($1:6))),"")</f>
        <v/>
      </c>
      <c r="L93" s="13"/>
      <c r="M93" s="346" t="str">
        <f t="array" ref="M93">+IFERROR(INDEX(#REF!,SMALL(IF((#REF!&gt;4)*(#REF!&lt;8),ROW(#REF!)-14),ROWS($1:6))),"")</f>
        <v/>
      </c>
      <c r="N93" s="13"/>
      <c r="O93" s="347" t="str">
        <f t="array" ref="O93">+IFERROR(INDEX(#REF!,SMALL(IF((#REF!&gt;8)*(#REF!&lt;10),ROW(#REF!)-14),ROWS($1:6))),"")</f>
        <v/>
      </c>
      <c r="P93" s="13"/>
      <c r="Q93" s="348" t="str">
        <f t="array" ref="Q93">+IFERROR(INDEX(#REF!,SMALL(IF((#REF!&gt;8)*(#REF!&lt;10),ROW(#REF!)-14),ROWS($1:6))),"")</f>
        <v/>
      </c>
      <c r="R93" s="13"/>
      <c r="S93" s="349" t="str">
        <f t="array" ref="S93">+IFERROR(INDEX(#REF!,SMALL(IF((#REF!&gt;8)*(#REF!&lt;10),ROW(#REF!)-14),ROWS($1:6))),"")</f>
        <v/>
      </c>
      <c r="U93" s="108"/>
      <c r="V93" s="14" t="s">
        <v>580</v>
      </c>
      <c r="W93" s="340">
        <v>0</v>
      </c>
      <c r="AC93" s="14" t="s">
        <v>548</v>
      </c>
      <c r="AD93" s="340">
        <f>SUMIFS($S$10:$S$154,$Q$10:$Q$154,"AO")</f>
        <v>0</v>
      </c>
    </row>
    <row r="94" spans="1:30" s="16" customFormat="1" ht="16.149999999999999" customHeight="1" x14ac:dyDescent="0.25">
      <c r="A94" s="15"/>
      <c r="B94" s="36">
        <v>7</v>
      </c>
      <c r="C94" s="331" t="str">
        <f t="array" ref="C94">+IFERROR(INDEX(#REF!,SMALL(IF((#REF!&gt;0)*(#REF!&lt;4),ROW(#REF!)-14),ROWS($1:7))),"")</f>
        <v/>
      </c>
      <c r="D94" s="13"/>
      <c r="E94" s="332" t="str">
        <f t="array" ref="E94">+IFERROR(INDEX(#REF!,SMALL(IF((#REF!&gt;0)*(#REF!&lt;4),ROW(#REF!)-14),ROWS($1:7))),"")</f>
        <v/>
      </c>
      <c r="F94" s="13"/>
      <c r="G94" s="333" t="str">
        <f t="array" ref="G94">+IFERROR(INDEX(#REF!,SMALL(IF((#REF!&gt;0)*(#REF!&lt;4),ROW(#REF!)-14),ROWS($1:7))),"")</f>
        <v/>
      </c>
      <c r="H94" s="13"/>
      <c r="I94" s="334" t="str">
        <f t="array" ref="I94">+IFERROR(INDEX(#REF!,SMALL(IF((#REF!&gt;4)*(#REF!&lt;8),ROW(#REF!)-14),ROWS($1:7))),"")</f>
        <v/>
      </c>
      <c r="J94" s="13"/>
      <c r="K94" s="335" t="str">
        <f t="array" ref="K94">+IFERROR(INDEX(#REF!,SMALL(IF((#REF!&gt;4)*(#REF!&lt;8),ROW(#REF!)-14),ROWS($1:7))),"")</f>
        <v/>
      </c>
      <c r="L94" s="13"/>
      <c r="M94" s="336" t="str">
        <f t="array" ref="M94">+IFERROR(INDEX(#REF!,SMALL(IF((#REF!&gt;4)*(#REF!&lt;8),ROW(#REF!)-14),ROWS($1:7))),"")</f>
        <v/>
      </c>
      <c r="N94" s="13"/>
      <c r="O94" s="337" t="str">
        <f t="array" ref="O94">+IFERROR(INDEX(#REF!,SMALL(IF((#REF!&gt;8)*(#REF!&lt;10),ROW(#REF!)-14),ROWS($1:7))),"")</f>
        <v/>
      </c>
      <c r="P94" s="13"/>
      <c r="Q94" s="338" t="str">
        <f t="array" ref="Q94">+IFERROR(INDEX(#REF!,SMALL(IF((#REF!&gt;8)*(#REF!&lt;10),ROW(#REF!)-14),ROWS($1:7))),"")</f>
        <v/>
      </c>
      <c r="R94" s="13"/>
      <c r="S94" s="339" t="str">
        <f t="array" ref="S94">+IFERROR(INDEX(#REF!,SMALL(IF((#REF!&gt;8)*(#REF!&lt;10),ROW(#REF!)-14),ROWS($1:7))),"")</f>
        <v/>
      </c>
      <c r="U94" s="108"/>
      <c r="V94" s="14" t="s">
        <v>548</v>
      </c>
      <c r="W94" s="340">
        <v>3049.95</v>
      </c>
      <c r="AC94" s="14" t="s">
        <v>547</v>
      </c>
      <c r="AD94" s="340">
        <f>SUMIFS($S$10:$S$154,$Q$10:$Q$154,"REG")</f>
        <v>0</v>
      </c>
    </row>
    <row r="95" spans="1:30" s="16" customFormat="1" ht="16.149999999999999" customHeight="1" x14ac:dyDescent="0.25">
      <c r="A95" s="15"/>
      <c r="B95" s="36">
        <v>8</v>
      </c>
      <c r="C95" s="341" t="str">
        <f t="array" ref="C95">+IFERROR(INDEX(#REF!,SMALL(IF((#REF!&gt;0)*(#REF!&lt;4),ROW(#REF!)-14),ROWS($1:8))),"")</f>
        <v/>
      </c>
      <c r="D95" s="13"/>
      <c r="E95" s="342" t="str">
        <f t="array" ref="E95">+IFERROR(INDEX(#REF!,SMALL(IF((#REF!&gt;0)*(#REF!&lt;4),ROW(#REF!)-14),ROWS($1:8))),"")</f>
        <v/>
      </c>
      <c r="F95" s="13"/>
      <c r="G95" s="343" t="str">
        <f t="array" ref="G95">+IFERROR(INDEX(#REF!,SMALL(IF((#REF!&gt;0)*(#REF!&lt;4),ROW(#REF!)-14),ROWS($1:8))),"")</f>
        <v/>
      </c>
      <c r="H95" s="13"/>
      <c r="I95" s="344" t="str">
        <f t="array" ref="I95">+IFERROR(INDEX(#REF!,SMALL(IF((#REF!&gt;4)*(#REF!&lt;8),ROW(#REF!)-14),ROWS($1:8))),"")</f>
        <v/>
      </c>
      <c r="J95" s="13"/>
      <c r="K95" s="345" t="str">
        <f t="array" ref="K95">+IFERROR(INDEX(#REF!,SMALL(IF((#REF!&gt;4)*(#REF!&lt;8),ROW(#REF!)-14),ROWS($1:8))),"")</f>
        <v/>
      </c>
      <c r="L95" s="13"/>
      <c r="M95" s="346" t="str">
        <f t="array" ref="M95">+IFERROR(INDEX(#REF!,SMALL(IF((#REF!&gt;4)*(#REF!&lt;8),ROW(#REF!)-14),ROWS($1:8))),"")</f>
        <v/>
      </c>
      <c r="N95" s="13"/>
      <c r="O95" s="347" t="str">
        <f t="array" ref="O95">+IFERROR(INDEX(#REF!,SMALL(IF((#REF!&gt;8)*(#REF!&lt;10),ROW(#REF!)-14),ROWS($1:8))),"")</f>
        <v/>
      </c>
      <c r="P95" s="13"/>
      <c r="Q95" s="348" t="str">
        <f t="array" ref="Q95">+IFERROR(INDEX(#REF!,SMALL(IF((#REF!&gt;8)*(#REF!&lt;10),ROW(#REF!)-14),ROWS($1:8))),"")</f>
        <v/>
      </c>
      <c r="R95" s="13"/>
      <c r="S95" s="349" t="str">
        <f t="array" ref="S95">+IFERROR(INDEX(#REF!,SMALL(IF((#REF!&gt;8)*(#REF!&lt;10),ROW(#REF!)-14),ROWS($1:8))),"")</f>
        <v/>
      </c>
      <c r="V95" s="14" t="s">
        <v>547</v>
      </c>
      <c r="W95" s="340">
        <v>0</v>
      </c>
    </row>
    <row r="96" spans="1:30" s="16" customFormat="1" ht="16.149999999999999" customHeight="1" x14ac:dyDescent="0.25">
      <c r="A96" s="15"/>
      <c r="B96" s="36">
        <v>9</v>
      </c>
      <c r="C96" s="331" t="str">
        <f t="array" ref="C96">+IFERROR(INDEX(#REF!,SMALL(IF((#REF!&gt;0)*(#REF!&lt;4),ROW(#REF!)-14),ROWS($1:9))),"")</f>
        <v/>
      </c>
      <c r="D96" s="13"/>
      <c r="E96" s="332" t="str">
        <f t="array" ref="E96">+IFERROR(INDEX(#REF!,SMALL(IF((#REF!&gt;0)*(#REF!&lt;4),ROW(#REF!)-14),ROWS($1:9))),"")</f>
        <v/>
      </c>
      <c r="F96" s="13"/>
      <c r="G96" s="333" t="str">
        <f t="array" ref="G96">+IFERROR(INDEX(#REF!,SMALL(IF((#REF!&gt;0)*(#REF!&lt;4),ROW(#REF!)-14),ROWS($1:9))),"")</f>
        <v/>
      </c>
      <c r="H96" s="13"/>
      <c r="I96" s="334" t="str">
        <f t="array" ref="I96">+IFERROR(INDEX(#REF!,SMALL(IF((#REF!&gt;4)*(#REF!&lt;8),ROW(#REF!)-14),ROWS($1:9))),"")</f>
        <v/>
      </c>
      <c r="J96" s="13"/>
      <c r="K96" s="335" t="str">
        <f t="array" ref="K96">+IFERROR(INDEX(#REF!,SMALL(IF((#REF!&gt;4)*(#REF!&lt;8),ROW(#REF!)-14),ROWS($1:9))),"")</f>
        <v/>
      </c>
      <c r="L96" s="13"/>
      <c r="M96" s="336" t="str">
        <f t="array" ref="M96">+IFERROR(INDEX(#REF!,SMALL(IF((#REF!&gt;4)*(#REF!&lt;8),ROW(#REF!)-14),ROWS($1:9))),"")</f>
        <v/>
      </c>
      <c r="N96" s="13"/>
      <c r="O96" s="337" t="str">
        <f t="array" ref="O96">+IFERROR(INDEX(#REF!,SMALL(IF((#REF!&gt;8)*(#REF!&lt;10),ROW(#REF!)-14),ROWS($1:9))),"")</f>
        <v/>
      </c>
      <c r="P96" s="13"/>
      <c r="Q96" s="338" t="str">
        <f t="array" ref="Q96">+IFERROR(INDEX(#REF!,SMALL(IF((#REF!&gt;8)*(#REF!&lt;10),ROW(#REF!)-14),ROWS($1:9))),"")</f>
        <v/>
      </c>
      <c r="R96" s="13"/>
      <c r="S96" s="339" t="str">
        <f t="array" ref="S96">+IFERROR(INDEX(#REF!,SMALL(IF((#REF!&gt;8)*(#REF!&lt;10),ROW(#REF!)-14),ROWS($1:9))),"")</f>
        <v/>
      </c>
    </row>
    <row r="97" spans="1:23" s="16" customFormat="1" ht="16.149999999999999" customHeight="1" x14ac:dyDescent="0.25">
      <c r="A97" s="15"/>
      <c r="B97" s="36">
        <v>10</v>
      </c>
      <c r="C97" s="341" t="str">
        <f t="array" ref="C97">+IFERROR(INDEX(#REF!,SMALL(IF((#REF!&gt;0)*(#REF!&lt;4),ROW(#REF!)-14),ROWS($1:10))),"")</f>
        <v/>
      </c>
      <c r="D97" s="13"/>
      <c r="E97" s="342" t="str">
        <f t="array" ref="E97">+IFERROR(INDEX(#REF!,SMALL(IF((#REF!&gt;0)*(#REF!&lt;4),ROW(#REF!)-14),ROWS($1:10))),"")</f>
        <v/>
      </c>
      <c r="F97" s="13"/>
      <c r="G97" s="343" t="str">
        <f t="array" ref="G97">+IFERROR(INDEX(#REF!,SMALL(IF((#REF!&gt;0)*(#REF!&lt;4),ROW(#REF!)-14),ROWS($1:10))),"")</f>
        <v/>
      </c>
      <c r="H97" s="13"/>
      <c r="I97" s="344" t="str">
        <f t="array" ref="I97">+IFERROR(INDEX(#REF!,SMALL(IF((#REF!&gt;4)*(#REF!&lt;8),ROW(#REF!)-14),ROWS($1:10))),"")</f>
        <v/>
      </c>
      <c r="J97" s="13"/>
      <c r="K97" s="345" t="str">
        <f t="array" ref="K97">+IFERROR(INDEX(#REF!,SMALL(IF((#REF!&gt;4)*(#REF!&lt;8),ROW(#REF!)-14),ROWS($1:10))),"")</f>
        <v/>
      </c>
      <c r="L97" s="13"/>
      <c r="M97" s="346" t="str">
        <f t="array" ref="M97">+IFERROR(INDEX(#REF!,SMALL(IF((#REF!&gt;4)*(#REF!&lt;8),ROW(#REF!)-14),ROWS($1:10))),"")</f>
        <v/>
      </c>
      <c r="N97" s="13"/>
      <c r="O97" s="347" t="str">
        <f t="array" ref="O97">+IFERROR(INDEX(#REF!,SMALL(IF((#REF!&gt;8)*(#REF!&lt;10),ROW(#REF!)-14),ROWS($1:10))),"")</f>
        <v/>
      </c>
      <c r="P97" s="13"/>
      <c r="Q97" s="348" t="str">
        <f t="array" ref="Q97">+IFERROR(INDEX(#REF!,SMALL(IF((#REF!&gt;8)*(#REF!&lt;10),ROW(#REF!)-14),ROWS($1:10))),"")</f>
        <v/>
      </c>
      <c r="R97" s="13"/>
      <c r="S97" s="349" t="str">
        <f t="array" ref="S97">+IFERROR(INDEX(#REF!,SMALL(IF((#REF!&gt;8)*(#REF!&lt;10),ROW(#REF!)-14),ROWS($1:10))),"")</f>
        <v/>
      </c>
    </row>
    <row r="98" spans="1:23" s="16" customFormat="1" ht="16.149999999999999" customHeight="1" x14ac:dyDescent="0.25">
      <c r="A98" s="15"/>
      <c r="B98" s="36">
        <v>11</v>
      </c>
      <c r="C98" s="331" t="str">
        <f t="array" ref="C98">+IFERROR(INDEX(#REF!,SMALL(IF((#REF!&gt;0)*(#REF!&lt;4),ROW(#REF!)-14),ROWS($1:11))),"")</f>
        <v/>
      </c>
      <c r="D98" s="13"/>
      <c r="E98" s="332" t="str">
        <f t="array" ref="E98">+IFERROR(INDEX(#REF!,SMALL(IF((#REF!&gt;0)*(#REF!&lt;4),ROW(#REF!)-14),ROWS($1:11))),"")</f>
        <v/>
      </c>
      <c r="F98" s="13"/>
      <c r="G98" s="333" t="str">
        <f t="array" ref="G98">+IFERROR(INDEX(#REF!,SMALL(IF((#REF!&gt;0)*(#REF!&lt;4),ROW(#REF!)-14),ROWS($1:11))),"")</f>
        <v/>
      </c>
      <c r="H98" s="13"/>
      <c r="I98" s="334" t="str">
        <f t="array" ref="I98">+IFERROR(INDEX(#REF!,SMALL(IF((#REF!&gt;4)*(#REF!&lt;8),ROW(#REF!)-14),ROWS($1:11))),"")</f>
        <v/>
      </c>
      <c r="J98" s="13"/>
      <c r="K98" s="335" t="str">
        <f t="array" ref="K98">+IFERROR(INDEX(#REF!,SMALL(IF((#REF!&gt;4)*(#REF!&lt;8),ROW(#REF!)-14),ROWS($1:11))),"")</f>
        <v/>
      </c>
      <c r="L98" s="13"/>
      <c r="M98" s="336" t="str">
        <f t="array" ref="M98">+IFERROR(INDEX(#REF!,SMALL(IF((#REF!&gt;4)*(#REF!&lt;8),ROW(#REF!)-14),ROWS($1:11))),"")</f>
        <v/>
      </c>
      <c r="N98" s="13"/>
      <c r="O98" s="337" t="str">
        <f t="array" ref="O98">+IFERROR(INDEX(#REF!,SMALL(IF((#REF!&gt;8)*(#REF!&lt;10),ROW(#REF!)-14),ROWS($1:11))),"")</f>
        <v/>
      </c>
      <c r="P98" s="13"/>
      <c r="Q98" s="338" t="str">
        <f t="array" ref="Q98">+IFERROR(INDEX(#REF!,SMALL(IF((#REF!&gt;8)*(#REF!&lt;10),ROW(#REF!)-14),ROWS($1:11))),"")</f>
        <v/>
      </c>
      <c r="R98" s="13"/>
      <c r="S98" s="339" t="str">
        <f t="array" ref="S98">+IFERROR(INDEX(#REF!,SMALL(IF((#REF!&gt;8)*(#REF!&lt;10),ROW(#REF!)-14),ROWS($1:11))),"")</f>
        <v/>
      </c>
    </row>
    <row r="99" spans="1:23" ht="15" x14ac:dyDescent="0.25">
      <c r="B99" s="36">
        <v>12</v>
      </c>
      <c r="C99" s="341" t="str">
        <f t="array" ref="C99">+IFERROR(INDEX(#REF!,SMALL(IF((#REF!&gt;0)*(#REF!&lt;4),ROW(#REF!)-14),ROWS($1:12))),"")</f>
        <v/>
      </c>
      <c r="D99" s="13"/>
      <c r="E99" s="342" t="str">
        <f t="array" ref="E99">+IFERROR(INDEX(#REF!,SMALL(IF((#REF!&gt;0)*(#REF!&lt;4),ROW(#REF!)-14),ROWS($1:12))),"")</f>
        <v/>
      </c>
      <c r="F99" s="13"/>
      <c r="G99" s="343" t="str">
        <f t="array" ref="G99">+IFERROR(INDEX(#REF!,SMALL(IF((#REF!&gt;0)*(#REF!&lt;4),ROW(#REF!)-14),ROWS($1:12))),"")</f>
        <v/>
      </c>
      <c r="H99" s="13"/>
      <c r="I99" s="344" t="str">
        <f t="array" ref="I99">+IFERROR(INDEX(#REF!,SMALL(IF((#REF!&gt;4)*(#REF!&lt;8),ROW(#REF!)-14),ROWS($1:12))),"")</f>
        <v/>
      </c>
      <c r="J99" s="13"/>
      <c r="K99" s="345" t="str">
        <f t="array" ref="K99">+IFERROR(INDEX(#REF!,SMALL(IF((#REF!&gt;4)*(#REF!&lt;8),ROW(#REF!)-14),ROWS($1:12))),"")</f>
        <v/>
      </c>
      <c r="L99" s="13"/>
      <c r="M99" s="346" t="str">
        <f t="array" ref="M99">+IFERROR(INDEX(#REF!,SMALL(IF((#REF!&gt;4)*(#REF!&lt;8),ROW(#REF!)-14),ROWS($1:12))),"")</f>
        <v/>
      </c>
      <c r="N99" s="13"/>
      <c r="O99" s="347" t="str">
        <f t="array" ref="O99">+IFERROR(INDEX(#REF!,SMALL(IF((#REF!&gt;8)*(#REF!&lt;10),ROW(#REF!)-14),ROWS($1:12))),"")</f>
        <v/>
      </c>
      <c r="P99" s="13"/>
      <c r="Q99" s="348" t="str">
        <f t="array" ref="Q99">+IFERROR(INDEX(#REF!,SMALL(IF((#REF!&gt;8)*(#REF!&lt;10),ROW(#REF!)-14),ROWS($1:12))),"")</f>
        <v/>
      </c>
      <c r="R99" s="13"/>
      <c r="S99" s="349" t="str">
        <f t="array" ref="S99">+IFERROR(INDEX(#REF!,SMALL(IF((#REF!&gt;8)*(#REF!&lt;10),ROW(#REF!)-14),ROWS($1:12))),"")</f>
        <v/>
      </c>
    </row>
    <row r="100" spans="1:23" s="14" customFormat="1" ht="16.149999999999999" customHeight="1" x14ac:dyDescent="0.25">
      <c r="A100" s="17"/>
      <c r="B100" s="36">
        <v>13</v>
      </c>
      <c r="C100" s="331" t="str">
        <f t="array" ref="C100">+IFERROR(INDEX(#REF!,SMALL(IF((#REF!&gt;0)*(#REF!&lt;4),ROW(#REF!)-14),ROWS($1:13))),"")</f>
        <v/>
      </c>
      <c r="D100" s="13"/>
      <c r="E100" s="332" t="str">
        <f t="array" ref="E100">+IFERROR(INDEX(#REF!,SMALL(IF((#REF!&gt;0)*(#REF!&lt;4),ROW(#REF!)-14),ROWS($1:13))),"")</f>
        <v/>
      </c>
      <c r="F100" s="13"/>
      <c r="G100" s="333" t="str">
        <f t="array" ref="G100">+IFERROR(INDEX(#REF!,SMALL(IF((#REF!&gt;0)*(#REF!&lt;4),ROW(#REF!)-14),ROWS($1:13))),"")</f>
        <v/>
      </c>
      <c r="H100" s="13"/>
      <c r="I100" s="334" t="str">
        <f t="array" ref="I100">+IFERROR(INDEX(#REF!,SMALL(IF((#REF!&gt;4)*(#REF!&lt;8),ROW(#REF!)-14),ROWS($1:13))),"")</f>
        <v/>
      </c>
      <c r="J100" s="13"/>
      <c r="K100" s="335" t="str">
        <f t="array" ref="K100">+IFERROR(INDEX(#REF!,SMALL(IF((#REF!&gt;4)*(#REF!&lt;8),ROW(#REF!)-14),ROWS($1:13))),"")</f>
        <v/>
      </c>
      <c r="L100" s="13"/>
      <c r="M100" s="336" t="str">
        <f t="array" ref="M100">+IFERROR(INDEX(#REF!,SMALL(IF((#REF!&gt;4)*(#REF!&lt;8),ROW(#REF!)-14),ROWS($1:13))),"")</f>
        <v/>
      </c>
      <c r="N100" s="13"/>
      <c r="O100" s="337" t="str">
        <f t="array" ref="O100">+IFERROR(INDEX(#REF!,SMALL(IF((#REF!&gt;8)*(#REF!&lt;10),ROW(#REF!)-14),ROWS($1:13))),"")</f>
        <v/>
      </c>
      <c r="P100" s="13"/>
      <c r="Q100" s="338" t="str">
        <f t="array" ref="Q100">+IFERROR(INDEX(#REF!,SMALL(IF((#REF!&gt;8)*(#REF!&lt;10),ROW(#REF!)-14),ROWS($1:13))),"")</f>
        <v/>
      </c>
      <c r="R100" s="13"/>
      <c r="S100" s="339" t="str">
        <f t="array" ref="S100">+IFERROR(INDEX(#REF!,SMALL(IF((#REF!&gt;8)*(#REF!&lt;10),ROW(#REF!)-14),ROWS($1:13))),"")</f>
        <v/>
      </c>
      <c r="V100" s="14" t="s">
        <v>521</v>
      </c>
      <c r="W100" s="340">
        <v>5740</v>
      </c>
    </row>
    <row r="101" spans="1:23" s="14" customFormat="1" ht="16.149999999999999" customHeight="1" x14ac:dyDescent="0.25">
      <c r="A101" s="17"/>
      <c r="B101" s="36">
        <v>14</v>
      </c>
      <c r="C101" s="341" t="str">
        <f t="array" ref="C101">+IFERROR(INDEX(#REF!,SMALL(IF((#REF!&gt;0)*(#REF!&lt;4),ROW(#REF!)-14),ROWS($1:14))),"")</f>
        <v/>
      </c>
      <c r="D101" s="13"/>
      <c r="E101" s="342" t="str">
        <f t="array" ref="E101">+IFERROR(INDEX(#REF!,SMALL(IF((#REF!&gt;0)*(#REF!&lt;4),ROW(#REF!)-14),ROWS($1:14))),"")</f>
        <v/>
      </c>
      <c r="F101" s="13"/>
      <c r="G101" s="343" t="str">
        <f t="array" ref="G101">+IFERROR(INDEX(#REF!,SMALL(IF((#REF!&gt;0)*(#REF!&lt;4),ROW(#REF!)-14),ROWS($1:14))),"")</f>
        <v/>
      </c>
      <c r="H101" s="13"/>
      <c r="I101" s="344" t="str">
        <f t="array" ref="I101">+IFERROR(INDEX(#REF!,SMALL(IF((#REF!&gt;4)*(#REF!&lt;8),ROW(#REF!)-14),ROWS($1:14))),"")</f>
        <v/>
      </c>
      <c r="J101" s="13"/>
      <c r="K101" s="345" t="str">
        <f t="array" ref="K101">+IFERROR(INDEX(#REF!,SMALL(IF((#REF!&gt;4)*(#REF!&lt;8),ROW(#REF!)-14),ROWS($1:14))),"")</f>
        <v/>
      </c>
      <c r="L101" s="13"/>
      <c r="M101" s="346" t="str">
        <f t="array" ref="M101">+IFERROR(INDEX(#REF!,SMALL(IF((#REF!&gt;4)*(#REF!&lt;8),ROW(#REF!)-14),ROWS($1:14))),"")</f>
        <v/>
      </c>
      <c r="N101" s="13"/>
      <c r="O101" s="347" t="str">
        <f t="array" ref="O101">+IFERROR(INDEX(#REF!,SMALL(IF((#REF!&gt;8)*(#REF!&lt;10),ROW(#REF!)-14),ROWS($1:14))),"")</f>
        <v/>
      </c>
      <c r="P101" s="13"/>
      <c r="Q101" s="348" t="str">
        <f t="array" ref="Q101">+IFERROR(INDEX(#REF!,SMALL(IF((#REF!&gt;8)*(#REF!&lt;10),ROW(#REF!)-14),ROWS($1:14))),"")</f>
        <v/>
      </c>
      <c r="R101" s="13"/>
      <c r="S101" s="349" t="str">
        <f t="array" ref="S101">+IFERROR(INDEX(#REF!,SMALL(IF((#REF!&gt;8)*(#REF!&lt;10),ROW(#REF!)-14),ROWS($1:14))),"")</f>
        <v/>
      </c>
      <c r="V101" s="14" t="s">
        <v>580</v>
      </c>
      <c r="W101" s="340">
        <v>3463</v>
      </c>
    </row>
    <row r="102" spans="1:23" s="14" customFormat="1" ht="16.149999999999999" customHeight="1" x14ac:dyDescent="0.25">
      <c r="A102" s="17"/>
      <c r="B102" s="36">
        <v>15</v>
      </c>
      <c r="C102" s="331" t="str">
        <f t="array" ref="C102">+IFERROR(INDEX(#REF!,SMALL(IF((#REF!&gt;0)*(#REF!&lt;4),ROW(#REF!)-14),ROWS($1:15))),"")</f>
        <v/>
      </c>
      <c r="D102" s="13"/>
      <c r="E102" s="332" t="str">
        <f t="array" ref="E102">+IFERROR(INDEX(#REF!,SMALL(IF((#REF!&gt;0)*(#REF!&lt;4),ROW(#REF!)-14),ROWS($1:15))),"")</f>
        <v/>
      </c>
      <c r="F102" s="13"/>
      <c r="G102" s="333" t="str">
        <f t="array" ref="G102">+IFERROR(INDEX(#REF!,SMALL(IF((#REF!&gt;0)*(#REF!&lt;4),ROW(#REF!)-14),ROWS($1:15))),"")</f>
        <v/>
      </c>
      <c r="H102" s="13"/>
      <c r="I102" s="334" t="str">
        <f t="array" ref="I102">+IFERROR(INDEX(#REF!,SMALL(IF((#REF!&gt;4)*(#REF!&lt;8),ROW(#REF!)-14),ROWS($1:15))),"")</f>
        <v/>
      </c>
      <c r="J102" s="13"/>
      <c r="K102" s="335" t="str">
        <f t="array" ref="K102">+IFERROR(INDEX(#REF!,SMALL(IF((#REF!&gt;4)*(#REF!&lt;8),ROW(#REF!)-14),ROWS($1:15))),"")</f>
        <v/>
      </c>
      <c r="L102" s="13"/>
      <c r="M102" s="336" t="str">
        <f t="array" ref="M102">+IFERROR(INDEX(#REF!,SMALL(IF((#REF!&gt;4)*(#REF!&lt;8),ROW(#REF!)-14),ROWS($1:15))),"")</f>
        <v/>
      </c>
      <c r="N102" s="13"/>
      <c r="O102" s="337" t="str">
        <f t="array" ref="O102">+IFERROR(INDEX(#REF!,SMALL(IF((#REF!&gt;8)*(#REF!&lt;10),ROW(#REF!)-14),ROWS($1:15))),"")</f>
        <v/>
      </c>
      <c r="P102" s="13"/>
      <c r="Q102" s="338" t="str">
        <f t="array" ref="Q102">+IFERROR(INDEX(#REF!,SMALL(IF((#REF!&gt;8)*(#REF!&lt;10),ROW(#REF!)-14),ROWS($1:15))),"")</f>
        <v/>
      </c>
      <c r="R102" s="13"/>
      <c r="S102" s="339" t="str">
        <f t="array" ref="S102">+IFERROR(INDEX(#REF!,SMALL(IF((#REF!&gt;8)*(#REF!&lt;10),ROW(#REF!)-14),ROWS($1:15))),"")</f>
        <v/>
      </c>
      <c r="V102" s="14" t="s">
        <v>548</v>
      </c>
      <c r="W102" s="340">
        <v>15342</v>
      </c>
    </row>
    <row r="103" spans="1:23" s="14" customFormat="1" ht="16.149999999999999" customHeight="1" x14ac:dyDescent="0.25">
      <c r="A103" s="17"/>
      <c r="B103" s="36">
        <v>16</v>
      </c>
      <c r="C103" s="341" t="str">
        <f t="array" ref="C103">+IFERROR(INDEX(#REF!,SMALL(IF((#REF!&gt;0)*(#REF!&lt;4),ROW(#REF!)-14),ROWS($1:16))),"")</f>
        <v/>
      </c>
      <c r="D103" s="13"/>
      <c r="E103" s="342" t="str">
        <f t="array" ref="E103">+IFERROR(INDEX(#REF!,SMALL(IF((#REF!&gt;0)*(#REF!&lt;4),ROW(#REF!)-14),ROWS($1:16))),"")</f>
        <v/>
      </c>
      <c r="F103" s="13"/>
      <c r="G103" s="343" t="str">
        <f t="array" ref="G103">+IFERROR(INDEX(#REF!,SMALL(IF((#REF!&gt;0)*(#REF!&lt;4),ROW(#REF!)-14),ROWS($1:16))),"")</f>
        <v/>
      </c>
      <c r="H103" s="13"/>
      <c r="I103" s="344" t="str">
        <f t="array" ref="I103">+IFERROR(INDEX(#REF!,SMALL(IF((#REF!&gt;4)*(#REF!&lt;8),ROW(#REF!)-14),ROWS($1:16))),"")</f>
        <v/>
      </c>
      <c r="J103" s="13"/>
      <c r="K103" s="345" t="str">
        <f t="array" ref="K103">+IFERROR(INDEX(#REF!,SMALL(IF((#REF!&gt;4)*(#REF!&lt;8),ROW(#REF!)-14),ROWS($1:16))),"")</f>
        <v/>
      </c>
      <c r="L103" s="13"/>
      <c r="M103" s="346" t="str">
        <f t="array" ref="M103">+IFERROR(INDEX(#REF!,SMALL(IF((#REF!&gt;4)*(#REF!&lt;8),ROW(#REF!)-14),ROWS($1:16))),"")</f>
        <v/>
      </c>
      <c r="N103" s="13"/>
      <c r="O103" s="347" t="str">
        <f t="array" ref="O103">+IFERROR(INDEX(#REF!,SMALL(IF((#REF!&gt;8)*(#REF!&lt;10),ROW(#REF!)-14),ROWS($1:16))),"")</f>
        <v/>
      </c>
      <c r="P103" s="13"/>
      <c r="Q103" s="348" t="str">
        <f t="array" ref="Q103">+IFERROR(INDEX(#REF!,SMALL(IF((#REF!&gt;8)*(#REF!&lt;10),ROW(#REF!)-14),ROWS($1:16))),"")</f>
        <v/>
      </c>
      <c r="R103" s="13"/>
      <c r="S103" s="349" t="str">
        <f t="array" ref="S103">+IFERROR(INDEX(#REF!,SMALL(IF((#REF!&gt;8)*(#REF!&lt;10),ROW(#REF!)-14),ROWS($1:16))),"")</f>
        <v/>
      </c>
      <c r="V103" s="14" t="s">
        <v>547</v>
      </c>
      <c r="W103" s="340">
        <v>5634</v>
      </c>
    </row>
    <row r="104" spans="1:23" s="14" customFormat="1" ht="16.149999999999999" customHeight="1" x14ac:dyDescent="0.25">
      <c r="A104" s="17"/>
      <c r="B104" s="36">
        <v>17</v>
      </c>
      <c r="C104" s="331" t="str">
        <f t="array" ref="C104">+IFERROR(INDEX(#REF!,SMALL(IF((#REF!&gt;0)*(#REF!&lt;4),ROW(#REF!)-14),ROWS($1:17))),"")</f>
        <v/>
      </c>
      <c r="D104" s="13"/>
      <c r="E104" s="332" t="str">
        <f t="array" ref="E104">+IFERROR(INDEX(#REF!,SMALL(IF((#REF!&gt;0)*(#REF!&lt;4),ROW(#REF!)-14),ROWS($1:17))),"")</f>
        <v/>
      </c>
      <c r="F104" s="13"/>
      <c r="G104" s="333" t="str">
        <f t="array" ref="G104">+IFERROR(INDEX(#REF!,SMALL(IF((#REF!&gt;0)*(#REF!&lt;4),ROW(#REF!)-14),ROWS($1:17))),"")</f>
        <v/>
      </c>
      <c r="H104" s="13"/>
      <c r="I104" s="334" t="str">
        <f t="array" ref="I104">+IFERROR(INDEX(#REF!,SMALL(IF((#REF!&gt;4)*(#REF!&lt;8),ROW(#REF!)-14),ROWS($1:17))),"")</f>
        <v/>
      </c>
      <c r="J104" s="13"/>
      <c r="K104" s="335" t="str">
        <f t="array" ref="K104">+IFERROR(INDEX(#REF!,SMALL(IF((#REF!&gt;4)*(#REF!&lt;8),ROW(#REF!)-14),ROWS($1:17))),"")</f>
        <v/>
      </c>
      <c r="L104" s="13"/>
      <c r="M104" s="336" t="str">
        <f t="array" ref="M104">+IFERROR(INDEX(#REF!,SMALL(IF((#REF!&gt;4)*(#REF!&lt;8),ROW(#REF!)-14),ROWS($1:17))),"")</f>
        <v/>
      </c>
      <c r="N104" s="13"/>
      <c r="O104" s="337" t="str">
        <f t="array" ref="O104">+IFERROR(INDEX(#REF!,SMALL(IF((#REF!&gt;8)*(#REF!&lt;10),ROW(#REF!)-14),ROWS($1:17))),"")</f>
        <v/>
      </c>
      <c r="P104" s="13"/>
      <c r="Q104" s="338" t="str">
        <f t="array" ref="Q104">+IFERROR(INDEX(#REF!,SMALL(IF((#REF!&gt;8)*(#REF!&lt;10),ROW(#REF!)-14),ROWS($1:17))),"")</f>
        <v/>
      </c>
      <c r="R104" s="13"/>
      <c r="S104" s="339" t="str">
        <f t="array" ref="S104">+IFERROR(INDEX(#REF!,SMALL(IF((#REF!&gt;8)*(#REF!&lt;10),ROW(#REF!)-14),ROWS($1:17))),"")</f>
        <v/>
      </c>
    </row>
    <row r="105" spans="1:23" s="14" customFormat="1" ht="16.149999999999999" customHeight="1" x14ac:dyDescent="0.25">
      <c r="A105" s="17"/>
      <c r="B105" s="36">
        <v>18</v>
      </c>
      <c r="C105" s="341" t="str">
        <f t="array" ref="C105">+IFERROR(INDEX(#REF!,SMALL(IF((#REF!&gt;0)*(#REF!&lt;4),ROW(#REF!)-14),ROWS($1:18))),"")</f>
        <v/>
      </c>
      <c r="D105" s="13"/>
      <c r="E105" s="342" t="str">
        <f t="array" ref="E105">+IFERROR(INDEX(#REF!,SMALL(IF((#REF!&gt;0)*(#REF!&lt;4),ROW(#REF!)-14),ROWS($1:18))),"")</f>
        <v/>
      </c>
      <c r="F105" s="13"/>
      <c r="G105" s="343" t="str">
        <f t="array" ref="G105">+IFERROR(INDEX(#REF!,SMALL(IF((#REF!&gt;0)*(#REF!&lt;4),ROW(#REF!)-14),ROWS($1:18))),"")</f>
        <v/>
      </c>
      <c r="H105" s="13"/>
      <c r="I105" s="344" t="str">
        <f t="array" ref="I105">+IFERROR(INDEX(#REF!,SMALL(IF((#REF!&gt;4)*(#REF!&lt;8),ROW(#REF!)-14),ROWS($1:18))),"")</f>
        <v/>
      </c>
      <c r="J105" s="13"/>
      <c r="K105" s="345" t="str">
        <f t="array" ref="K105">+IFERROR(INDEX(#REF!,SMALL(IF((#REF!&gt;4)*(#REF!&lt;8),ROW(#REF!)-14),ROWS($1:18))),"")</f>
        <v/>
      </c>
      <c r="L105" s="13"/>
      <c r="M105" s="346" t="str">
        <f t="array" ref="M105">+IFERROR(INDEX(#REF!,SMALL(IF((#REF!&gt;4)*(#REF!&lt;8),ROW(#REF!)-14),ROWS($1:18))),"")</f>
        <v/>
      </c>
      <c r="N105" s="13"/>
      <c r="O105" s="347" t="str">
        <f t="array" ref="O105">+IFERROR(INDEX(#REF!,SMALL(IF((#REF!&gt;8)*(#REF!&lt;10),ROW(#REF!)-14),ROWS($1:18))),"")</f>
        <v/>
      </c>
      <c r="P105" s="13"/>
      <c r="Q105" s="348" t="str">
        <f t="array" ref="Q105">+IFERROR(INDEX(#REF!,SMALL(IF((#REF!&gt;8)*(#REF!&lt;10),ROW(#REF!)-14),ROWS($1:18))),"")</f>
        <v/>
      </c>
      <c r="R105" s="13"/>
      <c r="S105" s="349" t="str">
        <f t="array" ref="S105">+IFERROR(INDEX(#REF!,SMALL(IF((#REF!&gt;8)*(#REF!&lt;10),ROW(#REF!)-14),ROWS($1:18))),"")</f>
        <v/>
      </c>
    </row>
    <row r="106" spans="1:23" s="14" customFormat="1" ht="16.149999999999999" customHeight="1" x14ac:dyDescent="0.25">
      <c r="A106" s="17"/>
      <c r="B106" s="36">
        <v>19</v>
      </c>
      <c r="C106" s="331" t="str">
        <f t="array" ref="C106">+IFERROR(INDEX(#REF!,SMALL(IF((#REF!&gt;0)*(#REF!&lt;4),ROW(#REF!)-14),ROWS($1:19))),"")</f>
        <v/>
      </c>
      <c r="D106" s="13"/>
      <c r="E106" s="332" t="str">
        <f t="array" ref="E106">+IFERROR(INDEX(#REF!,SMALL(IF((#REF!&gt;0)*(#REF!&lt;4),ROW(#REF!)-14),ROWS($1:19))),"")</f>
        <v/>
      </c>
      <c r="F106" s="13"/>
      <c r="G106" s="333" t="str">
        <f t="array" ref="G106">+IFERROR(INDEX(#REF!,SMALL(IF((#REF!&gt;0)*(#REF!&lt;4),ROW(#REF!)-14),ROWS($1:19))),"")</f>
        <v/>
      </c>
      <c r="H106" s="13"/>
      <c r="I106" s="334" t="str">
        <f t="array" ref="I106">+IFERROR(INDEX(#REF!,SMALL(IF((#REF!&gt;4)*(#REF!&lt;8),ROW(#REF!)-14),ROWS($1:19))),"")</f>
        <v/>
      </c>
      <c r="J106" s="13"/>
      <c r="K106" s="335" t="str">
        <f t="array" ref="K106">+IFERROR(INDEX(#REF!,SMALL(IF((#REF!&gt;4)*(#REF!&lt;8),ROW(#REF!)-14),ROWS($1:19))),"")</f>
        <v/>
      </c>
      <c r="L106" s="13"/>
      <c r="M106" s="336" t="str">
        <f t="array" ref="M106">+IFERROR(INDEX(#REF!,SMALL(IF((#REF!&gt;4)*(#REF!&lt;8),ROW(#REF!)-14),ROWS($1:19))),"")</f>
        <v/>
      </c>
      <c r="N106" s="13"/>
      <c r="O106" s="337" t="str">
        <f t="array" ref="O106">+IFERROR(INDEX(#REF!,SMALL(IF((#REF!&gt;8)*(#REF!&lt;10),ROW(#REF!)-14),ROWS($1:19))),"")</f>
        <v/>
      </c>
      <c r="P106" s="13"/>
      <c r="Q106" s="338" t="str">
        <f t="array" ref="Q106">+IFERROR(INDEX(#REF!,SMALL(IF((#REF!&gt;8)*(#REF!&lt;10),ROW(#REF!)-14),ROWS($1:19))),"")</f>
        <v/>
      </c>
      <c r="R106" s="13"/>
      <c r="S106" s="339" t="str">
        <f t="array" ref="S106">+IFERROR(INDEX(#REF!,SMALL(IF((#REF!&gt;8)*(#REF!&lt;10),ROW(#REF!)-14),ROWS($1:19))),"")</f>
        <v/>
      </c>
    </row>
    <row r="107" spans="1:23" s="14" customFormat="1" ht="16.149999999999999" customHeight="1" x14ac:dyDescent="0.25">
      <c r="A107" s="17"/>
      <c r="B107" s="36">
        <v>20</v>
      </c>
      <c r="C107" s="341" t="str">
        <f t="array" ref="C107">+IFERROR(INDEX(#REF!,SMALL(IF((#REF!&gt;0)*(#REF!&lt;4),ROW(#REF!)-14),ROWS($1:20))),"")</f>
        <v/>
      </c>
      <c r="D107" s="13"/>
      <c r="E107" s="342" t="str">
        <f t="array" ref="E107">+IFERROR(INDEX(#REF!,SMALL(IF((#REF!&gt;0)*(#REF!&lt;4),ROW(#REF!)-14),ROWS($1:20))),"")</f>
        <v/>
      </c>
      <c r="F107" s="13"/>
      <c r="G107" s="343" t="str">
        <f t="array" ref="G107">+IFERROR(INDEX(#REF!,SMALL(IF((#REF!&gt;0)*(#REF!&lt;4),ROW(#REF!)-14),ROWS($1:20))),"")</f>
        <v/>
      </c>
      <c r="H107" s="13"/>
      <c r="I107" s="344" t="str">
        <f t="array" ref="I107">+IFERROR(INDEX(#REF!,SMALL(IF((#REF!&gt;4)*(#REF!&lt;8),ROW(#REF!)-14),ROWS($1:20))),"")</f>
        <v/>
      </c>
      <c r="J107" s="13"/>
      <c r="K107" s="345" t="str">
        <f t="array" ref="K107">+IFERROR(INDEX(#REF!,SMALL(IF((#REF!&gt;4)*(#REF!&lt;8),ROW(#REF!)-14),ROWS($1:20))),"")</f>
        <v/>
      </c>
      <c r="L107" s="13"/>
      <c r="M107" s="346" t="str">
        <f t="array" ref="M107">+IFERROR(INDEX(#REF!,SMALL(IF((#REF!&gt;4)*(#REF!&lt;8),ROW(#REF!)-14),ROWS($1:20))),"")</f>
        <v/>
      </c>
      <c r="N107" s="13"/>
      <c r="O107" s="347" t="str">
        <f t="array" ref="O107">+IFERROR(INDEX(#REF!,SMALL(IF((#REF!&gt;8)*(#REF!&lt;10),ROW(#REF!)-14),ROWS($1:20))),"")</f>
        <v/>
      </c>
      <c r="P107" s="13"/>
      <c r="Q107" s="348" t="str">
        <f t="array" ref="Q107">+IFERROR(INDEX(#REF!,SMALL(IF((#REF!&gt;8)*(#REF!&lt;10),ROW(#REF!)-14),ROWS($1:20))),"")</f>
        <v/>
      </c>
      <c r="R107" s="13"/>
      <c r="S107" s="349" t="str">
        <f t="array" ref="S107">+IFERROR(INDEX(#REF!,SMALL(IF((#REF!&gt;8)*(#REF!&lt;10),ROW(#REF!)-14),ROWS($1:20))),"")</f>
        <v/>
      </c>
    </row>
    <row r="108" spans="1:23" s="14" customFormat="1" ht="16.149999999999999" customHeight="1" x14ac:dyDescent="0.25">
      <c r="A108" s="17"/>
      <c r="B108" s="36">
        <v>21</v>
      </c>
      <c r="C108" s="331" t="str">
        <f t="array" ref="C108">+IFERROR(INDEX(#REF!,SMALL(IF((#REF!&gt;0)*(#REF!&lt;4),ROW(#REF!)-14),ROWS($1:21))),"")</f>
        <v/>
      </c>
      <c r="D108" s="13"/>
      <c r="E108" s="332" t="str">
        <f t="array" ref="E108">+IFERROR(INDEX(#REF!,SMALL(IF((#REF!&gt;0)*(#REF!&lt;4),ROW(#REF!)-14),ROWS($1:21))),"")</f>
        <v/>
      </c>
      <c r="F108" s="13"/>
      <c r="G108" s="333" t="str">
        <f t="array" ref="G108">+IFERROR(INDEX(#REF!,SMALL(IF((#REF!&gt;0)*(#REF!&lt;4),ROW(#REF!)-14),ROWS($1:21))),"")</f>
        <v/>
      </c>
      <c r="H108" s="13"/>
      <c r="I108" s="334" t="str">
        <f t="array" ref="I108">+IFERROR(INDEX(#REF!,SMALL(IF((#REF!&gt;4)*(#REF!&lt;8),ROW(#REF!)-14),ROWS($1:21))),"")</f>
        <v/>
      </c>
      <c r="J108" s="13"/>
      <c r="K108" s="335" t="str">
        <f t="array" ref="K108">+IFERROR(INDEX(#REF!,SMALL(IF((#REF!&gt;4)*(#REF!&lt;8),ROW(#REF!)-14),ROWS($1:21))),"")</f>
        <v/>
      </c>
      <c r="L108" s="13"/>
      <c r="M108" s="336" t="str">
        <f t="array" ref="M108">+IFERROR(INDEX(#REF!,SMALL(IF((#REF!&gt;4)*(#REF!&lt;8),ROW(#REF!)-14),ROWS($1:21))),"")</f>
        <v/>
      </c>
      <c r="N108" s="13"/>
      <c r="O108" s="337" t="str">
        <f t="array" ref="O108">+IFERROR(INDEX(#REF!,SMALL(IF((#REF!&gt;8)*(#REF!&lt;10),ROW(#REF!)-14),ROWS($1:21))),"")</f>
        <v/>
      </c>
      <c r="P108" s="13"/>
      <c r="Q108" s="338" t="str">
        <f t="array" ref="Q108">+IFERROR(INDEX(#REF!,SMALL(IF((#REF!&gt;8)*(#REF!&lt;10),ROW(#REF!)-14),ROWS($1:21))),"")</f>
        <v/>
      </c>
      <c r="R108" s="13"/>
      <c r="S108" s="339" t="str">
        <f t="array" ref="S108">+IFERROR(INDEX(#REF!,SMALL(IF((#REF!&gt;8)*(#REF!&lt;10),ROW(#REF!)-14),ROWS($1:21))),"")</f>
        <v/>
      </c>
    </row>
    <row r="109" spans="1:23" s="14" customFormat="1" ht="16.149999999999999" customHeight="1" x14ac:dyDescent="0.25">
      <c r="A109" s="17"/>
      <c r="B109" s="36">
        <v>22</v>
      </c>
      <c r="C109" s="341" t="str">
        <f t="array" ref="C109">+IFERROR(INDEX(#REF!,SMALL(IF((#REF!&gt;0)*(#REF!&lt;4),ROW(#REF!)-14),ROWS($1:22))),"")</f>
        <v/>
      </c>
      <c r="D109" s="13"/>
      <c r="E109" s="342" t="str">
        <f t="array" ref="E109">+IFERROR(INDEX(#REF!,SMALL(IF((#REF!&gt;0)*(#REF!&lt;4),ROW(#REF!)-14),ROWS($1:22))),"")</f>
        <v/>
      </c>
      <c r="F109" s="13"/>
      <c r="G109" s="343" t="str">
        <f t="array" ref="G109">+IFERROR(INDEX(#REF!,SMALL(IF((#REF!&gt;0)*(#REF!&lt;4),ROW(#REF!)-14),ROWS($1:22))),"")</f>
        <v/>
      </c>
      <c r="H109" s="13"/>
      <c r="I109" s="344" t="str">
        <f t="array" ref="I109">+IFERROR(INDEX(#REF!,SMALL(IF((#REF!&gt;4)*(#REF!&lt;8),ROW(#REF!)-14),ROWS($1:22))),"")</f>
        <v/>
      </c>
      <c r="J109" s="13"/>
      <c r="K109" s="345" t="str">
        <f t="array" ref="K109">+IFERROR(INDEX(#REF!,SMALL(IF((#REF!&gt;4)*(#REF!&lt;8),ROW(#REF!)-14),ROWS($1:22))),"")</f>
        <v/>
      </c>
      <c r="L109" s="13"/>
      <c r="M109" s="346" t="str">
        <f t="array" ref="M109">+IFERROR(INDEX(#REF!,SMALL(IF((#REF!&gt;4)*(#REF!&lt;8),ROW(#REF!)-14),ROWS($1:22))),"")</f>
        <v/>
      </c>
      <c r="N109" s="13"/>
      <c r="O109" s="347" t="str">
        <f t="array" ref="O109">+IFERROR(INDEX(#REF!,SMALL(IF((#REF!&gt;8)*(#REF!&lt;10),ROW(#REF!)-14),ROWS($1:22))),"")</f>
        <v/>
      </c>
      <c r="P109" s="13"/>
      <c r="Q109" s="348" t="str">
        <f t="array" ref="Q109">+IFERROR(INDEX(#REF!,SMALL(IF((#REF!&gt;8)*(#REF!&lt;10),ROW(#REF!)-14),ROWS($1:22))),"")</f>
        <v/>
      </c>
      <c r="R109" s="13"/>
      <c r="S109" s="349" t="str">
        <f t="array" ref="S109">+IFERROR(INDEX(#REF!,SMALL(IF((#REF!&gt;8)*(#REF!&lt;10),ROW(#REF!)-14),ROWS($1:22))),"")</f>
        <v/>
      </c>
    </row>
    <row r="110" spans="1:23" s="14" customFormat="1" ht="16.149999999999999" customHeight="1" x14ac:dyDescent="0.25">
      <c r="A110" s="17"/>
      <c r="B110" s="36">
        <v>23</v>
      </c>
      <c r="C110" s="331" t="str">
        <f t="array" ref="C110">+IFERROR(INDEX(#REF!,SMALL(IF((#REF!&gt;0)*(#REF!&lt;4),ROW(#REF!)-14),ROWS($1:23))),"")</f>
        <v/>
      </c>
      <c r="D110" s="13"/>
      <c r="E110" s="332" t="str">
        <f t="array" ref="E110">+IFERROR(INDEX(#REF!,SMALL(IF((#REF!&gt;0)*(#REF!&lt;4),ROW(#REF!)-14),ROWS($1:23))),"")</f>
        <v/>
      </c>
      <c r="F110" s="13"/>
      <c r="G110" s="333" t="str">
        <f t="array" ref="G110">+IFERROR(INDEX(#REF!,SMALL(IF((#REF!&gt;0)*(#REF!&lt;4),ROW(#REF!)-14),ROWS($1:23))),"")</f>
        <v/>
      </c>
      <c r="H110" s="13"/>
      <c r="I110" s="334" t="str">
        <f t="array" ref="I110">+IFERROR(INDEX(#REF!,SMALL(IF((#REF!&gt;4)*(#REF!&lt;8),ROW(#REF!)-14),ROWS($1:23))),"")</f>
        <v/>
      </c>
      <c r="J110" s="13"/>
      <c r="K110" s="335" t="str">
        <f t="array" ref="K110">+IFERROR(INDEX(#REF!,SMALL(IF((#REF!&gt;4)*(#REF!&lt;8),ROW(#REF!)-14),ROWS($1:23))),"")</f>
        <v/>
      </c>
      <c r="L110" s="13"/>
      <c r="M110" s="336" t="str">
        <f t="array" ref="M110">+IFERROR(INDEX(#REF!,SMALL(IF((#REF!&gt;4)*(#REF!&lt;8),ROW(#REF!)-14),ROWS($1:23))),"")</f>
        <v/>
      </c>
      <c r="N110" s="13"/>
      <c r="O110" s="337" t="str">
        <f t="array" ref="O110">+IFERROR(INDEX(#REF!,SMALL(IF((#REF!&gt;8)*(#REF!&lt;10),ROW(#REF!)-14),ROWS($1:23))),"")</f>
        <v/>
      </c>
      <c r="P110" s="13"/>
      <c r="Q110" s="338" t="str">
        <f t="array" ref="Q110">+IFERROR(INDEX(#REF!,SMALL(IF((#REF!&gt;8)*(#REF!&lt;10),ROW(#REF!)-14),ROWS($1:23))),"")</f>
        <v/>
      </c>
      <c r="R110" s="13"/>
      <c r="S110" s="339" t="str">
        <f t="array" ref="S110">+IFERROR(INDEX(#REF!,SMALL(IF((#REF!&gt;8)*(#REF!&lt;10),ROW(#REF!)-14),ROWS($1:23))),"")</f>
        <v/>
      </c>
    </row>
    <row r="111" spans="1:23" s="14" customFormat="1" ht="16.149999999999999" customHeight="1" x14ac:dyDescent="0.25">
      <c r="A111" s="17"/>
      <c r="B111" s="36">
        <v>24</v>
      </c>
      <c r="C111" s="341" t="str">
        <f t="array" ref="C111">+IFERROR(INDEX(#REF!,SMALL(IF((#REF!&gt;0)*(#REF!&lt;4),ROW(#REF!)-14),ROWS($1:24))),"")</f>
        <v/>
      </c>
      <c r="D111" s="13"/>
      <c r="E111" s="342" t="str">
        <f t="array" ref="E111">+IFERROR(INDEX(#REF!,SMALL(IF((#REF!&gt;0)*(#REF!&lt;4),ROW(#REF!)-14),ROWS($1:24))),"")</f>
        <v/>
      </c>
      <c r="F111" s="13"/>
      <c r="G111" s="343" t="str">
        <f t="array" ref="G111">+IFERROR(INDEX(#REF!,SMALL(IF((#REF!&gt;0)*(#REF!&lt;4),ROW(#REF!)-14),ROWS($1:24))),"")</f>
        <v/>
      </c>
      <c r="H111" s="13"/>
      <c r="I111" s="344" t="str">
        <f t="array" ref="I111">+IFERROR(INDEX(#REF!,SMALL(IF((#REF!&gt;4)*(#REF!&lt;8),ROW(#REF!)-14),ROWS($1:24))),"")</f>
        <v/>
      </c>
      <c r="J111" s="13"/>
      <c r="K111" s="345" t="str">
        <f t="array" ref="K111">+IFERROR(INDEX(#REF!,SMALL(IF((#REF!&gt;4)*(#REF!&lt;8),ROW(#REF!)-14),ROWS($1:24))),"")</f>
        <v/>
      </c>
      <c r="L111" s="13"/>
      <c r="M111" s="346" t="str">
        <f t="array" ref="M111">+IFERROR(INDEX(#REF!,SMALL(IF((#REF!&gt;4)*(#REF!&lt;8),ROW(#REF!)-14),ROWS($1:24))),"")</f>
        <v/>
      </c>
      <c r="N111" s="13"/>
      <c r="O111" s="347" t="str">
        <f t="array" ref="O111">+IFERROR(INDEX(#REF!,SMALL(IF((#REF!&gt;8)*(#REF!&lt;10),ROW(#REF!)-14),ROWS($1:24))),"")</f>
        <v/>
      </c>
      <c r="P111" s="13"/>
      <c r="Q111" s="348" t="str">
        <f t="array" ref="Q111">+IFERROR(INDEX(#REF!,SMALL(IF((#REF!&gt;8)*(#REF!&lt;10),ROW(#REF!)-14),ROWS($1:24))),"")</f>
        <v/>
      </c>
      <c r="R111" s="13"/>
      <c r="S111" s="349" t="str">
        <f t="array" ref="S111">+IFERROR(INDEX(#REF!,SMALL(IF((#REF!&gt;8)*(#REF!&lt;10),ROW(#REF!)-14),ROWS($1:24))),"")</f>
        <v/>
      </c>
    </row>
    <row r="112" spans="1:23" s="14" customFormat="1" ht="16.149999999999999" customHeight="1" x14ac:dyDescent="0.25">
      <c r="A112" s="17"/>
      <c r="B112" s="36">
        <v>25</v>
      </c>
      <c r="C112" s="331" t="str">
        <f t="array" ref="C112">+IFERROR(INDEX(#REF!,SMALL(IF((#REF!&gt;0)*(#REF!&lt;4),ROW(#REF!)-14),ROWS($1:25))),"")</f>
        <v/>
      </c>
      <c r="D112" s="13"/>
      <c r="E112" s="332" t="str">
        <f t="array" ref="E112">+IFERROR(INDEX(#REF!,SMALL(IF((#REF!&gt;0)*(#REF!&lt;4),ROW(#REF!)-14),ROWS($1:25))),"")</f>
        <v/>
      </c>
      <c r="F112" s="13"/>
      <c r="G112" s="333" t="str">
        <f t="array" ref="G112">+IFERROR(INDEX(#REF!,SMALL(IF((#REF!&gt;0)*(#REF!&lt;4),ROW(#REF!)-14),ROWS($1:25))),"")</f>
        <v/>
      </c>
      <c r="H112" s="13"/>
      <c r="I112" s="334" t="str">
        <f t="array" ref="I112">+IFERROR(INDEX(#REF!,SMALL(IF((#REF!&gt;4)*(#REF!&lt;8),ROW(#REF!)-14),ROWS($1:25))),"")</f>
        <v/>
      </c>
      <c r="J112" s="13"/>
      <c r="K112" s="335" t="str">
        <f t="array" ref="K112">+IFERROR(INDEX(#REF!,SMALL(IF((#REF!&gt;4)*(#REF!&lt;8),ROW(#REF!)-14),ROWS($1:25))),"")</f>
        <v/>
      </c>
      <c r="L112" s="13"/>
      <c r="M112" s="336" t="str">
        <f t="array" ref="M112">+IFERROR(INDEX(#REF!,SMALL(IF((#REF!&gt;4)*(#REF!&lt;8),ROW(#REF!)-14),ROWS($1:25))),"")</f>
        <v/>
      </c>
      <c r="N112" s="13"/>
      <c r="O112" s="337" t="str">
        <f t="array" ref="O112">+IFERROR(INDEX(#REF!,SMALL(IF((#REF!&gt;8)*(#REF!&lt;10),ROW(#REF!)-14),ROWS($1:25))),"")</f>
        <v/>
      </c>
      <c r="P112" s="13"/>
      <c r="Q112" s="338" t="str">
        <f t="array" ref="Q112">+IFERROR(INDEX(#REF!,SMALL(IF((#REF!&gt;8)*(#REF!&lt;10),ROW(#REF!)-14),ROWS($1:25))),"")</f>
        <v/>
      </c>
      <c r="R112" s="13"/>
      <c r="S112" s="339" t="str">
        <f t="array" ref="S112">+IFERROR(INDEX(#REF!,SMALL(IF((#REF!&gt;8)*(#REF!&lt;10),ROW(#REF!)-14),ROWS($1:25))),"")</f>
        <v/>
      </c>
    </row>
    <row r="113" spans="1:23" s="14" customFormat="1" ht="16.149999999999999" customHeight="1" x14ac:dyDescent="0.25">
      <c r="A113" s="17"/>
    </row>
    <row r="114" spans="1:23" s="14" customFormat="1" ht="16.149999999999999" customHeight="1" x14ac:dyDescent="0.25">
      <c r="A114" s="370" t="s">
        <v>601</v>
      </c>
      <c r="B114" s="36">
        <v>1</v>
      </c>
      <c r="C114" s="331" t="str">
        <f t="array" ref="C114">+IFERROR(INDEX(#REF!,SMALL(IF((#REF!&gt;0)*(#REF!&lt;4),ROW(#REF!)-14),ROWS($1:1))),"")</f>
        <v/>
      </c>
      <c r="D114" s="13"/>
      <c r="E114" s="332" t="str">
        <f t="array" ref="E114">+IFERROR(INDEX(#REF!,SMALL(IF((#REF!&gt;0)*(#REF!&lt;4),ROW(#REF!)-14),ROWS($1:1))),"")</f>
        <v/>
      </c>
      <c r="F114" s="13"/>
      <c r="G114" s="333" t="str">
        <f t="array" ref="G114">+IFERROR(INDEX(#REF!,SMALL(IF((#REF!&gt;0)*(#REF!&lt;4),ROW(#REF!)-14),ROWS($1:1))),"")</f>
        <v/>
      </c>
      <c r="H114" s="13"/>
      <c r="I114" s="334" t="str">
        <f t="array" ref="I114">+IFERROR(INDEX(#REF!,SMALL(IF((#REF!&gt;4)*(#REF!&lt;8),ROW(#REF!)-14),ROWS($1:1))),"")</f>
        <v/>
      </c>
      <c r="J114" s="13"/>
      <c r="K114" s="335" t="str">
        <f t="array" ref="K114">+IFERROR(INDEX(#REF!,SMALL(IF((#REF!&gt;4)*(#REF!&lt;8),ROW(#REF!)-14),ROWS($1:1))),"")</f>
        <v/>
      </c>
      <c r="L114" s="13"/>
      <c r="M114" s="336" t="str">
        <f t="array" ref="M114">+IFERROR(INDEX(#REF!,SMALL(IF((#REF!&gt;4)*(#REF!&lt;8),ROW(#REF!)-14),ROWS($1:1))),"")</f>
        <v/>
      </c>
      <c r="N114" s="13"/>
      <c r="O114" s="337" t="str">
        <f t="array" ref="O114">+IFERROR(INDEX(#REF!,SMALL(IF((#REF!&gt;8)*(#REF!&lt;10),ROW(#REF!)-14),ROWS($1:1))),"")</f>
        <v/>
      </c>
      <c r="P114" s="13"/>
      <c r="Q114" s="338" t="str">
        <f t="array" ref="Q114">+IFERROR(INDEX(#REF!,SMALL(IF((#REF!&gt;8)*(#REF!&lt;10),ROW(#REF!)-14),ROWS($1:1))),"")</f>
        <v/>
      </c>
      <c r="R114" s="13"/>
      <c r="S114" s="339" t="str">
        <f t="array" ref="S114">+IFERROR(INDEX(#REF!,SMALL(IF((#REF!&gt;8)*(#REF!&lt;10),ROW(#REF!)-14),ROWS($1:1))),"")</f>
        <v/>
      </c>
    </row>
    <row r="115" spans="1:23" s="14" customFormat="1" ht="16.149999999999999" customHeight="1" x14ac:dyDescent="0.25">
      <c r="A115" s="17"/>
      <c r="B115" s="36">
        <v>2</v>
      </c>
      <c r="C115" s="341" t="str">
        <f t="array" ref="C115">+IFERROR(INDEX(#REF!,SMALL(IF((#REF!&gt;0)*(#REF!&lt;4),ROW(#REF!)-14),ROWS($1:2))),"")</f>
        <v/>
      </c>
      <c r="D115" s="13"/>
      <c r="E115" s="342" t="str">
        <f t="array" ref="E115">+IFERROR(INDEX(#REF!,SMALL(IF((#REF!&gt;0)*(#REF!&lt;4),ROW(#REF!)-14),ROWS($1:2))),"")</f>
        <v/>
      </c>
      <c r="F115" s="13"/>
      <c r="G115" s="343" t="str">
        <f t="array" ref="G115">+IFERROR(INDEX(#REF!,SMALL(IF((#REF!&gt;0)*(#REF!&lt;4),ROW(#REF!)-14),ROWS($1:2))),"")</f>
        <v/>
      </c>
      <c r="H115" s="13"/>
      <c r="I115" s="344" t="str">
        <f t="array" ref="I115">+IFERROR(INDEX(#REF!,SMALL(IF((#REF!&gt;4)*(#REF!&lt;8),ROW(#REF!)-14),ROWS($1:2))),"")</f>
        <v/>
      </c>
      <c r="J115" s="13"/>
      <c r="K115" s="345" t="str">
        <f t="array" ref="K115">+IFERROR(INDEX(#REF!,SMALL(IF((#REF!&gt;4)*(#REF!&lt;8),ROW(#REF!)-14),ROWS($1:2))),"")</f>
        <v/>
      </c>
      <c r="L115" s="13"/>
      <c r="M115" s="346" t="str">
        <f t="array" ref="M115">+IFERROR(INDEX(#REF!,SMALL(IF((#REF!&gt;4)*(#REF!&lt;8),ROW(#REF!)-14),ROWS($1:2))),"")</f>
        <v/>
      </c>
      <c r="N115" s="13"/>
      <c r="O115" s="347" t="str">
        <f t="array" ref="O115">+IFERROR(INDEX(#REF!,SMALL(IF((#REF!&gt;8)*(#REF!&lt;10),ROW(#REF!)-14),ROWS($1:2))),"")</f>
        <v/>
      </c>
      <c r="P115" s="13"/>
      <c r="Q115" s="348" t="str">
        <f t="array" ref="Q115">+IFERROR(INDEX(#REF!,SMALL(IF((#REF!&gt;8)*(#REF!&lt;10),ROW(#REF!)-14),ROWS($1:2))),"")</f>
        <v/>
      </c>
      <c r="R115" s="13"/>
      <c r="S115" s="349" t="str">
        <f t="array" ref="S115">+IFERROR(INDEX(#REF!,SMALL(IF((#REF!&gt;8)*(#REF!&lt;10),ROW(#REF!)-14),ROWS($1:2))),"")</f>
        <v/>
      </c>
    </row>
    <row r="116" spans="1:23" s="14" customFormat="1" ht="16.149999999999999" customHeight="1" x14ac:dyDescent="0.25">
      <c r="A116" s="17"/>
      <c r="B116" s="36">
        <v>3</v>
      </c>
      <c r="C116" s="331" t="str">
        <f t="array" ref="C116">+IFERROR(INDEX(#REF!,SMALL(IF((#REF!&gt;0)*(#REF!&lt;4),ROW(#REF!)-14),ROWS($1:3))),"")</f>
        <v/>
      </c>
      <c r="D116" s="13"/>
      <c r="E116" s="332" t="str">
        <f t="array" ref="E116">+IFERROR(INDEX(#REF!,SMALL(IF((#REF!&gt;0)*(#REF!&lt;4),ROW(#REF!)-14),ROWS($1:3))),"")</f>
        <v/>
      </c>
      <c r="F116" s="13"/>
      <c r="G116" s="333" t="str">
        <f t="array" ref="G116">+IFERROR(INDEX(#REF!,SMALL(IF((#REF!&gt;0)*(#REF!&lt;4),ROW(#REF!)-14),ROWS($1:3))),"")</f>
        <v/>
      </c>
      <c r="H116" s="13"/>
      <c r="I116" s="334" t="str">
        <f t="array" ref="I116">+IFERROR(INDEX(#REF!,SMALL(IF((#REF!&gt;4)*(#REF!&lt;8),ROW(#REF!)-14),ROWS($1:3))),"")</f>
        <v/>
      </c>
      <c r="J116" s="13"/>
      <c r="K116" s="335" t="str">
        <f t="array" ref="K116">+IFERROR(INDEX(#REF!,SMALL(IF((#REF!&gt;4)*(#REF!&lt;8),ROW(#REF!)-14),ROWS($1:3))),"")</f>
        <v/>
      </c>
      <c r="L116" s="13"/>
      <c r="M116" s="336" t="str">
        <f t="array" ref="M116">+IFERROR(INDEX(#REF!,SMALL(IF((#REF!&gt;4)*(#REF!&lt;8),ROW(#REF!)-14),ROWS($1:3))),"")</f>
        <v/>
      </c>
      <c r="N116" s="13"/>
      <c r="O116" s="337" t="str">
        <f t="array" ref="O116">+IFERROR(INDEX(#REF!,SMALL(IF((#REF!&gt;8)*(#REF!&lt;10),ROW(#REF!)-14),ROWS($1:3))),"")</f>
        <v/>
      </c>
      <c r="P116" s="13"/>
      <c r="Q116" s="338" t="str">
        <f t="array" ref="Q116">+IFERROR(INDEX(#REF!,SMALL(IF((#REF!&gt;8)*(#REF!&lt;10),ROW(#REF!)-14),ROWS($1:3))),"")</f>
        <v/>
      </c>
      <c r="R116" s="13"/>
      <c r="S116" s="339" t="str">
        <f t="array" ref="S116">+IFERROR(INDEX(#REF!,SMALL(IF((#REF!&gt;8)*(#REF!&lt;10),ROW(#REF!)-14),ROWS($1:3))),"")</f>
        <v/>
      </c>
    </row>
    <row r="117" spans="1:23" ht="15" x14ac:dyDescent="0.25">
      <c r="A117" s="17"/>
      <c r="B117" s="36">
        <v>4</v>
      </c>
      <c r="C117" s="341" t="str">
        <f t="array" ref="C117">+IFERROR(INDEX(#REF!,SMALL(IF((#REF!&gt;0)*(#REF!&lt;4),ROW(#REF!)-14),ROWS($1:4))),"")</f>
        <v/>
      </c>
      <c r="D117" s="13"/>
      <c r="E117" s="342" t="str">
        <f t="array" ref="E117">+IFERROR(INDEX(#REF!,SMALL(IF((#REF!&gt;0)*(#REF!&lt;4),ROW(#REF!)-14),ROWS($1:4))),"")</f>
        <v/>
      </c>
      <c r="F117" s="13"/>
      <c r="G117" s="343" t="str">
        <f t="array" ref="G117">+IFERROR(INDEX(#REF!,SMALL(IF((#REF!&gt;0)*(#REF!&lt;4),ROW(#REF!)-14),ROWS($1:4))),"")</f>
        <v/>
      </c>
      <c r="H117" s="13"/>
      <c r="I117" s="344" t="str">
        <f t="array" ref="I117">+IFERROR(INDEX(#REF!,SMALL(IF((#REF!&gt;4)*(#REF!&lt;8),ROW(#REF!)-14),ROWS($1:4))),"")</f>
        <v/>
      </c>
      <c r="J117" s="13"/>
      <c r="K117" s="345" t="str">
        <f t="array" ref="K117">+IFERROR(INDEX(#REF!,SMALL(IF((#REF!&gt;4)*(#REF!&lt;8),ROW(#REF!)-14),ROWS($1:4))),"")</f>
        <v/>
      </c>
      <c r="L117" s="13"/>
      <c r="M117" s="346" t="str">
        <f t="array" ref="M117">+IFERROR(INDEX(#REF!,SMALL(IF((#REF!&gt;4)*(#REF!&lt;8),ROW(#REF!)-14),ROWS($1:4))),"")</f>
        <v/>
      </c>
      <c r="N117" s="13"/>
      <c r="O117" s="347" t="str">
        <f t="array" ref="O117">+IFERROR(INDEX(#REF!,SMALL(IF((#REF!&gt;8)*(#REF!&lt;10),ROW(#REF!)-14),ROWS($1:4))),"")</f>
        <v/>
      </c>
      <c r="P117" s="13"/>
      <c r="Q117" s="348" t="str">
        <f t="array" ref="Q117">+IFERROR(INDEX(#REF!,SMALL(IF((#REF!&gt;8)*(#REF!&lt;10),ROW(#REF!)-14),ROWS($1:4))),"")</f>
        <v/>
      </c>
      <c r="R117" s="13"/>
      <c r="S117" s="349" t="str">
        <f t="array" ref="S117">+IFERROR(INDEX(#REF!,SMALL(IF((#REF!&gt;8)*(#REF!&lt;10),ROW(#REF!)-14),ROWS($1:4))),"")</f>
        <v/>
      </c>
    </row>
    <row r="118" spans="1:23" s="14" customFormat="1" ht="16.149999999999999" customHeight="1" x14ac:dyDescent="0.25">
      <c r="A118" s="17"/>
      <c r="B118" s="36">
        <v>5</v>
      </c>
      <c r="C118" s="331" t="str">
        <f t="array" ref="C118">+IFERROR(INDEX(#REF!,SMALL(IF((#REF!&gt;0)*(#REF!&lt;4),ROW(#REF!)-14),ROWS($1:5))),"")</f>
        <v/>
      </c>
      <c r="D118" s="13"/>
      <c r="E118" s="332" t="str">
        <f t="array" ref="E118">+IFERROR(INDEX(#REF!,SMALL(IF((#REF!&gt;0)*(#REF!&lt;4),ROW(#REF!)-14),ROWS($1:5))),"")</f>
        <v/>
      </c>
      <c r="F118" s="13"/>
      <c r="G118" s="333" t="str">
        <f t="array" ref="G118">+IFERROR(INDEX(#REF!,SMALL(IF((#REF!&gt;0)*(#REF!&lt;4),ROW(#REF!)-14),ROWS($1:5))),"")</f>
        <v/>
      </c>
      <c r="H118" s="13"/>
      <c r="I118" s="334" t="str">
        <f t="array" ref="I118">+IFERROR(INDEX(#REF!,SMALL(IF((#REF!&gt;4)*(#REF!&lt;8),ROW(#REF!)-14),ROWS($1:5))),"")</f>
        <v/>
      </c>
      <c r="J118" s="13"/>
      <c r="K118" s="335" t="str">
        <f t="array" ref="K118">+IFERROR(INDEX(#REF!,SMALL(IF((#REF!&gt;4)*(#REF!&lt;8),ROW(#REF!)-14),ROWS($1:5))),"")</f>
        <v/>
      </c>
      <c r="L118" s="13"/>
      <c r="M118" s="336" t="str">
        <f t="array" ref="M118">+IFERROR(INDEX(#REF!,SMALL(IF((#REF!&gt;4)*(#REF!&lt;8),ROW(#REF!)-14),ROWS($1:5))),"")</f>
        <v/>
      </c>
      <c r="N118" s="13"/>
      <c r="O118" s="337" t="str">
        <f t="array" ref="O118">+IFERROR(INDEX(#REF!,SMALL(IF((#REF!&gt;8)*(#REF!&lt;10),ROW(#REF!)-14),ROWS($1:5))),"")</f>
        <v/>
      </c>
      <c r="P118" s="13"/>
      <c r="Q118" s="338" t="str">
        <f t="array" ref="Q118">+IFERROR(INDEX(#REF!,SMALL(IF((#REF!&gt;8)*(#REF!&lt;10),ROW(#REF!)-14),ROWS($1:5))),"")</f>
        <v/>
      </c>
      <c r="R118" s="13"/>
      <c r="S118" s="339" t="str">
        <f t="array" ref="S118">+IFERROR(INDEX(#REF!,SMALL(IF((#REF!&gt;8)*(#REF!&lt;10),ROW(#REF!)-14),ROWS($1:5))),"")</f>
        <v/>
      </c>
      <c r="V118" s="14" t="s">
        <v>521</v>
      </c>
      <c r="W118" s="340">
        <v>0</v>
      </c>
    </row>
    <row r="119" spans="1:23" s="14" customFormat="1" ht="16.149999999999999" customHeight="1" x14ac:dyDescent="0.25">
      <c r="A119" s="17"/>
      <c r="B119" s="36">
        <v>6</v>
      </c>
      <c r="C119" s="341" t="str">
        <f t="array" ref="C119">+IFERROR(INDEX(#REF!,SMALL(IF((#REF!&gt;0)*(#REF!&lt;4),ROW(#REF!)-14),ROWS($1:6))),"")</f>
        <v/>
      </c>
      <c r="D119" s="13"/>
      <c r="E119" s="342" t="str">
        <f t="array" ref="E119">+IFERROR(INDEX(#REF!,SMALL(IF((#REF!&gt;0)*(#REF!&lt;4),ROW(#REF!)-14),ROWS($1:6))),"")</f>
        <v/>
      </c>
      <c r="F119" s="13"/>
      <c r="G119" s="343" t="str">
        <f t="array" ref="G119">+IFERROR(INDEX(#REF!,SMALL(IF((#REF!&gt;0)*(#REF!&lt;4),ROW(#REF!)-14),ROWS($1:6))),"")</f>
        <v/>
      </c>
      <c r="H119" s="13"/>
      <c r="I119" s="344" t="str">
        <f t="array" ref="I119">+IFERROR(INDEX(#REF!,SMALL(IF((#REF!&gt;4)*(#REF!&lt;8),ROW(#REF!)-14),ROWS($1:6))),"")</f>
        <v/>
      </c>
      <c r="J119" s="13"/>
      <c r="K119" s="345" t="str">
        <f t="array" ref="K119">+IFERROR(INDEX(#REF!,SMALL(IF((#REF!&gt;4)*(#REF!&lt;8),ROW(#REF!)-14),ROWS($1:6))),"")</f>
        <v/>
      </c>
      <c r="L119" s="13"/>
      <c r="M119" s="346" t="str">
        <f t="array" ref="M119">+IFERROR(INDEX(#REF!,SMALL(IF((#REF!&gt;4)*(#REF!&lt;8),ROW(#REF!)-14),ROWS($1:6))),"")</f>
        <v/>
      </c>
      <c r="N119" s="13"/>
      <c r="O119" s="347" t="str">
        <f t="array" ref="O119">+IFERROR(INDEX(#REF!,SMALL(IF((#REF!&gt;8)*(#REF!&lt;10),ROW(#REF!)-14),ROWS($1:6))),"")</f>
        <v/>
      </c>
      <c r="P119" s="13"/>
      <c r="Q119" s="348" t="str">
        <f t="array" ref="Q119">+IFERROR(INDEX(#REF!,SMALL(IF((#REF!&gt;8)*(#REF!&lt;10),ROW(#REF!)-14),ROWS($1:6))),"")</f>
        <v/>
      </c>
      <c r="R119" s="13"/>
      <c r="S119" s="349" t="str">
        <f t="array" ref="S119">+IFERROR(INDEX(#REF!,SMALL(IF((#REF!&gt;8)*(#REF!&lt;10),ROW(#REF!)-14),ROWS($1:6))),"")</f>
        <v/>
      </c>
      <c r="V119" s="14" t="s">
        <v>580</v>
      </c>
      <c r="W119" s="340">
        <v>19090.97</v>
      </c>
    </row>
    <row r="120" spans="1:23" s="14" customFormat="1" ht="16.149999999999999" customHeight="1" x14ac:dyDescent="0.25">
      <c r="A120" s="17"/>
      <c r="B120" s="36">
        <v>7</v>
      </c>
      <c r="C120" s="331" t="str">
        <f t="array" ref="C120">+IFERROR(INDEX(#REF!,SMALL(IF((#REF!&gt;0)*(#REF!&lt;4),ROW(#REF!)-14),ROWS($1:7))),"")</f>
        <v/>
      </c>
      <c r="D120" s="13"/>
      <c r="E120" s="332" t="str">
        <f t="array" ref="E120">+IFERROR(INDEX(#REF!,SMALL(IF((#REF!&gt;0)*(#REF!&lt;4),ROW(#REF!)-14),ROWS($1:7))),"")</f>
        <v/>
      </c>
      <c r="F120" s="13"/>
      <c r="G120" s="333" t="str">
        <f t="array" ref="G120">+IFERROR(INDEX(#REF!,SMALL(IF((#REF!&gt;0)*(#REF!&lt;4),ROW(#REF!)-14),ROWS($1:7))),"")</f>
        <v/>
      </c>
      <c r="H120" s="13"/>
      <c r="I120" s="334" t="str">
        <f t="array" ref="I120">+IFERROR(INDEX(#REF!,SMALL(IF((#REF!&gt;4)*(#REF!&lt;8),ROW(#REF!)-14),ROWS($1:7))),"")</f>
        <v/>
      </c>
      <c r="J120" s="13"/>
      <c r="K120" s="335" t="str">
        <f t="array" ref="K120">+IFERROR(INDEX(#REF!,SMALL(IF((#REF!&gt;4)*(#REF!&lt;8),ROW(#REF!)-14),ROWS($1:7))),"")</f>
        <v/>
      </c>
      <c r="L120" s="13"/>
      <c r="M120" s="336" t="str">
        <f t="array" ref="M120">+IFERROR(INDEX(#REF!,SMALL(IF((#REF!&gt;4)*(#REF!&lt;8),ROW(#REF!)-14),ROWS($1:7))),"")</f>
        <v/>
      </c>
      <c r="N120" s="13"/>
      <c r="O120" s="337" t="str">
        <f t="array" ref="O120">+IFERROR(INDEX(#REF!,SMALL(IF((#REF!&gt;8)*(#REF!&lt;10),ROW(#REF!)-14),ROWS($1:7))),"")</f>
        <v/>
      </c>
      <c r="P120" s="13"/>
      <c r="Q120" s="338" t="str">
        <f t="array" ref="Q120">+IFERROR(INDEX(#REF!,SMALL(IF((#REF!&gt;8)*(#REF!&lt;10),ROW(#REF!)-14),ROWS($1:7))),"")</f>
        <v/>
      </c>
      <c r="R120" s="13"/>
      <c r="S120" s="339" t="str">
        <f t="array" ref="S120">+IFERROR(INDEX(#REF!,SMALL(IF((#REF!&gt;8)*(#REF!&lt;10),ROW(#REF!)-14),ROWS($1:7))),"")</f>
        <v/>
      </c>
      <c r="V120" s="14" t="s">
        <v>548</v>
      </c>
      <c r="W120" s="340">
        <v>17976.66</v>
      </c>
    </row>
    <row r="121" spans="1:23" s="14" customFormat="1" ht="16.149999999999999" customHeight="1" x14ac:dyDescent="0.25">
      <c r="A121" s="17"/>
      <c r="B121" s="36">
        <v>8</v>
      </c>
      <c r="C121" s="341" t="str">
        <f t="array" ref="C121">+IFERROR(INDEX(#REF!,SMALL(IF((#REF!&gt;0)*(#REF!&lt;4),ROW(#REF!)-14),ROWS($1:8))),"")</f>
        <v/>
      </c>
      <c r="D121" s="13"/>
      <c r="E121" s="342" t="str">
        <f t="array" ref="E121">+IFERROR(INDEX(#REF!,SMALL(IF((#REF!&gt;0)*(#REF!&lt;4),ROW(#REF!)-14),ROWS($1:8))),"")</f>
        <v/>
      </c>
      <c r="F121" s="13"/>
      <c r="G121" s="343" t="str">
        <f t="array" ref="G121">+IFERROR(INDEX(#REF!,SMALL(IF((#REF!&gt;0)*(#REF!&lt;4),ROW(#REF!)-14),ROWS($1:8))),"")</f>
        <v/>
      </c>
      <c r="H121" s="13"/>
      <c r="I121" s="344" t="str">
        <f t="array" ref="I121">+IFERROR(INDEX(#REF!,SMALL(IF((#REF!&gt;4)*(#REF!&lt;8),ROW(#REF!)-14),ROWS($1:8))),"")</f>
        <v/>
      </c>
      <c r="J121" s="13"/>
      <c r="K121" s="345" t="str">
        <f t="array" ref="K121">+IFERROR(INDEX(#REF!,SMALL(IF((#REF!&gt;4)*(#REF!&lt;8),ROW(#REF!)-14),ROWS($1:8))),"")</f>
        <v/>
      </c>
      <c r="L121" s="13"/>
      <c r="M121" s="346" t="str">
        <f t="array" ref="M121">+IFERROR(INDEX(#REF!,SMALL(IF((#REF!&gt;4)*(#REF!&lt;8),ROW(#REF!)-14),ROWS($1:8))),"")</f>
        <v/>
      </c>
      <c r="N121" s="13"/>
      <c r="O121" s="347" t="str">
        <f t="array" ref="O121">+IFERROR(INDEX(#REF!,SMALL(IF((#REF!&gt;8)*(#REF!&lt;10),ROW(#REF!)-14),ROWS($1:8))),"")</f>
        <v/>
      </c>
      <c r="P121" s="13"/>
      <c r="Q121" s="348" t="str">
        <f t="array" ref="Q121">+IFERROR(INDEX(#REF!,SMALL(IF((#REF!&gt;8)*(#REF!&lt;10),ROW(#REF!)-14),ROWS($1:8))),"")</f>
        <v/>
      </c>
      <c r="R121" s="13"/>
      <c r="S121" s="349" t="str">
        <f t="array" ref="S121">+IFERROR(INDEX(#REF!,SMALL(IF((#REF!&gt;8)*(#REF!&lt;10),ROW(#REF!)-14),ROWS($1:8))),"")</f>
        <v/>
      </c>
      <c r="V121" s="14" t="s">
        <v>547</v>
      </c>
      <c r="W121" s="340">
        <v>0</v>
      </c>
    </row>
    <row r="122" spans="1:23" s="14" customFormat="1" ht="16.149999999999999" customHeight="1" x14ac:dyDescent="0.25">
      <c r="A122" s="17"/>
      <c r="B122" s="36">
        <v>9</v>
      </c>
      <c r="C122" s="331" t="str">
        <f t="array" ref="C122">+IFERROR(INDEX(#REF!,SMALL(IF((#REF!&gt;0)*(#REF!&lt;4),ROW(#REF!)-14),ROWS($1:9))),"")</f>
        <v/>
      </c>
      <c r="D122" s="13"/>
      <c r="E122" s="332" t="str">
        <f t="array" ref="E122">+IFERROR(INDEX(#REF!,SMALL(IF((#REF!&gt;0)*(#REF!&lt;4),ROW(#REF!)-14),ROWS($1:9))),"")</f>
        <v/>
      </c>
      <c r="F122" s="13"/>
      <c r="G122" s="333" t="str">
        <f t="array" ref="G122">+IFERROR(INDEX(#REF!,SMALL(IF((#REF!&gt;0)*(#REF!&lt;4),ROW(#REF!)-14),ROWS($1:9))),"")</f>
        <v/>
      </c>
      <c r="H122" s="13"/>
      <c r="I122" s="334" t="str">
        <f t="array" ref="I122">+IFERROR(INDEX(#REF!,SMALL(IF((#REF!&gt;4)*(#REF!&lt;8),ROW(#REF!)-14),ROWS($1:9))),"")</f>
        <v/>
      </c>
      <c r="J122" s="13"/>
      <c r="K122" s="335" t="str">
        <f t="array" ref="K122">+IFERROR(INDEX(#REF!,SMALL(IF((#REF!&gt;4)*(#REF!&lt;8),ROW(#REF!)-14),ROWS($1:9))),"")</f>
        <v/>
      </c>
      <c r="L122" s="13"/>
      <c r="M122" s="336" t="str">
        <f t="array" ref="M122">+IFERROR(INDEX(#REF!,SMALL(IF((#REF!&gt;4)*(#REF!&lt;8),ROW(#REF!)-14),ROWS($1:9))),"")</f>
        <v/>
      </c>
      <c r="N122" s="13"/>
      <c r="O122" s="337" t="str">
        <f t="array" ref="O122">+IFERROR(INDEX(#REF!,SMALL(IF((#REF!&gt;8)*(#REF!&lt;10),ROW(#REF!)-14),ROWS($1:9))),"")</f>
        <v/>
      </c>
      <c r="P122" s="13"/>
      <c r="Q122" s="338" t="str">
        <f t="array" ref="Q122">+IFERROR(INDEX(#REF!,SMALL(IF((#REF!&gt;8)*(#REF!&lt;10),ROW(#REF!)-14),ROWS($1:9))),"")</f>
        <v/>
      </c>
      <c r="R122" s="13"/>
      <c r="S122" s="339" t="str">
        <f t="array" ref="S122">+IFERROR(INDEX(#REF!,SMALL(IF((#REF!&gt;8)*(#REF!&lt;10),ROW(#REF!)-14),ROWS($1:9))),"")</f>
        <v/>
      </c>
    </row>
    <row r="123" spans="1:23" s="14" customFormat="1" ht="16.149999999999999" customHeight="1" x14ac:dyDescent="0.25">
      <c r="A123" s="17"/>
      <c r="B123" s="36">
        <v>10</v>
      </c>
      <c r="C123" s="341" t="str">
        <f t="array" ref="C123">+IFERROR(INDEX(#REF!,SMALL(IF((#REF!&gt;0)*(#REF!&lt;4),ROW(#REF!)-14),ROWS($1:10))),"")</f>
        <v/>
      </c>
      <c r="D123" s="13"/>
      <c r="E123" s="342" t="str">
        <f t="array" ref="E123">+IFERROR(INDEX(#REF!,SMALL(IF((#REF!&gt;0)*(#REF!&lt;4),ROW(#REF!)-14),ROWS($1:10))),"")</f>
        <v/>
      </c>
      <c r="F123" s="13"/>
      <c r="G123" s="343" t="str">
        <f t="array" ref="G123">+IFERROR(INDEX(#REF!,SMALL(IF((#REF!&gt;0)*(#REF!&lt;4),ROW(#REF!)-14),ROWS($1:10))),"")</f>
        <v/>
      </c>
      <c r="H123" s="13"/>
      <c r="I123" s="344" t="str">
        <f t="array" ref="I123">+IFERROR(INDEX(#REF!,SMALL(IF((#REF!&gt;4)*(#REF!&lt;8),ROW(#REF!)-14),ROWS($1:10))),"")</f>
        <v/>
      </c>
      <c r="J123" s="13"/>
      <c r="K123" s="345" t="str">
        <f t="array" ref="K123">+IFERROR(INDEX(#REF!,SMALL(IF((#REF!&gt;4)*(#REF!&lt;8),ROW(#REF!)-14),ROWS($1:10))),"")</f>
        <v/>
      </c>
      <c r="L123" s="13"/>
      <c r="M123" s="346" t="str">
        <f t="array" ref="M123">+IFERROR(INDEX(#REF!,SMALL(IF((#REF!&gt;4)*(#REF!&lt;8),ROW(#REF!)-14),ROWS($1:10))),"")</f>
        <v/>
      </c>
      <c r="N123" s="13"/>
      <c r="O123" s="347" t="str">
        <f t="array" ref="O123">+IFERROR(INDEX(#REF!,SMALL(IF((#REF!&gt;8)*(#REF!&lt;10),ROW(#REF!)-14),ROWS($1:10))),"")</f>
        <v/>
      </c>
      <c r="P123" s="13"/>
      <c r="Q123" s="348" t="str">
        <f t="array" ref="Q123">+IFERROR(INDEX(#REF!,SMALL(IF((#REF!&gt;8)*(#REF!&lt;10),ROW(#REF!)-14),ROWS($1:10))),"")</f>
        <v/>
      </c>
      <c r="R123" s="13"/>
      <c r="S123" s="349" t="str">
        <f t="array" ref="S123">+IFERROR(INDEX(#REF!,SMALL(IF((#REF!&gt;8)*(#REF!&lt;10),ROW(#REF!)-14),ROWS($1:10))),"")</f>
        <v/>
      </c>
    </row>
    <row r="124" spans="1:23" s="14" customFormat="1" ht="16.149999999999999" customHeight="1" x14ac:dyDescent="0.25">
      <c r="A124" s="17"/>
      <c r="B124" s="36">
        <v>11</v>
      </c>
      <c r="C124" s="331" t="str">
        <f t="array" ref="C124">+IFERROR(INDEX(#REF!,SMALL(IF((#REF!&gt;0)*(#REF!&lt;4),ROW(#REF!)-14),ROWS($1:11))),"")</f>
        <v/>
      </c>
      <c r="D124" s="13"/>
      <c r="E124" s="332" t="str">
        <f t="array" ref="E124">+IFERROR(INDEX(#REF!,SMALL(IF((#REF!&gt;0)*(#REF!&lt;4),ROW(#REF!)-14),ROWS($1:11))),"")</f>
        <v/>
      </c>
      <c r="F124" s="13"/>
      <c r="G124" s="333" t="str">
        <f t="array" ref="G124">+IFERROR(INDEX(#REF!,SMALL(IF((#REF!&gt;0)*(#REF!&lt;4),ROW(#REF!)-14),ROWS($1:11))),"")</f>
        <v/>
      </c>
      <c r="H124" s="13"/>
      <c r="I124" s="334" t="str">
        <f t="array" ref="I124">+IFERROR(INDEX(#REF!,SMALL(IF((#REF!&gt;4)*(#REF!&lt;8),ROW(#REF!)-14),ROWS($1:11))),"")</f>
        <v/>
      </c>
      <c r="J124" s="13"/>
      <c r="K124" s="335" t="str">
        <f t="array" ref="K124">+IFERROR(INDEX(#REF!,SMALL(IF((#REF!&gt;4)*(#REF!&lt;8),ROW(#REF!)-14),ROWS($1:11))),"")</f>
        <v/>
      </c>
      <c r="L124" s="13"/>
      <c r="M124" s="336" t="str">
        <f t="array" ref="M124">+IFERROR(INDEX(#REF!,SMALL(IF((#REF!&gt;4)*(#REF!&lt;8),ROW(#REF!)-14),ROWS($1:11))),"")</f>
        <v/>
      </c>
      <c r="N124" s="13"/>
      <c r="O124" s="337" t="str">
        <f t="array" ref="O124">+IFERROR(INDEX(#REF!,SMALL(IF((#REF!&gt;8)*(#REF!&lt;10),ROW(#REF!)-14),ROWS($1:11))),"")</f>
        <v/>
      </c>
      <c r="P124" s="13"/>
      <c r="Q124" s="338" t="str">
        <f t="array" ref="Q124">+IFERROR(INDEX(#REF!,SMALL(IF((#REF!&gt;8)*(#REF!&lt;10),ROW(#REF!)-14),ROWS($1:11))),"")</f>
        <v/>
      </c>
      <c r="R124" s="13"/>
      <c r="S124" s="339" t="str">
        <f t="array" ref="S124">+IFERROR(INDEX(#REF!,SMALL(IF((#REF!&gt;8)*(#REF!&lt;10),ROW(#REF!)-14),ROWS($1:11))),"")</f>
        <v/>
      </c>
    </row>
    <row r="125" spans="1:23" s="14" customFormat="1" ht="16.149999999999999" customHeight="1" x14ac:dyDescent="0.25">
      <c r="A125" s="17"/>
      <c r="B125" s="36">
        <v>12</v>
      </c>
      <c r="C125" s="341" t="str">
        <f t="array" ref="C125">+IFERROR(INDEX(#REF!,SMALL(IF((#REF!&gt;0)*(#REF!&lt;4),ROW(#REF!)-14),ROWS($1:12))),"")</f>
        <v/>
      </c>
      <c r="D125" s="13"/>
      <c r="E125" s="342" t="str">
        <f t="array" ref="E125">+IFERROR(INDEX(#REF!,SMALL(IF((#REF!&gt;0)*(#REF!&lt;4),ROW(#REF!)-14),ROWS($1:12))),"")</f>
        <v/>
      </c>
      <c r="F125" s="13"/>
      <c r="G125" s="343" t="str">
        <f t="array" ref="G125">+IFERROR(INDEX(#REF!,SMALL(IF((#REF!&gt;0)*(#REF!&lt;4),ROW(#REF!)-14),ROWS($1:12))),"")</f>
        <v/>
      </c>
      <c r="H125" s="13"/>
      <c r="I125" s="344" t="str">
        <f t="array" ref="I125">+IFERROR(INDEX(#REF!,SMALL(IF((#REF!&gt;4)*(#REF!&lt;8),ROW(#REF!)-14),ROWS($1:12))),"")</f>
        <v/>
      </c>
      <c r="J125" s="13"/>
      <c r="K125" s="345" t="str">
        <f t="array" ref="K125">+IFERROR(INDEX(#REF!,SMALL(IF((#REF!&gt;4)*(#REF!&lt;8),ROW(#REF!)-14),ROWS($1:12))),"")</f>
        <v/>
      </c>
      <c r="L125" s="13"/>
      <c r="M125" s="346" t="str">
        <f t="array" ref="M125">+IFERROR(INDEX(#REF!,SMALL(IF((#REF!&gt;4)*(#REF!&lt;8),ROW(#REF!)-14),ROWS($1:12))),"")</f>
        <v/>
      </c>
      <c r="N125" s="13"/>
      <c r="O125" s="347" t="str">
        <f t="array" ref="O125">+IFERROR(INDEX(#REF!,SMALL(IF((#REF!&gt;8)*(#REF!&lt;10),ROW(#REF!)-14),ROWS($1:12))),"")</f>
        <v/>
      </c>
      <c r="P125" s="13"/>
      <c r="Q125" s="348" t="str">
        <f t="array" ref="Q125">+IFERROR(INDEX(#REF!,SMALL(IF((#REF!&gt;8)*(#REF!&lt;10),ROW(#REF!)-14),ROWS($1:12))),"")</f>
        <v/>
      </c>
      <c r="R125" s="13"/>
      <c r="S125" s="349" t="str">
        <f t="array" ref="S125">+IFERROR(INDEX(#REF!,SMALL(IF((#REF!&gt;8)*(#REF!&lt;10),ROW(#REF!)-14),ROWS($1:12))),"")</f>
        <v/>
      </c>
    </row>
    <row r="126" spans="1:23" ht="15" x14ac:dyDescent="0.25">
      <c r="A126" s="17"/>
      <c r="B126" s="36">
        <v>13</v>
      </c>
      <c r="C126" s="331" t="str">
        <f t="array" ref="C126">+IFERROR(INDEX(#REF!,SMALL(IF((#REF!&gt;0)*(#REF!&lt;4),ROW(#REF!)-14),ROWS($1:13))),"")</f>
        <v/>
      </c>
      <c r="D126" s="13"/>
      <c r="E126" s="332" t="str">
        <f t="array" ref="E126">+IFERROR(INDEX(#REF!,SMALL(IF((#REF!&gt;0)*(#REF!&lt;4),ROW(#REF!)-14),ROWS($1:13))),"")</f>
        <v/>
      </c>
      <c r="F126" s="13"/>
      <c r="G126" s="333" t="str">
        <f t="array" ref="G126">+IFERROR(INDEX(#REF!,SMALL(IF((#REF!&gt;0)*(#REF!&lt;4),ROW(#REF!)-14),ROWS($1:13))),"")</f>
        <v/>
      </c>
      <c r="H126" s="13"/>
      <c r="I126" s="334" t="str">
        <f t="array" ref="I126">+IFERROR(INDEX(#REF!,SMALL(IF((#REF!&gt;4)*(#REF!&lt;8),ROW(#REF!)-14),ROWS($1:13))),"")</f>
        <v/>
      </c>
      <c r="J126" s="13"/>
      <c r="K126" s="335" t="str">
        <f t="array" ref="K126">+IFERROR(INDEX(#REF!,SMALL(IF((#REF!&gt;4)*(#REF!&lt;8),ROW(#REF!)-14),ROWS($1:13))),"")</f>
        <v/>
      </c>
      <c r="L126" s="13"/>
      <c r="M126" s="336" t="str">
        <f t="array" ref="M126">+IFERROR(INDEX(#REF!,SMALL(IF((#REF!&gt;4)*(#REF!&lt;8),ROW(#REF!)-14),ROWS($1:13))),"")</f>
        <v/>
      </c>
      <c r="N126" s="13"/>
      <c r="O126" s="337" t="str">
        <f t="array" ref="O126">+IFERROR(INDEX(#REF!,SMALL(IF((#REF!&gt;8)*(#REF!&lt;10),ROW(#REF!)-14),ROWS($1:13))),"")</f>
        <v/>
      </c>
      <c r="P126" s="13"/>
      <c r="Q126" s="338" t="str">
        <f t="array" ref="Q126">+IFERROR(INDEX(#REF!,SMALL(IF((#REF!&gt;8)*(#REF!&lt;10),ROW(#REF!)-14),ROWS($1:13))),"")</f>
        <v/>
      </c>
      <c r="R126" s="13"/>
      <c r="S126" s="339" t="str">
        <f t="array" ref="S126">+IFERROR(INDEX(#REF!,SMALL(IF((#REF!&gt;8)*(#REF!&lt;10),ROW(#REF!)-14),ROWS($1:13))),"")</f>
        <v/>
      </c>
    </row>
    <row r="127" spans="1:23" ht="15" x14ac:dyDescent="0.25">
      <c r="A127" s="17"/>
      <c r="B127" s="36">
        <v>14</v>
      </c>
      <c r="C127" s="341" t="str">
        <f t="array" ref="C127">+IFERROR(INDEX(#REF!,SMALL(IF((#REF!&gt;0)*(#REF!&lt;4),ROW(#REF!)-14),ROWS($1:14))),"")</f>
        <v/>
      </c>
      <c r="D127" s="13"/>
      <c r="E127" s="342" t="str">
        <f t="array" ref="E127">+IFERROR(INDEX(#REF!,SMALL(IF((#REF!&gt;0)*(#REF!&lt;4),ROW(#REF!)-14),ROWS($1:14))),"")</f>
        <v/>
      </c>
      <c r="F127" s="13"/>
      <c r="G127" s="343" t="str">
        <f t="array" ref="G127">+IFERROR(INDEX(#REF!,SMALL(IF((#REF!&gt;0)*(#REF!&lt;4),ROW(#REF!)-14),ROWS($1:14))),"")</f>
        <v/>
      </c>
      <c r="H127" s="13"/>
      <c r="I127" s="344" t="str">
        <f t="array" ref="I127">+IFERROR(INDEX(#REF!,SMALL(IF((#REF!&gt;4)*(#REF!&lt;8),ROW(#REF!)-14),ROWS($1:14))),"")</f>
        <v/>
      </c>
      <c r="J127" s="13"/>
      <c r="K127" s="345" t="str">
        <f t="array" ref="K127">+IFERROR(INDEX(#REF!,SMALL(IF((#REF!&gt;4)*(#REF!&lt;8),ROW(#REF!)-14),ROWS($1:14))),"")</f>
        <v/>
      </c>
      <c r="L127" s="13"/>
      <c r="M127" s="346" t="str">
        <f t="array" ref="M127">+IFERROR(INDEX(#REF!,SMALL(IF((#REF!&gt;4)*(#REF!&lt;8),ROW(#REF!)-14),ROWS($1:14))),"")</f>
        <v/>
      </c>
      <c r="N127" s="13"/>
      <c r="O127" s="347" t="str">
        <f t="array" ref="O127">+IFERROR(INDEX(#REF!,SMALL(IF((#REF!&gt;8)*(#REF!&lt;10),ROW(#REF!)-14),ROWS($1:14))),"")</f>
        <v/>
      </c>
      <c r="P127" s="13"/>
      <c r="Q127" s="348" t="str">
        <f t="array" ref="Q127">+IFERROR(INDEX(#REF!,SMALL(IF((#REF!&gt;8)*(#REF!&lt;10),ROW(#REF!)-14),ROWS($1:14))),"")</f>
        <v/>
      </c>
      <c r="R127" s="13"/>
      <c r="S127" s="349" t="str">
        <f t="array" ref="S127">+IFERROR(INDEX(#REF!,SMALL(IF((#REF!&gt;8)*(#REF!&lt;10),ROW(#REF!)-14),ROWS($1:14))),"")</f>
        <v/>
      </c>
    </row>
    <row r="128" spans="1:23" ht="15" x14ac:dyDescent="0.25">
      <c r="A128" s="17"/>
      <c r="B128" s="36">
        <v>15</v>
      </c>
      <c r="C128" s="331" t="str">
        <f t="array" ref="C128">+IFERROR(INDEX(#REF!,SMALL(IF((#REF!&gt;0)*(#REF!&lt;4),ROW(#REF!)-14),ROWS($1:15))),"")</f>
        <v/>
      </c>
      <c r="D128" s="13"/>
      <c r="E128" s="332" t="str">
        <f t="array" ref="E128">+IFERROR(INDEX(#REF!,SMALL(IF((#REF!&gt;0)*(#REF!&lt;4),ROW(#REF!)-14),ROWS($1:15))),"")</f>
        <v/>
      </c>
      <c r="F128" s="13"/>
      <c r="G128" s="333" t="str">
        <f t="array" ref="G128">+IFERROR(INDEX(#REF!,SMALL(IF((#REF!&gt;0)*(#REF!&lt;4),ROW(#REF!)-14),ROWS($1:15))),"")</f>
        <v/>
      </c>
      <c r="H128" s="13"/>
      <c r="I128" s="334" t="str">
        <f t="array" ref="I128">+IFERROR(INDEX(#REF!,SMALL(IF((#REF!&gt;4)*(#REF!&lt;8),ROW(#REF!)-14),ROWS($1:15))),"")</f>
        <v/>
      </c>
      <c r="J128" s="13"/>
      <c r="K128" s="335" t="str">
        <f t="array" ref="K128">+IFERROR(INDEX(#REF!,SMALL(IF((#REF!&gt;4)*(#REF!&lt;8),ROW(#REF!)-14),ROWS($1:15))),"")</f>
        <v/>
      </c>
      <c r="L128" s="13"/>
      <c r="M128" s="336" t="str">
        <f t="array" ref="M128">+IFERROR(INDEX(#REF!,SMALL(IF((#REF!&gt;4)*(#REF!&lt;8),ROW(#REF!)-14),ROWS($1:15))),"")</f>
        <v/>
      </c>
      <c r="N128" s="13"/>
      <c r="O128" s="337" t="str">
        <f t="array" ref="O128">+IFERROR(INDEX(#REF!,SMALL(IF((#REF!&gt;8)*(#REF!&lt;10),ROW(#REF!)-14),ROWS($1:15))),"")</f>
        <v/>
      </c>
      <c r="P128" s="13"/>
      <c r="Q128" s="338" t="str">
        <f t="array" ref="Q128">+IFERROR(INDEX(#REF!,SMALL(IF((#REF!&gt;8)*(#REF!&lt;10),ROW(#REF!)-14),ROWS($1:15))),"")</f>
        <v/>
      </c>
      <c r="R128" s="13"/>
      <c r="S128" s="339" t="str">
        <f t="array" ref="S128">+IFERROR(INDEX(#REF!,SMALL(IF((#REF!&gt;8)*(#REF!&lt;10),ROW(#REF!)-14),ROWS($1:15))),"")</f>
        <v/>
      </c>
    </row>
    <row r="129" spans="1:19" ht="15" x14ac:dyDescent="0.25">
      <c r="B129" s="36">
        <v>16</v>
      </c>
      <c r="C129" s="341" t="str">
        <f t="array" ref="C129">+IFERROR(INDEX(#REF!,SMALL(IF((#REF!&gt;0)*(#REF!&lt;4),ROW(#REF!)-14),ROWS($1:16))),"")</f>
        <v/>
      </c>
      <c r="D129" s="13"/>
      <c r="E129" s="342" t="str">
        <f t="array" ref="E129">+IFERROR(INDEX(#REF!,SMALL(IF((#REF!&gt;0)*(#REF!&lt;4),ROW(#REF!)-14),ROWS($1:16))),"")</f>
        <v/>
      </c>
      <c r="F129" s="13"/>
      <c r="G129" s="343" t="str">
        <f t="array" ref="G129">+IFERROR(INDEX(#REF!,SMALL(IF((#REF!&gt;0)*(#REF!&lt;4),ROW(#REF!)-14),ROWS($1:16))),"")</f>
        <v/>
      </c>
      <c r="H129" s="13"/>
      <c r="I129" s="344" t="str">
        <f t="array" ref="I129">+IFERROR(INDEX(#REF!,SMALL(IF((#REF!&gt;4)*(#REF!&lt;8),ROW(#REF!)-14),ROWS($1:16))),"")</f>
        <v/>
      </c>
      <c r="J129" s="13"/>
      <c r="K129" s="345" t="str">
        <f t="array" ref="K129">+IFERROR(INDEX(#REF!,SMALL(IF((#REF!&gt;4)*(#REF!&lt;8),ROW(#REF!)-14),ROWS($1:16))),"")</f>
        <v/>
      </c>
      <c r="L129" s="13"/>
      <c r="M129" s="346" t="str">
        <f t="array" ref="M129">+IFERROR(INDEX(#REF!,SMALL(IF((#REF!&gt;4)*(#REF!&lt;8),ROW(#REF!)-14),ROWS($1:16))),"")</f>
        <v/>
      </c>
      <c r="N129" s="13"/>
      <c r="O129" s="347" t="str">
        <f t="array" ref="O129">+IFERROR(INDEX(#REF!,SMALL(IF((#REF!&gt;8)*(#REF!&lt;10),ROW(#REF!)-14),ROWS($1:16))),"")</f>
        <v/>
      </c>
      <c r="P129" s="13"/>
      <c r="Q129" s="348" t="str">
        <f t="array" ref="Q129">+IFERROR(INDEX(#REF!,SMALL(IF((#REF!&gt;8)*(#REF!&lt;10),ROW(#REF!)-14),ROWS($1:16))),"")</f>
        <v/>
      </c>
      <c r="R129" s="13"/>
      <c r="S129" s="349" t="str">
        <f t="array" ref="S129">+IFERROR(INDEX(#REF!,SMALL(IF((#REF!&gt;8)*(#REF!&lt;10),ROW(#REF!)-14),ROWS($1:16))),"")</f>
        <v/>
      </c>
    </row>
    <row r="130" spans="1:19" ht="15" x14ac:dyDescent="0.25">
      <c r="A130" s="17"/>
      <c r="B130" s="36">
        <v>17</v>
      </c>
      <c r="C130" s="331" t="str">
        <f t="array" ref="C130">+IFERROR(INDEX(#REF!,SMALL(IF((#REF!&gt;0)*(#REF!&lt;4),ROW(#REF!)-14),ROWS($1:17))),"")</f>
        <v/>
      </c>
      <c r="D130" s="13"/>
      <c r="E130" s="332" t="str">
        <f t="array" ref="E130">+IFERROR(INDEX(#REF!,SMALL(IF((#REF!&gt;0)*(#REF!&lt;4),ROW(#REF!)-14),ROWS($1:17))),"")</f>
        <v/>
      </c>
      <c r="F130" s="13"/>
      <c r="G130" s="333" t="str">
        <f t="array" ref="G130">+IFERROR(INDEX(#REF!,SMALL(IF((#REF!&gt;0)*(#REF!&lt;4),ROW(#REF!)-14),ROWS($1:17))),"")</f>
        <v/>
      </c>
      <c r="H130" s="13"/>
      <c r="I130" s="334" t="str">
        <f t="array" ref="I130">+IFERROR(INDEX(#REF!,SMALL(IF((#REF!&gt;4)*(#REF!&lt;8),ROW(#REF!)-14),ROWS($1:17))),"")</f>
        <v/>
      </c>
      <c r="J130" s="13"/>
      <c r="K130" s="335" t="str">
        <f t="array" ref="K130">+IFERROR(INDEX(#REF!,SMALL(IF((#REF!&gt;4)*(#REF!&lt;8),ROW(#REF!)-14),ROWS($1:17))),"")</f>
        <v/>
      </c>
      <c r="L130" s="13"/>
      <c r="M130" s="336" t="str">
        <f t="array" ref="M130">+IFERROR(INDEX(#REF!,SMALL(IF((#REF!&gt;4)*(#REF!&lt;8),ROW(#REF!)-14),ROWS($1:17))),"")</f>
        <v/>
      </c>
      <c r="N130" s="13"/>
      <c r="O130" s="337" t="str">
        <f t="array" ref="O130">+IFERROR(INDEX(#REF!,SMALL(IF((#REF!&gt;8)*(#REF!&lt;10),ROW(#REF!)-14),ROWS($1:17))),"")</f>
        <v/>
      </c>
      <c r="P130" s="13"/>
      <c r="Q130" s="338" t="str">
        <f t="array" ref="Q130">+IFERROR(INDEX(#REF!,SMALL(IF((#REF!&gt;8)*(#REF!&lt;10),ROW(#REF!)-14),ROWS($1:17))),"")</f>
        <v/>
      </c>
      <c r="R130" s="13"/>
      <c r="S130" s="339" t="str">
        <f t="array" ref="S130">+IFERROR(INDEX(#REF!,SMALL(IF((#REF!&gt;8)*(#REF!&lt;10),ROW(#REF!)-14),ROWS($1:17))),"")</f>
        <v/>
      </c>
    </row>
    <row r="131" spans="1:19" ht="15" x14ac:dyDescent="0.25">
      <c r="A131" s="17"/>
      <c r="B131" s="36">
        <v>18</v>
      </c>
      <c r="C131" s="341" t="str">
        <f t="array" ref="C131">+IFERROR(INDEX(#REF!,SMALL(IF((#REF!&gt;0)*(#REF!&lt;4),ROW(#REF!)-14),ROWS($1:18))),"")</f>
        <v/>
      </c>
      <c r="D131" s="13"/>
      <c r="E131" s="342" t="str">
        <f t="array" ref="E131">+IFERROR(INDEX(#REF!,SMALL(IF((#REF!&gt;0)*(#REF!&lt;4),ROW(#REF!)-14),ROWS($1:18))),"")</f>
        <v/>
      </c>
      <c r="F131" s="13"/>
      <c r="G131" s="343" t="str">
        <f t="array" ref="G131">+IFERROR(INDEX(#REF!,SMALL(IF((#REF!&gt;0)*(#REF!&lt;4),ROW(#REF!)-14),ROWS($1:18))),"")</f>
        <v/>
      </c>
      <c r="H131" s="13"/>
      <c r="I131" s="344" t="str">
        <f t="array" ref="I131">+IFERROR(INDEX(#REF!,SMALL(IF((#REF!&gt;4)*(#REF!&lt;8),ROW(#REF!)-14),ROWS($1:18))),"")</f>
        <v/>
      </c>
      <c r="J131" s="13"/>
      <c r="K131" s="345" t="str">
        <f t="array" ref="K131">+IFERROR(INDEX(#REF!,SMALL(IF((#REF!&gt;4)*(#REF!&lt;8),ROW(#REF!)-14),ROWS($1:18))),"")</f>
        <v/>
      </c>
      <c r="L131" s="13"/>
      <c r="M131" s="346" t="str">
        <f t="array" ref="M131">+IFERROR(INDEX(#REF!,SMALL(IF((#REF!&gt;4)*(#REF!&lt;8),ROW(#REF!)-14),ROWS($1:18))),"")</f>
        <v/>
      </c>
      <c r="N131" s="13"/>
      <c r="O131" s="347" t="str">
        <f t="array" ref="O131">+IFERROR(INDEX(#REF!,SMALL(IF((#REF!&gt;8)*(#REF!&lt;10),ROW(#REF!)-14),ROWS($1:18))),"")</f>
        <v/>
      </c>
      <c r="P131" s="13"/>
      <c r="Q131" s="348" t="str">
        <f t="array" ref="Q131">+IFERROR(INDEX(#REF!,SMALL(IF((#REF!&gt;8)*(#REF!&lt;10),ROW(#REF!)-14),ROWS($1:18))),"")</f>
        <v/>
      </c>
      <c r="R131" s="13"/>
      <c r="S131" s="349" t="str">
        <f t="array" ref="S131">+IFERROR(INDEX(#REF!,SMALL(IF((#REF!&gt;8)*(#REF!&lt;10),ROW(#REF!)-14),ROWS($1:18))),"")</f>
        <v/>
      </c>
    </row>
    <row r="132" spans="1:19" ht="15" x14ac:dyDescent="0.25">
      <c r="A132" s="17"/>
      <c r="B132" s="36">
        <v>19</v>
      </c>
      <c r="C132" s="331" t="str">
        <f t="array" ref="C132">+IFERROR(INDEX(#REF!,SMALL(IF((#REF!&gt;0)*(#REF!&lt;4),ROW(#REF!)-14),ROWS($1:19))),"")</f>
        <v/>
      </c>
      <c r="D132" s="13"/>
      <c r="E132" s="332" t="str">
        <f t="array" ref="E132">+IFERROR(INDEX(#REF!,SMALL(IF((#REF!&gt;0)*(#REF!&lt;4),ROW(#REF!)-14),ROWS($1:19))),"")</f>
        <v/>
      </c>
      <c r="F132" s="13"/>
      <c r="G132" s="333" t="str">
        <f t="array" ref="G132">+IFERROR(INDEX(#REF!,SMALL(IF((#REF!&gt;0)*(#REF!&lt;4),ROW(#REF!)-14),ROWS($1:19))),"")</f>
        <v/>
      </c>
      <c r="H132" s="13"/>
      <c r="I132" s="334" t="str">
        <f t="array" ref="I132">+IFERROR(INDEX(#REF!,SMALL(IF((#REF!&gt;4)*(#REF!&lt;8),ROW(#REF!)-14),ROWS($1:19))),"")</f>
        <v/>
      </c>
      <c r="J132" s="13"/>
      <c r="K132" s="335" t="str">
        <f t="array" ref="K132">+IFERROR(INDEX(#REF!,SMALL(IF((#REF!&gt;4)*(#REF!&lt;8),ROW(#REF!)-14),ROWS($1:19))),"")</f>
        <v/>
      </c>
      <c r="L132" s="13"/>
      <c r="M132" s="336" t="str">
        <f t="array" ref="M132">+IFERROR(INDEX(#REF!,SMALL(IF((#REF!&gt;4)*(#REF!&lt;8),ROW(#REF!)-14),ROWS($1:19))),"")</f>
        <v/>
      </c>
      <c r="N132" s="13"/>
      <c r="O132" s="337" t="str">
        <f t="array" ref="O132">+IFERROR(INDEX(#REF!,SMALL(IF((#REF!&gt;8)*(#REF!&lt;10),ROW(#REF!)-14),ROWS($1:19))),"")</f>
        <v/>
      </c>
      <c r="P132" s="13"/>
      <c r="Q132" s="338" t="str">
        <f t="array" ref="Q132">+IFERROR(INDEX(#REF!,SMALL(IF((#REF!&gt;8)*(#REF!&lt;10),ROW(#REF!)-14),ROWS($1:19))),"")</f>
        <v/>
      </c>
      <c r="R132" s="13"/>
      <c r="S132" s="339" t="str">
        <f t="array" ref="S132">+IFERROR(INDEX(#REF!,SMALL(IF((#REF!&gt;8)*(#REF!&lt;10),ROW(#REF!)-14),ROWS($1:19))),"")</f>
        <v/>
      </c>
    </row>
    <row r="133" spans="1:19" ht="15" x14ac:dyDescent="0.25">
      <c r="A133" s="17"/>
      <c r="B133" s="36">
        <v>20</v>
      </c>
      <c r="C133" s="341" t="str">
        <f t="array" ref="C133">+IFERROR(INDEX(#REF!,SMALL(IF((#REF!&gt;0)*(#REF!&lt;4),ROW(#REF!)-14),ROWS($1:20))),"")</f>
        <v/>
      </c>
      <c r="D133" s="13"/>
      <c r="E133" s="342" t="str">
        <f t="array" ref="E133">+IFERROR(INDEX(#REF!,SMALL(IF((#REF!&gt;0)*(#REF!&lt;4),ROW(#REF!)-14),ROWS($1:20))),"")</f>
        <v/>
      </c>
      <c r="F133" s="13"/>
      <c r="G133" s="343" t="str">
        <f t="array" ref="G133">+IFERROR(INDEX(#REF!,SMALL(IF((#REF!&gt;0)*(#REF!&lt;4),ROW(#REF!)-14),ROWS($1:20))),"")</f>
        <v/>
      </c>
      <c r="H133" s="13"/>
      <c r="I133" s="344" t="str">
        <f t="array" ref="I133">+IFERROR(INDEX(#REF!,SMALL(IF((#REF!&gt;4)*(#REF!&lt;8),ROW(#REF!)-14),ROWS($1:20))),"")</f>
        <v/>
      </c>
      <c r="J133" s="13"/>
      <c r="K133" s="345" t="str">
        <f t="array" ref="K133">+IFERROR(INDEX(#REF!,SMALL(IF((#REF!&gt;4)*(#REF!&lt;8),ROW(#REF!)-14),ROWS($1:20))),"")</f>
        <v/>
      </c>
      <c r="L133" s="13"/>
      <c r="M133" s="346" t="str">
        <f t="array" ref="M133">+IFERROR(INDEX(#REF!,SMALL(IF((#REF!&gt;4)*(#REF!&lt;8),ROW(#REF!)-14),ROWS($1:20))),"")</f>
        <v/>
      </c>
      <c r="N133" s="13"/>
      <c r="O133" s="347" t="str">
        <f t="array" ref="O133">+IFERROR(INDEX(#REF!,SMALL(IF((#REF!&gt;8)*(#REF!&lt;10),ROW(#REF!)-14),ROWS($1:20))),"")</f>
        <v/>
      </c>
      <c r="P133" s="13"/>
      <c r="Q133" s="348" t="str">
        <f t="array" ref="Q133">+IFERROR(INDEX(#REF!,SMALL(IF((#REF!&gt;8)*(#REF!&lt;10),ROW(#REF!)-14),ROWS($1:20))),"")</f>
        <v/>
      </c>
      <c r="R133" s="13"/>
      <c r="S133" s="349" t="str">
        <f t="array" ref="S133">+IFERROR(INDEX(#REF!,SMALL(IF((#REF!&gt;8)*(#REF!&lt;10),ROW(#REF!)-14),ROWS($1:20))),"")</f>
        <v/>
      </c>
    </row>
    <row r="134" spans="1:19" ht="15" x14ac:dyDescent="0.25">
      <c r="A134" s="17"/>
      <c r="B134" s="36">
        <v>21</v>
      </c>
      <c r="C134" s="331" t="str">
        <f t="array" ref="C134">+IFERROR(INDEX(#REF!,SMALL(IF((#REF!&gt;0)*(#REF!&lt;4),ROW(#REF!)-14),ROWS($1:21))),"")</f>
        <v/>
      </c>
      <c r="D134" s="13"/>
      <c r="E134" s="332" t="str">
        <f t="array" ref="E134">+IFERROR(INDEX(#REF!,SMALL(IF((#REF!&gt;0)*(#REF!&lt;4),ROW(#REF!)-14),ROWS($1:21))),"")</f>
        <v/>
      </c>
      <c r="F134" s="13"/>
      <c r="G134" s="333" t="str">
        <f t="array" ref="G134">+IFERROR(INDEX(#REF!,SMALL(IF((#REF!&gt;0)*(#REF!&lt;4),ROW(#REF!)-14),ROWS($1:21))),"")</f>
        <v/>
      </c>
      <c r="H134" s="13"/>
      <c r="I134" s="334" t="str">
        <f t="array" ref="I134">+IFERROR(INDEX(#REF!,SMALL(IF((#REF!&gt;4)*(#REF!&lt;8),ROW(#REF!)-14),ROWS($1:21))),"")</f>
        <v/>
      </c>
      <c r="J134" s="13"/>
      <c r="K134" s="335" t="str">
        <f t="array" ref="K134">+IFERROR(INDEX(#REF!,SMALL(IF((#REF!&gt;4)*(#REF!&lt;8),ROW(#REF!)-14),ROWS($1:21))),"")</f>
        <v/>
      </c>
      <c r="L134" s="13"/>
      <c r="M134" s="336" t="str">
        <f t="array" ref="M134">+IFERROR(INDEX(#REF!,SMALL(IF((#REF!&gt;4)*(#REF!&lt;8),ROW(#REF!)-14),ROWS($1:21))),"")</f>
        <v/>
      </c>
      <c r="N134" s="13"/>
      <c r="O134" s="337" t="str">
        <f t="array" ref="O134">+IFERROR(INDEX(#REF!,SMALL(IF((#REF!&gt;8)*(#REF!&lt;10),ROW(#REF!)-14),ROWS($1:21))),"")</f>
        <v/>
      </c>
      <c r="P134" s="13"/>
      <c r="Q134" s="338" t="str">
        <f t="array" ref="Q134">+IFERROR(INDEX(#REF!,SMALL(IF((#REF!&gt;8)*(#REF!&lt;10),ROW(#REF!)-14),ROWS($1:21))),"")</f>
        <v/>
      </c>
      <c r="R134" s="13"/>
      <c r="S134" s="339" t="str">
        <f t="array" ref="S134">+IFERROR(INDEX(#REF!,SMALL(IF((#REF!&gt;8)*(#REF!&lt;10),ROW(#REF!)-14),ROWS($1:21))),"")</f>
        <v/>
      </c>
    </row>
    <row r="135" spans="1:19" ht="15" x14ac:dyDescent="0.25">
      <c r="A135" s="17"/>
      <c r="B135" s="36">
        <v>22</v>
      </c>
      <c r="C135" s="341" t="str">
        <f t="array" ref="C135">+IFERROR(INDEX(#REF!,SMALL(IF((#REF!&gt;0)*(#REF!&lt;4),ROW(#REF!)-14),ROWS($1:22))),"")</f>
        <v/>
      </c>
      <c r="D135" s="13"/>
      <c r="E135" s="342" t="str">
        <f t="array" ref="E135">+IFERROR(INDEX(#REF!,SMALL(IF((#REF!&gt;0)*(#REF!&lt;4),ROW(#REF!)-14),ROWS($1:22))),"")</f>
        <v/>
      </c>
      <c r="F135" s="13"/>
      <c r="G135" s="343" t="str">
        <f t="array" ref="G135">+IFERROR(INDEX(#REF!,SMALL(IF((#REF!&gt;0)*(#REF!&lt;4),ROW(#REF!)-14),ROWS($1:22))),"")</f>
        <v/>
      </c>
      <c r="H135" s="13"/>
      <c r="I135" s="344" t="str">
        <f t="array" ref="I135">+IFERROR(INDEX(#REF!,SMALL(IF((#REF!&gt;4)*(#REF!&lt;8),ROW(#REF!)-14),ROWS($1:22))),"")</f>
        <v/>
      </c>
      <c r="J135" s="13"/>
      <c r="K135" s="345" t="str">
        <f t="array" ref="K135">+IFERROR(INDEX(#REF!,SMALL(IF((#REF!&gt;4)*(#REF!&lt;8),ROW(#REF!)-14),ROWS($1:22))),"")</f>
        <v/>
      </c>
      <c r="L135" s="13"/>
      <c r="M135" s="346" t="str">
        <f t="array" ref="M135">+IFERROR(INDEX(#REF!,SMALL(IF((#REF!&gt;4)*(#REF!&lt;8),ROW(#REF!)-14),ROWS($1:22))),"")</f>
        <v/>
      </c>
      <c r="N135" s="13"/>
      <c r="O135" s="347" t="str">
        <f t="array" ref="O135">+IFERROR(INDEX(#REF!,SMALL(IF((#REF!&gt;8)*(#REF!&lt;10),ROW(#REF!)-14),ROWS($1:22))),"")</f>
        <v/>
      </c>
      <c r="P135" s="13"/>
      <c r="Q135" s="348" t="str">
        <f t="array" ref="Q135">+IFERROR(INDEX(#REF!,SMALL(IF((#REF!&gt;8)*(#REF!&lt;10),ROW(#REF!)-14),ROWS($1:22))),"")</f>
        <v/>
      </c>
      <c r="R135" s="13"/>
      <c r="S135" s="349" t="str">
        <f t="array" ref="S135">+IFERROR(INDEX(#REF!,SMALL(IF((#REF!&gt;8)*(#REF!&lt;10),ROW(#REF!)-14),ROWS($1:22))),"")</f>
        <v/>
      </c>
    </row>
    <row r="136" spans="1:19" ht="15" x14ac:dyDescent="0.25">
      <c r="A136" s="17"/>
      <c r="B136" s="36">
        <v>23</v>
      </c>
      <c r="C136" s="331" t="str">
        <f t="array" ref="C136">+IFERROR(INDEX(#REF!,SMALL(IF((#REF!&gt;0)*(#REF!&lt;4),ROW(#REF!)-14),ROWS($1:23))),"")</f>
        <v/>
      </c>
      <c r="D136" s="13"/>
      <c r="E136" s="332" t="str">
        <f t="array" ref="E136">+IFERROR(INDEX(#REF!,SMALL(IF((#REF!&gt;0)*(#REF!&lt;4),ROW(#REF!)-14),ROWS($1:23))),"")</f>
        <v/>
      </c>
      <c r="F136" s="13"/>
      <c r="G136" s="333" t="str">
        <f t="array" ref="G136">+IFERROR(INDEX(#REF!,SMALL(IF((#REF!&gt;0)*(#REF!&lt;4),ROW(#REF!)-14),ROWS($1:23))),"")</f>
        <v/>
      </c>
      <c r="H136" s="13"/>
      <c r="I136" s="334" t="str">
        <f t="array" ref="I136">+IFERROR(INDEX(#REF!,SMALL(IF((#REF!&gt;4)*(#REF!&lt;8),ROW(#REF!)-14),ROWS($1:23))),"")</f>
        <v/>
      </c>
      <c r="J136" s="13"/>
      <c r="K136" s="335" t="str">
        <f t="array" ref="K136">+IFERROR(INDEX(#REF!,SMALL(IF((#REF!&gt;4)*(#REF!&lt;8),ROW(#REF!)-14),ROWS($1:23))),"")</f>
        <v/>
      </c>
      <c r="L136" s="13"/>
      <c r="M136" s="336" t="str">
        <f t="array" ref="M136">+IFERROR(INDEX(#REF!,SMALL(IF((#REF!&gt;4)*(#REF!&lt;8),ROW(#REF!)-14),ROWS($1:23))),"")</f>
        <v/>
      </c>
      <c r="N136" s="13"/>
      <c r="O136" s="337" t="str">
        <f t="array" ref="O136">+IFERROR(INDEX(#REF!,SMALL(IF((#REF!&gt;8)*(#REF!&lt;10),ROW(#REF!)-14),ROWS($1:23))),"")</f>
        <v/>
      </c>
      <c r="P136" s="13"/>
      <c r="Q136" s="338" t="str">
        <f t="array" ref="Q136">+IFERROR(INDEX(#REF!,SMALL(IF((#REF!&gt;8)*(#REF!&lt;10),ROW(#REF!)-14),ROWS($1:23))),"")</f>
        <v/>
      </c>
      <c r="R136" s="13"/>
      <c r="S136" s="339" t="str">
        <f t="array" ref="S136">+IFERROR(INDEX(#REF!,SMALL(IF((#REF!&gt;8)*(#REF!&lt;10),ROW(#REF!)-14),ROWS($1:23))),"")</f>
        <v/>
      </c>
    </row>
    <row r="137" spans="1:19" ht="15" x14ac:dyDescent="0.25">
      <c r="A137" s="17"/>
      <c r="B137" s="36">
        <v>24</v>
      </c>
      <c r="C137" s="341" t="str">
        <f t="array" ref="C137">+IFERROR(INDEX(#REF!,SMALL(IF((#REF!&gt;0)*(#REF!&lt;4),ROW(#REF!)-14),ROWS($1:24))),"")</f>
        <v/>
      </c>
      <c r="D137" s="13"/>
      <c r="E137" s="342" t="str">
        <f t="array" ref="E137">+IFERROR(INDEX(#REF!,SMALL(IF((#REF!&gt;0)*(#REF!&lt;4),ROW(#REF!)-14),ROWS($1:24))),"")</f>
        <v/>
      </c>
      <c r="F137" s="13"/>
      <c r="G137" s="343" t="str">
        <f t="array" ref="G137">+IFERROR(INDEX(#REF!,SMALL(IF((#REF!&gt;0)*(#REF!&lt;4),ROW(#REF!)-14),ROWS($1:24))),"")</f>
        <v/>
      </c>
      <c r="H137" s="13"/>
      <c r="I137" s="344" t="str">
        <f t="array" ref="I137">+IFERROR(INDEX(#REF!,SMALL(IF((#REF!&gt;4)*(#REF!&lt;8),ROW(#REF!)-14),ROWS($1:24))),"")</f>
        <v/>
      </c>
      <c r="J137" s="13"/>
      <c r="K137" s="345" t="str">
        <f t="array" ref="K137">+IFERROR(INDEX(#REF!,SMALL(IF((#REF!&gt;4)*(#REF!&lt;8),ROW(#REF!)-14),ROWS($1:24))),"")</f>
        <v/>
      </c>
      <c r="L137" s="13"/>
      <c r="M137" s="346" t="str">
        <f t="array" ref="M137">+IFERROR(INDEX(#REF!,SMALL(IF((#REF!&gt;4)*(#REF!&lt;8),ROW(#REF!)-14),ROWS($1:24))),"")</f>
        <v/>
      </c>
      <c r="N137" s="13"/>
      <c r="O137" s="347" t="str">
        <f t="array" ref="O137">+IFERROR(INDEX(#REF!,SMALL(IF((#REF!&gt;8)*(#REF!&lt;10),ROW(#REF!)-14),ROWS($1:24))),"")</f>
        <v/>
      </c>
      <c r="P137" s="13"/>
      <c r="Q137" s="348" t="str">
        <f t="array" ref="Q137">+IFERROR(INDEX(#REF!,SMALL(IF((#REF!&gt;8)*(#REF!&lt;10),ROW(#REF!)-14),ROWS($1:24))),"")</f>
        <v/>
      </c>
      <c r="R137" s="13"/>
      <c r="S137" s="349" t="str">
        <f t="array" ref="S137">+IFERROR(INDEX(#REF!,SMALL(IF((#REF!&gt;8)*(#REF!&lt;10),ROW(#REF!)-14),ROWS($1:24))),"")</f>
        <v/>
      </c>
    </row>
    <row r="138" spans="1:19" ht="15" x14ac:dyDescent="0.25">
      <c r="B138" s="36">
        <v>25</v>
      </c>
      <c r="C138" s="331" t="str">
        <f t="array" ref="C138">+IFERROR(INDEX(#REF!,SMALL(IF((#REF!&gt;0)*(#REF!&lt;4),ROW(#REF!)-14),ROWS($1:25))),"")</f>
        <v/>
      </c>
      <c r="D138" s="13"/>
      <c r="E138" s="332" t="str">
        <f t="array" ref="E138">+IFERROR(INDEX(#REF!,SMALL(IF((#REF!&gt;0)*(#REF!&lt;4),ROW(#REF!)-14),ROWS($1:25))),"")</f>
        <v/>
      </c>
      <c r="F138" s="13"/>
      <c r="G138" s="333" t="str">
        <f t="array" ref="G138">+IFERROR(INDEX(#REF!,SMALL(IF((#REF!&gt;0)*(#REF!&lt;4),ROW(#REF!)-14),ROWS($1:25))),"")</f>
        <v/>
      </c>
      <c r="H138" s="13"/>
      <c r="I138" s="334" t="str">
        <f t="array" ref="I138">+IFERROR(INDEX(#REF!,SMALL(IF((#REF!&gt;4)*(#REF!&lt;8),ROW(#REF!)-14),ROWS($1:25))),"")</f>
        <v/>
      </c>
      <c r="J138" s="13"/>
      <c r="K138" s="335" t="str">
        <f t="array" ref="K138">+IFERROR(INDEX(#REF!,SMALL(IF((#REF!&gt;4)*(#REF!&lt;8),ROW(#REF!)-14),ROWS($1:25))),"")</f>
        <v/>
      </c>
      <c r="L138" s="13"/>
      <c r="M138" s="336" t="str">
        <f t="array" ref="M138">+IFERROR(INDEX(#REF!,SMALL(IF((#REF!&gt;4)*(#REF!&lt;8),ROW(#REF!)-14),ROWS($1:25))),"")</f>
        <v/>
      </c>
      <c r="N138" s="13"/>
      <c r="O138" s="337" t="str">
        <f t="array" ref="O138">+IFERROR(INDEX(#REF!,SMALL(IF((#REF!&gt;8)*(#REF!&lt;10),ROW(#REF!)-14),ROWS($1:25))),"")</f>
        <v/>
      </c>
      <c r="P138" s="13"/>
      <c r="Q138" s="338" t="str">
        <f t="array" ref="Q138">+IFERROR(INDEX(#REF!,SMALL(IF((#REF!&gt;8)*(#REF!&lt;10),ROW(#REF!)-14),ROWS($1:25))),"")</f>
        <v/>
      </c>
      <c r="R138" s="13"/>
      <c r="S138" s="339" t="str">
        <f t="array" ref="S138">+IFERROR(INDEX(#REF!,SMALL(IF((#REF!&gt;8)*(#REF!&lt;10),ROW(#REF!)-14),ROWS($1:25))),"")</f>
        <v/>
      </c>
    </row>
    <row r="140" spans="1:19" ht="15" x14ac:dyDescent="0.25">
      <c r="A140" s="370" t="s">
        <v>600</v>
      </c>
      <c r="B140" s="36">
        <v>1</v>
      </c>
      <c r="C140" s="331" t="str">
        <f t="array" ref="C140">+IFERROR(INDEX(#REF!,SMALL(IF((#REF!&gt;0)*(#REF!&lt;4),ROW(#REF!)-14),ROWS($1:1))),"")</f>
        <v/>
      </c>
      <c r="D140" s="13"/>
      <c r="E140" s="332" t="str">
        <f t="array" ref="E140">+IFERROR(INDEX(#REF!,SMALL(IF((#REF!&gt;0)*(#REF!&lt;4),ROW(#REF!)-14),ROWS($1:1))),"")</f>
        <v/>
      </c>
      <c r="F140" s="13"/>
      <c r="G140" s="333" t="str">
        <f t="array" ref="G140">+IFERROR(INDEX(#REF!,SMALL(IF((#REF!&gt;0)*(#REF!&lt;4),ROW(#REF!)-14),ROWS($1:1))),"")</f>
        <v/>
      </c>
      <c r="H140" s="13"/>
      <c r="I140" s="334" t="str">
        <f t="array" ref="I140">+IFERROR(INDEX(#REF!,SMALL(IF((#REF!&gt;4)*(#REF!&lt;8),ROW(#REF!)-14),ROWS($1:1))),"")</f>
        <v/>
      </c>
      <c r="J140" s="13"/>
      <c r="K140" s="335" t="str">
        <f t="array" ref="K140">+IFERROR(INDEX(#REF!,SMALL(IF((#REF!&gt;4)*(#REF!&lt;8),ROW(#REF!)-14),ROWS($1:1))),"")</f>
        <v/>
      </c>
      <c r="L140" s="13"/>
      <c r="M140" s="336" t="str">
        <f t="array" ref="M140">+IFERROR(INDEX(#REF!,SMALL(IF((#REF!&gt;4)*(#REF!&lt;8),ROW(#REF!)-14),ROWS($1:1))),"")</f>
        <v/>
      </c>
      <c r="N140" s="13"/>
      <c r="O140" s="337" t="str">
        <f t="array" ref="O140">+IFERROR(INDEX(#REF!,SMALL(IF((#REF!&gt;8)*(#REF!&lt;12),ROW(#REF!)-14),ROWS($1:1))),"")</f>
        <v/>
      </c>
      <c r="P140" s="13"/>
      <c r="Q140" s="338" t="str">
        <f t="array" ref="Q140">+IFERROR(INDEX(#REF!,SMALL(IF((#REF!&gt;8)*(#REF!&lt;12),ROW(#REF!)-14),ROWS($1:1))),"")</f>
        <v/>
      </c>
      <c r="R140" s="13"/>
      <c r="S140" s="339" t="str">
        <f t="array" ref="S140">+IFERROR(INDEX(#REF!,SMALL(IF((#REF!&gt;8)*(#REF!&lt;12),ROW(#REF!)-14),ROWS($1:1))),"")</f>
        <v/>
      </c>
    </row>
    <row r="141" spans="1:19" ht="15" x14ac:dyDescent="0.25">
      <c r="A141" s="17"/>
      <c r="B141" s="36">
        <v>2</v>
      </c>
      <c r="C141" s="341" t="str">
        <f t="array" ref="C141">+IFERROR(INDEX(#REF!,SMALL(IF((#REF!&gt;0)*(#REF!&lt;4),ROW(#REF!)-14),ROWS($1:2))),"")</f>
        <v/>
      </c>
      <c r="D141" s="13"/>
      <c r="E141" s="342" t="str">
        <f t="array" ref="E141">+IFERROR(INDEX(#REF!,SMALL(IF((#REF!&gt;0)*(#REF!&lt;4),ROW(#REF!)-14),ROWS($1:2))),"")</f>
        <v/>
      </c>
      <c r="F141" s="13"/>
      <c r="G141" s="343" t="str">
        <f t="array" ref="G141">+IFERROR(INDEX(#REF!,SMALL(IF((#REF!&gt;0)*(#REF!&lt;4),ROW(#REF!)-14),ROWS($1:2))),"")</f>
        <v/>
      </c>
      <c r="H141" s="13"/>
      <c r="I141" s="344" t="str">
        <f t="array" ref="I141">+IFERROR(INDEX(#REF!,SMALL(IF((#REF!&gt;4)*(#REF!&lt;8),ROW(#REF!)-14),ROWS($1:2))),"")</f>
        <v/>
      </c>
      <c r="J141" s="13"/>
      <c r="K141" s="345" t="str">
        <f t="array" ref="K141">+IFERROR(INDEX(#REF!,SMALL(IF((#REF!&gt;4)*(#REF!&lt;8),ROW(#REF!)-14),ROWS($1:2))),"")</f>
        <v/>
      </c>
      <c r="L141" s="13"/>
      <c r="M141" s="346" t="str">
        <f t="array" ref="M141">+IFERROR(INDEX(#REF!,SMALL(IF((#REF!&gt;4)*(#REF!&lt;8),ROW(#REF!)-14),ROWS($1:2))),"")</f>
        <v/>
      </c>
      <c r="N141" s="13"/>
      <c r="O141" s="347" t="str">
        <f t="array" ref="O141">+IFERROR(INDEX(#REF!,SMALL(IF((#REF!&gt;8)*(#REF!&lt;12),ROW(#REF!)-14),ROWS($1:2))),"")</f>
        <v/>
      </c>
      <c r="P141" s="13"/>
      <c r="Q141" s="348" t="str">
        <f t="array" ref="Q141">+IFERROR(INDEX(#REF!,SMALL(IF((#REF!&gt;8)*(#REF!&lt;12),ROW(#REF!)-14),ROWS($1:2))),"")</f>
        <v/>
      </c>
      <c r="R141" s="13"/>
      <c r="S141" s="349" t="str">
        <f t="array" ref="S141">+IFERROR(INDEX(#REF!,SMALL(IF((#REF!&gt;8)*(#REF!&lt;12),ROW(#REF!)-14),ROWS($1:2))),"")</f>
        <v/>
      </c>
    </row>
    <row r="142" spans="1:19" ht="15" x14ac:dyDescent="0.25">
      <c r="A142" s="17"/>
      <c r="B142" s="36">
        <v>3</v>
      </c>
      <c r="C142" s="331" t="str">
        <f t="array" ref="C142">+IFERROR(INDEX(#REF!,SMALL(IF((#REF!&gt;0)*(#REF!&lt;4),ROW(#REF!)-14),ROWS($1:3))),"")</f>
        <v/>
      </c>
      <c r="D142" s="13"/>
      <c r="E142" s="332" t="str">
        <f t="array" ref="E142">+IFERROR(INDEX(#REF!,SMALL(IF((#REF!&gt;0)*(#REF!&lt;4),ROW(#REF!)-14),ROWS($1:3))),"")</f>
        <v/>
      </c>
      <c r="F142" s="13"/>
      <c r="G142" s="333" t="str">
        <f t="array" ref="G142">+IFERROR(INDEX(#REF!,SMALL(IF((#REF!&gt;0)*(#REF!&lt;4),ROW(#REF!)-14),ROWS($1:3))),"")</f>
        <v/>
      </c>
      <c r="H142" s="13"/>
      <c r="I142" s="334" t="str">
        <f t="array" ref="I142">+IFERROR(INDEX(#REF!,SMALL(IF((#REF!&gt;4)*(#REF!&lt;8),ROW(#REF!)-14),ROWS($1:3))),"")</f>
        <v/>
      </c>
      <c r="J142" s="13"/>
      <c r="K142" s="335" t="str">
        <f t="array" ref="K142">+IFERROR(INDEX(#REF!,SMALL(IF((#REF!&gt;4)*(#REF!&lt;8),ROW(#REF!)-14),ROWS($1:3))),"")</f>
        <v/>
      </c>
      <c r="L142" s="13"/>
      <c r="M142" s="336" t="str">
        <f t="array" ref="M142">+IFERROR(INDEX(#REF!,SMALL(IF((#REF!&gt;4)*(#REF!&lt;8),ROW(#REF!)-14),ROWS($1:3))),"")</f>
        <v/>
      </c>
      <c r="N142" s="13"/>
      <c r="O142" s="337" t="str">
        <f t="array" ref="O142">+IFERROR(INDEX(#REF!,SMALL(IF((#REF!&gt;8)*(#REF!&lt;12),ROW(#REF!)-14),ROWS($1:3))),"")</f>
        <v/>
      </c>
      <c r="P142" s="13"/>
      <c r="Q142" s="338" t="str">
        <f t="array" ref="Q142">+IFERROR(INDEX(#REF!,SMALL(IF((#REF!&gt;8)*(#REF!&lt;12),ROW(#REF!)-14),ROWS($1:3))),"")</f>
        <v/>
      </c>
      <c r="R142" s="13"/>
      <c r="S142" s="339" t="str">
        <f t="array" ref="S142">+IFERROR(INDEX(#REF!,SMALL(IF((#REF!&gt;8)*(#REF!&lt;12),ROW(#REF!)-14),ROWS($1:3))),"")</f>
        <v/>
      </c>
    </row>
    <row r="143" spans="1:19" ht="15" x14ac:dyDescent="0.25">
      <c r="A143" s="17"/>
      <c r="B143" s="36">
        <v>4</v>
      </c>
      <c r="C143" s="341" t="str">
        <f t="array" ref="C143">+IFERROR(INDEX(#REF!,SMALL(IF((#REF!&gt;0)*(#REF!&lt;4),ROW(#REF!)-14),ROWS($1:4))),"")</f>
        <v/>
      </c>
      <c r="D143" s="13"/>
      <c r="E143" s="342" t="str">
        <f t="array" ref="E143">+IFERROR(INDEX(#REF!,SMALL(IF((#REF!&gt;0)*(#REF!&lt;4),ROW(#REF!)-14),ROWS($1:4))),"")</f>
        <v/>
      </c>
      <c r="F143" s="13"/>
      <c r="G143" s="343" t="str">
        <f t="array" ref="G143">+IFERROR(INDEX(#REF!,SMALL(IF((#REF!&gt;0)*(#REF!&lt;4),ROW(#REF!)-14),ROWS($1:4))),"")</f>
        <v/>
      </c>
      <c r="H143" s="13"/>
      <c r="I143" s="344" t="str">
        <f t="array" ref="I143">+IFERROR(INDEX(#REF!,SMALL(IF((#REF!&gt;4)*(#REF!&lt;8),ROW(#REF!)-14),ROWS($1:4))),"")</f>
        <v/>
      </c>
      <c r="J143" s="13"/>
      <c r="K143" s="345" t="str">
        <f t="array" ref="K143">+IFERROR(INDEX(#REF!,SMALL(IF((#REF!&gt;4)*(#REF!&lt;8),ROW(#REF!)-14),ROWS($1:4))),"")</f>
        <v/>
      </c>
      <c r="L143" s="13"/>
      <c r="M143" s="346" t="str">
        <f t="array" ref="M143">+IFERROR(INDEX(#REF!,SMALL(IF((#REF!&gt;4)*(#REF!&lt;8),ROW(#REF!)-14),ROWS($1:4))),"")</f>
        <v/>
      </c>
      <c r="N143" s="13"/>
      <c r="O143" s="347" t="str">
        <f t="array" ref="O143">+IFERROR(INDEX(#REF!,SMALL(IF((#REF!&gt;8)*(#REF!&lt;12),ROW(#REF!)-14),ROWS($1:4))),"")</f>
        <v/>
      </c>
      <c r="P143" s="13"/>
      <c r="Q143" s="348" t="str">
        <f t="array" ref="Q143">+IFERROR(INDEX(#REF!,SMALL(IF((#REF!&gt;8)*(#REF!&lt;12),ROW(#REF!)-14),ROWS($1:4))),"")</f>
        <v/>
      </c>
      <c r="R143" s="13"/>
      <c r="S143" s="349" t="str">
        <f t="array" ref="S143">+IFERROR(INDEX(#REF!,SMALL(IF((#REF!&gt;8)*(#REF!&lt;12),ROW(#REF!)-14),ROWS($1:4))),"")</f>
        <v/>
      </c>
    </row>
    <row r="144" spans="1:19" ht="15" x14ac:dyDescent="0.25">
      <c r="A144" s="17"/>
      <c r="B144" s="36">
        <v>5</v>
      </c>
      <c r="C144" s="331" t="str">
        <f t="array" ref="C144">+IFERROR(INDEX(#REF!,SMALL(IF((#REF!&gt;0)*(#REF!&lt;4),ROW(#REF!)-14),ROWS($1:5))),"")</f>
        <v/>
      </c>
      <c r="D144" s="13"/>
      <c r="E144" s="332" t="str">
        <f t="array" ref="E144">+IFERROR(INDEX(#REF!,SMALL(IF((#REF!&gt;0)*(#REF!&lt;4),ROW(#REF!)-14),ROWS($1:5))),"")</f>
        <v/>
      </c>
      <c r="F144" s="13"/>
      <c r="G144" s="333" t="str">
        <f t="array" ref="G144">+IFERROR(INDEX(#REF!,SMALL(IF((#REF!&gt;0)*(#REF!&lt;4),ROW(#REF!)-14),ROWS($1:5))),"")</f>
        <v/>
      </c>
      <c r="H144" s="13"/>
      <c r="I144" s="334" t="str">
        <f t="array" ref="I144">+IFERROR(INDEX(#REF!,SMALL(IF((#REF!&gt;4)*(#REF!&lt;8),ROW(#REF!)-14),ROWS($1:5))),"")</f>
        <v/>
      </c>
      <c r="J144" s="13"/>
      <c r="K144" s="335" t="str">
        <f t="array" ref="K144">+IFERROR(INDEX(#REF!,SMALL(IF((#REF!&gt;4)*(#REF!&lt;8),ROW(#REF!)-14),ROWS($1:5))),"")</f>
        <v/>
      </c>
      <c r="L144" s="13"/>
      <c r="M144" s="336" t="str">
        <f t="array" ref="M144">+IFERROR(INDEX(#REF!,SMALL(IF((#REF!&gt;4)*(#REF!&lt;8),ROW(#REF!)-14),ROWS($1:5))),"")</f>
        <v/>
      </c>
      <c r="N144" s="13"/>
      <c r="O144" s="337" t="str">
        <f t="array" ref="O144">+IFERROR(INDEX(#REF!,SMALL(IF((#REF!&gt;8)*(#REF!&lt;12),ROW(#REF!)-14),ROWS($1:5))),"")</f>
        <v/>
      </c>
      <c r="P144" s="13"/>
      <c r="Q144" s="338" t="str">
        <f t="array" ref="Q144">+IFERROR(INDEX(#REF!,SMALL(IF((#REF!&gt;8)*(#REF!&lt;12),ROW(#REF!)-14),ROWS($1:5))),"")</f>
        <v/>
      </c>
      <c r="R144" s="13"/>
      <c r="S144" s="339" t="str">
        <f t="array" ref="S144">+IFERROR(INDEX(#REF!,SMALL(IF((#REF!&gt;8)*(#REF!&lt;12),ROW(#REF!)-14),ROWS($1:5))),"")</f>
        <v/>
      </c>
    </row>
    <row r="145" spans="1:19" ht="15" x14ac:dyDescent="0.25">
      <c r="A145" s="17"/>
      <c r="B145" s="36">
        <v>6</v>
      </c>
      <c r="C145" s="341" t="str">
        <f t="array" ref="C145">+IFERROR(INDEX(#REF!,SMALL(IF((#REF!&gt;0)*(#REF!&lt;4),ROW(#REF!)-14),ROWS($1:6))),"")</f>
        <v/>
      </c>
      <c r="D145" s="13"/>
      <c r="E145" s="342" t="str">
        <f t="array" ref="E145">+IFERROR(INDEX(#REF!,SMALL(IF((#REF!&gt;0)*(#REF!&lt;4),ROW(#REF!)-14),ROWS($1:6))),"")</f>
        <v/>
      </c>
      <c r="F145" s="13"/>
      <c r="G145" s="343" t="str">
        <f t="array" ref="G145">+IFERROR(INDEX(#REF!,SMALL(IF((#REF!&gt;0)*(#REF!&lt;4),ROW(#REF!)-14),ROWS($1:6))),"")</f>
        <v/>
      </c>
      <c r="H145" s="13"/>
      <c r="I145" s="344" t="str">
        <f t="array" ref="I145">+IFERROR(INDEX(#REF!,SMALL(IF((#REF!&gt;4)*(#REF!&lt;8),ROW(#REF!)-14),ROWS($1:6))),"")</f>
        <v/>
      </c>
      <c r="J145" s="13"/>
      <c r="K145" s="345" t="str">
        <f t="array" ref="K145">+IFERROR(INDEX(#REF!,SMALL(IF((#REF!&gt;4)*(#REF!&lt;8),ROW(#REF!)-14),ROWS($1:6))),"")</f>
        <v/>
      </c>
      <c r="L145" s="13"/>
      <c r="M145" s="346" t="str">
        <f t="array" ref="M145">+IFERROR(INDEX(#REF!,SMALL(IF((#REF!&gt;4)*(#REF!&lt;8),ROW(#REF!)-14),ROWS($1:6))),"")</f>
        <v/>
      </c>
      <c r="N145" s="13"/>
      <c r="O145" s="347" t="str">
        <f t="array" ref="O145">+IFERROR(INDEX(#REF!,SMALL(IF((#REF!&gt;8)*(#REF!&lt;12),ROW(#REF!)-14),ROWS($1:6))),"")</f>
        <v/>
      </c>
      <c r="P145" s="13"/>
      <c r="Q145" s="348" t="str">
        <f t="array" ref="Q145">+IFERROR(INDEX(#REF!,SMALL(IF((#REF!&gt;8)*(#REF!&lt;12),ROW(#REF!)-14),ROWS($1:6))),"")</f>
        <v/>
      </c>
      <c r="R145" s="13"/>
      <c r="S145" s="349" t="str">
        <f t="array" ref="S145">+IFERROR(INDEX(#REF!,SMALL(IF((#REF!&gt;8)*(#REF!&lt;12),ROW(#REF!)-14),ROWS($1:6))),"")</f>
        <v/>
      </c>
    </row>
    <row r="146" spans="1:19" ht="15" x14ac:dyDescent="0.25">
      <c r="A146" s="17"/>
      <c r="B146" s="36">
        <v>7</v>
      </c>
      <c r="C146" s="331" t="str">
        <f t="array" ref="C146">+IFERROR(INDEX(#REF!,SMALL(IF((#REF!&gt;0)*(#REF!&lt;4),ROW(#REF!)-14),ROWS($1:7))),"")</f>
        <v/>
      </c>
      <c r="D146" s="13"/>
      <c r="E146" s="332" t="str">
        <f t="array" ref="E146">+IFERROR(INDEX(#REF!,SMALL(IF((#REF!&gt;0)*(#REF!&lt;4),ROW(#REF!)-14),ROWS($1:7))),"")</f>
        <v/>
      </c>
      <c r="F146" s="13"/>
      <c r="G146" s="333" t="str">
        <f t="array" ref="G146">+IFERROR(INDEX(#REF!,SMALL(IF((#REF!&gt;0)*(#REF!&lt;4),ROW(#REF!)-14),ROWS($1:7))),"")</f>
        <v/>
      </c>
      <c r="H146" s="13"/>
      <c r="I146" s="334" t="str">
        <f t="array" ref="I146">+IFERROR(INDEX(#REF!,SMALL(IF((#REF!&gt;4)*(#REF!&lt;8),ROW(#REF!)-14),ROWS($1:7))),"")</f>
        <v/>
      </c>
      <c r="J146" s="13"/>
      <c r="K146" s="335" t="str">
        <f t="array" ref="K146">+IFERROR(INDEX(#REF!,SMALL(IF((#REF!&gt;4)*(#REF!&lt;8),ROW(#REF!)-14),ROWS($1:7))),"")</f>
        <v/>
      </c>
      <c r="L146" s="13"/>
      <c r="M146" s="336" t="str">
        <f t="array" ref="M146">+IFERROR(INDEX(#REF!,SMALL(IF((#REF!&gt;4)*(#REF!&lt;8),ROW(#REF!)-14),ROWS($1:7))),"")</f>
        <v/>
      </c>
      <c r="N146" s="13"/>
      <c r="O146" s="337" t="str">
        <f t="array" ref="O146">+IFERROR(INDEX(#REF!,SMALL(IF((#REF!&gt;8)*(#REF!&lt;12),ROW(#REF!)-14),ROWS($1:7))),"")</f>
        <v/>
      </c>
      <c r="P146" s="13"/>
      <c r="Q146" s="338" t="str">
        <f t="array" ref="Q146">+IFERROR(INDEX(#REF!,SMALL(IF((#REF!&gt;8)*(#REF!&lt;12),ROW(#REF!)-14),ROWS($1:7))),"")</f>
        <v/>
      </c>
      <c r="R146" s="13"/>
      <c r="S146" s="339" t="str">
        <f t="array" ref="S146">+IFERROR(INDEX(#REF!,SMALL(IF((#REF!&gt;8)*(#REF!&lt;12),ROW(#REF!)-14),ROWS($1:7))),"")</f>
        <v/>
      </c>
    </row>
    <row r="147" spans="1:19" ht="15" x14ac:dyDescent="0.25">
      <c r="A147" s="17"/>
      <c r="B147" s="36">
        <v>8</v>
      </c>
      <c r="C147" s="341" t="str">
        <f t="array" ref="C147">+IFERROR(INDEX(#REF!,SMALL(IF((#REF!&gt;0)*(#REF!&lt;4),ROW(#REF!)-14),ROWS($1:8))),"")</f>
        <v/>
      </c>
      <c r="D147" s="13"/>
      <c r="E147" s="342" t="str">
        <f t="array" ref="E147">+IFERROR(INDEX(#REF!,SMALL(IF((#REF!&gt;0)*(#REF!&lt;4),ROW(#REF!)-14),ROWS($1:8))),"")</f>
        <v/>
      </c>
      <c r="F147" s="13"/>
      <c r="G147" s="343" t="str">
        <f t="array" ref="G147">+IFERROR(INDEX(#REF!,SMALL(IF((#REF!&gt;0)*(#REF!&lt;4),ROW(#REF!)-14),ROWS($1:8))),"")</f>
        <v/>
      </c>
      <c r="H147" s="13"/>
      <c r="I147" s="344" t="str">
        <f t="array" ref="I147">+IFERROR(INDEX(#REF!,SMALL(IF((#REF!&gt;4)*(#REF!&lt;8),ROW(#REF!)-14),ROWS($1:8))),"")</f>
        <v/>
      </c>
      <c r="J147" s="13"/>
      <c r="K147" s="345" t="str">
        <f t="array" ref="K147">+IFERROR(INDEX(#REF!,SMALL(IF((#REF!&gt;4)*(#REF!&lt;8),ROW(#REF!)-14),ROWS($1:8))),"")</f>
        <v/>
      </c>
      <c r="L147" s="13"/>
      <c r="M147" s="346" t="str">
        <f t="array" ref="M147">+IFERROR(INDEX(#REF!,SMALL(IF((#REF!&gt;4)*(#REF!&lt;8),ROW(#REF!)-14),ROWS($1:8))),"")</f>
        <v/>
      </c>
      <c r="N147" s="13"/>
      <c r="O147" s="347" t="str">
        <f t="array" ref="O147">+IFERROR(INDEX(#REF!,SMALL(IF((#REF!&gt;8)*(#REF!&lt;12),ROW(#REF!)-14),ROWS($1:8))),"")</f>
        <v/>
      </c>
      <c r="P147" s="13"/>
      <c r="Q147" s="348" t="str">
        <f t="array" ref="Q147">+IFERROR(INDEX(#REF!,SMALL(IF((#REF!&gt;8)*(#REF!&lt;12),ROW(#REF!)-14),ROWS($1:8))),"")</f>
        <v/>
      </c>
      <c r="R147" s="13"/>
      <c r="S147" s="349" t="str">
        <f t="array" ref="S147">+IFERROR(INDEX(#REF!,SMALL(IF((#REF!&gt;8)*(#REF!&lt;12),ROW(#REF!)-14),ROWS($1:8))),"")</f>
        <v/>
      </c>
    </row>
    <row r="148" spans="1:19" ht="15" x14ac:dyDescent="0.25">
      <c r="B148" s="36">
        <v>9</v>
      </c>
      <c r="C148" s="331" t="str">
        <f t="array" ref="C148">+IFERROR(INDEX(#REF!,SMALL(IF((#REF!&gt;0)*(#REF!&lt;4),ROW(#REF!)-14),ROWS($1:9))),"")</f>
        <v/>
      </c>
      <c r="D148" s="13"/>
      <c r="E148" s="332" t="str">
        <f t="array" ref="E148">+IFERROR(INDEX(#REF!,SMALL(IF((#REF!&gt;0)*(#REF!&lt;4),ROW(#REF!)-14),ROWS($1:9))),"")</f>
        <v/>
      </c>
      <c r="F148" s="13"/>
      <c r="G148" s="333" t="str">
        <f t="array" ref="G148">+IFERROR(INDEX(#REF!,SMALL(IF((#REF!&gt;0)*(#REF!&lt;4),ROW(#REF!)-14),ROWS($1:9))),"")</f>
        <v/>
      </c>
      <c r="H148" s="13"/>
      <c r="I148" s="334" t="str">
        <f t="array" ref="I148">+IFERROR(INDEX(#REF!,SMALL(IF((#REF!&gt;4)*(#REF!&lt;8),ROW(#REF!)-14),ROWS($1:9))),"")</f>
        <v/>
      </c>
      <c r="J148" s="13"/>
      <c r="K148" s="335" t="str">
        <f t="array" ref="K148">+IFERROR(INDEX(#REF!,SMALL(IF((#REF!&gt;4)*(#REF!&lt;8),ROW(#REF!)-14),ROWS($1:9))),"")</f>
        <v/>
      </c>
      <c r="L148" s="13"/>
      <c r="M148" s="336" t="str">
        <f t="array" ref="M148">+IFERROR(INDEX(#REF!,SMALL(IF((#REF!&gt;4)*(#REF!&lt;8),ROW(#REF!)-14),ROWS($1:9))),"")</f>
        <v/>
      </c>
      <c r="N148" s="13"/>
      <c r="O148" s="337" t="str">
        <f t="array" ref="O148">+IFERROR(INDEX(#REF!,SMALL(IF((#REF!&gt;8)*(#REF!&lt;12),ROW(#REF!)-14),ROWS($1:9))),"")</f>
        <v/>
      </c>
      <c r="P148" s="13"/>
      <c r="Q148" s="338" t="str">
        <f t="array" ref="Q148">+IFERROR(INDEX(#REF!,SMALL(IF((#REF!&gt;8)*(#REF!&lt;12),ROW(#REF!)-14),ROWS($1:9))),"")</f>
        <v/>
      </c>
      <c r="R148" s="13"/>
      <c r="S148" s="339" t="str">
        <f t="array" ref="S148">+IFERROR(INDEX(#REF!,SMALL(IF((#REF!&gt;8)*(#REF!&lt;12),ROW(#REF!)-14),ROWS($1:9))),"")</f>
        <v/>
      </c>
    </row>
    <row r="149" spans="1:19" ht="15" x14ac:dyDescent="0.25">
      <c r="B149" s="36">
        <v>10</v>
      </c>
      <c r="C149" s="341" t="str">
        <f t="array" ref="C149">+IFERROR(INDEX(#REF!,SMALL(IF((#REF!&gt;0)*(#REF!&lt;4),ROW(#REF!)-14),ROWS($1:10))),"")</f>
        <v/>
      </c>
      <c r="D149" s="13"/>
      <c r="E149" s="342" t="str">
        <f t="array" ref="E149">+IFERROR(INDEX(#REF!,SMALL(IF((#REF!&gt;0)*(#REF!&lt;4),ROW(#REF!)-14),ROWS($1:10))),"")</f>
        <v/>
      </c>
      <c r="F149" s="13"/>
      <c r="G149" s="343" t="str">
        <f t="array" ref="G149">+IFERROR(INDEX(#REF!,SMALL(IF((#REF!&gt;0)*(#REF!&lt;4),ROW(#REF!)-14),ROWS($1:10))),"")</f>
        <v/>
      </c>
      <c r="H149" s="13"/>
      <c r="I149" s="344" t="str">
        <f t="array" ref="I149">+IFERROR(INDEX(#REF!,SMALL(IF((#REF!&gt;4)*(#REF!&lt;8),ROW(#REF!)-14),ROWS($1:10))),"")</f>
        <v/>
      </c>
      <c r="J149" s="13"/>
      <c r="K149" s="345" t="str">
        <f t="array" ref="K149">+IFERROR(INDEX(#REF!,SMALL(IF((#REF!&gt;4)*(#REF!&lt;8),ROW(#REF!)-14),ROWS($1:10))),"")</f>
        <v/>
      </c>
      <c r="L149" s="13"/>
      <c r="M149" s="346" t="str">
        <f t="array" ref="M149">+IFERROR(INDEX(#REF!,SMALL(IF((#REF!&gt;4)*(#REF!&lt;8),ROW(#REF!)-14),ROWS($1:10))),"")</f>
        <v/>
      </c>
      <c r="N149" s="13"/>
      <c r="O149" s="347" t="str">
        <f t="array" ref="O149">+IFERROR(INDEX(#REF!,SMALL(IF((#REF!&gt;8)*(#REF!&lt;12),ROW(#REF!)-14),ROWS($1:10))),"")</f>
        <v/>
      </c>
      <c r="P149" s="13"/>
      <c r="Q149" s="348" t="str">
        <f t="array" ref="Q149">+IFERROR(INDEX(#REF!,SMALL(IF((#REF!&gt;8)*(#REF!&lt;12),ROW(#REF!)-14),ROWS($1:10))),"")</f>
        <v/>
      </c>
      <c r="R149" s="13"/>
      <c r="S149" s="349" t="str">
        <f t="array" ref="S149">+IFERROR(INDEX(#REF!,SMALL(IF((#REF!&gt;8)*(#REF!&lt;12),ROW(#REF!)-14),ROWS($1:10))),"")</f>
        <v/>
      </c>
    </row>
    <row r="150" spans="1:19" ht="15" x14ac:dyDescent="0.25">
      <c r="B150" s="36">
        <v>11</v>
      </c>
      <c r="C150" s="331" t="str">
        <f t="array" ref="C150">+IFERROR(INDEX(#REF!,SMALL(IF((#REF!&gt;0)*(#REF!&lt;4),ROW(#REF!)-14),ROWS($1:11))),"")</f>
        <v/>
      </c>
      <c r="D150" s="13"/>
      <c r="E150" s="332" t="str">
        <f t="array" ref="E150">+IFERROR(INDEX(#REF!,SMALL(IF((#REF!&gt;0)*(#REF!&lt;4),ROW(#REF!)-14),ROWS($1:11))),"")</f>
        <v/>
      </c>
      <c r="F150" s="13"/>
      <c r="G150" s="333" t="str">
        <f t="array" ref="G150">+IFERROR(INDEX(#REF!,SMALL(IF((#REF!&gt;0)*(#REF!&lt;4),ROW(#REF!)-14),ROWS($1:11))),"")</f>
        <v/>
      </c>
      <c r="H150" s="13"/>
      <c r="I150" s="334" t="str">
        <f t="array" ref="I150">+IFERROR(INDEX(#REF!,SMALL(IF((#REF!&gt;4)*(#REF!&lt;8),ROW(#REF!)-14),ROWS($1:11))),"")</f>
        <v/>
      </c>
      <c r="J150" s="13"/>
      <c r="K150" s="335" t="str">
        <f t="array" ref="K150">+IFERROR(INDEX(#REF!,SMALL(IF((#REF!&gt;4)*(#REF!&lt;8),ROW(#REF!)-14),ROWS($1:11))),"")</f>
        <v/>
      </c>
      <c r="L150" s="13"/>
      <c r="M150" s="336" t="str">
        <f t="array" ref="M150">+IFERROR(INDEX(#REF!,SMALL(IF((#REF!&gt;4)*(#REF!&lt;8),ROW(#REF!)-14),ROWS($1:11))),"")</f>
        <v/>
      </c>
      <c r="N150" s="13"/>
      <c r="O150" s="337" t="str">
        <f t="array" ref="O150">+IFERROR(INDEX(#REF!,SMALL(IF((#REF!&gt;8)*(#REF!&lt;12),ROW(#REF!)-14),ROWS($1:11))),"")</f>
        <v/>
      </c>
      <c r="P150" s="13"/>
      <c r="Q150" s="338" t="str">
        <f t="array" ref="Q150">+IFERROR(INDEX(#REF!,SMALL(IF((#REF!&gt;8)*(#REF!&lt;12),ROW(#REF!)-14),ROWS($1:11))),"")</f>
        <v/>
      </c>
      <c r="R150" s="13"/>
      <c r="S150" s="339" t="str">
        <f t="array" ref="S150">+IFERROR(INDEX(#REF!,SMALL(IF((#REF!&gt;8)*(#REF!&lt;12),ROW(#REF!)-14),ROWS($1:11))),"")</f>
        <v/>
      </c>
    </row>
    <row r="151" spans="1:19" ht="15" x14ac:dyDescent="0.25">
      <c r="B151" s="36">
        <v>12</v>
      </c>
      <c r="C151" s="341" t="str">
        <f t="array" ref="C151">+IFERROR(INDEX(#REF!,SMALL(IF((#REF!&gt;0)*(#REF!&lt;4),ROW(#REF!)-14),ROWS($1:12))),"")</f>
        <v/>
      </c>
      <c r="D151" s="13"/>
      <c r="E151" s="342" t="str">
        <f t="array" ref="E151">+IFERROR(INDEX(#REF!,SMALL(IF((#REF!&gt;0)*(#REF!&lt;4),ROW(#REF!)-14),ROWS($1:12))),"")</f>
        <v/>
      </c>
      <c r="F151" s="13"/>
      <c r="G151" s="343" t="str">
        <f t="array" ref="G151">+IFERROR(INDEX(#REF!,SMALL(IF((#REF!&gt;0)*(#REF!&lt;4),ROW(#REF!)-14),ROWS($1:12))),"")</f>
        <v/>
      </c>
      <c r="H151" s="13"/>
      <c r="I151" s="344" t="str">
        <f t="array" ref="I151">+IFERROR(INDEX(#REF!,SMALL(IF((#REF!&gt;4)*(#REF!&lt;8),ROW(#REF!)-14),ROWS($1:12))),"")</f>
        <v/>
      </c>
      <c r="J151" s="13"/>
      <c r="K151" s="345" t="str">
        <f t="array" ref="K151">+IFERROR(INDEX(#REF!,SMALL(IF((#REF!&gt;4)*(#REF!&lt;8),ROW(#REF!)-14),ROWS($1:12))),"")</f>
        <v/>
      </c>
      <c r="L151" s="13"/>
      <c r="M151" s="346" t="str">
        <f t="array" ref="M151">+IFERROR(INDEX(#REF!,SMALL(IF((#REF!&gt;4)*(#REF!&lt;8),ROW(#REF!)-14),ROWS($1:12))),"")</f>
        <v/>
      </c>
      <c r="N151" s="13"/>
      <c r="O151" s="347" t="str">
        <f t="array" ref="O151">+IFERROR(INDEX(#REF!,SMALL(IF((#REF!&gt;8)*(#REF!&lt;12),ROW(#REF!)-14),ROWS($1:12))),"")</f>
        <v/>
      </c>
      <c r="P151" s="13"/>
      <c r="Q151" s="348" t="str">
        <f t="array" ref="Q151">+IFERROR(INDEX(#REF!,SMALL(IF((#REF!&gt;8)*(#REF!&lt;12),ROW(#REF!)-14),ROWS($1:12))),"")</f>
        <v/>
      </c>
      <c r="R151" s="13"/>
      <c r="S151" s="349" t="str">
        <f t="array" ref="S151">+IFERROR(INDEX(#REF!,SMALL(IF((#REF!&gt;8)*(#REF!&lt;12),ROW(#REF!)-14),ROWS($1:12))),"")</f>
        <v/>
      </c>
    </row>
    <row r="152" spans="1:19" ht="15" x14ac:dyDescent="0.25">
      <c r="B152" s="36">
        <v>13</v>
      </c>
      <c r="C152" s="331" t="str">
        <f t="array" ref="C152">+IFERROR(INDEX(#REF!,SMALL(IF((#REF!&gt;0)*(#REF!&lt;4),ROW(#REF!)-14),ROWS($1:13))),"")</f>
        <v/>
      </c>
      <c r="D152" s="13"/>
      <c r="E152" s="332" t="str">
        <f t="array" ref="E152">+IFERROR(INDEX(#REF!,SMALL(IF((#REF!&gt;0)*(#REF!&lt;4),ROW(#REF!)-14),ROWS($1:13))),"")</f>
        <v/>
      </c>
      <c r="F152" s="13"/>
      <c r="G152" s="333" t="str">
        <f t="array" ref="G152">+IFERROR(INDEX(#REF!,SMALL(IF((#REF!&gt;0)*(#REF!&lt;4),ROW(#REF!)-14),ROWS($1:13))),"")</f>
        <v/>
      </c>
      <c r="H152" s="13"/>
      <c r="I152" s="334" t="str">
        <f t="array" ref="I152">+IFERROR(INDEX(#REF!,SMALL(IF((#REF!&gt;4)*(#REF!&lt;8),ROW(#REF!)-14),ROWS($1:13))),"")</f>
        <v/>
      </c>
      <c r="J152" s="13"/>
      <c r="K152" s="335" t="str">
        <f t="array" ref="K152">+IFERROR(INDEX(#REF!,SMALL(IF((#REF!&gt;4)*(#REF!&lt;8),ROW(#REF!)-14),ROWS($1:13))),"")</f>
        <v/>
      </c>
      <c r="L152" s="13"/>
      <c r="M152" s="336" t="str">
        <f t="array" ref="M152">+IFERROR(INDEX(#REF!,SMALL(IF((#REF!&gt;4)*(#REF!&lt;8),ROW(#REF!)-14),ROWS($1:13))),"")</f>
        <v/>
      </c>
      <c r="N152" s="13"/>
      <c r="O152" s="337" t="str">
        <f t="array" ref="O152">+IFERROR(INDEX(#REF!,SMALL(IF((#REF!&gt;8)*(#REF!&lt;12),ROW(#REF!)-14),ROWS($1:13))),"")</f>
        <v/>
      </c>
      <c r="P152" s="13"/>
      <c r="Q152" s="338" t="str">
        <f t="array" ref="Q152">+IFERROR(INDEX(#REF!,SMALL(IF((#REF!&gt;8)*(#REF!&lt;12),ROW(#REF!)-14),ROWS($1:13))),"")</f>
        <v/>
      </c>
      <c r="R152" s="13"/>
      <c r="S152" s="339" t="str">
        <f t="array" ref="S152">+IFERROR(INDEX(#REF!,SMALL(IF((#REF!&gt;8)*(#REF!&lt;12),ROW(#REF!)-14),ROWS($1:13))),"")</f>
        <v/>
      </c>
    </row>
    <row r="153" spans="1:19" ht="15" x14ac:dyDescent="0.25">
      <c r="B153" s="36">
        <v>14</v>
      </c>
      <c r="C153" s="341" t="str">
        <f t="array" ref="C153">+IFERROR(INDEX(#REF!,SMALL(IF((#REF!&gt;0)*(#REF!&lt;4),ROW(#REF!)-14),ROWS($1:14))),"")</f>
        <v/>
      </c>
      <c r="D153" s="13"/>
      <c r="E153" s="342" t="str">
        <f t="array" ref="E153">+IFERROR(INDEX(#REF!,SMALL(IF((#REF!&gt;0)*(#REF!&lt;4),ROW(#REF!)-14),ROWS($1:14))),"")</f>
        <v/>
      </c>
      <c r="F153" s="13"/>
      <c r="G153" s="343" t="str">
        <f t="array" ref="G153">+IFERROR(INDEX(#REF!,SMALL(IF((#REF!&gt;0)*(#REF!&lt;4),ROW(#REF!)-14),ROWS($1:14))),"")</f>
        <v/>
      </c>
      <c r="H153" s="13"/>
      <c r="I153" s="344" t="str">
        <f t="array" ref="I153">+IFERROR(INDEX(#REF!,SMALL(IF((#REF!&gt;4)*(#REF!&lt;8),ROW(#REF!)-14),ROWS($1:14))),"")</f>
        <v/>
      </c>
      <c r="J153" s="13"/>
      <c r="K153" s="345" t="str">
        <f t="array" ref="K153">+IFERROR(INDEX(#REF!,SMALL(IF((#REF!&gt;4)*(#REF!&lt;8),ROW(#REF!)-14),ROWS($1:14))),"")</f>
        <v/>
      </c>
      <c r="L153" s="13"/>
      <c r="M153" s="346" t="str">
        <f t="array" ref="M153">+IFERROR(INDEX(#REF!,SMALL(IF((#REF!&gt;4)*(#REF!&lt;8),ROW(#REF!)-14),ROWS($1:14))),"")</f>
        <v/>
      </c>
      <c r="N153" s="13"/>
      <c r="O153" s="347" t="str">
        <f t="array" ref="O153">+IFERROR(INDEX(#REF!,SMALL(IF((#REF!&gt;8)*(#REF!&lt;12),ROW(#REF!)-14),ROWS($1:14))),"")</f>
        <v/>
      </c>
      <c r="P153" s="13"/>
      <c r="Q153" s="348" t="str">
        <f t="array" ref="Q153">+IFERROR(INDEX(#REF!,SMALL(IF((#REF!&gt;8)*(#REF!&lt;12),ROW(#REF!)-14),ROWS($1:14))),"")</f>
        <v/>
      </c>
      <c r="R153" s="13"/>
      <c r="S153" s="349" t="str">
        <f t="array" ref="S153">+IFERROR(INDEX(#REF!,SMALL(IF((#REF!&gt;8)*(#REF!&lt;12),ROW(#REF!)-14),ROWS($1:14))),"")</f>
        <v/>
      </c>
    </row>
    <row r="154" spans="1:19" ht="15" x14ac:dyDescent="0.25">
      <c r="B154" s="36">
        <v>15</v>
      </c>
      <c r="C154" s="331" t="str">
        <f t="array" ref="C154">+IFERROR(INDEX(#REF!,SMALL(IF((#REF!&gt;0)*(#REF!&lt;4),ROW(#REF!)-14),ROWS($1:15))),"")</f>
        <v/>
      </c>
      <c r="D154" s="13"/>
      <c r="E154" s="332" t="str">
        <f t="array" ref="E154">+IFERROR(INDEX(#REF!,SMALL(IF((#REF!&gt;0)*(#REF!&lt;4),ROW(#REF!)-14),ROWS($1:15))),"")</f>
        <v/>
      </c>
      <c r="F154" s="13"/>
      <c r="G154" s="333" t="str">
        <f t="array" ref="G154">+IFERROR(INDEX(#REF!,SMALL(IF((#REF!&gt;0)*(#REF!&lt;4),ROW(#REF!)-14),ROWS($1:15))),"")</f>
        <v/>
      </c>
      <c r="H154" s="13"/>
      <c r="I154" s="334" t="str">
        <f t="array" ref="I154">+IFERROR(INDEX(#REF!,SMALL(IF((#REF!&gt;4)*(#REF!&lt;8),ROW(#REF!)-14),ROWS($1:15))),"")</f>
        <v/>
      </c>
      <c r="J154" s="13"/>
      <c r="K154" s="335" t="str">
        <f t="array" ref="K154">+IFERROR(INDEX(#REF!,SMALL(IF((#REF!&gt;4)*(#REF!&lt;8),ROW(#REF!)-14),ROWS($1:15))),"")</f>
        <v/>
      </c>
      <c r="L154" s="13"/>
      <c r="M154" s="336" t="str">
        <f t="array" ref="M154">+IFERROR(INDEX(#REF!,SMALL(IF((#REF!&gt;4)*(#REF!&lt;8),ROW(#REF!)-14),ROWS($1:15))),"")</f>
        <v/>
      </c>
      <c r="N154" s="13"/>
      <c r="O154" s="337" t="str">
        <f t="array" ref="O154">+IFERROR(INDEX(#REF!,SMALL(IF((#REF!&gt;8)*(#REF!&lt;12),ROW(#REF!)-14),ROWS($1:15))),"")</f>
        <v/>
      </c>
      <c r="P154" s="13"/>
      <c r="Q154" s="338" t="str">
        <f t="array" ref="Q154">+IFERROR(INDEX(#REF!,SMALL(IF((#REF!&gt;8)*(#REF!&lt;12),ROW(#REF!)-14),ROWS($1:15))),"")</f>
        <v/>
      </c>
      <c r="R154" s="13"/>
      <c r="S154" s="339" t="str">
        <f t="array" ref="S154">+IFERROR(INDEX(#REF!,SMALL(IF((#REF!&gt;8)*(#REF!&lt;12),ROW(#REF!)-14),ROWS($1:15))),"")</f>
        <v/>
      </c>
    </row>
    <row r="155" spans="1:19" ht="15" x14ac:dyDescent="0.25">
      <c r="B155" s="36">
        <v>16</v>
      </c>
      <c r="C155" s="341" t="str">
        <f t="array" ref="C155">+IFERROR(INDEX(#REF!,SMALL(IF((#REF!&gt;0)*(#REF!&lt;4),ROW(#REF!)-14),ROWS($1:16))),"")</f>
        <v/>
      </c>
      <c r="D155" s="13"/>
      <c r="E155" s="342" t="str">
        <f t="array" ref="E155">+IFERROR(INDEX(#REF!,SMALL(IF((#REF!&gt;0)*(#REF!&lt;4),ROW(#REF!)-14),ROWS($1:16))),"")</f>
        <v/>
      </c>
      <c r="F155" s="13"/>
      <c r="G155" s="343" t="str">
        <f t="array" ref="G155">+IFERROR(INDEX(#REF!,SMALL(IF((#REF!&gt;0)*(#REF!&lt;4),ROW(#REF!)-14),ROWS($1:16))),"")</f>
        <v/>
      </c>
      <c r="H155" s="13"/>
      <c r="I155" s="344" t="str">
        <f t="array" ref="I155">+IFERROR(INDEX(#REF!,SMALL(IF((#REF!&gt;4)*(#REF!&lt;8),ROW(#REF!)-14),ROWS($1:16))),"")</f>
        <v/>
      </c>
      <c r="J155" s="13"/>
      <c r="K155" s="345" t="str">
        <f t="array" ref="K155">+IFERROR(INDEX(#REF!,SMALL(IF((#REF!&gt;4)*(#REF!&lt;8),ROW(#REF!)-14),ROWS($1:16))),"")</f>
        <v/>
      </c>
      <c r="L155" s="13"/>
      <c r="M155" s="346" t="str">
        <f t="array" ref="M155">+IFERROR(INDEX(#REF!,SMALL(IF((#REF!&gt;4)*(#REF!&lt;8),ROW(#REF!)-14),ROWS($1:16))),"")</f>
        <v/>
      </c>
      <c r="N155" s="13"/>
      <c r="O155" s="347" t="str">
        <f t="array" ref="O155">+IFERROR(INDEX(#REF!,SMALL(IF((#REF!&gt;8)*(#REF!&lt;12),ROW(#REF!)-14),ROWS($1:16))),"")</f>
        <v/>
      </c>
      <c r="P155" s="13"/>
      <c r="Q155" s="348" t="str">
        <f t="array" ref="Q155">+IFERROR(INDEX(#REF!,SMALL(IF((#REF!&gt;8)*(#REF!&lt;12),ROW(#REF!)-14),ROWS($1:16))),"")</f>
        <v/>
      </c>
      <c r="R155" s="13"/>
      <c r="S155" s="349" t="str">
        <f t="array" ref="S155">+IFERROR(INDEX(#REF!,SMALL(IF((#REF!&gt;8)*(#REF!&lt;12),ROW(#REF!)-14),ROWS($1:16))),"")</f>
        <v/>
      </c>
    </row>
    <row r="156" spans="1:19" ht="15" x14ac:dyDescent="0.25">
      <c r="B156" s="36">
        <v>17</v>
      </c>
      <c r="C156" s="331" t="str">
        <f t="array" ref="C156">+IFERROR(INDEX(#REF!,SMALL(IF((#REF!&gt;0)*(#REF!&lt;4),ROW(#REF!)-14),ROWS($1:17))),"")</f>
        <v/>
      </c>
      <c r="D156" s="13"/>
      <c r="E156" s="332" t="str">
        <f t="array" ref="E156">+IFERROR(INDEX(#REF!,SMALL(IF((#REF!&gt;0)*(#REF!&lt;4),ROW(#REF!)-14),ROWS($1:17))),"")</f>
        <v/>
      </c>
      <c r="F156" s="13"/>
      <c r="G156" s="333" t="str">
        <f t="array" ref="G156">+IFERROR(INDEX(#REF!,SMALL(IF((#REF!&gt;0)*(#REF!&lt;4),ROW(#REF!)-14),ROWS($1:17))),"")</f>
        <v/>
      </c>
      <c r="H156" s="13"/>
      <c r="I156" s="334" t="str">
        <f t="array" ref="I156">+IFERROR(INDEX(#REF!,SMALL(IF((#REF!&gt;4)*(#REF!&lt;8),ROW(#REF!)-14),ROWS($1:17))),"")</f>
        <v/>
      </c>
      <c r="J156" s="13"/>
      <c r="K156" s="335" t="str">
        <f t="array" ref="K156">+IFERROR(INDEX(#REF!,SMALL(IF((#REF!&gt;4)*(#REF!&lt;8),ROW(#REF!)-14),ROWS($1:17))),"")</f>
        <v/>
      </c>
      <c r="L156" s="13"/>
      <c r="M156" s="336" t="str">
        <f t="array" ref="M156">+IFERROR(INDEX(#REF!,SMALL(IF((#REF!&gt;4)*(#REF!&lt;8),ROW(#REF!)-14),ROWS($1:17))),"")</f>
        <v/>
      </c>
      <c r="N156" s="13"/>
      <c r="O156" s="337" t="str">
        <f t="array" ref="O156">+IFERROR(INDEX(#REF!,SMALL(IF((#REF!&gt;8)*(#REF!&lt;12),ROW(#REF!)-14),ROWS($1:17))),"")</f>
        <v/>
      </c>
      <c r="P156" s="13"/>
      <c r="Q156" s="338" t="str">
        <f t="array" ref="Q156">+IFERROR(INDEX(#REF!,SMALL(IF((#REF!&gt;8)*(#REF!&lt;12),ROW(#REF!)-14),ROWS($1:17))),"")</f>
        <v/>
      </c>
      <c r="R156" s="13"/>
      <c r="S156" s="339" t="str">
        <f t="array" ref="S156">+IFERROR(INDEX(#REF!,SMALL(IF((#REF!&gt;8)*(#REF!&lt;12),ROW(#REF!)-14),ROWS($1:17))),"")</f>
        <v/>
      </c>
    </row>
    <row r="157" spans="1:19" ht="15" x14ac:dyDescent="0.25">
      <c r="B157" s="36">
        <v>18</v>
      </c>
      <c r="C157" s="341" t="str">
        <f t="array" ref="C157">+IFERROR(INDEX(#REF!,SMALL(IF((#REF!&gt;0)*(#REF!&lt;4),ROW(#REF!)-14),ROWS($1:18))),"")</f>
        <v/>
      </c>
      <c r="D157" s="13"/>
      <c r="E157" s="342" t="str">
        <f t="array" ref="E157">+IFERROR(INDEX(#REF!,SMALL(IF((#REF!&gt;0)*(#REF!&lt;4),ROW(#REF!)-14),ROWS($1:18))),"")</f>
        <v/>
      </c>
      <c r="F157" s="13"/>
      <c r="G157" s="343" t="str">
        <f t="array" ref="G157">+IFERROR(INDEX(#REF!,SMALL(IF((#REF!&gt;0)*(#REF!&lt;4),ROW(#REF!)-14),ROWS($1:18))),"")</f>
        <v/>
      </c>
      <c r="H157" s="13"/>
      <c r="I157" s="344" t="str">
        <f t="array" ref="I157">+IFERROR(INDEX(#REF!,SMALL(IF((#REF!&gt;4)*(#REF!&lt;8),ROW(#REF!)-14),ROWS($1:18))),"")</f>
        <v/>
      </c>
      <c r="J157" s="13"/>
      <c r="K157" s="345" t="str">
        <f t="array" ref="K157">+IFERROR(INDEX(#REF!,SMALL(IF((#REF!&gt;4)*(#REF!&lt;8),ROW(#REF!)-14),ROWS($1:18))),"")</f>
        <v/>
      </c>
      <c r="L157" s="13"/>
      <c r="M157" s="346" t="str">
        <f t="array" ref="M157">+IFERROR(INDEX(#REF!,SMALL(IF((#REF!&gt;4)*(#REF!&lt;8),ROW(#REF!)-14),ROWS($1:18))),"")</f>
        <v/>
      </c>
      <c r="N157" s="13"/>
      <c r="O157" s="347" t="str">
        <f t="array" ref="O157">+IFERROR(INDEX(#REF!,SMALL(IF((#REF!&gt;8)*(#REF!&lt;12),ROW(#REF!)-14),ROWS($1:18))),"")</f>
        <v/>
      </c>
      <c r="P157" s="13"/>
      <c r="Q157" s="348" t="str">
        <f t="array" ref="Q157">+IFERROR(INDEX(#REF!,SMALL(IF((#REF!&gt;8)*(#REF!&lt;12),ROW(#REF!)-14),ROWS($1:18))),"")</f>
        <v/>
      </c>
      <c r="R157" s="13"/>
      <c r="S157" s="349" t="str">
        <f t="array" ref="S157">+IFERROR(INDEX(#REF!,SMALL(IF((#REF!&gt;8)*(#REF!&lt;12),ROW(#REF!)-14),ROWS($1:18))),"")</f>
        <v/>
      </c>
    </row>
    <row r="158" spans="1:19" ht="15" x14ac:dyDescent="0.25">
      <c r="B158" s="36">
        <v>19</v>
      </c>
      <c r="C158" s="331" t="str">
        <f t="array" ref="C158">+IFERROR(INDEX(#REF!,SMALL(IF((#REF!&gt;0)*(#REF!&lt;4),ROW(#REF!)-14),ROWS($1:19))),"")</f>
        <v/>
      </c>
      <c r="D158" s="13"/>
      <c r="E158" s="332" t="str">
        <f t="array" ref="E158">+IFERROR(INDEX(#REF!,SMALL(IF((#REF!&gt;0)*(#REF!&lt;4),ROW(#REF!)-14),ROWS($1:19))),"")</f>
        <v/>
      </c>
      <c r="F158" s="13"/>
      <c r="G158" s="333" t="str">
        <f t="array" ref="G158">+IFERROR(INDEX(#REF!,SMALL(IF((#REF!&gt;0)*(#REF!&lt;4),ROW(#REF!)-14),ROWS($1:19))),"")</f>
        <v/>
      </c>
      <c r="H158" s="13"/>
      <c r="I158" s="334" t="str">
        <f t="array" ref="I158">+IFERROR(INDEX(#REF!,SMALL(IF((#REF!&gt;4)*(#REF!&lt;8),ROW(#REF!)-14),ROWS($1:19))),"")</f>
        <v/>
      </c>
      <c r="J158" s="13"/>
      <c r="K158" s="335" t="str">
        <f t="array" ref="K158">+IFERROR(INDEX(#REF!,SMALL(IF((#REF!&gt;4)*(#REF!&lt;8),ROW(#REF!)-14),ROWS($1:19))),"")</f>
        <v/>
      </c>
      <c r="L158" s="13"/>
      <c r="M158" s="336" t="str">
        <f t="array" ref="M158">+IFERROR(INDEX(#REF!,SMALL(IF((#REF!&gt;4)*(#REF!&lt;8),ROW(#REF!)-14),ROWS($1:19))),"")</f>
        <v/>
      </c>
      <c r="N158" s="13"/>
      <c r="O158" s="337" t="str">
        <f t="array" ref="O158">+IFERROR(INDEX(#REF!,SMALL(IF((#REF!&gt;8)*(#REF!&lt;12),ROW(#REF!)-14),ROWS($1:19))),"")</f>
        <v/>
      </c>
      <c r="P158" s="13"/>
      <c r="Q158" s="338" t="str">
        <f t="array" ref="Q158">+IFERROR(INDEX(#REF!,SMALL(IF((#REF!&gt;8)*(#REF!&lt;12),ROW(#REF!)-14),ROWS($1:19))),"")</f>
        <v/>
      </c>
      <c r="R158" s="13"/>
      <c r="S158" s="339" t="str">
        <f t="array" ref="S158">+IFERROR(INDEX(#REF!,SMALL(IF((#REF!&gt;8)*(#REF!&lt;12),ROW(#REF!)-14),ROWS($1:19))),"")</f>
        <v/>
      </c>
    </row>
    <row r="159" spans="1:19" ht="15" x14ac:dyDescent="0.25">
      <c r="B159" s="36">
        <v>20</v>
      </c>
      <c r="C159" s="341" t="str">
        <f t="array" ref="C159">+IFERROR(INDEX(#REF!,SMALL(IF((#REF!&gt;0)*(#REF!&lt;4),ROW(#REF!)-14),ROWS($1:20))),"")</f>
        <v/>
      </c>
      <c r="D159" s="13"/>
      <c r="E159" s="342" t="str">
        <f t="array" ref="E159">+IFERROR(INDEX(#REF!,SMALL(IF((#REF!&gt;0)*(#REF!&lt;4),ROW(#REF!)-14),ROWS($1:20))),"")</f>
        <v/>
      </c>
      <c r="F159" s="13"/>
      <c r="G159" s="343" t="str">
        <f t="array" ref="G159">+IFERROR(INDEX(#REF!,SMALL(IF((#REF!&gt;0)*(#REF!&lt;4),ROW(#REF!)-14),ROWS($1:20))),"")</f>
        <v/>
      </c>
      <c r="H159" s="13"/>
      <c r="I159" s="344" t="str">
        <f t="array" ref="I159">+IFERROR(INDEX(#REF!,SMALL(IF((#REF!&gt;4)*(#REF!&lt;8),ROW(#REF!)-14),ROWS($1:20))),"")</f>
        <v/>
      </c>
      <c r="J159" s="13"/>
      <c r="K159" s="345" t="str">
        <f t="array" ref="K159">+IFERROR(INDEX(#REF!,SMALL(IF((#REF!&gt;4)*(#REF!&lt;8),ROW(#REF!)-14),ROWS($1:20))),"")</f>
        <v/>
      </c>
      <c r="L159" s="13"/>
      <c r="M159" s="346" t="str">
        <f t="array" ref="M159">+IFERROR(INDEX(#REF!,SMALL(IF((#REF!&gt;4)*(#REF!&lt;8),ROW(#REF!)-14),ROWS($1:20))),"")</f>
        <v/>
      </c>
      <c r="N159" s="13"/>
      <c r="O159" s="347" t="str">
        <f t="array" ref="O159">+IFERROR(INDEX(#REF!,SMALL(IF((#REF!&gt;8)*(#REF!&lt;12),ROW(#REF!)-14),ROWS($1:20))),"")</f>
        <v/>
      </c>
      <c r="P159" s="13"/>
      <c r="Q159" s="348" t="str">
        <f t="array" ref="Q159">+IFERROR(INDEX(#REF!,SMALL(IF((#REF!&gt;8)*(#REF!&lt;12),ROW(#REF!)-14),ROWS($1:20))),"")</f>
        <v/>
      </c>
      <c r="R159" s="13"/>
      <c r="S159" s="349" t="str">
        <f t="array" ref="S159">+IFERROR(INDEX(#REF!,SMALL(IF((#REF!&gt;8)*(#REF!&lt;12),ROW(#REF!)-14),ROWS($1:20))),"")</f>
        <v/>
      </c>
    </row>
    <row r="160" spans="1:19" ht="15" x14ac:dyDescent="0.25">
      <c r="B160" s="36">
        <v>21</v>
      </c>
      <c r="C160" s="331" t="str">
        <f t="array" ref="C160">+IFERROR(INDEX(#REF!,SMALL(IF((#REF!&gt;0)*(#REF!&lt;4),ROW(#REF!)-14),ROWS($1:21))),"")</f>
        <v/>
      </c>
      <c r="D160" s="13"/>
      <c r="E160" s="332" t="str">
        <f t="array" ref="E160">+IFERROR(INDEX(#REF!,SMALL(IF((#REF!&gt;0)*(#REF!&lt;4),ROW(#REF!)-14),ROWS($1:21))),"")</f>
        <v/>
      </c>
      <c r="F160" s="13"/>
      <c r="G160" s="333" t="str">
        <f t="array" ref="G160">+IFERROR(INDEX(#REF!,SMALL(IF((#REF!&gt;0)*(#REF!&lt;4),ROW(#REF!)-14),ROWS($1:21))),"")</f>
        <v/>
      </c>
      <c r="H160" s="13"/>
      <c r="I160" s="334" t="str">
        <f t="array" ref="I160">+IFERROR(INDEX(#REF!,SMALL(IF((#REF!&gt;4)*(#REF!&lt;8),ROW(#REF!)-14),ROWS($1:21))),"")</f>
        <v/>
      </c>
      <c r="J160" s="13"/>
      <c r="K160" s="335" t="str">
        <f t="array" ref="K160">+IFERROR(INDEX(#REF!,SMALL(IF((#REF!&gt;4)*(#REF!&lt;8),ROW(#REF!)-14),ROWS($1:21))),"")</f>
        <v/>
      </c>
      <c r="L160" s="13"/>
      <c r="M160" s="336" t="str">
        <f t="array" ref="M160">+IFERROR(INDEX(#REF!,SMALL(IF((#REF!&gt;4)*(#REF!&lt;8),ROW(#REF!)-14),ROWS($1:21))),"")</f>
        <v/>
      </c>
      <c r="N160" s="13"/>
      <c r="O160" s="337" t="str">
        <f t="array" ref="O160">+IFERROR(INDEX(#REF!,SMALL(IF((#REF!&gt;8)*(#REF!&lt;12),ROW(#REF!)-14),ROWS($1:21))),"")</f>
        <v/>
      </c>
      <c r="P160" s="13"/>
      <c r="Q160" s="338" t="str">
        <f t="array" ref="Q160">+IFERROR(INDEX(#REF!,SMALL(IF((#REF!&gt;8)*(#REF!&lt;12),ROW(#REF!)-14),ROWS($1:21))),"")</f>
        <v/>
      </c>
      <c r="R160" s="13"/>
      <c r="S160" s="339" t="str">
        <f t="array" ref="S160">+IFERROR(INDEX(#REF!,SMALL(IF((#REF!&gt;8)*(#REF!&lt;12),ROW(#REF!)-14),ROWS($1:21))),"")</f>
        <v/>
      </c>
    </row>
    <row r="161" spans="2:19" ht="15" x14ac:dyDescent="0.25">
      <c r="B161" s="36">
        <v>22</v>
      </c>
      <c r="C161" s="341" t="str">
        <f t="array" ref="C161">+IFERROR(INDEX(#REF!,SMALL(IF((#REF!&gt;0)*(#REF!&lt;4),ROW(#REF!)-14),ROWS($1:22))),"")</f>
        <v/>
      </c>
      <c r="D161" s="13"/>
      <c r="E161" s="342" t="str">
        <f t="array" ref="E161">+IFERROR(INDEX(#REF!,SMALL(IF((#REF!&gt;0)*(#REF!&lt;4),ROW(#REF!)-14),ROWS($1:22))),"")</f>
        <v/>
      </c>
      <c r="F161" s="13"/>
      <c r="G161" s="343" t="str">
        <f t="array" ref="G161">+IFERROR(INDEX(#REF!,SMALL(IF((#REF!&gt;0)*(#REF!&lt;4),ROW(#REF!)-14),ROWS($1:22))),"")</f>
        <v/>
      </c>
      <c r="H161" s="13"/>
      <c r="I161" s="344" t="str">
        <f t="array" ref="I161">+IFERROR(INDEX(#REF!,SMALL(IF((#REF!&gt;4)*(#REF!&lt;8),ROW(#REF!)-14),ROWS($1:22))),"")</f>
        <v/>
      </c>
      <c r="J161" s="13"/>
      <c r="K161" s="345" t="str">
        <f t="array" ref="K161">+IFERROR(INDEX(#REF!,SMALL(IF((#REF!&gt;4)*(#REF!&lt;8),ROW(#REF!)-14),ROWS($1:22))),"")</f>
        <v/>
      </c>
      <c r="L161" s="13"/>
      <c r="M161" s="346" t="str">
        <f t="array" ref="M161">+IFERROR(INDEX(#REF!,SMALL(IF((#REF!&gt;4)*(#REF!&lt;8),ROW(#REF!)-14),ROWS($1:22))),"")</f>
        <v/>
      </c>
      <c r="N161" s="13"/>
      <c r="O161" s="347" t="str">
        <f t="array" ref="O161">+IFERROR(INDEX(#REF!,SMALL(IF((#REF!&gt;8)*(#REF!&lt;12),ROW(#REF!)-14),ROWS($1:22))),"")</f>
        <v/>
      </c>
      <c r="P161" s="13"/>
      <c r="Q161" s="348" t="str">
        <f t="array" ref="Q161">+IFERROR(INDEX(#REF!,SMALL(IF((#REF!&gt;8)*(#REF!&lt;12),ROW(#REF!)-14),ROWS($1:22))),"")</f>
        <v/>
      </c>
      <c r="R161" s="13"/>
      <c r="S161" s="349" t="str">
        <f t="array" ref="S161">+IFERROR(INDEX(#REF!,SMALL(IF((#REF!&gt;8)*(#REF!&lt;12),ROW(#REF!)-14),ROWS($1:22))),"")</f>
        <v/>
      </c>
    </row>
    <row r="162" spans="2:19" ht="15" x14ac:dyDescent="0.25">
      <c r="B162" s="36">
        <v>23</v>
      </c>
      <c r="C162" s="331" t="str">
        <f t="array" ref="C162">+IFERROR(INDEX(#REF!,SMALL(IF((#REF!&gt;0)*(#REF!&lt;4),ROW(#REF!)-14),ROWS($1:23))),"")</f>
        <v/>
      </c>
      <c r="D162" s="13"/>
      <c r="E162" s="332" t="str">
        <f t="array" ref="E162">+IFERROR(INDEX(#REF!,SMALL(IF((#REF!&gt;0)*(#REF!&lt;4),ROW(#REF!)-14),ROWS($1:23))),"")</f>
        <v/>
      </c>
      <c r="F162" s="13"/>
      <c r="G162" s="333" t="str">
        <f t="array" ref="G162">+IFERROR(INDEX(#REF!,SMALL(IF((#REF!&gt;0)*(#REF!&lt;4),ROW(#REF!)-14),ROWS($1:23))),"")</f>
        <v/>
      </c>
      <c r="H162" s="13"/>
      <c r="I162" s="334" t="str">
        <f t="array" ref="I162">+IFERROR(INDEX(#REF!,SMALL(IF((#REF!&gt;4)*(#REF!&lt;8),ROW(#REF!)-14),ROWS($1:23))),"")</f>
        <v/>
      </c>
      <c r="J162" s="13"/>
      <c r="K162" s="335" t="str">
        <f t="array" ref="K162">+IFERROR(INDEX(#REF!,SMALL(IF((#REF!&gt;4)*(#REF!&lt;8),ROW(#REF!)-14),ROWS($1:23))),"")</f>
        <v/>
      </c>
      <c r="L162" s="13"/>
      <c r="M162" s="336" t="str">
        <f t="array" ref="M162">+IFERROR(INDEX(#REF!,SMALL(IF((#REF!&gt;4)*(#REF!&lt;8),ROW(#REF!)-14),ROWS($1:23))),"")</f>
        <v/>
      </c>
      <c r="N162" s="13"/>
      <c r="O162" s="337" t="str">
        <f t="array" ref="O162">+IFERROR(INDEX(#REF!,SMALL(IF((#REF!&gt;8)*(#REF!&lt;12),ROW(#REF!)-14),ROWS($1:23))),"")</f>
        <v/>
      </c>
      <c r="P162" s="13"/>
      <c r="Q162" s="338" t="str">
        <f t="array" ref="Q162">+IFERROR(INDEX(#REF!,SMALL(IF((#REF!&gt;8)*(#REF!&lt;12),ROW(#REF!)-14),ROWS($1:23))),"")</f>
        <v/>
      </c>
      <c r="R162" s="13"/>
      <c r="S162" s="339" t="str">
        <f t="array" ref="S162">+IFERROR(INDEX(#REF!,SMALL(IF((#REF!&gt;8)*(#REF!&lt;12),ROW(#REF!)-14),ROWS($1:23))),"")</f>
        <v/>
      </c>
    </row>
    <row r="163" spans="2:19" ht="15" x14ac:dyDescent="0.25">
      <c r="B163" s="36">
        <v>24</v>
      </c>
      <c r="C163" s="341" t="str">
        <f t="array" ref="C163">+IFERROR(INDEX(#REF!,SMALL(IF((#REF!&gt;0)*(#REF!&lt;4),ROW(#REF!)-14),ROWS($1:24))),"")</f>
        <v/>
      </c>
      <c r="D163" s="13"/>
      <c r="E163" s="342" t="str">
        <f t="array" ref="E163">+IFERROR(INDEX(#REF!,SMALL(IF((#REF!&gt;0)*(#REF!&lt;4),ROW(#REF!)-14),ROWS($1:24))),"")</f>
        <v/>
      </c>
      <c r="F163" s="13"/>
      <c r="G163" s="343" t="str">
        <f t="array" ref="G163">+IFERROR(INDEX(#REF!,SMALL(IF((#REF!&gt;0)*(#REF!&lt;4),ROW(#REF!)-14),ROWS($1:24))),"")</f>
        <v/>
      </c>
      <c r="H163" s="13"/>
      <c r="I163" s="344" t="str">
        <f t="array" ref="I163">+IFERROR(INDEX(#REF!,SMALL(IF((#REF!&gt;4)*(#REF!&lt;8),ROW(#REF!)-14),ROWS($1:24))),"")</f>
        <v/>
      </c>
      <c r="J163" s="13"/>
      <c r="K163" s="345" t="str">
        <f t="array" ref="K163">+IFERROR(INDEX(#REF!,SMALL(IF((#REF!&gt;4)*(#REF!&lt;8),ROW(#REF!)-14),ROWS($1:24))),"")</f>
        <v/>
      </c>
      <c r="L163" s="13"/>
      <c r="M163" s="346" t="str">
        <f t="array" ref="M163">+IFERROR(INDEX(#REF!,SMALL(IF((#REF!&gt;4)*(#REF!&lt;8),ROW(#REF!)-14),ROWS($1:24))),"")</f>
        <v/>
      </c>
      <c r="N163" s="13"/>
      <c r="O163" s="347" t="str">
        <f t="array" ref="O163">+IFERROR(INDEX(#REF!,SMALL(IF((#REF!&gt;8)*(#REF!&lt;12),ROW(#REF!)-14),ROWS($1:24))),"")</f>
        <v/>
      </c>
      <c r="P163" s="13"/>
      <c r="Q163" s="348" t="str">
        <f t="array" ref="Q163">+IFERROR(INDEX(#REF!,SMALL(IF((#REF!&gt;8)*(#REF!&lt;12),ROW(#REF!)-14),ROWS($1:24))),"")</f>
        <v/>
      </c>
      <c r="R163" s="13"/>
      <c r="S163" s="349" t="str">
        <f t="array" ref="S163">+IFERROR(INDEX(#REF!,SMALL(IF((#REF!&gt;8)*(#REF!&lt;12),ROW(#REF!)-14),ROWS($1:24))),"")</f>
        <v/>
      </c>
    </row>
    <row r="164" spans="2:19" ht="15" x14ac:dyDescent="0.25">
      <c r="B164" s="36">
        <v>25</v>
      </c>
      <c r="C164" s="331" t="str">
        <f t="array" ref="C164">+IFERROR(INDEX(#REF!,SMALL(IF((#REF!&gt;0)*(#REF!&lt;4),ROW(#REF!)-14),ROWS($1:25))),"")</f>
        <v/>
      </c>
      <c r="D164" s="13"/>
      <c r="E164" s="332" t="str">
        <f t="array" ref="E164">+IFERROR(INDEX(#REF!,SMALL(IF((#REF!&gt;0)*(#REF!&lt;4),ROW(#REF!)-14),ROWS($1:25))),"")</f>
        <v/>
      </c>
      <c r="F164" s="13"/>
      <c r="G164" s="333" t="str">
        <f t="array" ref="G164">+IFERROR(INDEX(#REF!,SMALL(IF((#REF!&gt;0)*(#REF!&lt;4),ROW(#REF!)-14),ROWS($1:25))),"")</f>
        <v/>
      </c>
      <c r="H164" s="13"/>
      <c r="I164" s="334" t="str">
        <f t="array" ref="I164">+IFERROR(INDEX(#REF!,SMALL(IF((#REF!&gt;4)*(#REF!&lt;8),ROW(#REF!)-14),ROWS($1:25))),"")</f>
        <v/>
      </c>
      <c r="J164" s="13"/>
      <c r="K164" s="335" t="str">
        <f t="array" ref="K164">+IFERROR(INDEX(#REF!,SMALL(IF((#REF!&gt;4)*(#REF!&lt;8),ROW(#REF!)-14),ROWS($1:25))),"")</f>
        <v/>
      </c>
      <c r="L164" s="13"/>
      <c r="M164" s="336" t="str">
        <f t="array" ref="M164">+IFERROR(INDEX(#REF!,SMALL(IF((#REF!&gt;4)*(#REF!&lt;8),ROW(#REF!)-14),ROWS($1:25))),"")</f>
        <v/>
      </c>
      <c r="N164" s="13"/>
      <c r="O164" s="337" t="str">
        <f t="array" ref="O164">+IFERROR(INDEX(#REF!,SMALL(IF((#REF!&gt;8)*(#REF!&lt;12),ROW(#REF!)-14),ROWS($1:25))),"")</f>
        <v/>
      </c>
      <c r="P164" s="13"/>
      <c r="Q164" s="338" t="str">
        <f t="array" ref="Q164">+IFERROR(INDEX(#REF!,SMALL(IF((#REF!&gt;8)*(#REF!&lt;12),ROW(#REF!)-14),ROWS($1:25))),"")</f>
        <v/>
      </c>
      <c r="R164" s="13"/>
      <c r="S164" s="339" t="str">
        <f t="array" ref="S164">+IFERROR(INDEX(#REF!,SMALL(IF((#REF!&gt;8)*(#REF!&lt;12),ROW(#REF!)-14),ROWS($1:25))),"")</f>
        <v/>
      </c>
    </row>
    <row r="166" spans="2:19" x14ac:dyDescent="0.25">
      <c r="C166" s="16">
        <f>COUNTA(C140:C164)</f>
        <v>25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14"/>
  <sheetViews>
    <sheetView showGridLines="0" tabSelected="1" zoomScale="70" zoomScaleNormal="70" workbookViewId="0">
      <selection activeCell="L6" sqref="L6"/>
    </sheetView>
  </sheetViews>
  <sheetFormatPr baseColWidth="10" defaultColWidth="11.42578125" defaultRowHeight="16.5" x14ac:dyDescent="0.25"/>
  <cols>
    <col min="1" max="1" width="4.28515625" style="315" customWidth="1"/>
    <col min="2" max="2" width="45.7109375" style="16" customWidth="1"/>
    <col min="3" max="3" width="0.5703125" style="59" customWidth="1"/>
    <col min="4" max="4" width="6.7109375" style="84" customWidth="1"/>
    <col min="5" max="5" width="0.5703125" style="59" customWidth="1"/>
    <col min="6" max="6" width="15.7109375" style="16" customWidth="1"/>
    <col min="7" max="7" width="1.85546875" style="59" customWidth="1"/>
    <col min="8" max="8" width="45.7109375" style="16" customWidth="1"/>
    <col min="9" max="9" width="0.5703125" style="59" customWidth="1"/>
    <col min="10" max="10" width="6.7109375" style="16" customWidth="1"/>
    <col min="11" max="11" width="0.5703125" style="59" customWidth="1"/>
    <col min="12" max="12" width="15.7109375" style="16" customWidth="1"/>
    <col min="13" max="13" width="1.85546875" style="59" customWidth="1"/>
    <col min="14" max="14" width="45.7109375" style="16" customWidth="1"/>
    <col min="15" max="15" width="0.5703125" style="59" customWidth="1"/>
    <col min="16" max="16" width="6.7109375" style="16" customWidth="1"/>
    <col min="17" max="17" width="0.5703125" style="59" customWidth="1"/>
    <col min="18" max="18" width="15.7109375" style="16" customWidth="1"/>
    <col min="19" max="22" width="11.42578125" style="16"/>
    <col min="23" max="23" width="24.28515625" style="16" bestFit="1" customWidth="1"/>
    <col min="24" max="24" width="2.28515625" style="16" customWidth="1"/>
    <col min="25" max="25" width="19.7109375" style="16" customWidth="1"/>
    <col min="26" max="16384" width="11.42578125" style="16"/>
  </cols>
  <sheetData>
    <row r="1" spans="1:26" ht="23.25" x14ac:dyDescent="0.25">
      <c r="B1" s="316" t="s">
        <v>538</v>
      </c>
      <c r="C1" s="317"/>
      <c r="D1" s="318"/>
      <c r="E1" s="317"/>
      <c r="F1" s="106"/>
      <c r="G1" s="317"/>
      <c r="H1" s="106"/>
      <c r="I1" s="317"/>
      <c r="J1" s="106"/>
      <c r="K1" s="317"/>
      <c r="L1" s="106"/>
      <c r="M1" s="317"/>
      <c r="N1" s="106"/>
      <c r="O1" s="317"/>
      <c r="P1" s="106"/>
      <c r="Q1" s="317"/>
      <c r="R1" s="106"/>
    </row>
    <row r="2" spans="1:26" x14ac:dyDescent="0.25">
      <c r="F2" s="108" t="s">
        <v>539</v>
      </c>
      <c r="H2" s="42" t="e">
        <f>SUMIFS(#REF!,#REF!,"&gt;="&amp;0,#REF!,"&lt;="&amp;4)</f>
        <v>#REF!</v>
      </c>
      <c r="J2" s="42"/>
      <c r="L2" s="319" t="e">
        <f>H2/#REF!</f>
        <v>#REF!</v>
      </c>
      <c r="N2" s="16" t="s">
        <v>539</v>
      </c>
      <c r="R2" s="320" t="e">
        <f>-H2</f>
        <v>#REF!</v>
      </c>
      <c r="S2" s="319" t="e">
        <f>L2</f>
        <v>#REF!</v>
      </c>
      <c r="T2" s="16" t="e">
        <f>COUNTIFS(#REF!,"&gt;="&amp;1,#REF!,"&lt;="&amp;4)</f>
        <v>#REF!</v>
      </c>
    </row>
    <row r="3" spans="1:26" x14ac:dyDescent="0.25">
      <c r="F3" s="108" t="s">
        <v>540</v>
      </c>
      <c r="H3" s="42" t="e">
        <f>SUMIFS(#REF!,#REF!,"&gt;="&amp;4,#REF!,"&lt;="&amp;8)</f>
        <v>#REF!</v>
      </c>
      <c r="J3" s="42"/>
      <c r="L3" s="319" t="e">
        <f>H3/#REF!</f>
        <v>#REF!</v>
      </c>
      <c r="N3" s="16" t="s">
        <v>540</v>
      </c>
      <c r="O3" s="16"/>
      <c r="Q3" s="16"/>
      <c r="R3" s="320" t="e">
        <f>-H3</f>
        <v>#REF!</v>
      </c>
      <c r="S3" s="319" t="e">
        <f>L3</f>
        <v>#REF!</v>
      </c>
      <c r="T3" s="16" t="e">
        <f>COUNTIFS(#REF!,"&gt;="&amp;4,#REF!,"&lt;="&amp;8)</f>
        <v>#REF!</v>
      </c>
    </row>
    <row r="4" spans="1:26" x14ac:dyDescent="0.25">
      <c r="F4" s="108" t="s">
        <v>628</v>
      </c>
      <c r="H4" s="42" t="e">
        <f>SUMIFS(#REF!,#REF!,"&gt;="&amp;8,#REF!,"&lt;="&amp;10)</f>
        <v>#REF!</v>
      </c>
      <c r="J4" s="42"/>
      <c r="L4" s="319" t="e">
        <f>H4/#REF!</f>
        <v>#REF!</v>
      </c>
      <c r="N4" s="311" t="s">
        <v>628</v>
      </c>
      <c r="O4" s="16"/>
      <c r="P4" s="311"/>
      <c r="Q4" s="16"/>
      <c r="R4" s="320" t="e">
        <f>-H4</f>
        <v>#REF!</v>
      </c>
      <c r="S4" s="319" t="e">
        <f>L4</f>
        <v>#REF!</v>
      </c>
      <c r="T4" s="16" t="e">
        <f>COUNTIFS(#REF!,"&gt;="&amp;8,#REF!,"&lt;="&amp;10)</f>
        <v>#REF!</v>
      </c>
      <c r="V4" s="320"/>
      <c r="W4" s="319"/>
    </row>
    <row r="6" spans="1:26" ht="19.899999999999999" customHeight="1" x14ac:dyDescent="0.25">
      <c r="B6" s="321" t="s">
        <v>598</v>
      </c>
      <c r="C6" s="322"/>
      <c r="D6" s="323" t="s">
        <v>629</v>
      </c>
      <c r="E6" s="322"/>
      <c r="F6" s="321" t="s">
        <v>539</v>
      </c>
      <c r="G6" s="324"/>
      <c r="H6" s="321" t="s">
        <v>598</v>
      </c>
      <c r="I6" s="322"/>
      <c r="J6" s="323" t="s">
        <v>629</v>
      </c>
      <c r="K6" s="322"/>
      <c r="L6" s="321" t="s">
        <v>540</v>
      </c>
      <c r="M6" s="324"/>
      <c r="N6" s="321" t="s">
        <v>598</v>
      </c>
      <c r="O6" s="322"/>
      <c r="P6" s="323" t="s">
        <v>629</v>
      </c>
      <c r="Q6" s="322"/>
      <c r="R6" s="321" t="s">
        <v>628</v>
      </c>
    </row>
    <row r="7" spans="1:26" ht="2.25" customHeight="1" x14ac:dyDescent="0.25">
      <c r="H7" s="325"/>
      <c r="J7" s="325"/>
    </row>
    <row r="8" spans="1:26" x14ac:dyDescent="0.25">
      <c r="B8" s="326">
        <f t="array" aca="1" ref="B8" ca="1">COUNTIFS('011_NANTES'!$S$15:$S$81,"&gt;="&amp;0,'011_NANTES'!$S$15:$S$81,"&lt;="&amp;4)</f>
        <v>4</v>
      </c>
      <c r="D8" s="326"/>
      <c r="F8" s="327">
        <f ca="1">SUM(F10:F34)</f>
        <v>26081</v>
      </c>
      <c r="H8" s="326" t="e">
        <f>COUNTIFS(#REF!,"&gt;="&amp;4,#REF!,"&lt;="&amp;8)</f>
        <v>#REF!</v>
      </c>
      <c r="J8" s="326"/>
      <c r="L8" s="328">
        <f>SUM(L10:L34)</f>
        <v>0</v>
      </c>
      <c r="N8" s="326" t="e">
        <f>COUNTIFS(#REF!,"&gt;="&amp;8,#REF!,"&lt;="&amp;10)</f>
        <v>#REF!</v>
      </c>
      <c r="P8" s="326"/>
      <c r="R8" s="327">
        <f>SUM(R10:R34)</f>
        <v>0</v>
      </c>
    </row>
    <row r="9" spans="1:26" ht="2.25" customHeight="1" x14ac:dyDescent="0.25">
      <c r="F9" s="329"/>
      <c r="L9" s="330"/>
      <c r="R9" s="329"/>
    </row>
    <row r="10" spans="1:26" s="14" customFormat="1" ht="16.350000000000001" customHeight="1" x14ac:dyDescent="0.25">
      <c r="A10" s="315">
        <v>1</v>
      </c>
      <c r="B10" s="341" t="str">
        <f>+IFERROR(INDEX('011_NANTES'!$C$13:$C$81,SMALL(IF(('011_NANTES'!$S$13:$S$81&gt;0),ROW('011_NANTES'!$S$13:$S$81)-15),ROWS($1:1))),"")</f>
        <v/>
      </c>
      <c r="C10" s="13"/>
      <c r="D10" s="342" t="str">
        <f t="array" aca="1" ref="D10" ca="1">+IFERROR(INDEX('011_NANTES'!$E$13:$E$81,SMALL(IF(('011_NANTES'!$S$13:$S$81&gt;0)*('011_NANTES'!$S$13:$S$81&lt;4),ROW('011_NANTES'!$S$13:$S$81)-12),ROWS($1:1))),"")</f>
        <v>DCN</v>
      </c>
      <c r="E10" s="13"/>
      <c r="F10" s="343">
        <f t="array" aca="1" ref="F10" ca="1">+IFERROR(INDEX('011_NANTES'!$G$13:$G$81,SMALL(IF(('011_NANTES'!$S$13:$S$81&gt;0)*('011_NANTES'!$S$13:$S$81&lt;4),ROW('011_NANTES'!$S$13:$S$81)-12),ROWS($1:1))),"")</f>
        <v>26081</v>
      </c>
      <c r="G10" s="13"/>
      <c r="H10" s="334"/>
      <c r="I10" s="13"/>
      <c r="J10" s="335"/>
      <c r="K10" s="13"/>
      <c r="L10" s="336"/>
      <c r="M10" s="13"/>
      <c r="N10" s="337"/>
      <c r="O10" s="13"/>
      <c r="P10" s="338"/>
      <c r="Q10" s="13"/>
      <c r="R10" s="339"/>
      <c r="Y10" s="14" t="s">
        <v>521</v>
      </c>
      <c r="Z10" s="340">
        <f ca="1">SUMIFS($F$10:$F$24,$D$10:$D$24,"dcn")+SUMIFS($L$10:$L$24,$J$10:$J$24,"dcn")</f>
        <v>26081</v>
      </c>
    </row>
    <row r="11" spans="1:26" s="14" customFormat="1" ht="16.149999999999999" customHeight="1" x14ac:dyDescent="0.25">
      <c r="A11" s="315">
        <v>2</v>
      </c>
      <c r="B11" s="331"/>
      <c r="C11" s="13"/>
      <c r="D11" s="332"/>
      <c r="E11" s="13"/>
      <c r="F11" s="333"/>
      <c r="G11" s="13"/>
      <c r="H11" s="344"/>
      <c r="I11" s="13"/>
      <c r="J11" s="345"/>
      <c r="K11" s="13"/>
      <c r="L11" s="346"/>
      <c r="M11" s="13"/>
      <c r="N11" s="347"/>
      <c r="O11" s="13"/>
      <c r="P11" s="348"/>
      <c r="Q11" s="13"/>
      <c r="R11" s="349"/>
      <c r="Y11" s="14" t="s">
        <v>580</v>
      </c>
      <c r="Z11" s="340">
        <f ca="1">SUMIFS($F$10:$F$24,$D$10:$D$24,"dI")+SUMIFS($L$10:$L$24,$J$10:$J$24,"dI")</f>
        <v>0</v>
      </c>
    </row>
    <row r="12" spans="1:26" s="14" customFormat="1" ht="16.149999999999999" customHeight="1" x14ac:dyDescent="0.25">
      <c r="A12" s="315">
        <v>3</v>
      </c>
      <c r="B12" s="341"/>
      <c r="C12" s="13"/>
      <c r="D12" s="342"/>
      <c r="E12" s="13"/>
      <c r="F12" s="343"/>
      <c r="G12" s="13"/>
      <c r="H12" s="334"/>
      <c r="I12" s="13"/>
      <c r="J12" s="335"/>
      <c r="K12" s="13"/>
      <c r="L12" s="336"/>
      <c r="M12" s="13"/>
      <c r="N12" s="337"/>
      <c r="O12" s="13"/>
      <c r="P12" s="338"/>
      <c r="Q12" s="13"/>
      <c r="R12" s="339"/>
      <c r="S12" s="350"/>
      <c r="T12" s="350"/>
      <c r="Y12" s="14" t="s">
        <v>548</v>
      </c>
      <c r="Z12" s="340">
        <f ca="1">SUMIFS($F$10:$F$24,$D$10:$D$24,"AO")+SUMIFS($L$10:$L$24,$J$10:$J$24,"AO")</f>
        <v>0</v>
      </c>
    </row>
    <row r="13" spans="1:26" s="14" customFormat="1" ht="16.149999999999999" customHeight="1" x14ac:dyDescent="0.25">
      <c r="A13" s="315">
        <v>4</v>
      </c>
      <c r="B13" s="331"/>
      <c r="C13" s="13"/>
      <c r="D13" s="332"/>
      <c r="E13" s="13"/>
      <c r="F13" s="333"/>
      <c r="G13" s="13"/>
      <c r="H13" s="344"/>
      <c r="I13" s="13"/>
      <c r="J13" s="345"/>
      <c r="K13" s="13"/>
      <c r="L13" s="346"/>
      <c r="M13" s="13"/>
      <c r="N13" s="347"/>
      <c r="O13" s="13"/>
      <c r="P13" s="348"/>
      <c r="Q13" s="13"/>
      <c r="R13" s="349"/>
      <c r="S13" s="351"/>
      <c r="T13" s="352"/>
      <c r="Y13" s="14" t="s">
        <v>547</v>
      </c>
      <c r="Z13" s="340">
        <f ca="1">SUMIFS($F$10:$F$24,$D$10:$D$24,"REG")+SUMIFS($L$10:$L$24,$J$10:$J$24,"REG")</f>
        <v>0</v>
      </c>
    </row>
    <row r="14" spans="1:26" s="14" customFormat="1" ht="16.149999999999999" customHeight="1" x14ac:dyDescent="0.25">
      <c r="A14" s="315">
        <v>5</v>
      </c>
      <c r="B14" s="341"/>
      <c r="C14" s="13"/>
      <c r="D14" s="342"/>
      <c r="E14" s="13"/>
      <c r="F14" s="343"/>
      <c r="G14" s="13"/>
      <c r="H14" s="334"/>
      <c r="I14" s="13"/>
      <c r="J14" s="335"/>
      <c r="K14" s="13"/>
      <c r="L14" s="336"/>
      <c r="M14" s="13"/>
      <c r="N14" s="337"/>
      <c r="O14" s="13"/>
      <c r="P14" s="338"/>
      <c r="Q14" s="13"/>
      <c r="R14" s="339"/>
    </row>
    <row r="15" spans="1:26" s="14" customFormat="1" ht="16.149999999999999" customHeight="1" x14ac:dyDescent="0.25">
      <c r="A15" s="315">
        <v>6</v>
      </c>
      <c r="B15" s="331"/>
      <c r="C15" s="13"/>
      <c r="D15" s="332"/>
      <c r="E15" s="13"/>
      <c r="F15" s="333"/>
      <c r="G15" s="13"/>
      <c r="H15" s="344"/>
      <c r="I15" s="13"/>
      <c r="J15" s="345"/>
      <c r="K15" s="13"/>
      <c r="L15" s="346"/>
      <c r="M15" s="13"/>
      <c r="N15" s="347"/>
      <c r="O15" s="13"/>
      <c r="P15" s="348"/>
      <c r="Q15" s="13"/>
      <c r="R15" s="349"/>
    </row>
    <row r="16" spans="1:26" s="14" customFormat="1" ht="16.149999999999999" customHeight="1" x14ac:dyDescent="0.25">
      <c r="A16" s="315">
        <v>7</v>
      </c>
      <c r="B16" s="341"/>
      <c r="C16" s="13"/>
      <c r="D16" s="342"/>
      <c r="E16" s="13"/>
      <c r="F16" s="343"/>
      <c r="G16" s="13"/>
      <c r="H16" s="334"/>
      <c r="I16" s="13"/>
      <c r="J16" s="335"/>
      <c r="K16" s="13"/>
      <c r="L16" s="336"/>
      <c r="M16" s="13"/>
      <c r="N16" s="337"/>
      <c r="O16" s="13"/>
      <c r="P16" s="338"/>
      <c r="Q16" s="13"/>
      <c r="R16" s="339"/>
    </row>
    <row r="17" spans="1:18" s="14" customFormat="1" ht="16.149999999999999" customHeight="1" x14ac:dyDescent="0.25">
      <c r="A17" s="315">
        <v>8</v>
      </c>
      <c r="B17" s="331"/>
      <c r="C17" s="13"/>
      <c r="D17" s="332"/>
      <c r="E17" s="13"/>
      <c r="F17" s="333"/>
      <c r="G17" s="13"/>
      <c r="H17" s="344"/>
      <c r="I17" s="13"/>
      <c r="J17" s="345"/>
      <c r="K17" s="13"/>
      <c r="L17" s="346"/>
      <c r="M17" s="13"/>
      <c r="N17" s="347"/>
      <c r="O17" s="13"/>
      <c r="P17" s="348"/>
      <c r="Q17" s="13"/>
      <c r="R17" s="349"/>
    </row>
    <row r="18" spans="1:18" s="14" customFormat="1" ht="16.149999999999999" customHeight="1" x14ac:dyDescent="0.25">
      <c r="A18" s="315">
        <v>9</v>
      </c>
      <c r="B18" s="341"/>
      <c r="C18" s="13"/>
      <c r="D18" s="342"/>
      <c r="E18" s="13"/>
      <c r="F18" s="343"/>
      <c r="G18" s="13"/>
      <c r="H18" s="334"/>
      <c r="I18" s="13"/>
      <c r="J18" s="335"/>
      <c r="K18" s="13"/>
      <c r="L18" s="336"/>
      <c r="M18" s="13"/>
      <c r="N18" s="337"/>
      <c r="O18" s="13"/>
      <c r="P18" s="338"/>
      <c r="Q18" s="13"/>
      <c r="R18" s="339"/>
    </row>
    <row r="19" spans="1:18" s="14" customFormat="1" ht="16.149999999999999" customHeight="1" x14ac:dyDescent="0.25">
      <c r="A19" s="315">
        <v>10</v>
      </c>
      <c r="B19" s="331"/>
      <c r="C19" s="13"/>
      <c r="D19" s="332"/>
      <c r="E19" s="13"/>
      <c r="F19" s="333"/>
      <c r="G19" s="13"/>
      <c r="H19" s="344"/>
      <c r="I19" s="13"/>
      <c r="J19" s="345"/>
      <c r="K19" s="13"/>
      <c r="L19" s="346"/>
      <c r="M19" s="13"/>
      <c r="N19" s="347"/>
      <c r="O19" s="13"/>
      <c r="P19" s="348"/>
      <c r="Q19" s="13"/>
      <c r="R19" s="349"/>
    </row>
    <row r="20" spans="1:18" s="14" customFormat="1" ht="16.149999999999999" customHeight="1" x14ac:dyDescent="0.25">
      <c r="A20" s="315">
        <v>11</v>
      </c>
      <c r="B20" s="341"/>
      <c r="C20" s="13"/>
      <c r="D20" s="342"/>
      <c r="E20" s="13"/>
      <c r="F20" s="343"/>
      <c r="G20" s="13"/>
      <c r="H20" s="334"/>
      <c r="I20" s="13"/>
      <c r="J20" s="335"/>
      <c r="K20" s="13"/>
      <c r="L20" s="336"/>
      <c r="M20" s="13"/>
      <c r="N20" s="337"/>
      <c r="O20" s="13"/>
      <c r="P20" s="338"/>
      <c r="Q20" s="13"/>
      <c r="R20" s="339"/>
    </row>
    <row r="21" spans="1:18" s="14" customFormat="1" ht="16.149999999999999" customHeight="1" x14ac:dyDescent="0.25">
      <c r="A21" s="315">
        <v>12</v>
      </c>
      <c r="B21" s="331"/>
      <c r="C21" s="13"/>
      <c r="D21" s="332"/>
      <c r="E21" s="13"/>
      <c r="F21" s="333"/>
      <c r="H21" s="344"/>
      <c r="I21" s="13"/>
      <c r="J21" s="345"/>
      <c r="K21" s="13"/>
      <c r="L21" s="346"/>
      <c r="N21" s="347"/>
      <c r="O21" s="13"/>
      <c r="P21" s="348"/>
      <c r="Q21" s="13"/>
      <c r="R21" s="349"/>
    </row>
    <row r="22" spans="1:18" s="14" customFormat="1" ht="16.149999999999999" customHeight="1" x14ac:dyDescent="0.25">
      <c r="A22" s="315">
        <v>13</v>
      </c>
      <c r="B22" s="341"/>
      <c r="C22" s="13"/>
      <c r="D22" s="342"/>
      <c r="E22" s="13"/>
      <c r="F22" s="343"/>
      <c r="H22" s="334"/>
      <c r="I22" s="13"/>
      <c r="J22" s="335"/>
      <c r="K22" s="13"/>
      <c r="L22" s="336"/>
      <c r="N22" s="337"/>
      <c r="O22" s="13"/>
      <c r="P22" s="338"/>
      <c r="Q22" s="13"/>
      <c r="R22" s="339"/>
    </row>
    <row r="23" spans="1:18" s="14" customFormat="1" ht="16.149999999999999" customHeight="1" x14ac:dyDescent="0.25">
      <c r="A23" s="315">
        <v>14</v>
      </c>
      <c r="B23" s="331"/>
      <c r="C23" s="13"/>
      <c r="D23" s="332"/>
      <c r="E23" s="13"/>
      <c r="F23" s="333"/>
      <c r="H23" s="344"/>
      <c r="I23" s="13"/>
      <c r="J23" s="345"/>
      <c r="K23" s="13"/>
      <c r="L23" s="346"/>
      <c r="N23" s="347"/>
      <c r="O23" s="13"/>
      <c r="P23" s="348"/>
      <c r="Q23" s="13"/>
      <c r="R23" s="349"/>
    </row>
    <row r="24" spans="1:18" s="14" customFormat="1" ht="16.149999999999999" customHeight="1" x14ac:dyDescent="0.25">
      <c r="A24" s="315">
        <v>15</v>
      </c>
      <c r="B24" s="341"/>
      <c r="C24" s="13"/>
      <c r="D24" s="342"/>
      <c r="E24" s="13"/>
      <c r="F24" s="343"/>
      <c r="H24" s="334"/>
      <c r="I24" s="13"/>
      <c r="J24" s="335"/>
      <c r="K24" s="13"/>
      <c r="L24" s="336"/>
      <c r="N24" s="337"/>
      <c r="O24" s="13"/>
      <c r="P24" s="338"/>
      <c r="Q24" s="13"/>
      <c r="R24" s="339"/>
    </row>
    <row r="25" spans="1:18" s="14" customFormat="1" ht="16.350000000000001" customHeight="1" x14ac:dyDescent="0.25">
      <c r="A25" s="315">
        <v>16</v>
      </c>
      <c r="B25" s="331"/>
      <c r="C25" s="13"/>
      <c r="D25" s="332"/>
      <c r="E25" s="13"/>
      <c r="F25" s="333"/>
      <c r="G25" s="13"/>
      <c r="H25" s="344"/>
      <c r="I25" s="13"/>
      <c r="J25" s="345"/>
      <c r="K25" s="13"/>
      <c r="L25" s="346"/>
      <c r="M25" s="13"/>
      <c r="N25" s="347"/>
      <c r="O25" s="13"/>
      <c r="P25" s="348"/>
      <c r="Q25" s="13"/>
      <c r="R25" s="349"/>
    </row>
    <row r="26" spans="1:18" s="14" customFormat="1" ht="16.149999999999999" customHeight="1" x14ac:dyDescent="0.25">
      <c r="A26" s="315">
        <v>17</v>
      </c>
      <c r="B26" s="341"/>
      <c r="C26" s="13"/>
      <c r="D26" s="342"/>
      <c r="E26" s="13"/>
      <c r="F26" s="343"/>
      <c r="G26" s="13"/>
      <c r="H26" s="334"/>
      <c r="I26" s="13"/>
      <c r="J26" s="335"/>
      <c r="K26" s="13"/>
      <c r="L26" s="336"/>
      <c r="M26" s="13"/>
      <c r="N26" s="337"/>
      <c r="O26" s="13"/>
      <c r="P26" s="338"/>
      <c r="Q26" s="13"/>
      <c r="R26" s="339"/>
    </row>
    <row r="27" spans="1:18" s="14" customFormat="1" ht="16.149999999999999" customHeight="1" x14ac:dyDescent="0.25">
      <c r="A27" s="315">
        <v>18</v>
      </c>
      <c r="B27" s="331"/>
      <c r="C27" s="13"/>
      <c r="D27" s="332"/>
      <c r="E27" s="13"/>
      <c r="F27" s="333"/>
      <c r="G27" s="13"/>
      <c r="H27" s="344"/>
      <c r="I27" s="13"/>
      <c r="J27" s="345"/>
      <c r="K27" s="13"/>
      <c r="L27" s="346"/>
      <c r="M27" s="13"/>
      <c r="N27" s="347"/>
      <c r="O27" s="13"/>
      <c r="P27" s="348"/>
      <c r="Q27" s="13"/>
      <c r="R27" s="349"/>
    </row>
    <row r="28" spans="1:18" s="14" customFormat="1" ht="16.149999999999999" customHeight="1" x14ac:dyDescent="0.25">
      <c r="A28" s="315">
        <v>19</v>
      </c>
      <c r="B28" s="341"/>
      <c r="C28" s="13"/>
      <c r="D28" s="342"/>
      <c r="E28" s="13"/>
      <c r="F28" s="343"/>
      <c r="G28" s="13"/>
      <c r="H28" s="334"/>
      <c r="I28" s="13"/>
      <c r="J28" s="335"/>
      <c r="K28" s="13"/>
      <c r="L28" s="336"/>
      <c r="M28" s="13"/>
      <c r="N28" s="337"/>
      <c r="O28" s="13"/>
      <c r="P28" s="338"/>
      <c r="Q28" s="13"/>
      <c r="R28" s="339"/>
    </row>
    <row r="29" spans="1:18" s="14" customFormat="1" ht="16.149999999999999" customHeight="1" x14ac:dyDescent="0.25">
      <c r="A29" s="315">
        <v>20</v>
      </c>
      <c r="B29" s="331"/>
      <c r="C29" s="13"/>
      <c r="D29" s="332"/>
      <c r="E29" s="13"/>
      <c r="F29" s="333"/>
      <c r="G29" s="13"/>
      <c r="H29" s="344"/>
      <c r="I29" s="13"/>
      <c r="J29" s="345"/>
      <c r="K29" s="13"/>
      <c r="L29" s="346"/>
      <c r="M29" s="13"/>
      <c r="N29" s="347"/>
      <c r="O29" s="13"/>
      <c r="P29" s="348"/>
      <c r="Q29" s="13"/>
      <c r="R29" s="349"/>
    </row>
    <row r="30" spans="1:18" x14ac:dyDescent="0.25">
      <c r="A30" s="315">
        <v>21</v>
      </c>
      <c r="B30" s="341"/>
      <c r="C30" s="13"/>
      <c r="D30" s="342"/>
      <c r="E30" s="13"/>
      <c r="F30" s="343"/>
      <c r="G30" s="13"/>
      <c r="H30" s="334"/>
      <c r="I30" s="13"/>
      <c r="J30" s="335"/>
      <c r="K30" s="13"/>
      <c r="L30" s="336"/>
      <c r="M30" s="13"/>
      <c r="N30" s="337"/>
      <c r="O30" s="13"/>
      <c r="P30" s="338"/>
      <c r="Q30" s="13"/>
      <c r="R30" s="339"/>
    </row>
    <row r="31" spans="1:18" x14ac:dyDescent="0.25">
      <c r="A31" s="315">
        <v>22</v>
      </c>
      <c r="B31" s="331"/>
      <c r="C31" s="13"/>
      <c r="D31" s="332"/>
      <c r="E31" s="13"/>
      <c r="F31" s="333"/>
      <c r="G31" s="13"/>
      <c r="H31" s="344"/>
      <c r="I31" s="13"/>
      <c r="J31" s="345"/>
      <c r="K31" s="13"/>
      <c r="L31" s="346"/>
      <c r="M31" s="13"/>
      <c r="N31" s="347"/>
      <c r="O31" s="13"/>
      <c r="P31" s="348"/>
      <c r="Q31" s="13"/>
      <c r="R31" s="349"/>
    </row>
    <row r="32" spans="1:18" x14ac:dyDescent="0.25">
      <c r="A32" s="315">
        <v>23</v>
      </c>
      <c r="B32" s="341"/>
      <c r="C32" s="13"/>
      <c r="D32" s="342"/>
      <c r="E32" s="13"/>
      <c r="F32" s="343"/>
      <c r="G32" s="13"/>
      <c r="H32" s="334"/>
      <c r="I32" s="13"/>
      <c r="J32" s="335"/>
      <c r="K32" s="13"/>
      <c r="L32" s="336"/>
      <c r="M32" s="13"/>
      <c r="N32" s="337"/>
      <c r="O32" s="13"/>
      <c r="P32" s="338"/>
      <c r="Q32" s="13"/>
      <c r="R32" s="339"/>
    </row>
    <row r="33" spans="1:26" x14ac:dyDescent="0.25">
      <c r="A33" s="315">
        <v>24</v>
      </c>
      <c r="B33" s="331"/>
      <c r="C33" s="13"/>
      <c r="D33" s="332"/>
      <c r="E33" s="13"/>
      <c r="F33" s="333"/>
      <c r="G33" s="13"/>
      <c r="H33" s="344"/>
      <c r="I33" s="13"/>
      <c r="J33" s="345"/>
      <c r="K33" s="13"/>
      <c r="L33" s="346"/>
      <c r="M33" s="13"/>
      <c r="N33" s="347"/>
      <c r="O33" s="13"/>
      <c r="P33" s="348"/>
      <c r="Q33" s="13"/>
      <c r="R33" s="349"/>
    </row>
    <row r="34" spans="1:26" x14ac:dyDescent="0.25">
      <c r="A34" s="315">
        <v>25</v>
      </c>
      <c r="B34" s="341"/>
      <c r="C34" s="13"/>
      <c r="D34" s="342"/>
      <c r="E34" s="13"/>
      <c r="F34" s="343"/>
      <c r="G34" s="13"/>
      <c r="H34" s="334"/>
      <c r="I34" s="13"/>
      <c r="J34" s="335"/>
      <c r="K34" s="13"/>
      <c r="L34" s="336"/>
      <c r="M34" s="13"/>
      <c r="N34" s="337"/>
      <c r="O34" s="13"/>
      <c r="P34" s="338"/>
      <c r="Q34" s="13"/>
      <c r="R34" s="339"/>
    </row>
    <row r="37" spans="1:26" ht="23.25" x14ac:dyDescent="0.25">
      <c r="B37" s="316" t="s">
        <v>543</v>
      </c>
      <c r="C37" s="317"/>
      <c r="D37" s="318"/>
      <c r="E37" s="317"/>
      <c r="F37" s="106" t="s">
        <v>541</v>
      </c>
      <c r="G37" s="317"/>
      <c r="H37" s="106"/>
      <c r="I37" s="317"/>
      <c r="J37" s="106"/>
      <c r="K37" s="317"/>
      <c r="L37" s="106"/>
      <c r="M37" s="317"/>
      <c r="N37" s="106"/>
      <c r="O37" s="317"/>
      <c r="P37" s="106"/>
      <c r="Q37" s="317"/>
      <c r="R37" s="106"/>
    </row>
    <row r="38" spans="1:26" x14ac:dyDescent="0.25">
      <c r="F38" s="108" t="s">
        <v>539</v>
      </c>
      <c r="H38" s="42" t="e">
        <f>SUMIFS(#REF!,#REF!,"&gt;="&amp;0,#REF!,"&lt;="&amp;4)</f>
        <v>#REF!</v>
      </c>
      <c r="J38" s="42"/>
      <c r="L38" s="319" t="e">
        <f>H38/#REF!</f>
        <v>#REF!</v>
      </c>
      <c r="N38" s="42" t="s">
        <v>539</v>
      </c>
      <c r="O38" s="16"/>
      <c r="P38" s="42"/>
      <c r="Q38" s="16"/>
      <c r="R38" s="320" t="e">
        <f>-H38</f>
        <v>#REF!</v>
      </c>
      <c r="S38" s="319" t="e">
        <f>L38</f>
        <v>#REF!</v>
      </c>
      <c r="T38" s="16" t="e">
        <f>COUNTIFS(#REF!,"&gt;="&amp;1,#REF!,"&lt;="&amp;4)</f>
        <v>#REF!</v>
      </c>
    </row>
    <row r="39" spans="1:26" x14ac:dyDescent="0.25">
      <c r="F39" s="108" t="s">
        <v>540</v>
      </c>
      <c r="H39" s="42" t="e">
        <f>SUMIFS(#REF!,#REF!,"&gt;="&amp;4,#REF!,"&lt;="&amp;8)</f>
        <v>#REF!</v>
      </c>
      <c r="J39" s="42"/>
      <c r="L39" s="319" t="e">
        <f>H39/#REF!</f>
        <v>#REF!</v>
      </c>
      <c r="N39" s="42" t="s">
        <v>540</v>
      </c>
      <c r="O39" s="16"/>
      <c r="P39" s="42"/>
      <c r="Q39" s="16"/>
      <c r="R39" s="320" t="e">
        <f>-H39</f>
        <v>#REF!</v>
      </c>
      <c r="S39" s="319" t="e">
        <f>L39</f>
        <v>#REF!</v>
      </c>
      <c r="T39" s="16" t="e">
        <f>COUNTIFS(#REF!,"&gt;="&amp;4,#REF!,"&lt;="&amp;8)</f>
        <v>#REF!</v>
      </c>
    </row>
    <row r="40" spans="1:26" x14ac:dyDescent="0.25">
      <c r="F40" s="108" t="s">
        <v>628</v>
      </c>
      <c r="H40" s="42" t="e">
        <f>SUMIFS(#REF!,#REF!,"&gt;="&amp;8,#REF!,"&lt;="&amp;10)</f>
        <v>#REF!</v>
      </c>
      <c r="J40" s="42"/>
      <c r="L40" s="319" t="e">
        <f>H40/#REF!</f>
        <v>#REF!</v>
      </c>
      <c r="N40" s="42" t="s">
        <v>628</v>
      </c>
      <c r="O40" s="16"/>
      <c r="P40" s="42"/>
      <c r="Q40" s="16"/>
      <c r="R40" s="320" t="e">
        <f>-H40</f>
        <v>#REF!</v>
      </c>
      <c r="S40" s="319" t="e">
        <f>L40</f>
        <v>#REF!</v>
      </c>
      <c r="T40" s="16" t="e">
        <f>COUNTIFS(#REF!,"&gt;="&amp;8,#REF!,"&lt;="&amp;12)</f>
        <v>#REF!</v>
      </c>
    </row>
    <row r="42" spans="1:26" ht="19.899999999999999" customHeight="1" x14ac:dyDescent="0.25">
      <c r="B42" s="321" t="s">
        <v>598</v>
      </c>
      <c r="C42" s="322"/>
      <c r="D42" s="323" t="s">
        <v>629</v>
      </c>
      <c r="E42" s="322"/>
      <c r="F42" s="321" t="s">
        <v>539</v>
      </c>
      <c r="G42" s="324"/>
      <c r="H42" s="321" t="s">
        <v>598</v>
      </c>
      <c r="I42" s="322"/>
      <c r="J42" s="323" t="s">
        <v>629</v>
      </c>
      <c r="K42" s="322"/>
      <c r="L42" s="321" t="s">
        <v>540</v>
      </c>
      <c r="M42" s="324"/>
      <c r="N42" s="321" t="s">
        <v>598</v>
      </c>
      <c r="O42" s="322"/>
      <c r="P42" s="323" t="s">
        <v>629</v>
      </c>
      <c r="Q42" s="322"/>
      <c r="R42" s="321" t="s">
        <v>628</v>
      </c>
    </row>
    <row r="43" spans="1:26" ht="2.25" customHeight="1" x14ac:dyDescent="0.25">
      <c r="H43" s="325"/>
      <c r="J43" s="325"/>
    </row>
    <row r="44" spans="1:26" x14ac:dyDescent="0.25">
      <c r="B44" s="326" t="e">
        <f>COUNTIFS(#REF!,"&gt;="&amp;1,#REF!,"&lt;="&amp;4)</f>
        <v>#REF!</v>
      </c>
      <c r="D44" s="326"/>
      <c r="F44" s="327">
        <f>SUM(F46:F70)</f>
        <v>0</v>
      </c>
      <c r="H44" s="326" t="e">
        <f>COUNTIFS(#REF!,"&gt;="&amp;4,#REF!,"&lt;="&amp;8)</f>
        <v>#REF!</v>
      </c>
      <c r="J44" s="326"/>
      <c r="L44" s="328">
        <f>SUM(L46:L70)</f>
        <v>0</v>
      </c>
      <c r="N44" s="326" t="e">
        <f>COUNTIFS(#REF!,"&gt;="&amp;8,#REF!,"&lt;="&amp;10)</f>
        <v>#REF!</v>
      </c>
      <c r="P44" s="326"/>
      <c r="R44" s="327">
        <f>SUM(R46:R70)</f>
        <v>0</v>
      </c>
    </row>
    <row r="45" spans="1:26" ht="2.25" customHeight="1" x14ac:dyDescent="0.25"/>
    <row r="46" spans="1:26" s="14" customFormat="1" ht="16.149999999999999" customHeight="1" x14ac:dyDescent="0.25">
      <c r="A46" s="315">
        <v>1</v>
      </c>
      <c r="B46" s="331"/>
      <c r="C46" s="13"/>
      <c r="D46" s="332"/>
      <c r="E46" s="13"/>
      <c r="F46" s="333"/>
      <c r="G46" s="13"/>
      <c r="H46" s="334"/>
      <c r="I46" s="13"/>
      <c r="J46" s="335"/>
      <c r="K46" s="13"/>
      <c r="L46" s="336"/>
      <c r="M46" s="13"/>
      <c r="N46" s="337"/>
      <c r="O46" s="13"/>
      <c r="P46" s="338"/>
      <c r="Q46" s="13"/>
      <c r="R46" s="339"/>
      <c r="Y46" s="14" t="s">
        <v>521</v>
      </c>
      <c r="Z46" s="340">
        <f>SUMIFS($F$46:$F$60,$D$46:$D$60,"dcn")+SUMIFS($L$46:$L$60,$J$46:$J$60,"dcn")</f>
        <v>0</v>
      </c>
    </row>
    <row r="47" spans="1:26" s="14" customFormat="1" ht="16.149999999999999" customHeight="1" x14ac:dyDescent="0.25">
      <c r="A47" s="315">
        <v>2</v>
      </c>
      <c r="B47" s="341"/>
      <c r="C47" s="13"/>
      <c r="D47" s="342"/>
      <c r="E47" s="13"/>
      <c r="F47" s="343"/>
      <c r="G47" s="13"/>
      <c r="H47" s="344"/>
      <c r="I47" s="13"/>
      <c r="J47" s="345"/>
      <c r="K47" s="13"/>
      <c r="L47" s="346"/>
      <c r="M47" s="13"/>
      <c r="N47" s="347"/>
      <c r="O47" s="13"/>
      <c r="P47" s="348"/>
      <c r="Q47" s="13"/>
      <c r="R47" s="349"/>
      <c r="Y47" s="14" t="s">
        <v>580</v>
      </c>
      <c r="Z47" s="340">
        <f>SUMIFS($F$46:$F$60,$D$46:$D$60,"di")+SUMIFS($L$46:$L$60,$J$46:$J$60,"di")</f>
        <v>0</v>
      </c>
    </row>
    <row r="48" spans="1:26" s="14" customFormat="1" ht="16.149999999999999" customHeight="1" x14ac:dyDescent="0.25">
      <c r="A48" s="315">
        <v>3</v>
      </c>
      <c r="B48" s="331"/>
      <c r="C48" s="13"/>
      <c r="D48" s="332"/>
      <c r="E48" s="13"/>
      <c r="F48" s="333"/>
      <c r="G48" s="13"/>
      <c r="H48" s="334"/>
      <c r="I48" s="13"/>
      <c r="J48" s="335"/>
      <c r="K48" s="13"/>
      <c r="L48" s="336"/>
      <c r="M48" s="13"/>
      <c r="N48" s="337"/>
      <c r="O48" s="13"/>
      <c r="P48" s="338"/>
      <c r="Q48" s="13"/>
      <c r="R48" s="339"/>
      <c r="S48" s="350"/>
      <c r="T48" s="350"/>
      <c r="Y48" s="14" t="s">
        <v>548</v>
      </c>
      <c r="Z48" s="340">
        <f>SUMIFS($F$46:$F$60,$D$46:$D$60,"ao")+SUMIFS($L$46:$L$60,$J$46:$J$60,"ao")</f>
        <v>0</v>
      </c>
    </row>
    <row r="49" spans="1:26" s="14" customFormat="1" ht="16.149999999999999" customHeight="1" x14ac:dyDescent="0.25">
      <c r="A49" s="315">
        <v>4</v>
      </c>
      <c r="B49" s="341"/>
      <c r="C49" s="13"/>
      <c r="D49" s="342"/>
      <c r="E49" s="13"/>
      <c r="F49" s="343"/>
      <c r="G49" s="13"/>
      <c r="H49" s="344"/>
      <c r="I49" s="13"/>
      <c r="J49" s="345"/>
      <c r="K49" s="13"/>
      <c r="L49" s="346"/>
      <c r="M49" s="13"/>
      <c r="N49" s="347"/>
      <c r="O49" s="13"/>
      <c r="P49" s="348"/>
      <c r="Q49" s="13"/>
      <c r="R49" s="349"/>
      <c r="S49" s="351"/>
      <c r="T49" s="352"/>
      <c r="Y49" s="14" t="s">
        <v>547</v>
      </c>
      <c r="Z49" s="340">
        <f>SUMIFS($F$46:$F$60,$D$46:$D$60,"reg")+SUMIFS($L$46:$L$60,$J$46:$J$60,"reg")</f>
        <v>0</v>
      </c>
    </row>
    <row r="50" spans="1:26" s="14" customFormat="1" ht="16.149999999999999" customHeight="1" x14ac:dyDescent="0.25">
      <c r="A50" s="315">
        <v>5</v>
      </c>
      <c r="B50" s="331"/>
      <c r="C50" s="13"/>
      <c r="D50" s="332"/>
      <c r="E50" s="13"/>
      <c r="F50" s="333"/>
      <c r="G50" s="13"/>
      <c r="H50" s="334"/>
      <c r="I50" s="13"/>
      <c r="J50" s="335"/>
      <c r="K50" s="13"/>
      <c r="L50" s="336"/>
      <c r="M50" s="13"/>
      <c r="N50" s="337"/>
      <c r="O50" s="13"/>
      <c r="P50" s="338"/>
      <c r="Q50" s="13"/>
      <c r="R50" s="339"/>
    </row>
    <row r="51" spans="1:26" s="14" customFormat="1" ht="16.149999999999999" customHeight="1" x14ac:dyDescent="0.25">
      <c r="A51" s="315">
        <v>6</v>
      </c>
      <c r="B51" s="341"/>
      <c r="C51" s="13"/>
      <c r="D51" s="342"/>
      <c r="E51" s="13"/>
      <c r="F51" s="343"/>
      <c r="G51" s="13"/>
      <c r="H51" s="344"/>
      <c r="I51" s="13"/>
      <c r="J51" s="345"/>
      <c r="K51" s="13"/>
      <c r="L51" s="346"/>
      <c r="M51" s="13"/>
      <c r="N51" s="347"/>
      <c r="O51" s="13"/>
      <c r="P51" s="348"/>
      <c r="Q51" s="13"/>
      <c r="R51" s="349"/>
    </row>
    <row r="52" spans="1:26" s="14" customFormat="1" ht="16.149999999999999" customHeight="1" x14ac:dyDescent="0.25">
      <c r="A52" s="315">
        <v>7</v>
      </c>
      <c r="B52" s="331"/>
      <c r="C52" s="13"/>
      <c r="D52" s="332"/>
      <c r="E52" s="13"/>
      <c r="F52" s="333"/>
      <c r="G52" s="13"/>
      <c r="H52" s="334"/>
      <c r="I52" s="13"/>
      <c r="J52" s="335"/>
      <c r="K52" s="13"/>
      <c r="L52" s="336"/>
      <c r="M52" s="13"/>
      <c r="N52" s="337"/>
      <c r="O52" s="13"/>
      <c r="P52" s="338"/>
      <c r="Q52" s="13"/>
      <c r="R52" s="339"/>
    </row>
    <row r="53" spans="1:26" s="14" customFormat="1" ht="16.149999999999999" customHeight="1" x14ac:dyDescent="0.25">
      <c r="A53" s="315">
        <v>8</v>
      </c>
      <c r="B53" s="341"/>
      <c r="C53" s="13"/>
      <c r="D53" s="342"/>
      <c r="E53" s="13"/>
      <c r="F53" s="343"/>
      <c r="G53" s="13"/>
      <c r="H53" s="344"/>
      <c r="I53" s="13"/>
      <c r="J53" s="345"/>
      <c r="K53" s="13"/>
      <c r="L53" s="346"/>
      <c r="M53" s="13"/>
      <c r="N53" s="347"/>
      <c r="O53" s="13"/>
      <c r="P53" s="348"/>
      <c r="Q53" s="13"/>
      <c r="R53" s="349"/>
    </row>
    <row r="54" spans="1:26" s="14" customFormat="1" ht="16.149999999999999" customHeight="1" x14ac:dyDescent="0.25">
      <c r="A54" s="315">
        <v>9</v>
      </c>
      <c r="B54" s="331"/>
      <c r="C54" s="13"/>
      <c r="D54" s="332"/>
      <c r="E54" s="13"/>
      <c r="F54" s="333"/>
      <c r="G54" s="13"/>
      <c r="H54" s="334"/>
      <c r="I54" s="13"/>
      <c r="J54" s="335"/>
      <c r="K54" s="13"/>
      <c r="L54" s="336"/>
      <c r="M54" s="13"/>
      <c r="N54" s="337"/>
      <c r="O54" s="13"/>
      <c r="P54" s="338"/>
      <c r="Q54" s="13"/>
      <c r="R54" s="339"/>
    </row>
    <row r="55" spans="1:26" s="14" customFormat="1" ht="16.149999999999999" customHeight="1" x14ac:dyDescent="0.25">
      <c r="A55" s="315">
        <v>10</v>
      </c>
      <c r="B55" s="341"/>
      <c r="C55" s="13"/>
      <c r="D55" s="342"/>
      <c r="E55" s="13"/>
      <c r="F55" s="343"/>
      <c r="G55" s="13"/>
      <c r="H55" s="344"/>
      <c r="I55" s="13"/>
      <c r="J55" s="345"/>
      <c r="K55" s="13"/>
      <c r="L55" s="346"/>
      <c r="M55" s="13"/>
      <c r="N55" s="347"/>
      <c r="O55" s="13"/>
      <c r="P55" s="348"/>
      <c r="Q55" s="13"/>
      <c r="R55" s="349"/>
    </row>
    <row r="56" spans="1:26" s="14" customFormat="1" ht="16.149999999999999" customHeight="1" x14ac:dyDescent="0.25">
      <c r="A56" s="315">
        <v>11</v>
      </c>
      <c r="B56" s="331"/>
      <c r="C56" s="13"/>
      <c r="D56" s="332"/>
      <c r="E56" s="13"/>
      <c r="F56" s="333"/>
      <c r="G56" s="13"/>
      <c r="H56" s="334"/>
      <c r="I56" s="13"/>
      <c r="J56" s="335"/>
      <c r="K56" s="13"/>
      <c r="L56" s="336"/>
      <c r="M56" s="13"/>
      <c r="N56" s="337"/>
      <c r="O56" s="13"/>
      <c r="P56" s="338"/>
      <c r="Q56" s="13"/>
      <c r="R56" s="339"/>
    </row>
    <row r="57" spans="1:26" s="14" customFormat="1" ht="16.149999999999999" customHeight="1" x14ac:dyDescent="0.25">
      <c r="A57" s="315">
        <v>12</v>
      </c>
      <c r="B57" s="341"/>
      <c r="C57" s="13"/>
      <c r="D57" s="342"/>
      <c r="E57" s="13"/>
      <c r="F57" s="343"/>
      <c r="H57" s="344"/>
      <c r="I57" s="13"/>
      <c r="J57" s="345"/>
      <c r="K57" s="13"/>
      <c r="L57" s="346"/>
      <c r="N57" s="347"/>
      <c r="O57" s="13"/>
      <c r="P57" s="348"/>
      <c r="Q57" s="13"/>
      <c r="R57" s="349"/>
    </row>
    <row r="58" spans="1:26" s="14" customFormat="1" ht="16.149999999999999" customHeight="1" x14ac:dyDescent="0.25">
      <c r="A58" s="315">
        <v>13</v>
      </c>
      <c r="B58" s="331"/>
      <c r="C58" s="13"/>
      <c r="D58" s="332"/>
      <c r="E58" s="13"/>
      <c r="F58" s="333"/>
      <c r="H58" s="334"/>
      <c r="I58" s="13"/>
      <c r="J58" s="335"/>
      <c r="K58" s="13"/>
      <c r="L58" s="336"/>
      <c r="N58" s="337"/>
      <c r="O58" s="13"/>
      <c r="P58" s="338"/>
      <c r="Q58" s="13"/>
      <c r="R58" s="339"/>
    </row>
    <row r="59" spans="1:26" s="14" customFormat="1" ht="16.149999999999999" customHeight="1" x14ac:dyDescent="0.25">
      <c r="A59" s="315">
        <v>14</v>
      </c>
      <c r="B59" s="341"/>
      <c r="C59" s="13"/>
      <c r="D59" s="342"/>
      <c r="E59" s="13"/>
      <c r="F59" s="343"/>
      <c r="H59" s="344"/>
      <c r="I59" s="13"/>
      <c r="J59" s="345"/>
      <c r="K59" s="13"/>
      <c r="L59" s="346"/>
      <c r="N59" s="347"/>
      <c r="O59" s="13"/>
      <c r="P59" s="348"/>
      <c r="Q59" s="13"/>
      <c r="R59" s="349"/>
    </row>
    <row r="60" spans="1:26" s="14" customFormat="1" ht="16.149999999999999" customHeight="1" x14ac:dyDescent="0.25">
      <c r="A60" s="315">
        <v>15</v>
      </c>
      <c r="B60" s="331"/>
      <c r="C60" s="13"/>
      <c r="D60" s="332"/>
      <c r="E60" s="13"/>
      <c r="F60" s="333"/>
      <c r="H60" s="334"/>
      <c r="I60" s="13"/>
      <c r="J60" s="335"/>
      <c r="K60" s="13"/>
      <c r="L60" s="336"/>
      <c r="N60" s="337"/>
      <c r="O60" s="13"/>
      <c r="P60" s="338"/>
      <c r="Q60" s="13"/>
      <c r="R60" s="339"/>
    </row>
    <row r="61" spans="1:26" x14ac:dyDescent="0.25">
      <c r="A61" s="315">
        <v>16</v>
      </c>
      <c r="B61" s="341"/>
      <c r="C61" s="13"/>
      <c r="D61" s="342"/>
      <c r="E61" s="13"/>
      <c r="F61" s="343"/>
      <c r="G61" s="13"/>
      <c r="H61" s="344"/>
      <c r="I61" s="13"/>
      <c r="J61" s="345"/>
      <c r="K61" s="13"/>
      <c r="L61" s="346"/>
      <c r="M61" s="13"/>
      <c r="N61" s="347"/>
      <c r="O61" s="13"/>
      <c r="P61" s="348"/>
      <c r="Q61" s="13"/>
      <c r="R61" s="349"/>
    </row>
    <row r="62" spans="1:26" x14ac:dyDescent="0.25">
      <c r="A62" s="315">
        <v>17</v>
      </c>
      <c r="B62" s="331"/>
      <c r="C62" s="13"/>
      <c r="D62" s="332"/>
      <c r="E62" s="13"/>
      <c r="F62" s="333"/>
      <c r="G62" s="13"/>
      <c r="H62" s="334"/>
      <c r="I62" s="13"/>
      <c r="J62" s="335"/>
      <c r="K62" s="13"/>
      <c r="L62" s="336"/>
      <c r="M62" s="13"/>
      <c r="N62" s="337"/>
      <c r="O62" s="13"/>
      <c r="P62" s="338"/>
      <c r="Q62" s="13"/>
      <c r="R62" s="339"/>
    </row>
    <row r="63" spans="1:26" x14ac:dyDescent="0.25">
      <c r="A63" s="315">
        <v>18</v>
      </c>
      <c r="B63" s="341"/>
      <c r="C63" s="13"/>
      <c r="D63" s="342"/>
      <c r="E63" s="13"/>
      <c r="F63" s="343"/>
      <c r="G63" s="13"/>
      <c r="H63" s="344"/>
      <c r="I63" s="13"/>
      <c r="J63" s="345"/>
      <c r="K63" s="13"/>
      <c r="L63" s="346"/>
      <c r="M63" s="13"/>
      <c r="N63" s="347"/>
      <c r="O63" s="13"/>
      <c r="P63" s="348"/>
      <c r="Q63" s="13"/>
      <c r="R63" s="349"/>
    </row>
    <row r="64" spans="1:26" x14ac:dyDescent="0.25">
      <c r="A64" s="315">
        <v>19</v>
      </c>
      <c r="B64" s="331"/>
      <c r="C64" s="13"/>
      <c r="D64" s="332"/>
      <c r="E64" s="13"/>
      <c r="F64" s="333"/>
      <c r="G64" s="13"/>
      <c r="H64" s="334"/>
      <c r="I64" s="13"/>
      <c r="J64" s="335"/>
      <c r="K64" s="13"/>
      <c r="L64" s="336"/>
      <c r="M64" s="13"/>
      <c r="N64" s="337"/>
      <c r="O64" s="13"/>
      <c r="P64" s="338"/>
      <c r="Q64" s="13"/>
      <c r="R64" s="339"/>
    </row>
    <row r="65" spans="1:20" x14ac:dyDescent="0.25">
      <c r="A65" s="315">
        <v>20</v>
      </c>
      <c r="B65" s="341"/>
      <c r="C65" s="13"/>
      <c r="D65" s="342"/>
      <c r="E65" s="13"/>
      <c r="F65" s="343"/>
      <c r="G65" s="13"/>
      <c r="H65" s="344"/>
      <c r="I65" s="13"/>
      <c r="J65" s="345"/>
      <c r="K65" s="13"/>
      <c r="L65" s="346"/>
      <c r="M65" s="13"/>
      <c r="N65" s="347"/>
      <c r="O65" s="13"/>
      <c r="P65" s="348"/>
      <c r="Q65" s="13"/>
      <c r="R65" s="349"/>
    </row>
    <row r="66" spans="1:20" x14ac:dyDescent="0.25">
      <c r="A66" s="315">
        <v>21</v>
      </c>
      <c r="B66" s="331"/>
      <c r="C66" s="13"/>
      <c r="D66" s="332"/>
      <c r="E66" s="13"/>
      <c r="F66" s="333"/>
      <c r="G66" s="13"/>
      <c r="H66" s="334"/>
      <c r="I66" s="13"/>
      <c r="J66" s="335"/>
      <c r="K66" s="13"/>
      <c r="L66" s="336"/>
      <c r="M66" s="13"/>
      <c r="N66" s="337"/>
      <c r="O66" s="13"/>
      <c r="P66" s="338"/>
      <c r="Q66" s="13"/>
      <c r="R66" s="339"/>
    </row>
    <row r="67" spans="1:20" x14ac:dyDescent="0.25">
      <c r="A67" s="315">
        <v>22</v>
      </c>
      <c r="B67" s="341"/>
      <c r="C67" s="13"/>
      <c r="D67" s="342"/>
      <c r="E67" s="13"/>
      <c r="F67" s="343"/>
      <c r="G67" s="13"/>
      <c r="H67" s="344"/>
      <c r="I67" s="13"/>
      <c r="J67" s="345"/>
      <c r="K67" s="13"/>
      <c r="L67" s="346"/>
      <c r="M67" s="13"/>
      <c r="N67" s="347"/>
      <c r="O67" s="13"/>
      <c r="P67" s="348"/>
      <c r="Q67" s="13"/>
      <c r="R67" s="349"/>
    </row>
    <row r="68" spans="1:20" x14ac:dyDescent="0.25">
      <c r="A68" s="315">
        <v>23</v>
      </c>
      <c r="B68" s="331"/>
      <c r="C68" s="13"/>
      <c r="D68" s="332"/>
      <c r="E68" s="13"/>
      <c r="F68" s="333"/>
      <c r="G68" s="13"/>
      <c r="H68" s="334"/>
      <c r="I68" s="13"/>
      <c r="J68" s="335"/>
      <c r="K68" s="13"/>
      <c r="L68" s="336"/>
      <c r="M68" s="13"/>
      <c r="N68" s="337"/>
      <c r="O68" s="13"/>
      <c r="P68" s="338"/>
      <c r="Q68" s="13"/>
      <c r="R68" s="339"/>
    </row>
    <row r="69" spans="1:20" x14ac:dyDescent="0.25">
      <c r="A69" s="315">
        <v>24</v>
      </c>
      <c r="B69" s="341"/>
      <c r="C69" s="13"/>
      <c r="D69" s="342"/>
      <c r="E69" s="13"/>
      <c r="F69" s="343"/>
      <c r="G69" s="13"/>
      <c r="H69" s="344"/>
      <c r="I69" s="13"/>
      <c r="J69" s="345"/>
      <c r="K69" s="13"/>
      <c r="L69" s="346"/>
      <c r="M69" s="13"/>
      <c r="N69" s="347"/>
      <c r="O69" s="13"/>
      <c r="P69" s="348"/>
      <c r="Q69" s="13"/>
      <c r="R69" s="349"/>
    </row>
    <row r="70" spans="1:20" x14ac:dyDescent="0.25">
      <c r="A70" s="315">
        <v>25</v>
      </c>
      <c r="B70" s="331"/>
      <c r="C70" s="13"/>
      <c r="D70" s="332"/>
      <c r="E70" s="13"/>
      <c r="F70" s="333"/>
      <c r="G70" s="13"/>
      <c r="H70" s="334"/>
      <c r="I70" s="13"/>
      <c r="J70" s="335"/>
      <c r="K70" s="13"/>
      <c r="L70" s="336"/>
      <c r="M70" s="13"/>
      <c r="N70" s="337"/>
      <c r="O70" s="13"/>
      <c r="P70" s="338"/>
      <c r="Q70" s="13"/>
      <c r="R70" s="339"/>
    </row>
    <row r="73" spans="1:20" ht="23.25" x14ac:dyDescent="0.25">
      <c r="B73" s="316" t="s">
        <v>544</v>
      </c>
      <c r="C73" s="317"/>
      <c r="D73" s="318"/>
      <c r="E73" s="317"/>
      <c r="F73" s="106" t="s">
        <v>541</v>
      </c>
      <c r="G73" s="317"/>
      <c r="H73" s="106"/>
      <c r="I73" s="317"/>
      <c r="J73" s="106"/>
      <c r="K73" s="317"/>
      <c r="L73" s="106"/>
      <c r="M73" s="317"/>
      <c r="N73" s="106"/>
      <c r="O73" s="317"/>
      <c r="P73" s="106"/>
      <c r="Q73" s="317"/>
      <c r="R73" s="106"/>
    </row>
    <row r="74" spans="1:20" x14ac:dyDescent="0.25">
      <c r="F74" s="108" t="s">
        <v>539</v>
      </c>
      <c r="H74" s="42" t="e">
        <f>SUMIFS(#REF!,#REF!,"&gt;="&amp;0,#REF!,"&lt;="&amp;4)</f>
        <v>#REF!</v>
      </c>
      <c r="J74" s="42"/>
      <c r="L74" s="319" t="e">
        <f>H74/#REF!</f>
        <v>#REF!</v>
      </c>
      <c r="N74" s="42" t="s">
        <v>539</v>
      </c>
      <c r="O74" s="16"/>
      <c r="P74" s="42"/>
      <c r="Q74" s="16"/>
      <c r="R74" s="320" t="e">
        <f>-H74</f>
        <v>#REF!</v>
      </c>
      <c r="S74" s="319" t="e">
        <f>L74</f>
        <v>#REF!</v>
      </c>
      <c r="T74" s="16" t="e">
        <f>COUNTIFS(#REF!,"&gt;="&amp;1,#REF!,"&lt;="&amp;4)</f>
        <v>#REF!</v>
      </c>
    </row>
    <row r="75" spans="1:20" x14ac:dyDescent="0.25">
      <c r="F75" s="108" t="s">
        <v>540</v>
      </c>
      <c r="H75" s="42" t="e">
        <f>SUMIFS(#REF!,#REF!,"&gt;="&amp;4,#REF!,"&lt;="&amp;8)</f>
        <v>#REF!</v>
      </c>
      <c r="J75" s="42"/>
      <c r="L75" s="319" t="e">
        <f>H75/#REF!</f>
        <v>#REF!</v>
      </c>
      <c r="N75" s="42" t="s">
        <v>540</v>
      </c>
      <c r="O75" s="16"/>
      <c r="P75" s="42"/>
      <c r="Q75" s="16"/>
      <c r="R75" s="320" t="e">
        <f>-H75</f>
        <v>#REF!</v>
      </c>
      <c r="S75" s="319" t="e">
        <f>L75</f>
        <v>#REF!</v>
      </c>
      <c r="T75" s="16" t="e">
        <f>COUNTIFS(#REF!,"&gt;="&amp;4,#REF!,"&lt;="&amp;8)</f>
        <v>#REF!</v>
      </c>
    </row>
    <row r="76" spans="1:20" x14ac:dyDescent="0.25">
      <c r="F76" s="108" t="s">
        <v>628</v>
      </c>
      <c r="H76" s="42" t="e">
        <f>SUMIFS(#REF!,#REF!,"&gt;="&amp;8,#REF!,"&lt;="&amp;10)</f>
        <v>#REF!</v>
      </c>
      <c r="J76" s="42"/>
      <c r="L76" s="319" t="e">
        <f>H76/#REF!</f>
        <v>#REF!</v>
      </c>
      <c r="N76" s="42" t="s">
        <v>628</v>
      </c>
      <c r="P76" s="42"/>
      <c r="R76" s="320" t="e">
        <f>-H76</f>
        <v>#REF!</v>
      </c>
      <c r="S76" s="319" t="e">
        <f>L76</f>
        <v>#REF!</v>
      </c>
      <c r="T76" s="16" t="e">
        <f>COUNTIFS(#REF!,"&gt;="&amp;8,#REF!,"&lt;="&amp;12)</f>
        <v>#REF!</v>
      </c>
    </row>
    <row r="78" spans="1:20" ht="19.899999999999999" customHeight="1" x14ac:dyDescent="0.25">
      <c r="B78" s="321" t="s">
        <v>598</v>
      </c>
      <c r="C78" s="322"/>
      <c r="D78" s="323" t="s">
        <v>629</v>
      </c>
      <c r="E78" s="322"/>
      <c r="F78" s="321" t="s">
        <v>539</v>
      </c>
      <c r="G78" s="324"/>
      <c r="H78" s="321" t="s">
        <v>598</v>
      </c>
      <c r="I78" s="322"/>
      <c r="J78" s="323" t="s">
        <v>629</v>
      </c>
      <c r="K78" s="322"/>
      <c r="L78" s="321" t="s">
        <v>540</v>
      </c>
      <c r="M78" s="324"/>
      <c r="N78" s="321" t="s">
        <v>598</v>
      </c>
      <c r="O78" s="322"/>
      <c r="P78" s="323" t="s">
        <v>629</v>
      </c>
      <c r="Q78" s="322"/>
      <c r="R78" s="321" t="s">
        <v>628</v>
      </c>
    </row>
    <row r="79" spans="1:20" ht="2.25" customHeight="1" x14ac:dyDescent="0.25">
      <c r="H79" s="325"/>
      <c r="J79" s="325"/>
    </row>
    <row r="80" spans="1:20" x14ac:dyDescent="0.25">
      <c r="B80" s="326" t="e">
        <f>COUNTIFS(#REF!,"&gt;="&amp;1,#REF!,"&lt;="&amp;4)</f>
        <v>#REF!</v>
      </c>
      <c r="D80" s="326"/>
      <c r="F80" s="327">
        <f>SUM(F82:F106)</f>
        <v>0</v>
      </c>
      <c r="H80" s="326" t="e">
        <f>COUNTIFS(#REF!,"&gt;="&amp;4,#REF!,"&lt;="&amp;8)</f>
        <v>#REF!</v>
      </c>
      <c r="J80" s="326"/>
      <c r="L80" s="328">
        <f>SUM(L82:L106)</f>
        <v>0</v>
      </c>
      <c r="N80" s="326" t="e">
        <f>COUNTIFS(#REF!,"&gt;="&amp;9,#REF!,"&lt;="&amp;10)</f>
        <v>#REF!</v>
      </c>
      <c r="P80" s="326"/>
      <c r="R80" s="353">
        <f>SUM(R82:R106)</f>
        <v>0</v>
      </c>
    </row>
    <row r="81" spans="1:26" ht="2.25" customHeight="1" x14ac:dyDescent="0.25"/>
    <row r="82" spans="1:26" s="14" customFormat="1" ht="16.149999999999999" customHeight="1" x14ac:dyDescent="0.25">
      <c r="A82" s="315">
        <v>1</v>
      </c>
      <c r="B82" s="331"/>
      <c r="C82" s="13"/>
      <c r="D82" s="332"/>
      <c r="E82" s="13"/>
      <c r="F82" s="333"/>
      <c r="G82" s="13"/>
      <c r="H82" s="334"/>
      <c r="I82" s="13"/>
      <c r="J82" s="335"/>
      <c r="K82" s="13"/>
      <c r="L82" s="336"/>
      <c r="M82" s="13"/>
      <c r="N82" s="337"/>
      <c r="O82" s="13"/>
      <c r="P82" s="338"/>
      <c r="Q82" s="13"/>
      <c r="R82" s="339"/>
      <c r="Y82" s="14" t="s">
        <v>521</v>
      </c>
      <c r="Z82" s="340">
        <f>SUMIFS($F$82:$F$96,$D$82:$D$96,"dcn")+SUMIFS($L$82:$L$96,$J$82:$J$96,"dcn")</f>
        <v>0</v>
      </c>
    </row>
    <row r="83" spans="1:26" s="14" customFormat="1" ht="16.149999999999999" customHeight="1" x14ac:dyDescent="0.25">
      <c r="A83" s="315">
        <v>2</v>
      </c>
      <c r="B83" s="341"/>
      <c r="C83" s="13"/>
      <c r="D83" s="342"/>
      <c r="E83" s="13"/>
      <c r="F83" s="343"/>
      <c r="G83" s="13"/>
      <c r="H83" s="344"/>
      <c r="I83" s="13"/>
      <c r="J83" s="345"/>
      <c r="K83" s="13"/>
      <c r="L83" s="346"/>
      <c r="M83" s="13"/>
      <c r="N83" s="347"/>
      <c r="O83" s="13"/>
      <c r="P83" s="348"/>
      <c r="Q83" s="13"/>
      <c r="R83" s="349"/>
      <c r="Y83" s="14" t="s">
        <v>580</v>
      </c>
      <c r="Z83" s="340">
        <f>SUMIFS($F$82:$F$96,$D$82:$D$96,"dI")+SUMIFS($L$82:$L$96,$J$82:$J$96,"dI")</f>
        <v>0</v>
      </c>
    </row>
    <row r="84" spans="1:26" s="14" customFormat="1" ht="16.149999999999999" customHeight="1" x14ac:dyDescent="0.25">
      <c r="A84" s="315">
        <v>3</v>
      </c>
      <c r="B84" s="331"/>
      <c r="C84" s="13"/>
      <c r="D84" s="332"/>
      <c r="E84" s="13"/>
      <c r="F84" s="333"/>
      <c r="G84" s="13"/>
      <c r="H84" s="334"/>
      <c r="I84" s="13"/>
      <c r="J84" s="335"/>
      <c r="K84" s="13"/>
      <c r="L84" s="336"/>
      <c r="M84" s="13"/>
      <c r="N84" s="337"/>
      <c r="O84" s="13"/>
      <c r="P84" s="338"/>
      <c r="Q84" s="13"/>
      <c r="R84" s="339"/>
      <c r="S84" s="350"/>
      <c r="T84" s="350"/>
      <c r="Y84" s="14" t="s">
        <v>548</v>
      </c>
      <c r="Z84" s="340">
        <f>SUMIFS($F$82:$F$96,$D$82:$D$96,"AO")+SUMIFS($L$82:$L$96,$J$82:$J$96,"AO")</f>
        <v>0</v>
      </c>
    </row>
    <row r="85" spans="1:26" s="14" customFormat="1" ht="16.149999999999999" customHeight="1" x14ac:dyDescent="0.25">
      <c r="A85" s="315">
        <v>4</v>
      </c>
      <c r="B85" s="341"/>
      <c r="C85" s="13"/>
      <c r="D85" s="342"/>
      <c r="E85" s="13"/>
      <c r="F85" s="343"/>
      <c r="G85" s="13"/>
      <c r="H85" s="344"/>
      <c r="I85" s="13"/>
      <c r="J85" s="345"/>
      <c r="K85" s="13"/>
      <c r="L85" s="346"/>
      <c r="M85" s="13"/>
      <c r="N85" s="347"/>
      <c r="O85" s="13"/>
      <c r="P85" s="348"/>
      <c r="Q85" s="13"/>
      <c r="R85" s="349"/>
      <c r="S85" s="351"/>
      <c r="T85" s="352"/>
      <c r="Y85" s="14" t="s">
        <v>547</v>
      </c>
      <c r="Z85" s="340">
        <f>SUMIFS($F$82:$F$96,$D$82:$D$96,"REG")+SUMIFS($L$82:$L$96,$J$82:$J$96,"REG")</f>
        <v>0</v>
      </c>
    </row>
    <row r="86" spans="1:26" s="14" customFormat="1" ht="16.149999999999999" customHeight="1" x14ac:dyDescent="0.25">
      <c r="A86" s="315">
        <v>5</v>
      </c>
      <c r="B86" s="331"/>
      <c r="C86" s="13"/>
      <c r="D86" s="332"/>
      <c r="E86" s="13"/>
      <c r="F86" s="333"/>
      <c r="G86" s="13"/>
      <c r="H86" s="334"/>
      <c r="I86" s="13"/>
      <c r="J86" s="335"/>
      <c r="K86" s="13"/>
      <c r="L86" s="336"/>
      <c r="M86" s="13"/>
      <c r="N86" s="337"/>
      <c r="O86" s="13"/>
      <c r="P86" s="338"/>
      <c r="Q86" s="13"/>
      <c r="R86" s="339"/>
    </row>
    <row r="87" spans="1:26" s="14" customFormat="1" ht="16.149999999999999" customHeight="1" x14ac:dyDescent="0.25">
      <c r="A87" s="315">
        <v>6</v>
      </c>
      <c r="B87" s="341"/>
      <c r="C87" s="13"/>
      <c r="D87" s="342"/>
      <c r="E87" s="13"/>
      <c r="F87" s="343"/>
      <c r="G87" s="13"/>
      <c r="H87" s="344"/>
      <c r="I87" s="13"/>
      <c r="J87" s="345"/>
      <c r="K87" s="13"/>
      <c r="L87" s="346"/>
      <c r="M87" s="13"/>
      <c r="N87" s="347"/>
      <c r="O87" s="13"/>
      <c r="P87" s="348"/>
      <c r="Q87" s="13"/>
      <c r="R87" s="349"/>
    </row>
    <row r="88" spans="1:26" s="14" customFormat="1" ht="16.149999999999999" customHeight="1" x14ac:dyDescent="0.25">
      <c r="A88" s="315">
        <v>7</v>
      </c>
      <c r="B88" s="331"/>
      <c r="C88" s="13"/>
      <c r="D88" s="332"/>
      <c r="E88" s="13"/>
      <c r="F88" s="333"/>
      <c r="G88" s="13"/>
      <c r="H88" s="334"/>
      <c r="I88" s="13"/>
      <c r="J88" s="335"/>
      <c r="K88" s="13"/>
      <c r="L88" s="336"/>
      <c r="M88" s="13"/>
      <c r="N88" s="337"/>
      <c r="O88" s="13"/>
      <c r="P88" s="338"/>
      <c r="Q88" s="13"/>
      <c r="R88" s="339"/>
    </row>
    <row r="89" spans="1:26" s="14" customFormat="1" ht="16.149999999999999" customHeight="1" x14ac:dyDescent="0.25">
      <c r="A89" s="315">
        <v>8</v>
      </c>
      <c r="B89" s="341"/>
      <c r="C89" s="13"/>
      <c r="D89" s="342"/>
      <c r="E89" s="13"/>
      <c r="F89" s="343"/>
      <c r="G89" s="13"/>
      <c r="H89" s="344"/>
      <c r="I89" s="13"/>
      <c r="J89" s="345"/>
      <c r="K89" s="13"/>
      <c r="L89" s="346"/>
      <c r="M89" s="13"/>
      <c r="N89" s="347"/>
      <c r="O89" s="13"/>
      <c r="P89" s="348"/>
      <c r="Q89" s="13"/>
      <c r="R89" s="349"/>
    </row>
    <row r="90" spans="1:26" s="14" customFormat="1" ht="16.149999999999999" customHeight="1" x14ac:dyDescent="0.25">
      <c r="A90" s="315">
        <v>9</v>
      </c>
      <c r="B90" s="331"/>
      <c r="C90" s="13"/>
      <c r="D90" s="332"/>
      <c r="E90" s="13"/>
      <c r="F90" s="333"/>
      <c r="G90" s="13"/>
      <c r="H90" s="334"/>
      <c r="I90" s="13"/>
      <c r="J90" s="335"/>
      <c r="K90" s="13"/>
      <c r="L90" s="336"/>
      <c r="M90" s="13"/>
      <c r="N90" s="337"/>
      <c r="O90" s="13"/>
      <c r="P90" s="338"/>
      <c r="Q90" s="13"/>
      <c r="R90" s="339"/>
    </row>
    <row r="91" spans="1:26" s="14" customFormat="1" ht="16.149999999999999" customHeight="1" x14ac:dyDescent="0.25">
      <c r="A91" s="315">
        <v>10</v>
      </c>
      <c r="B91" s="341"/>
      <c r="C91" s="13"/>
      <c r="D91" s="342"/>
      <c r="E91" s="13"/>
      <c r="F91" s="343"/>
      <c r="G91" s="13"/>
      <c r="H91" s="344"/>
      <c r="I91" s="13"/>
      <c r="J91" s="345"/>
      <c r="K91" s="13"/>
      <c r="L91" s="346"/>
      <c r="M91" s="13"/>
      <c r="N91" s="347"/>
      <c r="O91" s="13"/>
      <c r="P91" s="348"/>
      <c r="Q91" s="13"/>
      <c r="R91" s="349"/>
    </row>
    <row r="92" spans="1:26" s="14" customFormat="1" ht="16.149999999999999" customHeight="1" x14ac:dyDescent="0.25">
      <c r="A92" s="315">
        <v>11</v>
      </c>
      <c r="B92" s="331"/>
      <c r="C92" s="13"/>
      <c r="D92" s="332"/>
      <c r="E92" s="13"/>
      <c r="F92" s="333"/>
      <c r="G92" s="13"/>
      <c r="H92" s="334"/>
      <c r="I92" s="13"/>
      <c r="J92" s="335"/>
      <c r="K92" s="13"/>
      <c r="L92" s="336"/>
      <c r="M92" s="13"/>
      <c r="N92" s="337"/>
      <c r="O92" s="13"/>
      <c r="P92" s="338"/>
      <c r="Q92" s="13"/>
      <c r="R92" s="339"/>
    </row>
    <row r="93" spans="1:26" s="14" customFormat="1" ht="16.149999999999999" customHeight="1" x14ac:dyDescent="0.25">
      <c r="A93" s="315">
        <v>12</v>
      </c>
      <c r="B93" s="341"/>
      <c r="C93" s="13"/>
      <c r="D93" s="342"/>
      <c r="E93" s="13"/>
      <c r="F93" s="343"/>
      <c r="G93" s="13"/>
      <c r="H93" s="344"/>
      <c r="I93" s="13"/>
      <c r="J93" s="345"/>
      <c r="K93" s="13"/>
      <c r="L93" s="346"/>
      <c r="M93" s="13"/>
      <c r="N93" s="347"/>
      <c r="O93" s="13"/>
      <c r="P93" s="348"/>
      <c r="Q93" s="13"/>
      <c r="R93" s="349"/>
    </row>
    <row r="94" spans="1:26" s="14" customFormat="1" ht="16.149999999999999" customHeight="1" x14ac:dyDescent="0.25">
      <c r="A94" s="315">
        <v>13</v>
      </c>
      <c r="B94" s="331"/>
      <c r="C94" s="13"/>
      <c r="D94" s="332"/>
      <c r="E94" s="13"/>
      <c r="F94" s="333"/>
      <c r="G94" s="13"/>
      <c r="H94" s="334"/>
      <c r="I94" s="13"/>
      <c r="J94" s="335"/>
      <c r="K94" s="13"/>
      <c r="L94" s="336"/>
      <c r="M94" s="13"/>
      <c r="N94" s="337"/>
      <c r="O94" s="13"/>
      <c r="P94" s="338"/>
      <c r="Q94" s="13"/>
      <c r="R94" s="339"/>
    </row>
    <row r="95" spans="1:26" s="14" customFormat="1" ht="16.149999999999999" customHeight="1" x14ac:dyDescent="0.25">
      <c r="A95" s="315">
        <v>14</v>
      </c>
      <c r="B95" s="341"/>
      <c r="C95" s="13"/>
      <c r="D95" s="342"/>
      <c r="E95" s="13"/>
      <c r="F95" s="343"/>
      <c r="G95" s="13"/>
      <c r="H95" s="344"/>
      <c r="I95" s="13"/>
      <c r="J95" s="345"/>
      <c r="K95" s="13"/>
      <c r="L95" s="346"/>
      <c r="M95" s="13"/>
      <c r="N95" s="347"/>
      <c r="O95" s="13"/>
      <c r="P95" s="348"/>
      <c r="Q95" s="13"/>
      <c r="R95" s="349"/>
    </row>
    <row r="96" spans="1:26" s="14" customFormat="1" ht="16.149999999999999" customHeight="1" x14ac:dyDescent="0.25">
      <c r="A96" s="315">
        <v>15</v>
      </c>
      <c r="B96" s="331"/>
      <c r="C96" s="13"/>
      <c r="D96" s="332"/>
      <c r="E96" s="13"/>
      <c r="F96" s="333"/>
      <c r="G96" s="13"/>
      <c r="H96" s="334"/>
      <c r="I96" s="13"/>
      <c r="J96" s="335"/>
      <c r="K96" s="13"/>
      <c r="L96" s="336"/>
      <c r="M96" s="13"/>
      <c r="N96" s="337"/>
      <c r="O96" s="13"/>
      <c r="P96" s="338"/>
      <c r="Q96" s="13"/>
      <c r="R96" s="339"/>
    </row>
    <row r="97" spans="1:20" ht="17.25" customHeight="1" x14ac:dyDescent="0.25">
      <c r="A97" s="315">
        <v>16</v>
      </c>
      <c r="B97" s="341"/>
      <c r="C97" s="13"/>
      <c r="D97" s="342"/>
      <c r="E97" s="13"/>
      <c r="F97" s="343"/>
      <c r="G97" s="13"/>
      <c r="H97" s="344"/>
      <c r="I97" s="13"/>
      <c r="J97" s="345"/>
      <c r="K97" s="13"/>
      <c r="L97" s="346"/>
      <c r="M97" s="13"/>
      <c r="N97" s="347"/>
      <c r="O97" s="13"/>
      <c r="P97" s="348"/>
      <c r="Q97" s="13"/>
      <c r="R97" s="349"/>
    </row>
    <row r="98" spans="1:20" ht="17.25" customHeight="1" x14ac:dyDescent="0.25">
      <c r="A98" s="315">
        <v>17</v>
      </c>
      <c r="B98" s="331"/>
      <c r="C98" s="13"/>
      <c r="D98" s="332"/>
      <c r="E98" s="13"/>
      <c r="F98" s="333"/>
      <c r="G98" s="13"/>
      <c r="H98" s="334"/>
      <c r="I98" s="13"/>
      <c r="J98" s="335"/>
      <c r="K98" s="13"/>
      <c r="L98" s="336"/>
      <c r="M98" s="13"/>
      <c r="N98" s="337"/>
      <c r="O98" s="13"/>
      <c r="P98" s="338"/>
      <c r="Q98" s="13"/>
      <c r="R98" s="339"/>
    </row>
    <row r="99" spans="1:20" ht="17.25" customHeight="1" x14ac:dyDescent="0.25">
      <c r="A99" s="315">
        <v>18</v>
      </c>
      <c r="B99" s="341"/>
      <c r="C99" s="13"/>
      <c r="D99" s="342"/>
      <c r="E99" s="13"/>
      <c r="F99" s="343"/>
      <c r="G99" s="13"/>
      <c r="H99" s="344"/>
      <c r="I99" s="13"/>
      <c r="J99" s="345"/>
      <c r="K99" s="13"/>
      <c r="L99" s="346"/>
      <c r="M99" s="13"/>
      <c r="N99" s="347"/>
      <c r="O99" s="13"/>
      <c r="P99" s="348"/>
      <c r="Q99" s="13"/>
      <c r="R99" s="349"/>
    </row>
    <row r="100" spans="1:20" ht="17.25" customHeight="1" x14ac:dyDescent="0.25">
      <c r="A100" s="315">
        <v>19</v>
      </c>
      <c r="B100" s="331"/>
      <c r="C100" s="13"/>
      <c r="D100" s="332"/>
      <c r="E100" s="13"/>
      <c r="F100" s="333"/>
      <c r="G100" s="13"/>
      <c r="H100" s="334"/>
      <c r="I100" s="13"/>
      <c r="J100" s="335"/>
      <c r="K100" s="13"/>
      <c r="L100" s="336"/>
      <c r="M100" s="13"/>
      <c r="N100" s="337"/>
      <c r="O100" s="13"/>
      <c r="P100" s="338"/>
      <c r="Q100" s="13"/>
      <c r="R100" s="339"/>
    </row>
    <row r="101" spans="1:20" ht="17.25" customHeight="1" x14ac:dyDescent="0.25">
      <c r="A101" s="315">
        <v>20</v>
      </c>
      <c r="B101" s="341"/>
      <c r="C101" s="13"/>
      <c r="D101" s="342"/>
      <c r="E101" s="13"/>
      <c r="F101" s="343"/>
      <c r="G101" s="13"/>
      <c r="H101" s="344"/>
      <c r="I101" s="13"/>
      <c r="J101" s="345"/>
      <c r="K101" s="13"/>
      <c r="L101" s="346"/>
      <c r="M101" s="13"/>
      <c r="N101" s="347"/>
      <c r="O101" s="13"/>
      <c r="P101" s="348"/>
      <c r="Q101" s="13"/>
      <c r="R101" s="349"/>
    </row>
    <row r="102" spans="1:20" ht="17.25" customHeight="1" x14ac:dyDescent="0.25">
      <c r="A102" s="315">
        <v>21</v>
      </c>
      <c r="B102" s="331"/>
      <c r="C102" s="13"/>
      <c r="D102" s="332"/>
      <c r="E102" s="13"/>
      <c r="F102" s="333"/>
      <c r="G102" s="13"/>
      <c r="H102" s="334"/>
      <c r="I102" s="13"/>
      <c r="J102" s="335"/>
      <c r="K102" s="13"/>
      <c r="L102" s="336"/>
      <c r="M102" s="13"/>
      <c r="N102" s="337"/>
      <c r="O102" s="13"/>
      <c r="P102" s="338"/>
      <c r="Q102" s="13"/>
      <c r="R102" s="339"/>
    </row>
    <row r="103" spans="1:20" ht="17.25" customHeight="1" x14ac:dyDescent="0.25">
      <c r="A103" s="315">
        <v>22</v>
      </c>
      <c r="B103" s="341"/>
      <c r="C103" s="13"/>
      <c r="D103" s="342"/>
      <c r="E103" s="13"/>
      <c r="F103" s="343"/>
      <c r="G103" s="13"/>
      <c r="H103" s="344"/>
      <c r="I103" s="13"/>
      <c r="J103" s="345"/>
      <c r="K103" s="13"/>
      <c r="L103" s="346"/>
      <c r="M103" s="13"/>
      <c r="N103" s="347"/>
      <c r="O103" s="13"/>
      <c r="P103" s="348"/>
      <c r="Q103" s="13"/>
      <c r="R103" s="349"/>
    </row>
    <row r="104" spans="1:20" ht="17.25" customHeight="1" x14ac:dyDescent="0.25">
      <c r="A104" s="315">
        <v>23</v>
      </c>
      <c r="B104" s="331"/>
      <c r="C104" s="13"/>
      <c r="D104" s="332"/>
      <c r="E104" s="13"/>
      <c r="F104" s="333"/>
      <c r="G104" s="13"/>
      <c r="H104" s="334"/>
      <c r="I104" s="13"/>
      <c r="J104" s="335"/>
      <c r="K104" s="13"/>
      <c r="L104" s="336"/>
      <c r="M104" s="13"/>
      <c r="N104" s="337"/>
      <c r="O104" s="13"/>
      <c r="P104" s="338"/>
      <c r="Q104" s="13"/>
      <c r="R104" s="339"/>
    </row>
    <row r="105" spans="1:20" ht="17.25" customHeight="1" x14ac:dyDescent="0.25">
      <c r="A105" s="315">
        <v>24</v>
      </c>
      <c r="B105" s="341"/>
      <c r="C105" s="13"/>
      <c r="D105" s="342"/>
      <c r="E105" s="13"/>
      <c r="F105" s="343"/>
      <c r="G105" s="13"/>
      <c r="H105" s="344"/>
      <c r="I105" s="13"/>
      <c r="J105" s="345"/>
      <c r="K105" s="13"/>
      <c r="L105" s="346"/>
      <c r="M105" s="13"/>
      <c r="N105" s="347"/>
      <c r="O105" s="13"/>
      <c r="P105" s="348"/>
      <c r="Q105" s="13"/>
      <c r="R105" s="349"/>
    </row>
    <row r="106" spans="1:20" ht="14.45" customHeight="1" x14ac:dyDescent="0.25">
      <c r="A106" s="315">
        <v>25</v>
      </c>
      <c r="B106" s="331"/>
      <c r="C106" s="13"/>
      <c r="D106" s="332"/>
      <c r="E106" s="13"/>
      <c r="F106" s="333"/>
      <c r="G106" s="13"/>
      <c r="H106" s="334"/>
      <c r="I106" s="13"/>
      <c r="J106" s="335"/>
      <c r="K106" s="13"/>
      <c r="L106" s="336"/>
      <c r="M106" s="13"/>
      <c r="N106" s="337"/>
      <c r="O106" s="13"/>
      <c r="P106" s="338"/>
      <c r="Q106" s="13"/>
      <c r="R106" s="339"/>
    </row>
    <row r="107" spans="1:20" ht="14.45" customHeight="1" x14ac:dyDescent="0.25"/>
    <row r="108" spans="1:20" ht="14.45" customHeight="1" x14ac:dyDescent="0.25"/>
    <row r="109" spans="1:20" ht="23.25" x14ac:dyDescent="0.25">
      <c r="B109" s="316" t="s">
        <v>542</v>
      </c>
      <c r="C109" s="317"/>
      <c r="D109" s="318"/>
      <c r="E109" s="317"/>
      <c r="F109" s="106" t="s">
        <v>541</v>
      </c>
      <c r="G109" s="317"/>
      <c r="H109" s="106"/>
      <c r="I109" s="317"/>
      <c r="J109" s="106"/>
      <c r="K109" s="317"/>
      <c r="L109" s="106"/>
      <c r="M109" s="317"/>
      <c r="N109" s="106"/>
      <c r="O109" s="317"/>
      <c r="P109" s="106"/>
      <c r="Q109" s="317"/>
      <c r="R109" s="106"/>
    </row>
    <row r="110" spans="1:20" x14ac:dyDescent="0.25">
      <c r="F110" s="108" t="s">
        <v>539</v>
      </c>
      <c r="H110" s="42" t="e">
        <f>SUMIFS(#REF!,#REF!,"&gt;="&amp;0,#REF!,"&lt;="&amp;4)</f>
        <v>#REF!</v>
      </c>
      <c r="J110" s="42"/>
      <c r="L110" s="319" t="e">
        <f>H110/#REF!</f>
        <v>#REF!</v>
      </c>
      <c r="N110" s="42" t="s">
        <v>539</v>
      </c>
      <c r="O110" s="16"/>
      <c r="P110" s="42"/>
      <c r="Q110" s="16"/>
      <c r="R110" s="320" t="e">
        <f>-H110</f>
        <v>#REF!</v>
      </c>
      <c r="S110" s="319" t="e">
        <f>L110</f>
        <v>#REF!</v>
      </c>
      <c r="T110" s="16" t="e">
        <f>COUNTIFS(#REF!,"&gt;="&amp;1,#REF!,"&lt;="&amp;4)</f>
        <v>#REF!</v>
      </c>
    </row>
    <row r="111" spans="1:20" x14ac:dyDescent="0.25">
      <c r="F111" s="108" t="s">
        <v>540</v>
      </c>
      <c r="H111" s="42" t="e">
        <f>SUMIFS(#REF!,#REF!,"&gt;="&amp;4,#REF!,"&lt;="&amp;8)</f>
        <v>#REF!</v>
      </c>
      <c r="J111" s="42"/>
      <c r="L111" s="319" t="e">
        <f>H111/#REF!</f>
        <v>#REF!</v>
      </c>
      <c r="N111" s="42" t="s">
        <v>540</v>
      </c>
      <c r="O111" s="16"/>
      <c r="P111" s="42"/>
      <c r="Q111" s="16"/>
      <c r="R111" s="320" t="e">
        <f>-H111</f>
        <v>#REF!</v>
      </c>
      <c r="S111" s="319" t="e">
        <f>L111</f>
        <v>#REF!</v>
      </c>
      <c r="T111" s="16" t="e">
        <f>COUNTIFS(#REF!,"&gt;="&amp;4,#REF!,"&lt;="&amp;8)</f>
        <v>#REF!</v>
      </c>
    </row>
    <row r="112" spans="1:20" x14ac:dyDescent="0.25">
      <c r="F112" s="108" t="s">
        <v>628</v>
      </c>
      <c r="H112" s="42" t="e">
        <f>SUMIFS(#REF!,#REF!,"&gt;="&amp;8,#REF!,"&lt;="&amp;10)</f>
        <v>#REF!</v>
      </c>
      <c r="J112" s="42"/>
      <c r="L112" s="319" t="e">
        <f>H112/#REF!</f>
        <v>#REF!</v>
      </c>
      <c r="N112" s="42" t="s">
        <v>628</v>
      </c>
      <c r="O112" s="16"/>
      <c r="P112" s="42"/>
      <c r="Q112" s="16"/>
      <c r="R112" s="320" t="e">
        <f>-H112</f>
        <v>#REF!</v>
      </c>
      <c r="S112" s="319" t="e">
        <f>L112</f>
        <v>#REF!</v>
      </c>
      <c r="T112" s="16" t="e">
        <f>COUNTIFS(#REF!,"&gt;="&amp;8,#REF!,"&lt;="&amp;10)</f>
        <v>#REF!</v>
      </c>
    </row>
    <row r="114" spans="1:26" ht="19.899999999999999" customHeight="1" x14ac:dyDescent="0.25">
      <c r="B114" s="321" t="s">
        <v>598</v>
      </c>
      <c r="C114" s="322"/>
      <c r="D114" s="323" t="s">
        <v>629</v>
      </c>
      <c r="E114" s="322"/>
      <c r="F114" s="321" t="s">
        <v>539</v>
      </c>
      <c r="G114" s="324"/>
      <c r="H114" s="321" t="s">
        <v>598</v>
      </c>
      <c r="I114" s="322"/>
      <c r="J114" s="323" t="s">
        <v>629</v>
      </c>
      <c r="K114" s="322"/>
      <c r="L114" s="321" t="s">
        <v>540</v>
      </c>
      <c r="M114" s="324"/>
      <c r="N114" s="321" t="s">
        <v>598</v>
      </c>
      <c r="O114" s="322"/>
      <c r="P114" s="323" t="s">
        <v>629</v>
      </c>
      <c r="Q114" s="322"/>
      <c r="R114" s="321" t="s">
        <v>628</v>
      </c>
    </row>
    <row r="115" spans="1:26" ht="2.25" customHeight="1" x14ac:dyDescent="0.25">
      <c r="H115" s="325"/>
      <c r="J115" s="325"/>
    </row>
    <row r="116" spans="1:26" x14ac:dyDescent="0.25">
      <c r="B116" s="326" t="e">
        <f>COUNTIFS(#REF!,"&gt;="&amp;0,#REF!,"&lt;="&amp;4)</f>
        <v>#REF!</v>
      </c>
      <c r="D116" s="326"/>
      <c r="F116" s="327">
        <f>SUM(F118:F142)</f>
        <v>0</v>
      </c>
      <c r="H116" s="326" t="e">
        <f>COUNTIFS(#REF!,"&gt;="&amp;4,#REF!,"&lt;="&amp;8)</f>
        <v>#REF!</v>
      </c>
      <c r="J116" s="326"/>
      <c r="L116" s="328">
        <f>SUM(L118:L142)</f>
        <v>0</v>
      </c>
      <c r="N116" s="326" t="e">
        <f>COUNTIFS(#REF!,"&gt;="&amp;8,#REF!,"&lt;="&amp;10)</f>
        <v>#REF!</v>
      </c>
      <c r="P116" s="326"/>
      <c r="R116" s="327">
        <f>SUM(R118:R142)</f>
        <v>0</v>
      </c>
    </row>
    <row r="117" spans="1:26" ht="2.25" customHeight="1" x14ac:dyDescent="0.25"/>
    <row r="118" spans="1:26" ht="16.149999999999999" customHeight="1" x14ac:dyDescent="0.25">
      <c r="A118" s="315">
        <v>1</v>
      </c>
      <c r="B118" s="331"/>
      <c r="C118" s="13"/>
      <c r="D118" s="332"/>
      <c r="E118" s="13"/>
      <c r="F118" s="333"/>
      <c r="G118" s="13"/>
      <c r="H118" s="334"/>
      <c r="I118" s="13"/>
      <c r="J118" s="335"/>
      <c r="K118" s="13"/>
      <c r="L118" s="336"/>
      <c r="M118" s="13"/>
      <c r="N118" s="337"/>
      <c r="O118" s="13"/>
      <c r="P118" s="338"/>
      <c r="Q118" s="13"/>
      <c r="R118" s="339"/>
      <c r="S118" s="320"/>
      <c r="X118" s="108"/>
      <c r="Y118" s="14" t="s">
        <v>521</v>
      </c>
      <c r="Z118" s="340">
        <f>SUMIFS($F$118:$F$132,$D$118:$D$132,"dcn")+SUMIFS($L$118:$L$132,$J$118:$J$132,"dcn")</f>
        <v>0</v>
      </c>
    </row>
    <row r="119" spans="1:26" ht="16.149999999999999" customHeight="1" x14ac:dyDescent="0.25">
      <c r="A119" s="315">
        <v>2</v>
      </c>
      <c r="B119" s="341"/>
      <c r="C119" s="13"/>
      <c r="D119" s="342"/>
      <c r="E119" s="13"/>
      <c r="F119" s="343"/>
      <c r="G119" s="13"/>
      <c r="H119" s="344"/>
      <c r="I119" s="13"/>
      <c r="J119" s="345"/>
      <c r="K119" s="13"/>
      <c r="L119" s="346"/>
      <c r="M119" s="13"/>
      <c r="N119" s="347"/>
      <c r="O119" s="13"/>
      <c r="P119" s="348"/>
      <c r="Q119" s="13"/>
      <c r="R119" s="349"/>
      <c r="X119" s="108"/>
      <c r="Y119" s="14" t="s">
        <v>580</v>
      </c>
      <c r="Z119" s="340">
        <f>SUMIFS($F$118:$F$132,$D$118:$D$132,"di")+SUMIFS($L$118:$L$132,$J$118:$J$132,"di")</f>
        <v>0</v>
      </c>
    </row>
    <row r="120" spans="1:26" ht="16.149999999999999" customHeight="1" x14ac:dyDescent="0.25">
      <c r="A120" s="315">
        <v>3</v>
      </c>
      <c r="B120" s="331"/>
      <c r="C120" s="13"/>
      <c r="D120" s="332"/>
      <c r="E120" s="13"/>
      <c r="F120" s="333"/>
      <c r="G120" s="13"/>
      <c r="H120" s="334"/>
      <c r="I120" s="13"/>
      <c r="J120" s="335"/>
      <c r="K120" s="13"/>
      <c r="L120" s="336"/>
      <c r="M120" s="13"/>
      <c r="N120" s="337"/>
      <c r="O120" s="13"/>
      <c r="P120" s="338"/>
      <c r="Q120" s="13"/>
      <c r="R120" s="339"/>
      <c r="S120" s="320"/>
      <c r="X120" s="108"/>
      <c r="Y120" s="14" t="s">
        <v>548</v>
      </c>
      <c r="Z120" s="340">
        <f>SUMIFS($F$118:$F$132,$D$118:$D$132,"ao")+SUMIFS($L$118:$L$132,$J$118:$J$132,"ao")</f>
        <v>0</v>
      </c>
    </row>
    <row r="121" spans="1:26" ht="16.149999999999999" customHeight="1" x14ac:dyDescent="0.25">
      <c r="A121" s="315">
        <v>4</v>
      </c>
      <c r="B121" s="341"/>
      <c r="C121" s="13"/>
      <c r="D121" s="342"/>
      <c r="E121" s="13"/>
      <c r="F121" s="343"/>
      <c r="G121" s="13"/>
      <c r="H121" s="344"/>
      <c r="I121" s="13"/>
      <c r="J121" s="345"/>
      <c r="K121" s="13"/>
      <c r="L121" s="346"/>
      <c r="M121" s="13"/>
      <c r="N121" s="347"/>
      <c r="O121" s="13"/>
      <c r="P121" s="348"/>
      <c r="Q121" s="13"/>
      <c r="R121" s="349"/>
      <c r="S121" s="319"/>
      <c r="Y121" s="14" t="s">
        <v>547</v>
      </c>
      <c r="Z121" s="340">
        <f>SUMIFS($F$118:$F$132,$D$118:$D$132,"reg")+SUMIFS($L$118:$L$132,$J$118:$J$132,"reg")</f>
        <v>0</v>
      </c>
    </row>
    <row r="122" spans="1:26" ht="16.149999999999999" customHeight="1" x14ac:dyDescent="0.25">
      <c r="A122" s="315">
        <v>5</v>
      </c>
      <c r="B122" s="331"/>
      <c r="C122" s="13"/>
      <c r="D122" s="332"/>
      <c r="E122" s="13"/>
      <c r="F122" s="333"/>
      <c r="G122" s="13"/>
      <c r="H122" s="334"/>
      <c r="I122" s="13"/>
      <c r="J122" s="335"/>
      <c r="K122" s="13"/>
      <c r="L122" s="336"/>
      <c r="M122" s="13"/>
      <c r="N122" s="337"/>
      <c r="O122" s="13"/>
      <c r="P122" s="338"/>
      <c r="Q122" s="13"/>
      <c r="R122" s="339"/>
    </row>
    <row r="123" spans="1:26" ht="16.149999999999999" customHeight="1" x14ac:dyDescent="0.25">
      <c r="A123" s="315">
        <v>6</v>
      </c>
      <c r="B123" s="341"/>
      <c r="C123" s="13"/>
      <c r="D123" s="342"/>
      <c r="E123" s="13"/>
      <c r="F123" s="343"/>
      <c r="G123" s="13"/>
      <c r="H123" s="344"/>
      <c r="I123" s="13"/>
      <c r="J123" s="345"/>
      <c r="K123" s="13"/>
      <c r="L123" s="346"/>
      <c r="M123" s="13"/>
      <c r="N123" s="347"/>
      <c r="O123" s="13"/>
      <c r="P123" s="348"/>
      <c r="Q123" s="13"/>
      <c r="R123" s="349"/>
    </row>
    <row r="124" spans="1:26" ht="16.149999999999999" customHeight="1" x14ac:dyDescent="0.25">
      <c r="A124" s="315">
        <v>7</v>
      </c>
      <c r="B124" s="331"/>
      <c r="C124" s="13"/>
      <c r="D124" s="332"/>
      <c r="E124" s="13"/>
      <c r="F124" s="333"/>
      <c r="G124" s="13"/>
      <c r="H124" s="334"/>
      <c r="I124" s="13"/>
      <c r="J124" s="335"/>
      <c r="K124" s="13"/>
      <c r="L124" s="336"/>
      <c r="M124" s="13"/>
      <c r="N124" s="337"/>
      <c r="O124" s="13"/>
      <c r="P124" s="338"/>
      <c r="Q124" s="13"/>
      <c r="R124" s="339"/>
    </row>
    <row r="125" spans="1:26" ht="16.149999999999999" customHeight="1" x14ac:dyDescent="0.25">
      <c r="A125" s="315">
        <v>8</v>
      </c>
      <c r="B125" s="341"/>
      <c r="C125" s="13"/>
      <c r="D125" s="342"/>
      <c r="E125" s="13"/>
      <c r="F125" s="343"/>
      <c r="G125" s="13"/>
      <c r="H125" s="344"/>
      <c r="I125" s="13"/>
      <c r="J125" s="345"/>
      <c r="K125" s="13"/>
      <c r="L125" s="346"/>
      <c r="M125" s="13"/>
      <c r="N125" s="347"/>
      <c r="O125" s="13"/>
      <c r="P125" s="348"/>
      <c r="Q125" s="13"/>
      <c r="R125" s="349"/>
    </row>
    <row r="126" spans="1:26" ht="16.149999999999999" customHeight="1" x14ac:dyDescent="0.25">
      <c r="A126" s="315">
        <v>9</v>
      </c>
      <c r="B126" s="331"/>
      <c r="C126" s="13"/>
      <c r="D126" s="332"/>
      <c r="E126" s="13"/>
      <c r="F126" s="333"/>
      <c r="G126" s="13"/>
      <c r="H126" s="334"/>
      <c r="I126" s="13"/>
      <c r="J126" s="335"/>
      <c r="K126" s="13"/>
      <c r="L126" s="336"/>
      <c r="M126" s="13"/>
      <c r="N126" s="337"/>
      <c r="O126" s="13"/>
      <c r="P126" s="338"/>
      <c r="Q126" s="13"/>
      <c r="R126" s="339"/>
    </row>
    <row r="127" spans="1:26" ht="16.149999999999999" customHeight="1" x14ac:dyDescent="0.25">
      <c r="A127" s="315">
        <v>10</v>
      </c>
      <c r="B127" s="341"/>
      <c r="C127" s="13"/>
      <c r="D127" s="342"/>
      <c r="E127" s="13"/>
      <c r="F127" s="343"/>
      <c r="G127" s="13"/>
      <c r="H127" s="344"/>
      <c r="I127" s="13"/>
      <c r="J127" s="345"/>
      <c r="K127" s="13"/>
      <c r="L127" s="346"/>
      <c r="M127" s="13"/>
      <c r="N127" s="347"/>
      <c r="O127" s="13"/>
      <c r="P127" s="348"/>
      <c r="Q127" s="13"/>
      <c r="R127" s="349"/>
    </row>
    <row r="128" spans="1:26" ht="16.149999999999999" customHeight="1" x14ac:dyDescent="0.25">
      <c r="A128" s="315">
        <v>11</v>
      </c>
      <c r="B128" s="331"/>
      <c r="C128" s="13"/>
      <c r="D128" s="332"/>
      <c r="E128" s="13"/>
      <c r="F128" s="333"/>
      <c r="G128" s="13"/>
      <c r="H128" s="334"/>
      <c r="I128" s="13"/>
      <c r="J128" s="335"/>
      <c r="K128" s="13"/>
      <c r="L128" s="336"/>
      <c r="M128" s="13"/>
      <c r="N128" s="337"/>
      <c r="O128" s="13"/>
      <c r="P128" s="338"/>
      <c r="Q128" s="13"/>
      <c r="R128" s="339"/>
    </row>
    <row r="129" spans="1:18" ht="16.149999999999999" customHeight="1" x14ac:dyDescent="0.25">
      <c r="A129" s="315">
        <v>12</v>
      </c>
      <c r="B129" s="341"/>
      <c r="C129" s="13"/>
      <c r="D129" s="342"/>
      <c r="E129" s="13"/>
      <c r="F129" s="343"/>
      <c r="G129" s="13"/>
      <c r="H129" s="344"/>
      <c r="I129" s="13"/>
      <c r="J129" s="345"/>
      <c r="K129" s="13"/>
      <c r="L129" s="346"/>
      <c r="M129" s="13"/>
      <c r="N129" s="347"/>
      <c r="O129" s="13"/>
      <c r="P129" s="348"/>
      <c r="Q129" s="13"/>
      <c r="R129" s="349"/>
    </row>
    <row r="130" spans="1:18" ht="16.149999999999999" customHeight="1" x14ac:dyDescent="0.25">
      <c r="A130" s="315">
        <v>13</v>
      </c>
      <c r="B130" s="331"/>
      <c r="C130" s="13"/>
      <c r="D130" s="332"/>
      <c r="E130" s="13"/>
      <c r="F130" s="333"/>
      <c r="G130" s="13"/>
      <c r="H130" s="334"/>
      <c r="I130" s="13"/>
      <c r="J130" s="335"/>
      <c r="K130" s="13"/>
      <c r="L130" s="336"/>
      <c r="M130" s="13"/>
      <c r="N130" s="337"/>
      <c r="O130" s="13"/>
      <c r="P130" s="338"/>
      <c r="Q130" s="13"/>
      <c r="R130" s="339"/>
    </row>
    <row r="131" spans="1:18" ht="16.149999999999999" customHeight="1" x14ac:dyDescent="0.25">
      <c r="A131" s="315">
        <v>14</v>
      </c>
      <c r="B131" s="341"/>
      <c r="C131" s="13"/>
      <c r="D131" s="342"/>
      <c r="E131" s="13"/>
      <c r="F131" s="343"/>
      <c r="G131" s="13"/>
      <c r="H131" s="344"/>
      <c r="I131" s="13"/>
      <c r="J131" s="345"/>
      <c r="K131" s="13"/>
      <c r="L131" s="346"/>
      <c r="M131" s="13"/>
      <c r="N131" s="347"/>
      <c r="O131" s="13"/>
      <c r="P131" s="348"/>
      <c r="Q131" s="13"/>
      <c r="R131" s="349"/>
    </row>
    <row r="132" spans="1:18" ht="16.149999999999999" customHeight="1" x14ac:dyDescent="0.25">
      <c r="A132" s="315">
        <v>15</v>
      </c>
      <c r="B132" s="331"/>
      <c r="C132" s="13"/>
      <c r="D132" s="332"/>
      <c r="E132" s="13"/>
      <c r="F132" s="333"/>
      <c r="G132" s="13"/>
      <c r="H132" s="334"/>
      <c r="I132" s="13"/>
      <c r="J132" s="335"/>
      <c r="K132" s="13"/>
      <c r="L132" s="336"/>
      <c r="M132" s="13"/>
      <c r="N132" s="337"/>
      <c r="O132" s="13"/>
      <c r="P132" s="338"/>
      <c r="Q132" s="13"/>
      <c r="R132" s="339"/>
    </row>
    <row r="133" spans="1:18" x14ac:dyDescent="0.25">
      <c r="A133" s="315">
        <v>16</v>
      </c>
      <c r="B133" s="341"/>
      <c r="C133" s="13"/>
      <c r="D133" s="342"/>
      <c r="E133" s="13"/>
      <c r="F133" s="343"/>
      <c r="G133" s="13"/>
      <c r="H133" s="344"/>
      <c r="I133" s="13"/>
      <c r="J133" s="345"/>
      <c r="K133" s="13"/>
      <c r="L133" s="346"/>
      <c r="M133" s="13"/>
      <c r="N133" s="347"/>
      <c r="O133" s="13"/>
      <c r="P133" s="348"/>
      <c r="Q133" s="13"/>
      <c r="R133" s="349"/>
    </row>
    <row r="134" spans="1:18" ht="14.45" customHeight="1" x14ac:dyDescent="0.25">
      <c r="A134" s="315">
        <v>17</v>
      </c>
      <c r="B134" s="331"/>
      <c r="C134" s="13"/>
      <c r="D134" s="332"/>
      <c r="E134" s="13"/>
      <c r="F134" s="333"/>
      <c r="G134" s="13"/>
      <c r="H134" s="334"/>
      <c r="I134" s="13"/>
      <c r="J134" s="335"/>
      <c r="K134" s="13"/>
      <c r="L134" s="336"/>
      <c r="M134" s="13"/>
      <c r="N134" s="337"/>
      <c r="O134" s="13"/>
      <c r="P134" s="338"/>
      <c r="Q134" s="13"/>
      <c r="R134" s="339"/>
    </row>
    <row r="135" spans="1:18" ht="14.45" customHeight="1" x14ac:dyDescent="0.25">
      <c r="A135" s="315">
        <v>18</v>
      </c>
      <c r="B135" s="341"/>
      <c r="C135" s="13"/>
      <c r="D135" s="342"/>
      <c r="E135" s="13"/>
      <c r="F135" s="343"/>
      <c r="G135" s="13"/>
      <c r="H135" s="344"/>
      <c r="I135" s="13"/>
      <c r="J135" s="345"/>
      <c r="K135" s="13"/>
      <c r="L135" s="346"/>
      <c r="M135" s="13"/>
      <c r="N135" s="347"/>
      <c r="O135" s="13"/>
      <c r="P135" s="348"/>
      <c r="Q135" s="13"/>
      <c r="R135" s="349"/>
    </row>
    <row r="136" spans="1:18" ht="14.45" customHeight="1" x14ac:dyDescent="0.25">
      <c r="A136" s="315">
        <v>19</v>
      </c>
      <c r="B136" s="331"/>
      <c r="C136" s="13"/>
      <c r="D136" s="332"/>
      <c r="E136" s="13"/>
      <c r="F136" s="333"/>
      <c r="G136" s="13"/>
      <c r="H136" s="334"/>
      <c r="I136" s="13"/>
      <c r="J136" s="335"/>
      <c r="K136" s="13"/>
      <c r="L136" s="336"/>
      <c r="M136" s="13"/>
      <c r="N136" s="337"/>
      <c r="O136" s="13"/>
      <c r="P136" s="338"/>
      <c r="Q136" s="13"/>
      <c r="R136" s="339"/>
    </row>
    <row r="137" spans="1:18" ht="14.45" customHeight="1" x14ac:dyDescent="0.25">
      <c r="A137" s="315">
        <v>20</v>
      </c>
      <c r="B137" s="341"/>
      <c r="C137" s="13"/>
      <c r="D137" s="342"/>
      <c r="E137" s="13"/>
      <c r="F137" s="343"/>
      <c r="G137" s="13"/>
      <c r="H137" s="344"/>
      <c r="I137" s="13"/>
      <c r="J137" s="345"/>
      <c r="K137" s="13"/>
      <c r="L137" s="346"/>
      <c r="M137" s="13"/>
      <c r="N137" s="347"/>
      <c r="O137" s="13"/>
      <c r="P137" s="348"/>
      <c r="Q137" s="13"/>
      <c r="R137" s="349"/>
    </row>
    <row r="138" spans="1:18" ht="14.45" customHeight="1" x14ac:dyDescent="0.25">
      <c r="A138" s="315">
        <v>21</v>
      </c>
      <c r="B138" s="331"/>
      <c r="C138" s="13"/>
      <c r="D138" s="332"/>
      <c r="E138" s="13"/>
      <c r="F138" s="333"/>
      <c r="G138" s="13"/>
      <c r="H138" s="334"/>
      <c r="I138" s="13"/>
      <c r="J138" s="335"/>
      <c r="K138" s="13"/>
      <c r="L138" s="336"/>
      <c r="M138" s="13"/>
      <c r="N138" s="337"/>
      <c r="O138" s="13"/>
      <c r="P138" s="338"/>
      <c r="Q138" s="13"/>
      <c r="R138" s="339"/>
    </row>
    <row r="139" spans="1:18" ht="14.45" customHeight="1" x14ac:dyDescent="0.25">
      <c r="A139" s="315">
        <v>22</v>
      </c>
      <c r="B139" s="341"/>
      <c r="C139" s="13"/>
      <c r="D139" s="342"/>
      <c r="E139" s="13"/>
      <c r="F139" s="343"/>
      <c r="G139" s="13"/>
      <c r="H139" s="344"/>
      <c r="I139" s="13"/>
      <c r="J139" s="345"/>
      <c r="K139" s="13"/>
      <c r="L139" s="346"/>
      <c r="M139" s="13"/>
      <c r="N139" s="347"/>
      <c r="O139" s="13"/>
      <c r="P139" s="348"/>
      <c r="Q139" s="13"/>
      <c r="R139" s="349"/>
    </row>
    <row r="140" spans="1:18" ht="14.45" customHeight="1" x14ac:dyDescent="0.25">
      <c r="A140" s="315">
        <v>23</v>
      </c>
      <c r="B140" s="331"/>
      <c r="C140" s="13"/>
      <c r="D140" s="332"/>
      <c r="E140" s="13"/>
      <c r="F140" s="333"/>
      <c r="G140" s="13"/>
      <c r="H140" s="334"/>
      <c r="I140" s="13"/>
      <c r="J140" s="335"/>
      <c r="K140" s="13"/>
      <c r="L140" s="336"/>
      <c r="M140" s="13"/>
      <c r="N140" s="337"/>
      <c r="O140" s="13"/>
      <c r="P140" s="338"/>
      <c r="Q140" s="13"/>
      <c r="R140" s="339"/>
    </row>
    <row r="141" spans="1:18" ht="14.45" customHeight="1" x14ac:dyDescent="0.25">
      <c r="A141" s="315">
        <v>24</v>
      </c>
      <c r="B141" s="341"/>
      <c r="C141" s="13"/>
      <c r="D141" s="342"/>
      <c r="E141" s="13"/>
      <c r="F141" s="343"/>
      <c r="G141" s="13"/>
      <c r="H141" s="344"/>
      <c r="I141" s="13"/>
      <c r="J141" s="345"/>
      <c r="K141" s="13"/>
      <c r="L141" s="346"/>
      <c r="M141" s="13"/>
      <c r="N141" s="347"/>
      <c r="O141" s="13"/>
      <c r="P141" s="348"/>
      <c r="Q141" s="13"/>
      <c r="R141" s="349"/>
    </row>
    <row r="142" spans="1:18" ht="14.45" customHeight="1" x14ac:dyDescent="0.25">
      <c r="A142" s="315">
        <v>25</v>
      </c>
      <c r="B142" s="331"/>
      <c r="C142" s="13"/>
      <c r="D142" s="332"/>
      <c r="E142" s="13"/>
      <c r="F142" s="333"/>
      <c r="G142" s="13"/>
      <c r="H142" s="334"/>
      <c r="I142" s="13"/>
      <c r="J142" s="335"/>
      <c r="K142" s="13"/>
      <c r="L142" s="336"/>
      <c r="M142" s="13"/>
      <c r="N142" s="337"/>
      <c r="O142" s="13"/>
      <c r="P142" s="338"/>
      <c r="Q142" s="13"/>
      <c r="R142" s="339"/>
    </row>
    <row r="143" spans="1:18" ht="14.45" customHeight="1" x14ac:dyDescent="0.25"/>
    <row r="144" spans="1:18" ht="14.45" customHeight="1" x14ac:dyDescent="0.25"/>
    <row r="145" spans="1:26" ht="23.25" x14ac:dyDescent="0.25">
      <c r="B145" s="316" t="s">
        <v>545</v>
      </c>
      <c r="C145" s="317"/>
      <c r="D145" s="318"/>
      <c r="E145" s="317"/>
      <c r="F145" s="106" t="s">
        <v>541</v>
      </c>
      <c r="G145" s="317"/>
      <c r="H145" s="106"/>
      <c r="I145" s="317"/>
      <c r="J145" s="106"/>
      <c r="K145" s="317"/>
      <c r="L145" s="106"/>
      <c r="M145" s="317"/>
      <c r="N145" s="106"/>
      <c r="O145" s="317"/>
      <c r="P145" s="106"/>
      <c r="Q145" s="317"/>
      <c r="R145" s="106"/>
    </row>
    <row r="146" spans="1:26" x14ac:dyDescent="0.25">
      <c r="F146" s="108" t="s">
        <v>539</v>
      </c>
      <c r="H146" s="42" t="e">
        <f>SUMIFS(#REF!,#REF!,"&gt;="&amp;0,#REF!,"&lt;="&amp;4)</f>
        <v>#REF!</v>
      </c>
      <c r="J146" s="42"/>
      <c r="L146" s="319" t="e">
        <f>H146/#REF!</f>
        <v>#REF!</v>
      </c>
      <c r="N146" s="42" t="s">
        <v>539</v>
      </c>
      <c r="O146" s="16"/>
      <c r="P146" s="42"/>
      <c r="Q146" s="16"/>
      <c r="R146" s="320" t="e">
        <f>-H146</f>
        <v>#REF!</v>
      </c>
      <c r="S146" s="319" t="e">
        <f>L146</f>
        <v>#REF!</v>
      </c>
      <c r="T146" s="16" t="e">
        <f>COUNTIFS(#REF!,"&gt;="&amp;0,#REF!,"&lt;="&amp;4)</f>
        <v>#REF!</v>
      </c>
    </row>
    <row r="147" spans="1:26" x14ac:dyDescent="0.25">
      <c r="F147" s="108" t="s">
        <v>540</v>
      </c>
      <c r="H147" s="42" t="e">
        <f>SUMIFS(#REF!,#REF!,"&gt;="&amp;4,#REF!,"&lt;="&amp;8)</f>
        <v>#REF!</v>
      </c>
      <c r="J147" s="42"/>
      <c r="L147" s="319" t="e">
        <f>H147/#REF!</f>
        <v>#REF!</v>
      </c>
      <c r="N147" s="42" t="s">
        <v>540</v>
      </c>
      <c r="O147" s="16"/>
      <c r="P147" s="42"/>
      <c r="Q147" s="16"/>
      <c r="R147" s="320" t="e">
        <f>-H147</f>
        <v>#REF!</v>
      </c>
      <c r="S147" s="319" t="e">
        <f>L147</f>
        <v>#REF!</v>
      </c>
      <c r="T147" s="16" t="e">
        <f>COUNTIFS(#REF!,"&gt;="&amp;4,#REF!,"&lt;="&amp;8)</f>
        <v>#REF!</v>
      </c>
    </row>
    <row r="148" spans="1:26" x14ac:dyDescent="0.25">
      <c r="F148" s="108" t="s">
        <v>628</v>
      </c>
      <c r="H148" s="42" t="e">
        <f>SUMIFS(#REF!,#REF!,"&gt;="&amp;8,#REF!,"&lt;="&amp;10)</f>
        <v>#REF!</v>
      </c>
      <c r="J148" s="42"/>
      <c r="L148" s="319" t="e">
        <f>H148/#REF!</f>
        <v>#REF!</v>
      </c>
      <c r="N148" s="42" t="s">
        <v>628</v>
      </c>
      <c r="O148" s="16"/>
      <c r="P148" s="42"/>
      <c r="Q148" s="16"/>
      <c r="R148" s="320" t="e">
        <f>-H148</f>
        <v>#REF!</v>
      </c>
      <c r="S148" s="319" t="e">
        <f>L148</f>
        <v>#REF!</v>
      </c>
      <c r="T148" s="16" t="e">
        <f>COUNTIFS(#REF!,"&gt;="&amp;8,#REF!,"&lt;="&amp;12)</f>
        <v>#REF!</v>
      </c>
    </row>
    <row r="150" spans="1:26" ht="19.899999999999999" customHeight="1" x14ac:dyDescent="0.25">
      <c r="B150" s="321" t="s">
        <v>598</v>
      </c>
      <c r="C150" s="322"/>
      <c r="D150" s="323" t="s">
        <v>629</v>
      </c>
      <c r="E150" s="322"/>
      <c r="F150" s="321" t="s">
        <v>539</v>
      </c>
      <c r="G150" s="324"/>
      <c r="H150" s="321" t="s">
        <v>598</v>
      </c>
      <c r="I150" s="322"/>
      <c r="J150" s="323" t="s">
        <v>629</v>
      </c>
      <c r="K150" s="322"/>
      <c r="L150" s="321" t="s">
        <v>540</v>
      </c>
      <c r="M150" s="324"/>
      <c r="N150" s="321" t="s">
        <v>598</v>
      </c>
      <c r="O150" s="322"/>
      <c r="P150" s="323" t="s">
        <v>629</v>
      </c>
      <c r="Q150" s="322"/>
      <c r="R150" s="321" t="s">
        <v>628</v>
      </c>
    </row>
    <row r="151" spans="1:26" ht="2.25" customHeight="1" x14ac:dyDescent="0.25">
      <c r="H151" s="325"/>
      <c r="J151" s="325"/>
    </row>
    <row r="152" spans="1:26" x14ac:dyDescent="0.25">
      <c r="B152" s="326" t="e">
        <f>COUNTIFS(#REF!,"&gt;="&amp;0,#REF!,"&lt;="&amp;4)</f>
        <v>#REF!</v>
      </c>
      <c r="D152" s="326"/>
      <c r="F152" s="327">
        <f>SUM(F154:F178)</f>
        <v>0</v>
      </c>
      <c r="H152" s="326" t="e">
        <f>COUNTIFS(#REF!,"&gt;="&amp;4,#REF!,"&lt;="&amp;8)</f>
        <v>#REF!</v>
      </c>
      <c r="J152" s="326"/>
      <c r="L152" s="328">
        <f>SUM(L154:L178)</f>
        <v>0</v>
      </c>
      <c r="N152" s="326" t="e">
        <f>COUNTIFS(#REF!,"&gt;="&amp;8,#REF!,"&lt;="&amp;10)</f>
        <v>#REF!</v>
      </c>
      <c r="P152" s="326"/>
      <c r="R152" s="327">
        <f>SUM(R154:R178)</f>
        <v>0</v>
      </c>
    </row>
    <row r="153" spans="1:26" ht="2.25" customHeight="1" x14ac:dyDescent="0.25"/>
    <row r="154" spans="1:26" s="14" customFormat="1" ht="16.149999999999999" customHeight="1" x14ac:dyDescent="0.25">
      <c r="A154" s="315">
        <v>1</v>
      </c>
      <c r="B154" s="331"/>
      <c r="C154" s="13"/>
      <c r="D154" s="332"/>
      <c r="E154" s="13"/>
      <c r="F154" s="333"/>
      <c r="G154" s="13"/>
      <c r="H154" s="334"/>
      <c r="I154" s="13"/>
      <c r="J154" s="335"/>
      <c r="K154" s="13"/>
      <c r="L154" s="336"/>
      <c r="M154" s="13"/>
      <c r="N154" s="337"/>
      <c r="O154" s="13"/>
      <c r="P154" s="338"/>
      <c r="Q154" s="13"/>
      <c r="R154" s="339"/>
      <c r="Y154" s="14" t="s">
        <v>521</v>
      </c>
      <c r="Z154" s="340">
        <f>SUMIFS($F$154:$F$168,$D$154:$D$168,"dcn")+SUMIFS($L$154:$L$168,$J$154:$J$168,"dcn")</f>
        <v>0</v>
      </c>
    </row>
    <row r="155" spans="1:26" s="14" customFormat="1" ht="16.149999999999999" customHeight="1" x14ac:dyDescent="0.25">
      <c r="A155" s="315">
        <v>2</v>
      </c>
      <c r="B155" s="341"/>
      <c r="C155" s="13"/>
      <c r="D155" s="342"/>
      <c r="E155" s="13"/>
      <c r="F155" s="343"/>
      <c r="G155" s="13"/>
      <c r="H155" s="344"/>
      <c r="I155" s="13"/>
      <c r="J155" s="345"/>
      <c r="K155" s="13"/>
      <c r="L155" s="346"/>
      <c r="M155" s="13"/>
      <c r="N155" s="347"/>
      <c r="O155" s="13"/>
      <c r="P155" s="348"/>
      <c r="Q155" s="13"/>
      <c r="R155" s="349"/>
      <c r="Y155" s="14" t="s">
        <v>580</v>
      </c>
      <c r="Z155" s="340">
        <f>SUMIFS($F$154:$F$168,$D$154:$D$168,"di")+SUMIFS($L$154:$L$168,$J$154:$J$168,"di")</f>
        <v>0</v>
      </c>
    </row>
    <row r="156" spans="1:26" s="14" customFormat="1" ht="16.149999999999999" customHeight="1" x14ac:dyDescent="0.25">
      <c r="A156" s="315">
        <v>3</v>
      </c>
      <c r="B156" s="331"/>
      <c r="C156" s="13"/>
      <c r="D156" s="332"/>
      <c r="E156" s="13"/>
      <c r="F156" s="333"/>
      <c r="G156" s="13"/>
      <c r="H156" s="334"/>
      <c r="I156" s="13"/>
      <c r="J156" s="335"/>
      <c r="K156" s="13"/>
      <c r="L156" s="336"/>
      <c r="M156" s="13"/>
      <c r="N156" s="337"/>
      <c r="O156" s="13"/>
      <c r="P156" s="338"/>
      <c r="Q156" s="13"/>
      <c r="R156" s="339"/>
      <c r="S156" s="350"/>
      <c r="T156" s="350"/>
      <c r="Y156" s="14" t="s">
        <v>548</v>
      </c>
      <c r="Z156" s="340">
        <f>SUMIFS($F$154:$F$168,$D$154:$D$168,"ao")+SUMIFS($L$154:$L$168,$J$154:$J$168,"ao")</f>
        <v>0</v>
      </c>
    </row>
    <row r="157" spans="1:26" s="14" customFormat="1" ht="16.149999999999999" customHeight="1" x14ac:dyDescent="0.25">
      <c r="A157" s="315">
        <v>4</v>
      </c>
      <c r="B157" s="341"/>
      <c r="C157" s="13"/>
      <c r="D157" s="342"/>
      <c r="E157" s="13"/>
      <c r="F157" s="343"/>
      <c r="G157" s="13"/>
      <c r="H157" s="344"/>
      <c r="I157" s="13"/>
      <c r="J157" s="345"/>
      <c r="K157" s="13"/>
      <c r="L157" s="346"/>
      <c r="M157" s="13"/>
      <c r="N157" s="347"/>
      <c r="O157" s="13"/>
      <c r="P157" s="348"/>
      <c r="Q157" s="13"/>
      <c r="R157" s="349"/>
      <c r="S157" s="351"/>
      <c r="T157" s="352"/>
      <c r="Y157" s="14" t="s">
        <v>547</v>
      </c>
      <c r="Z157" s="340">
        <f>SUMIFS($F$154:$F$168,$D$154:$D$168,"reg")+SUMIFS($L$154:$L$168,$J$154:$J$168,"reg")</f>
        <v>0</v>
      </c>
    </row>
    <row r="158" spans="1:26" s="14" customFormat="1" ht="16.149999999999999" customHeight="1" x14ac:dyDescent="0.25">
      <c r="A158" s="315">
        <v>5</v>
      </c>
      <c r="B158" s="331"/>
      <c r="C158" s="13"/>
      <c r="D158" s="332"/>
      <c r="E158" s="13"/>
      <c r="F158" s="333"/>
      <c r="G158" s="13"/>
      <c r="H158" s="334"/>
      <c r="I158" s="13"/>
      <c r="J158" s="335"/>
      <c r="K158" s="13"/>
      <c r="L158" s="336"/>
      <c r="M158" s="13"/>
      <c r="N158" s="337"/>
      <c r="O158" s="13"/>
      <c r="P158" s="338"/>
      <c r="Q158" s="13"/>
      <c r="R158" s="339"/>
    </row>
    <row r="159" spans="1:26" s="14" customFormat="1" ht="16.149999999999999" customHeight="1" x14ac:dyDescent="0.25">
      <c r="A159" s="315">
        <v>6</v>
      </c>
      <c r="B159" s="341"/>
      <c r="C159" s="13"/>
      <c r="D159" s="342"/>
      <c r="E159" s="13"/>
      <c r="F159" s="343"/>
      <c r="G159" s="13"/>
      <c r="H159" s="344"/>
      <c r="I159" s="13"/>
      <c r="J159" s="345"/>
      <c r="K159" s="13"/>
      <c r="L159" s="346"/>
      <c r="M159" s="13"/>
      <c r="N159" s="347"/>
      <c r="O159" s="13"/>
      <c r="P159" s="348"/>
      <c r="Q159" s="13"/>
      <c r="R159" s="349"/>
    </row>
    <row r="160" spans="1:26" s="14" customFormat="1" ht="16.149999999999999" customHeight="1" x14ac:dyDescent="0.25">
      <c r="A160" s="315">
        <v>7</v>
      </c>
      <c r="B160" s="331"/>
      <c r="C160" s="13"/>
      <c r="D160" s="332"/>
      <c r="E160" s="13"/>
      <c r="F160" s="333"/>
      <c r="G160" s="13"/>
      <c r="H160" s="334"/>
      <c r="I160" s="13"/>
      <c r="J160" s="335"/>
      <c r="K160" s="13"/>
      <c r="L160" s="336"/>
      <c r="M160" s="13"/>
      <c r="N160" s="337"/>
      <c r="O160" s="13"/>
      <c r="P160" s="338"/>
      <c r="Q160" s="13"/>
      <c r="R160" s="339"/>
    </row>
    <row r="161" spans="1:18" s="14" customFormat="1" ht="16.149999999999999" customHeight="1" x14ac:dyDescent="0.25">
      <c r="A161" s="315">
        <v>8</v>
      </c>
      <c r="B161" s="341"/>
      <c r="C161" s="13"/>
      <c r="D161" s="342"/>
      <c r="E161" s="13"/>
      <c r="F161" s="343"/>
      <c r="G161" s="13"/>
      <c r="H161" s="344"/>
      <c r="I161" s="13"/>
      <c r="J161" s="345"/>
      <c r="K161" s="13"/>
      <c r="L161" s="346"/>
      <c r="M161" s="13"/>
      <c r="N161" s="347"/>
      <c r="O161" s="13"/>
      <c r="P161" s="348"/>
      <c r="Q161" s="13"/>
      <c r="R161" s="349"/>
    </row>
    <row r="162" spans="1:18" s="14" customFormat="1" ht="16.149999999999999" customHeight="1" x14ac:dyDescent="0.25">
      <c r="A162" s="315">
        <v>9</v>
      </c>
      <c r="B162" s="331"/>
      <c r="C162" s="13"/>
      <c r="D162" s="332"/>
      <c r="E162" s="13"/>
      <c r="F162" s="333"/>
      <c r="G162" s="13"/>
      <c r="H162" s="334"/>
      <c r="I162" s="13"/>
      <c r="J162" s="335"/>
      <c r="K162" s="13"/>
      <c r="L162" s="336"/>
      <c r="M162" s="13"/>
      <c r="N162" s="337"/>
      <c r="O162" s="13"/>
      <c r="P162" s="338"/>
      <c r="Q162" s="13"/>
      <c r="R162" s="339"/>
    </row>
    <row r="163" spans="1:18" s="14" customFormat="1" ht="16.149999999999999" customHeight="1" x14ac:dyDescent="0.25">
      <c r="A163" s="315">
        <v>10</v>
      </c>
      <c r="B163" s="341"/>
      <c r="C163" s="13"/>
      <c r="D163" s="342"/>
      <c r="E163" s="13"/>
      <c r="F163" s="343"/>
      <c r="G163" s="13"/>
      <c r="H163" s="344"/>
      <c r="I163" s="13"/>
      <c r="J163" s="345"/>
      <c r="K163" s="13"/>
      <c r="L163" s="346"/>
      <c r="M163" s="13"/>
      <c r="N163" s="347"/>
      <c r="O163" s="13"/>
      <c r="P163" s="348"/>
      <c r="Q163" s="13"/>
      <c r="R163" s="349"/>
    </row>
    <row r="164" spans="1:18" s="14" customFormat="1" ht="16.149999999999999" customHeight="1" x14ac:dyDescent="0.25">
      <c r="A164" s="315">
        <v>11</v>
      </c>
      <c r="B164" s="331"/>
      <c r="C164" s="13"/>
      <c r="D164" s="332"/>
      <c r="E164" s="13"/>
      <c r="F164" s="333"/>
      <c r="G164" s="13"/>
      <c r="H164" s="334"/>
      <c r="I164" s="13"/>
      <c r="J164" s="335"/>
      <c r="K164" s="13"/>
      <c r="L164" s="336"/>
      <c r="M164" s="13"/>
      <c r="N164" s="337"/>
      <c r="O164" s="13"/>
      <c r="P164" s="338"/>
      <c r="Q164" s="13"/>
      <c r="R164" s="339"/>
    </row>
    <row r="165" spans="1:18" s="14" customFormat="1" ht="16.149999999999999" customHeight="1" x14ac:dyDescent="0.25">
      <c r="A165" s="315">
        <v>12</v>
      </c>
      <c r="B165" s="341"/>
      <c r="C165" s="13"/>
      <c r="D165" s="342"/>
      <c r="E165" s="13"/>
      <c r="F165" s="343"/>
      <c r="G165" s="13"/>
      <c r="H165" s="344"/>
      <c r="I165" s="13"/>
      <c r="J165" s="345"/>
      <c r="K165" s="13"/>
      <c r="L165" s="346"/>
      <c r="M165" s="13"/>
      <c r="N165" s="347"/>
      <c r="O165" s="13"/>
      <c r="P165" s="348"/>
      <c r="Q165" s="13"/>
      <c r="R165" s="349"/>
    </row>
    <row r="166" spans="1:18" s="14" customFormat="1" ht="16.149999999999999" customHeight="1" x14ac:dyDescent="0.25">
      <c r="A166" s="315">
        <v>13</v>
      </c>
      <c r="B166" s="331"/>
      <c r="C166" s="13"/>
      <c r="D166" s="332"/>
      <c r="E166" s="13"/>
      <c r="F166" s="333"/>
      <c r="G166" s="13"/>
      <c r="H166" s="334"/>
      <c r="I166" s="13"/>
      <c r="J166" s="335"/>
      <c r="K166" s="13"/>
      <c r="L166" s="336"/>
      <c r="M166" s="13"/>
      <c r="N166" s="337"/>
      <c r="O166" s="13"/>
      <c r="P166" s="338"/>
      <c r="Q166" s="13"/>
      <c r="R166" s="339"/>
    </row>
    <row r="167" spans="1:18" s="14" customFormat="1" ht="16.149999999999999" customHeight="1" x14ac:dyDescent="0.25">
      <c r="A167" s="315">
        <v>14</v>
      </c>
      <c r="B167" s="341"/>
      <c r="C167" s="13"/>
      <c r="D167" s="342"/>
      <c r="E167" s="13"/>
      <c r="F167" s="343"/>
      <c r="G167" s="13"/>
      <c r="H167" s="344"/>
      <c r="I167" s="13"/>
      <c r="J167" s="345"/>
      <c r="K167" s="13"/>
      <c r="L167" s="346"/>
      <c r="M167" s="13"/>
      <c r="N167" s="347"/>
      <c r="O167" s="13"/>
      <c r="P167" s="348"/>
      <c r="Q167" s="13"/>
      <c r="R167" s="349"/>
    </row>
    <row r="168" spans="1:18" s="14" customFormat="1" ht="16.149999999999999" customHeight="1" x14ac:dyDescent="0.25">
      <c r="A168" s="315">
        <v>15</v>
      </c>
      <c r="B168" s="331"/>
      <c r="C168" s="13"/>
      <c r="D168" s="332"/>
      <c r="E168" s="13"/>
      <c r="F168" s="333"/>
      <c r="G168" s="13"/>
      <c r="H168" s="334"/>
      <c r="I168" s="13"/>
      <c r="J168" s="335"/>
      <c r="K168" s="13"/>
      <c r="L168" s="336"/>
      <c r="M168" s="13"/>
      <c r="N168" s="337"/>
      <c r="O168" s="13"/>
      <c r="P168" s="338"/>
      <c r="Q168" s="13"/>
      <c r="R168" s="339"/>
    </row>
    <row r="169" spans="1:18" x14ac:dyDescent="0.25">
      <c r="A169" s="315">
        <v>16</v>
      </c>
      <c r="B169" s="341"/>
      <c r="C169" s="13"/>
      <c r="D169" s="342"/>
      <c r="E169" s="13"/>
      <c r="F169" s="343"/>
      <c r="G169" s="13"/>
      <c r="H169" s="344"/>
      <c r="I169" s="13"/>
      <c r="J169" s="345"/>
      <c r="K169" s="13"/>
      <c r="L169" s="346"/>
      <c r="M169" s="13"/>
      <c r="N169" s="347"/>
      <c r="O169" s="13"/>
      <c r="P169" s="348"/>
      <c r="Q169" s="13"/>
      <c r="R169" s="349"/>
    </row>
    <row r="170" spans="1:18" x14ac:dyDescent="0.25">
      <c r="A170" s="315">
        <v>17</v>
      </c>
      <c r="B170" s="331"/>
      <c r="C170" s="13"/>
      <c r="D170" s="332"/>
      <c r="E170" s="13"/>
      <c r="F170" s="333"/>
      <c r="G170" s="13"/>
      <c r="H170" s="334"/>
      <c r="I170" s="13"/>
      <c r="J170" s="335"/>
      <c r="K170" s="13"/>
      <c r="L170" s="336"/>
      <c r="M170" s="13"/>
      <c r="N170" s="337"/>
      <c r="O170" s="13"/>
      <c r="P170" s="338"/>
      <c r="Q170" s="13"/>
      <c r="R170" s="339"/>
    </row>
    <row r="171" spans="1:18" x14ac:dyDescent="0.25">
      <c r="A171" s="315">
        <v>18</v>
      </c>
      <c r="B171" s="341"/>
      <c r="C171" s="13"/>
      <c r="D171" s="342"/>
      <c r="E171" s="13"/>
      <c r="F171" s="343"/>
      <c r="G171" s="13"/>
      <c r="H171" s="344"/>
      <c r="I171" s="13"/>
      <c r="J171" s="345"/>
      <c r="K171" s="13"/>
      <c r="L171" s="346"/>
      <c r="M171" s="13"/>
      <c r="N171" s="347"/>
      <c r="O171" s="13"/>
      <c r="P171" s="348"/>
      <c r="Q171" s="13"/>
      <c r="R171" s="349"/>
    </row>
    <row r="172" spans="1:18" x14ac:dyDescent="0.25">
      <c r="A172" s="315">
        <v>19</v>
      </c>
      <c r="B172" s="331"/>
      <c r="C172" s="13"/>
      <c r="D172" s="332"/>
      <c r="E172" s="13"/>
      <c r="F172" s="333"/>
      <c r="G172" s="13"/>
      <c r="H172" s="334"/>
      <c r="I172" s="13"/>
      <c r="J172" s="335"/>
      <c r="K172" s="13"/>
      <c r="L172" s="336"/>
      <c r="M172" s="13"/>
      <c r="N172" s="337"/>
      <c r="O172" s="13"/>
      <c r="P172" s="338"/>
      <c r="Q172" s="13"/>
      <c r="R172" s="339"/>
    </row>
    <row r="173" spans="1:18" x14ac:dyDescent="0.25">
      <c r="A173" s="315">
        <v>20</v>
      </c>
      <c r="B173" s="341"/>
      <c r="C173" s="13"/>
      <c r="D173" s="342"/>
      <c r="E173" s="13"/>
      <c r="F173" s="343"/>
      <c r="G173" s="13"/>
      <c r="H173" s="344"/>
      <c r="I173" s="13"/>
      <c r="J173" s="345"/>
      <c r="K173" s="13"/>
      <c r="L173" s="346"/>
      <c r="M173" s="13"/>
      <c r="N173" s="347"/>
      <c r="O173" s="13"/>
      <c r="P173" s="348"/>
      <c r="Q173" s="13"/>
      <c r="R173" s="349"/>
    </row>
    <row r="174" spans="1:18" x14ac:dyDescent="0.25">
      <c r="A174" s="315">
        <v>21</v>
      </c>
      <c r="B174" s="331"/>
      <c r="C174" s="13"/>
      <c r="D174" s="332"/>
      <c r="E174" s="13"/>
      <c r="F174" s="333"/>
      <c r="G174" s="13"/>
      <c r="H174" s="334"/>
      <c r="I174" s="13"/>
      <c r="J174" s="335"/>
      <c r="K174" s="13"/>
      <c r="L174" s="336"/>
      <c r="M174" s="13"/>
      <c r="N174" s="337"/>
      <c r="O174" s="13"/>
      <c r="P174" s="338"/>
      <c r="Q174" s="13"/>
      <c r="R174" s="339"/>
    </row>
    <row r="175" spans="1:18" x14ac:dyDescent="0.25">
      <c r="A175" s="315">
        <v>22</v>
      </c>
      <c r="B175" s="341"/>
      <c r="C175" s="13"/>
      <c r="D175" s="342"/>
      <c r="E175" s="13"/>
      <c r="F175" s="343"/>
      <c r="G175" s="13"/>
      <c r="H175" s="344"/>
      <c r="I175" s="13"/>
      <c r="J175" s="345"/>
      <c r="K175" s="13"/>
      <c r="L175" s="346"/>
      <c r="M175" s="13"/>
      <c r="N175" s="347"/>
      <c r="O175" s="13"/>
      <c r="P175" s="348"/>
      <c r="Q175" s="13"/>
      <c r="R175" s="349"/>
    </row>
    <row r="176" spans="1:18" x14ac:dyDescent="0.25">
      <c r="A176" s="315">
        <v>23</v>
      </c>
      <c r="B176" s="331"/>
      <c r="C176" s="13"/>
      <c r="D176" s="332"/>
      <c r="E176" s="13"/>
      <c r="F176" s="333"/>
      <c r="G176" s="13"/>
      <c r="H176" s="334"/>
      <c r="I176" s="13"/>
      <c r="J176" s="335"/>
      <c r="K176" s="13"/>
      <c r="L176" s="336"/>
      <c r="M176" s="13"/>
      <c r="N176" s="337"/>
      <c r="O176" s="13"/>
      <c r="P176" s="338"/>
      <c r="Q176" s="13"/>
      <c r="R176" s="339"/>
    </row>
    <row r="177" spans="1:26" x14ac:dyDescent="0.25">
      <c r="A177" s="315">
        <v>24</v>
      </c>
      <c r="B177" s="341"/>
      <c r="C177" s="13"/>
      <c r="D177" s="342"/>
      <c r="E177" s="13"/>
      <c r="F177" s="343"/>
      <c r="G177" s="13"/>
      <c r="H177" s="344"/>
      <c r="I177" s="13"/>
      <c r="J177" s="345"/>
      <c r="K177" s="13"/>
      <c r="L177" s="346"/>
      <c r="M177" s="13"/>
      <c r="N177" s="347"/>
      <c r="O177" s="13"/>
      <c r="P177" s="348"/>
      <c r="Q177" s="13"/>
      <c r="R177" s="349"/>
    </row>
    <row r="178" spans="1:26" x14ac:dyDescent="0.25">
      <c r="A178" s="315">
        <v>25</v>
      </c>
      <c r="B178" s="331"/>
      <c r="C178" s="13"/>
      <c r="D178" s="332"/>
      <c r="E178" s="13"/>
      <c r="F178" s="333"/>
      <c r="G178" s="13"/>
      <c r="H178" s="334"/>
      <c r="I178" s="13"/>
      <c r="J178" s="335"/>
      <c r="K178" s="13"/>
      <c r="L178" s="336"/>
      <c r="M178" s="13"/>
      <c r="N178" s="337"/>
      <c r="O178" s="13"/>
      <c r="P178" s="338"/>
      <c r="Q178" s="13"/>
      <c r="R178" s="339"/>
    </row>
    <row r="181" spans="1:26" ht="23.25" x14ac:dyDescent="0.25">
      <c r="B181" s="316" t="s">
        <v>626</v>
      </c>
      <c r="C181" s="317"/>
      <c r="D181" s="318"/>
      <c r="E181" s="317"/>
      <c r="F181" s="106" t="s">
        <v>541</v>
      </c>
      <c r="G181" s="317"/>
      <c r="H181" s="106"/>
      <c r="I181" s="317"/>
      <c r="J181" s="106"/>
      <c r="K181" s="317"/>
      <c r="L181" s="106"/>
      <c r="M181" s="317"/>
      <c r="N181" s="106"/>
      <c r="O181" s="317"/>
      <c r="P181" s="106"/>
      <c r="Q181" s="317"/>
      <c r="R181" s="106"/>
    </row>
    <row r="182" spans="1:26" x14ac:dyDescent="0.25">
      <c r="F182" s="108" t="s">
        <v>539</v>
      </c>
      <c r="H182" s="42" t="e">
        <f>SUMIFS(#REF!,#REF!,"&gt;="&amp;0,#REF!,"&lt;="&amp;4)</f>
        <v>#REF!</v>
      </c>
      <c r="J182" s="42"/>
      <c r="L182" s="319" t="e">
        <f>H182/#REF!</f>
        <v>#REF!</v>
      </c>
      <c r="N182" s="42" t="s">
        <v>539</v>
      </c>
      <c r="O182" s="16"/>
      <c r="P182" s="42"/>
      <c r="Q182" s="16"/>
      <c r="R182" s="320" t="e">
        <f>-H182</f>
        <v>#REF!</v>
      </c>
      <c r="S182" s="319" t="e">
        <f>L182</f>
        <v>#REF!</v>
      </c>
      <c r="T182" s="16" t="e">
        <f>COUNTIFS(#REF!,"&gt;="&amp;0,#REF!,"&lt;="&amp;4)</f>
        <v>#REF!</v>
      </c>
    </row>
    <row r="183" spans="1:26" x14ac:dyDescent="0.25">
      <c r="F183" s="108" t="s">
        <v>540</v>
      </c>
      <c r="H183" s="42" t="e">
        <f>SUMIFS(#REF!,#REF!,"&gt;="&amp;4,#REF!,"&lt;="&amp;8)</f>
        <v>#REF!</v>
      </c>
      <c r="J183" s="42"/>
      <c r="L183" s="319" t="e">
        <f>H183/#REF!</f>
        <v>#REF!</v>
      </c>
      <c r="N183" s="42" t="s">
        <v>540</v>
      </c>
      <c r="O183" s="16"/>
      <c r="P183" s="42"/>
      <c r="Q183" s="16"/>
      <c r="R183" s="320" t="e">
        <f>-H183</f>
        <v>#REF!</v>
      </c>
      <c r="S183" s="319" t="e">
        <f>L183</f>
        <v>#REF!</v>
      </c>
      <c r="T183" s="16" t="e">
        <f>COUNTIFS(#REF!,"&gt;="&amp;4,#REF!,"&lt;="&amp;8)</f>
        <v>#REF!</v>
      </c>
    </row>
    <row r="184" spans="1:26" x14ac:dyDescent="0.25">
      <c r="F184" s="108" t="s">
        <v>628</v>
      </c>
      <c r="H184" s="42" t="e">
        <f>SUMIFS(#REF!,#REF!,"&gt;="&amp;8,#REF!,"&lt;="&amp;10)</f>
        <v>#REF!</v>
      </c>
      <c r="J184" s="42"/>
      <c r="L184" s="319" t="e">
        <f>H184/#REF!</f>
        <v>#REF!</v>
      </c>
      <c r="N184" s="42" t="s">
        <v>628</v>
      </c>
      <c r="O184" s="16"/>
      <c r="P184" s="42"/>
      <c r="Q184" s="16"/>
      <c r="R184" s="320" t="e">
        <f>-H184</f>
        <v>#REF!</v>
      </c>
      <c r="S184" s="319" t="e">
        <f>L184</f>
        <v>#REF!</v>
      </c>
      <c r="T184" s="16" t="e">
        <f>COUNTIFS(#REF!,"&gt;="&amp;8,#REF!,"&lt;="&amp;12)</f>
        <v>#REF!</v>
      </c>
    </row>
    <row r="186" spans="1:26" ht="19.899999999999999" customHeight="1" x14ac:dyDescent="0.25">
      <c r="B186" s="321" t="s">
        <v>598</v>
      </c>
      <c r="C186" s="322"/>
      <c r="D186" s="323" t="s">
        <v>629</v>
      </c>
      <c r="E186" s="322"/>
      <c r="F186" s="321" t="s">
        <v>539</v>
      </c>
      <c r="G186" s="324"/>
      <c r="H186" s="321" t="s">
        <v>598</v>
      </c>
      <c r="I186" s="322"/>
      <c r="J186" s="323" t="s">
        <v>629</v>
      </c>
      <c r="K186" s="322"/>
      <c r="L186" s="321" t="s">
        <v>540</v>
      </c>
      <c r="M186" s="324"/>
      <c r="N186" s="321" t="s">
        <v>598</v>
      </c>
      <c r="O186" s="322"/>
      <c r="P186" s="323" t="s">
        <v>629</v>
      </c>
      <c r="Q186" s="322"/>
      <c r="R186" s="321" t="s">
        <v>628</v>
      </c>
    </row>
    <row r="187" spans="1:26" ht="2.25" customHeight="1" x14ac:dyDescent="0.25">
      <c r="H187" s="325"/>
      <c r="J187" s="325"/>
    </row>
    <row r="188" spans="1:26" x14ac:dyDescent="0.25">
      <c r="B188" s="326" t="e">
        <f>COUNTIFS(#REF!,"&gt;="&amp;0,#REF!,"&lt;="&amp;4)</f>
        <v>#REF!</v>
      </c>
      <c r="D188" s="326"/>
      <c r="F188" s="327">
        <f>SUM(F190:F204)</f>
        <v>0</v>
      </c>
      <c r="H188" s="326" t="e">
        <f>COUNTIFS(#REF!,"&gt;="&amp;4,#REF!,"&lt;="&amp;8)</f>
        <v>#REF!</v>
      </c>
      <c r="J188" s="326"/>
      <c r="L188" s="353">
        <f>SUM(L190:L204)</f>
        <v>0</v>
      </c>
      <c r="N188" s="326" t="e">
        <f>COUNTIFS(#REF!,"&gt;="&amp;8,#REF!,"&lt;="&amp;10)</f>
        <v>#REF!</v>
      </c>
      <c r="P188" s="326"/>
      <c r="R188" s="327">
        <f>SUM(R190:R204)</f>
        <v>0</v>
      </c>
    </row>
    <row r="189" spans="1:26" ht="2.25" customHeight="1" x14ac:dyDescent="0.25"/>
    <row r="190" spans="1:26" s="14" customFormat="1" ht="16.149999999999999" customHeight="1" x14ac:dyDescent="0.25">
      <c r="A190" s="315">
        <v>1</v>
      </c>
      <c r="B190" s="331"/>
      <c r="C190" s="13"/>
      <c r="D190" s="332"/>
      <c r="E190" s="13"/>
      <c r="F190" s="333"/>
      <c r="G190" s="13"/>
      <c r="H190" s="334"/>
      <c r="I190" s="13"/>
      <c r="J190" s="335"/>
      <c r="K190" s="13"/>
      <c r="L190" s="336"/>
      <c r="M190" s="13"/>
      <c r="N190" s="337"/>
      <c r="O190" s="13"/>
      <c r="P190" s="338"/>
      <c r="Q190" s="13"/>
      <c r="R190" s="339"/>
      <c r="Y190" s="14" t="s">
        <v>521</v>
      </c>
      <c r="Z190" s="340">
        <f>SUMIFS($F$190:$F$204,$D$190:$D$204,"dcn")+SUMIFS($L$190:$L$204,$J$190:$J$204,"dcn")</f>
        <v>0</v>
      </c>
    </row>
    <row r="191" spans="1:26" s="14" customFormat="1" ht="16.149999999999999" customHeight="1" x14ac:dyDescent="0.25">
      <c r="A191" s="315">
        <v>2</v>
      </c>
      <c r="B191" s="341"/>
      <c r="C191" s="13"/>
      <c r="D191" s="342"/>
      <c r="E191" s="13"/>
      <c r="F191" s="343"/>
      <c r="G191" s="13"/>
      <c r="H191" s="344"/>
      <c r="I191" s="13"/>
      <c r="J191" s="345"/>
      <c r="K191" s="13"/>
      <c r="L191" s="346"/>
      <c r="M191" s="13"/>
      <c r="N191" s="347"/>
      <c r="O191" s="13"/>
      <c r="P191" s="348"/>
      <c r="Q191" s="13"/>
      <c r="R191" s="349"/>
      <c r="Y191" s="14" t="s">
        <v>580</v>
      </c>
      <c r="Z191" s="340">
        <f>SUMIFS($F$190:$F$204,$D$190:$D$204,"di")+SUMIFS($L$190:$L$204,$J$190:$J$204,"di")</f>
        <v>0</v>
      </c>
    </row>
    <row r="192" spans="1:26" s="14" customFormat="1" ht="16.149999999999999" customHeight="1" x14ac:dyDescent="0.25">
      <c r="A192" s="315">
        <v>3</v>
      </c>
      <c r="B192" s="331"/>
      <c r="C192" s="13"/>
      <c r="D192" s="332"/>
      <c r="E192" s="13"/>
      <c r="F192" s="333"/>
      <c r="G192" s="13"/>
      <c r="H192" s="334"/>
      <c r="I192" s="13"/>
      <c r="J192" s="335"/>
      <c r="K192" s="13"/>
      <c r="L192" s="336"/>
      <c r="M192" s="13"/>
      <c r="N192" s="337"/>
      <c r="O192" s="13"/>
      <c r="P192" s="338"/>
      <c r="Q192" s="13"/>
      <c r="R192" s="339"/>
      <c r="S192" s="350"/>
      <c r="T192" s="350"/>
      <c r="Y192" s="14" t="s">
        <v>548</v>
      </c>
      <c r="Z192" s="340">
        <f>SUMIFS($F$190:$F$204,$D$190:$D$204,"ao")+SUMIFS($L$190:$L$204,$J$190:$J$204,"ao")</f>
        <v>0</v>
      </c>
    </row>
    <row r="193" spans="1:26" s="14" customFormat="1" ht="16.149999999999999" customHeight="1" x14ac:dyDescent="0.25">
      <c r="A193" s="315">
        <v>4</v>
      </c>
      <c r="B193" s="341"/>
      <c r="C193" s="13"/>
      <c r="D193" s="342"/>
      <c r="E193" s="13"/>
      <c r="F193" s="343"/>
      <c r="G193" s="13"/>
      <c r="H193" s="344"/>
      <c r="I193" s="13"/>
      <c r="J193" s="345"/>
      <c r="K193" s="13"/>
      <c r="L193" s="346"/>
      <c r="M193" s="13"/>
      <c r="N193" s="337"/>
      <c r="O193" s="13"/>
      <c r="P193" s="338"/>
      <c r="Q193" s="13"/>
      <c r="R193" s="339"/>
      <c r="S193" s="351"/>
      <c r="T193" s="352"/>
      <c r="Y193" s="14" t="s">
        <v>547</v>
      </c>
      <c r="Z193" s="340">
        <f>SUMIFS($F$190:$F$204,$D$190:$D$204,"reg")+SUMIFS($L$190:$L$204,$J$190:$J$204,"reg")</f>
        <v>0</v>
      </c>
    </row>
    <row r="194" spans="1:26" s="14" customFormat="1" ht="16.149999999999999" customHeight="1" x14ac:dyDescent="0.25">
      <c r="A194" s="315">
        <v>5</v>
      </c>
      <c r="B194" s="331"/>
      <c r="C194" s="13"/>
      <c r="D194" s="332"/>
      <c r="E194" s="13"/>
      <c r="F194" s="333"/>
      <c r="G194" s="13"/>
      <c r="H194" s="334"/>
      <c r="I194" s="13"/>
      <c r="J194" s="335"/>
      <c r="K194" s="13"/>
      <c r="L194" s="336"/>
      <c r="M194" s="13"/>
      <c r="N194" s="347"/>
      <c r="O194" s="13"/>
      <c r="P194" s="348"/>
      <c r="Q194" s="13"/>
      <c r="R194" s="349"/>
    </row>
    <row r="195" spans="1:26" s="14" customFormat="1" ht="16.149999999999999" customHeight="1" x14ac:dyDescent="0.25">
      <c r="A195" s="315">
        <v>6</v>
      </c>
      <c r="B195" s="341"/>
      <c r="C195" s="13"/>
      <c r="D195" s="342"/>
      <c r="E195" s="13"/>
      <c r="F195" s="343"/>
      <c r="G195" s="13"/>
      <c r="H195" s="344"/>
      <c r="I195" s="13"/>
      <c r="J195" s="345"/>
      <c r="K195" s="13"/>
      <c r="L195" s="346"/>
      <c r="M195" s="13"/>
      <c r="N195" s="337"/>
      <c r="O195" s="13"/>
      <c r="P195" s="338"/>
      <c r="Q195" s="13"/>
      <c r="R195" s="339"/>
    </row>
    <row r="196" spans="1:26" s="14" customFormat="1" ht="16.149999999999999" customHeight="1" x14ac:dyDescent="0.25">
      <c r="A196" s="315">
        <v>7</v>
      </c>
      <c r="B196" s="331"/>
      <c r="C196" s="13"/>
      <c r="D196" s="332"/>
      <c r="E196" s="13"/>
      <c r="F196" s="333"/>
      <c r="G196" s="13"/>
      <c r="H196" s="334"/>
      <c r="I196" s="13"/>
      <c r="J196" s="335"/>
      <c r="K196" s="13"/>
      <c r="L196" s="336"/>
      <c r="M196" s="13"/>
      <c r="N196" s="347"/>
      <c r="O196" s="13"/>
      <c r="P196" s="348"/>
      <c r="Q196" s="13"/>
      <c r="R196" s="349"/>
    </row>
    <row r="197" spans="1:26" s="14" customFormat="1" ht="16.149999999999999" customHeight="1" x14ac:dyDescent="0.25">
      <c r="A197" s="315">
        <v>8</v>
      </c>
      <c r="B197" s="341"/>
      <c r="C197" s="13"/>
      <c r="D197" s="342"/>
      <c r="E197" s="13"/>
      <c r="F197" s="343"/>
      <c r="G197" s="13"/>
      <c r="H197" s="344"/>
      <c r="I197" s="13"/>
      <c r="J197" s="345"/>
      <c r="K197" s="13"/>
      <c r="L197" s="346"/>
      <c r="M197" s="13"/>
      <c r="N197" s="337"/>
      <c r="O197" s="13"/>
      <c r="P197" s="338"/>
      <c r="Q197" s="13"/>
      <c r="R197" s="339"/>
    </row>
    <row r="198" spans="1:26" s="14" customFormat="1" ht="16.149999999999999" customHeight="1" x14ac:dyDescent="0.25">
      <c r="A198" s="315">
        <v>9</v>
      </c>
      <c r="B198" s="331"/>
      <c r="C198" s="13"/>
      <c r="D198" s="332"/>
      <c r="E198" s="13"/>
      <c r="F198" s="333"/>
      <c r="G198" s="13"/>
      <c r="H198" s="334"/>
      <c r="I198" s="13"/>
      <c r="J198" s="335"/>
      <c r="K198" s="13"/>
      <c r="L198" s="336"/>
      <c r="M198" s="13"/>
      <c r="N198" s="347"/>
      <c r="O198" s="13"/>
      <c r="P198" s="348"/>
      <c r="Q198" s="13"/>
      <c r="R198" s="349"/>
    </row>
    <row r="199" spans="1:26" s="14" customFormat="1" ht="16.149999999999999" customHeight="1" x14ac:dyDescent="0.25">
      <c r="A199" s="315">
        <v>10</v>
      </c>
      <c r="B199" s="341"/>
      <c r="C199" s="13"/>
      <c r="D199" s="342"/>
      <c r="E199" s="13"/>
      <c r="F199" s="343"/>
      <c r="G199" s="13"/>
      <c r="H199" s="344"/>
      <c r="I199" s="13"/>
      <c r="J199" s="345"/>
      <c r="K199" s="13"/>
      <c r="L199" s="346"/>
      <c r="M199" s="13"/>
      <c r="N199" s="337"/>
      <c r="O199" s="13"/>
      <c r="P199" s="338"/>
      <c r="Q199" s="13"/>
      <c r="R199" s="339"/>
    </row>
    <row r="200" spans="1:26" s="14" customFormat="1" ht="16.149999999999999" customHeight="1" x14ac:dyDescent="0.25">
      <c r="A200" s="315">
        <v>11</v>
      </c>
      <c r="B200" s="331"/>
      <c r="C200" s="13"/>
      <c r="D200" s="332"/>
      <c r="E200" s="13"/>
      <c r="F200" s="333"/>
      <c r="G200" s="13"/>
      <c r="H200" s="334"/>
      <c r="I200" s="13"/>
      <c r="J200" s="335"/>
      <c r="K200" s="13"/>
      <c r="L200" s="336"/>
      <c r="M200" s="13"/>
      <c r="N200" s="347"/>
      <c r="O200" s="13"/>
      <c r="P200" s="348"/>
      <c r="Q200" s="13"/>
      <c r="R200" s="349"/>
    </row>
    <row r="201" spans="1:26" s="14" customFormat="1" ht="16.149999999999999" customHeight="1" x14ac:dyDescent="0.25">
      <c r="A201" s="315">
        <v>12</v>
      </c>
      <c r="B201" s="341"/>
      <c r="C201" s="13"/>
      <c r="D201" s="342"/>
      <c r="E201" s="13"/>
      <c r="F201" s="343"/>
      <c r="H201" s="344"/>
      <c r="I201" s="13"/>
      <c r="J201" s="345"/>
      <c r="K201" s="13"/>
      <c r="L201" s="346"/>
      <c r="N201" s="337"/>
      <c r="O201" s="13"/>
      <c r="P201" s="338"/>
      <c r="Q201" s="13"/>
      <c r="R201" s="339"/>
    </row>
    <row r="202" spans="1:26" s="14" customFormat="1" ht="16.149999999999999" customHeight="1" x14ac:dyDescent="0.25">
      <c r="A202" s="315">
        <v>13</v>
      </c>
      <c r="B202" s="331"/>
      <c r="C202" s="13"/>
      <c r="D202" s="332"/>
      <c r="E202" s="13"/>
      <c r="F202" s="333"/>
      <c r="H202" s="334"/>
      <c r="I202" s="13"/>
      <c r="J202" s="335"/>
      <c r="K202" s="13"/>
      <c r="L202" s="336"/>
      <c r="N202" s="347"/>
      <c r="O202" s="13"/>
      <c r="P202" s="348"/>
      <c r="Q202" s="13"/>
      <c r="R202" s="349"/>
    </row>
    <row r="203" spans="1:26" s="14" customFormat="1" ht="16.149999999999999" customHeight="1" x14ac:dyDescent="0.25">
      <c r="A203" s="315">
        <v>14</v>
      </c>
      <c r="B203" s="341"/>
      <c r="C203" s="13"/>
      <c r="D203" s="342"/>
      <c r="E203" s="13"/>
      <c r="F203" s="343"/>
      <c r="H203" s="344"/>
      <c r="I203" s="13"/>
      <c r="J203" s="345"/>
      <c r="K203" s="13"/>
      <c r="L203" s="346"/>
      <c r="N203" s="337"/>
      <c r="O203" s="13"/>
      <c r="P203" s="338"/>
      <c r="Q203" s="13"/>
      <c r="R203" s="339"/>
    </row>
    <row r="204" spans="1:26" s="14" customFormat="1" ht="16.149999999999999" customHeight="1" x14ac:dyDescent="0.25">
      <c r="A204" s="315">
        <v>15</v>
      </c>
      <c r="B204" s="331"/>
      <c r="C204" s="13"/>
      <c r="D204" s="332"/>
      <c r="E204" s="13"/>
      <c r="F204" s="333"/>
      <c r="H204" s="334"/>
      <c r="I204" s="13"/>
      <c r="J204" s="335"/>
      <c r="K204" s="13"/>
      <c r="L204" s="336"/>
      <c r="N204" s="347"/>
      <c r="O204" s="13"/>
      <c r="P204" s="348"/>
      <c r="Q204" s="13"/>
      <c r="R204" s="349"/>
    </row>
    <row r="205" spans="1:26" s="14" customFormat="1" ht="16.149999999999999" customHeight="1" x14ac:dyDescent="0.25">
      <c r="A205" s="315">
        <v>16</v>
      </c>
      <c r="B205" s="341"/>
      <c r="C205" s="13"/>
      <c r="D205" s="342"/>
      <c r="E205" s="13"/>
      <c r="F205" s="343"/>
      <c r="H205" s="344"/>
      <c r="I205" s="13"/>
      <c r="J205" s="345"/>
      <c r="K205" s="13"/>
      <c r="L205" s="346"/>
      <c r="N205" s="337"/>
      <c r="O205" s="13"/>
      <c r="P205" s="338"/>
      <c r="Q205" s="13"/>
      <c r="R205" s="339"/>
    </row>
    <row r="206" spans="1:26" s="14" customFormat="1" ht="16.149999999999999" customHeight="1" x14ac:dyDescent="0.25">
      <c r="A206" s="315">
        <v>17</v>
      </c>
      <c r="B206" s="331"/>
      <c r="C206" s="13"/>
      <c r="D206" s="332"/>
      <c r="E206" s="13"/>
      <c r="F206" s="333"/>
      <c r="H206" s="334"/>
      <c r="I206" s="13"/>
      <c r="J206" s="335"/>
      <c r="K206" s="13"/>
      <c r="L206" s="336"/>
      <c r="N206" s="347"/>
      <c r="O206" s="13"/>
      <c r="P206" s="348"/>
      <c r="Q206" s="13"/>
      <c r="R206" s="349"/>
    </row>
    <row r="207" spans="1:26" s="14" customFormat="1" ht="16.149999999999999" customHeight="1" x14ac:dyDescent="0.25">
      <c r="A207" s="315">
        <v>18</v>
      </c>
      <c r="B207" s="341"/>
      <c r="C207" s="13"/>
      <c r="D207" s="342"/>
      <c r="E207" s="13"/>
      <c r="F207" s="343"/>
      <c r="H207" s="344"/>
      <c r="I207" s="13"/>
      <c r="J207" s="345"/>
      <c r="K207" s="13"/>
      <c r="L207" s="346"/>
      <c r="N207" s="337"/>
      <c r="O207" s="13"/>
      <c r="P207" s="338"/>
      <c r="Q207" s="13"/>
      <c r="R207" s="339"/>
    </row>
    <row r="208" spans="1:26" s="14" customFormat="1" ht="16.149999999999999" customHeight="1" x14ac:dyDescent="0.25">
      <c r="A208" s="315">
        <v>19</v>
      </c>
      <c r="B208" s="331"/>
      <c r="C208" s="13"/>
      <c r="D208" s="332"/>
      <c r="E208" s="13"/>
      <c r="F208" s="333"/>
      <c r="H208" s="334"/>
      <c r="I208" s="13"/>
      <c r="J208" s="335"/>
      <c r="K208" s="13"/>
      <c r="L208" s="336"/>
      <c r="N208" s="347"/>
      <c r="O208" s="13"/>
      <c r="P208" s="348"/>
      <c r="Q208" s="13"/>
      <c r="R208" s="349"/>
    </row>
    <row r="209" spans="1:18" s="14" customFormat="1" ht="16.149999999999999" customHeight="1" x14ac:dyDescent="0.25">
      <c r="A209" s="315">
        <v>20</v>
      </c>
      <c r="B209" s="341"/>
      <c r="C209" s="13"/>
      <c r="D209" s="342"/>
      <c r="E209" s="13"/>
      <c r="F209" s="343"/>
      <c r="H209" s="344"/>
      <c r="I209" s="13"/>
      <c r="J209" s="345"/>
      <c r="K209" s="13"/>
      <c r="L209" s="346"/>
      <c r="N209" s="337"/>
      <c r="O209" s="13"/>
      <c r="P209" s="338"/>
      <c r="Q209" s="13"/>
      <c r="R209" s="339"/>
    </row>
    <row r="210" spans="1:18" s="14" customFormat="1" ht="16.149999999999999" customHeight="1" x14ac:dyDescent="0.25">
      <c r="A210" s="315">
        <v>21</v>
      </c>
      <c r="B210" s="331"/>
      <c r="C210" s="13"/>
      <c r="D210" s="332"/>
      <c r="E210" s="13"/>
      <c r="F210" s="333"/>
      <c r="H210" s="334"/>
      <c r="I210" s="13"/>
      <c r="J210" s="335"/>
      <c r="K210" s="13"/>
      <c r="L210" s="336"/>
      <c r="N210" s="347"/>
      <c r="O210" s="13"/>
      <c r="P210" s="348"/>
      <c r="Q210" s="13"/>
      <c r="R210" s="349"/>
    </row>
    <row r="211" spans="1:18" s="14" customFormat="1" ht="16.149999999999999" customHeight="1" x14ac:dyDescent="0.25">
      <c r="A211" s="315">
        <v>22</v>
      </c>
      <c r="B211" s="341"/>
      <c r="C211" s="13"/>
      <c r="D211" s="342"/>
      <c r="E211" s="13"/>
      <c r="F211" s="343"/>
      <c r="H211" s="344"/>
      <c r="I211" s="13"/>
      <c r="J211" s="345"/>
      <c r="K211" s="13"/>
      <c r="L211" s="346"/>
      <c r="N211" s="337"/>
      <c r="O211" s="13"/>
      <c r="P211" s="338"/>
      <c r="Q211" s="13"/>
      <c r="R211" s="339"/>
    </row>
    <row r="212" spans="1:18" s="14" customFormat="1" ht="16.149999999999999" customHeight="1" x14ac:dyDescent="0.25">
      <c r="A212" s="315">
        <v>23</v>
      </c>
      <c r="B212" s="331"/>
      <c r="C212" s="13"/>
      <c r="D212" s="332"/>
      <c r="E212" s="13"/>
      <c r="F212" s="333"/>
      <c r="H212" s="334"/>
      <c r="I212" s="13"/>
      <c r="J212" s="335"/>
      <c r="K212" s="13"/>
      <c r="L212" s="336"/>
      <c r="N212" s="347"/>
      <c r="O212" s="13"/>
      <c r="P212" s="348"/>
      <c r="Q212" s="13"/>
      <c r="R212" s="349"/>
    </row>
    <row r="213" spans="1:18" s="14" customFormat="1" ht="16.149999999999999" customHeight="1" x14ac:dyDescent="0.25">
      <c r="A213" s="315">
        <v>24</v>
      </c>
      <c r="B213" s="341"/>
      <c r="C213" s="13"/>
      <c r="D213" s="342"/>
      <c r="E213" s="13"/>
      <c r="F213" s="343"/>
      <c r="H213" s="344"/>
      <c r="I213" s="13"/>
      <c r="J213" s="345"/>
      <c r="K213" s="13"/>
      <c r="L213" s="346"/>
      <c r="N213" s="337"/>
      <c r="O213" s="13"/>
      <c r="P213" s="338"/>
      <c r="Q213" s="13"/>
      <c r="R213" s="339"/>
    </row>
    <row r="214" spans="1:18" s="14" customFormat="1" ht="16.149999999999999" customHeight="1" x14ac:dyDescent="0.25">
      <c r="A214" s="315">
        <v>25</v>
      </c>
      <c r="B214" s="331"/>
      <c r="C214" s="13"/>
      <c r="D214" s="332"/>
      <c r="E214" s="13"/>
      <c r="F214" s="333"/>
      <c r="H214" s="334"/>
      <c r="I214" s="13"/>
      <c r="J214" s="335"/>
      <c r="K214" s="13"/>
      <c r="L214" s="336"/>
      <c r="N214" s="347"/>
      <c r="O214" s="13"/>
      <c r="P214" s="348"/>
      <c r="Q214" s="13"/>
      <c r="R214" s="349"/>
    </row>
  </sheetData>
  <pageMargins left="0.11811023622047245" right="0.11811023622047245" top="0.74803149606299213" bottom="0.74803149606299213" header="0.31496062992125984" footer="0.31496062992125984"/>
  <pageSetup paperSize="8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"/>
  <sheetViews>
    <sheetView workbookViewId="0">
      <selection sqref="A1:R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 tint="0.499984740745262"/>
  </sheetPr>
  <dimension ref="A1:DB94"/>
  <sheetViews>
    <sheetView showGridLines="0" zoomScale="85" zoomScaleNormal="8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C13" sqref="C13:D68"/>
    </sheetView>
  </sheetViews>
  <sheetFormatPr baseColWidth="10" defaultColWidth="11.42578125" defaultRowHeight="16.5" outlineLevelRow="1" outlineLevelCol="1" x14ac:dyDescent="0.25"/>
  <cols>
    <col min="1" max="2" width="3.140625" style="594" bestFit="1" customWidth="1"/>
    <col min="3" max="3" width="35.7109375" style="778" customWidth="1"/>
    <col min="4" max="4" width="38.7109375" style="778" customWidth="1"/>
    <col min="5" max="5" width="5.7109375" style="106" customWidth="1" outlineLevel="1"/>
    <col min="6" max="6" width="8.85546875" style="106" customWidth="1" outlineLevel="1"/>
    <col min="7" max="7" width="12.7109375" style="778" customWidth="1" outlineLevel="1"/>
    <col min="8" max="8" width="7.7109375" style="778" customWidth="1" outlineLevel="1"/>
    <col min="9" max="9" width="11.7109375" style="778" customWidth="1" outlineLevel="1"/>
    <col min="10" max="11" width="9.7109375" style="778" customWidth="1" outlineLevel="1"/>
    <col min="12" max="12" width="9.7109375" style="779" customWidth="1" outlineLevel="1"/>
    <col min="13" max="13" width="0.5703125" style="780" customWidth="1" outlineLevel="1"/>
    <col min="14" max="14" width="11.7109375" style="779" customWidth="1" outlineLevel="1"/>
    <col min="15" max="15" width="9.7109375" style="779" customWidth="1" outlineLevel="1"/>
    <col min="16" max="16" width="0.5703125" style="780" customWidth="1" outlineLevel="1"/>
    <col min="17" max="17" width="11.7109375" style="780" customWidth="1" outlineLevel="1"/>
    <col min="18" max="18" width="0.5703125" style="780" customWidth="1" outlineLevel="1"/>
    <col min="19" max="19" width="11.7109375" style="779" customWidth="1" outlineLevel="1"/>
    <col min="20" max="20" width="0.5703125" style="780" customWidth="1" outlineLevel="1"/>
    <col min="21" max="21" width="5.7109375" style="780" customWidth="1" outlineLevel="1"/>
    <col min="22" max="22" width="11.7109375" style="781" customWidth="1" outlineLevel="1"/>
    <col min="23" max="23" width="0.5703125" style="780" customWidth="1" outlineLevel="1"/>
    <col min="24" max="24" width="10.7109375" style="782" customWidth="1" outlineLevel="1"/>
    <col min="25" max="25" width="0.5703125" style="780" customWidth="1" outlineLevel="1"/>
    <col min="26" max="26" width="9.7109375" style="783" customWidth="1" outlineLevel="1"/>
    <col min="27" max="27" width="0.5703125" style="780" customWidth="1"/>
    <col min="28" max="28" width="82.28515625" style="780" bestFit="1" customWidth="1"/>
    <col min="29" max="29" width="0.5703125" style="783" customWidth="1"/>
    <col min="30" max="30" width="5.7109375" style="59" customWidth="1"/>
    <col min="31" max="31" width="15.7109375" style="780" customWidth="1"/>
    <col min="32" max="32" width="20.7109375" style="780" customWidth="1"/>
    <col min="33" max="33" width="25.7109375" style="106" customWidth="1"/>
    <col min="34" max="34" width="5.7109375" style="106" customWidth="1"/>
    <col min="35" max="35" width="15.7109375" style="778" customWidth="1"/>
    <col min="36" max="36" width="20.7109375" style="778" customWidth="1"/>
    <col min="37" max="37" width="25.7109375" style="778" customWidth="1"/>
    <col min="38" max="38" width="5.7109375" style="778" customWidth="1"/>
    <col min="39" max="39" width="15.7109375" style="778" customWidth="1"/>
    <col min="40" max="40" width="20.7109375" style="778" customWidth="1"/>
    <col min="41" max="41" width="25.7109375" style="778" customWidth="1"/>
    <col min="42" max="42" width="3.7109375" style="778" customWidth="1"/>
    <col min="43" max="43" width="28.7109375" style="778" customWidth="1" outlineLevel="1"/>
    <col min="44" max="45" width="11.7109375" style="778" customWidth="1" outlineLevel="1"/>
    <col min="46" max="46" width="15.7109375" style="778" customWidth="1" outlineLevel="1"/>
    <col min="47" max="47" width="55.7109375" style="778" customWidth="1" outlineLevel="1"/>
    <col min="48" max="48" width="28.7109375" style="778" customWidth="1" outlineLevel="1"/>
    <col min="49" max="50" width="11.7109375" style="778" customWidth="1" outlineLevel="1"/>
    <col min="51" max="51" width="15.7109375" style="778" customWidth="1" outlineLevel="1"/>
    <col min="52" max="52" width="55.7109375" style="778" customWidth="1" outlineLevel="1"/>
    <col min="53" max="53" width="28.7109375" style="778" customWidth="1" outlineLevel="1"/>
    <col min="54" max="55" width="11.7109375" style="778" customWidth="1" outlineLevel="1"/>
    <col min="56" max="56" width="15.7109375" style="778" customWidth="1" outlineLevel="1"/>
    <col min="57" max="57" width="55.7109375" style="778" customWidth="1" outlineLevel="1"/>
    <col min="58" max="58" width="5.7109375" style="778" customWidth="1"/>
    <col min="59" max="59" width="28.7109375" style="778" customWidth="1"/>
    <col min="60" max="61" width="11.7109375" style="778" customWidth="1"/>
    <col min="62" max="62" width="15.7109375" style="778" customWidth="1"/>
    <col min="63" max="63" width="55.7109375" style="778" customWidth="1"/>
    <col min="64" max="64" width="28.7109375" style="778" customWidth="1"/>
    <col min="65" max="66" width="11.7109375" style="778" customWidth="1"/>
    <col min="67" max="67" width="15.7109375" style="778" customWidth="1"/>
    <col min="68" max="68" width="55.7109375" style="778" customWidth="1"/>
    <col min="69" max="69" width="28.7109375" style="778" customWidth="1"/>
    <col min="70" max="71" width="11.7109375" style="778" customWidth="1"/>
    <col min="72" max="72" width="15.7109375" style="778" customWidth="1"/>
    <col min="73" max="73" width="55.7109375" style="778" customWidth="1"/>
    <col min="74" max="74" width="5.7109375" style="778" customWidth="1"/>
    <col min="75" max="75" width="28.7109375" style="778" customWidth="1" outlineLevel="1"/>
    <col min="76" max="77" width="11.7109375" style="778" customWidth="1" outlineLevel="1"/>
    <col min="78" max="78" width="15.7109375" style="778" customWidth="1" outlineLevel="1"/>
    <col min="79" max="79" width="55.7109375" style="778" customWidth="1" outlineLevel="1"/>
    <col min="80" max="80" width="28.7109375" style="778" customWidth="1" outlineLevel="1"/>
    <col min="81" max="82" width="11.7109375" style="778" customWidth="1" outlineLevel="1"/>
    <col min="83" max="83" width="15.7109375" style="778" customWidth="1" outlineLevel="1"/>
    <col min="84" max="84" width="55.7109375" style="778" customWidth="1" outlineLevel="1"/>
    <col min="85" max="85" width="28.7109375" style="778" customWidth="1" outlineLevel="1"/>
    <col min="86" max="87" width="11.7109375" style="778" customWidth="1" outlineLevel="1"/>
    <col min="88" max="88" width="15.7109375" style="778" customWidth="1" outlineLevel="1"/>
    <col min="89" max="89" width="55.7109375" style="778" customWidth="1" outlineLevel="1"/>
    <col min="90" max="90" width="5.7109375" style="778" customWidth="1"/>
    <col min="91" max="91" width="28.7109375" style="778" customWidth="1" outlineLevel="1"/>
    <col min="92" max="93" width="11.7109375" style="778" customWidth="1" outlineLevel="1"/>
    <col min="94" max="94" width="15.7109375" style="778" customWidth="1" outlineLevel="1"/>
    <col min="95" max="95" width="55.7109375" style="778" customWidth="1" outlineLevel="1"/>
    <col min="96" max="96" width="28.7109375" style="778" customWidth="1" outlineLevel="1"/>
    <col min="97" max="98" width="11.7109375" style="778" customWidth="1" outlineLevel="1"/>
    <col min="99" max="99" width="15.7109375" style="778" customWidth="1" outlineLevel="1"/>
    <col min="100" max="100" width="55.7109375" style="778" customWidth="1" outlineLevel="1"/>
    <col min="101" max="101" width="28.7109375" style="778" customWidth="1" outlineLevel="1"/>
    <col min="102" max="103" width="11.7109375" style="778" customWidth="1" outlineLevel="1"/>
    <col min="104" max="104" width="15.7109375" style="778" customWidth="1" outlineLevel="1"/>
    <col min="105" max="105" width="55.7109375" style="778" customWidth="1" outlineLevel="1"/>
    <col min="106" max="106" width="11.42578125" style="780"/>
    <col min="107" max="16384" width="11.42578125" style="778"/>
  </cols>
  <sheetData>
    <row r="1" spans="1:106" s="16" customFormat="1" ht="16.5" customHeight="1" outlineLevel="1" x14ac:dyDescent="0.25">
      <c r="A1" s="36"/>
      <c r="B1" s="36"/>
      <c r="C1" s="18" t="s">
        <v>867</v>
      </c>
      <c r="D1" s="18"/>
      <c r="E1" s="24"/>
      <c r="F1" s="24"/>
      <c r="G1" s="10">
        <f ca="1">TODAY()</f>
        <v>43183</v>
      </c>
      <c r="H1" s="15"/>
      <c r="J1" s="59"/>
      <c r="K1" s="15"/>
      <c r="N1" s="15"/>
      <c r="O1" s="59"/>
      <c r="P1" s="59"/>
      <c r="Q1" s="59"/>
      <c r="R1" s="59"/>
      <c r="S1" s="15"/>
      <c r="T1" s="84"/>
      <c r="U1" s="454"/>
      <c r="V1" s="59"/>
      <c r="X1" s="15"/>
      <c r="Z1" s="59"/>
      <c r="AC1" s="80"/>
      <c r="AF1" s="71"/>
      <c r="DB1" s="59"/>
    </row>
    <row r="2" spans="1:106" s="16" customFormat="1" ht="15" customHeight="1" outlineLevel="1" x14ac:dyDescent="0.25">
      <c r="A2" s="36"/>
      <c r="B2" s="36"/>
      <c r="C2" s="53" t="s">
        <v>868</v>
      </c>
      <c r="D2" s="53"/>
      <c r="E2" s="25"/>
      <c r="F2" s="25"/>
      <c r="G2" s="569">
        <v>574132</v>
      </c>
      <c r="H2" s="41" t="s">
        <v>518</v>
      </c>
      <c r="I2" s="570">
        <f>SUMIF(F13:F43,"Perdu",G13:G43)+SUMIF(F45:F64,"Perdu",G45:G64)+SUMIF(F66:F66,"Perdu",G66:G66)</f>
        <v>155003</v>
      </c>
      <c r="J2" s="1160" t="s">
        <v>528</v>
      </c>
      <c r="K2" s="1161"/>
      <c r="L2" s="1161"/>
      <c r="M2" s="571"/>
      <c r="N2" s="1133" t="s">
        <v>537</v>
      </c>
      <c r="O2" s="1133"/>
      <c r="P2" s="1133"/>
      <c r="Q2" s="1162"/>
      <c r="R2" s="572"/>
      <c r="S2" s="573">
        <f>SUMIFS($G$13:$G$154,$E$13:$E$154,"dcn",$F$13:$F$154,"")</f>
        <v>104059.86000000002</v>
      </c>
      <c r="T2" s="574"/>
      <c r="V2" s="573">
        <f>SUMIFS($G$13:$G$154,$E$13:$E$154,"di",$F$13:$F$154,"")</f>
        <v>83294</v>
      </c>
      <c r="X2" s="1163" t="s">
        <v>583</v>
      </c>
      <c r="Y2" s="1163"/>
      <c r="Z2" s="1163"/>
      <c r="AA2" s="1163"/>
      <c r="AB2" s="1163"/>
      <c r="AC2" s="15"/>
      <c r="AD2" s="15"/>
      <c r="AE2" s="15"/>
      <c r="DB2" s="59"/>
    </row>
    <row r="3" spans="1:106" s="16" customFormat="1" ht="15" customHeight="1" outlineLevel="1" x14ac:dyDescent="0.25">
      <c r="A3" s="36"/>
      <c r="B3" s="36"/>
      <c r="C3" s="53" t="s">
        <v>517</v>
      </c>
      <c r="D3" s="53"/>
      <c r="E3" s="19"/>
      <c r="F3" s="19"/>
      <c r="G3" s="575">
        <v>98</v>
      </c>
      <c r="H3" s="20"/>
      <c r="I3" s="576">
        <f>COUNTA($F$13:$F$43)+COUNTA($F$45:$F$64)+COUNTA($F$66:$F$66)</f>
        <v>15</v>
      </c>
      <c r="J3" s="1158" t="s">
        <v>531</v>
      </c>
      <c r="K3" s="1159"/>
      <c r="L3" s="1159"/>
      <c r="M3" s="577"/>
      <c r="N3" s="1127" t="s">
        <v>531</v>
      </c>
      <c r="O3" s="1127"/>
      <c r="P3" s="1127"/>
      <c r="Q3" s="1127"/>
      <c r="R3" s="83"/>
      <c r="S3" s="578">
        <f>COUNTIFS($E$13:$E$154,"DCN",F13:F154,"")</f>
        <v>21</v>
      </c>
      <c r="T3" s="579"/>
      <c r="V3" s="578">
        <f>COUNTIFS($E$13:$E$154,"DI",F13:F154,"")</f>
        <v>8</v>
      </c>
      <c r="X3" s="1123" t="s">
        <v>531</v>
      </c>
      <c r="Y3" s="1123"/>
      <c r="Z3" s="1123"/>
      <c r="AA3" s="1123"/>
      <c r="AB3" s="1123"/>
      <c r="AC3" s="580"/>
      <c r="AD3" s="580"/>
      <c r="AE3" s="580"/>
      <c r="DB3" s="59"/>
    </row>
    <row r="4" spans="1:106" s="16" customFormat="1" ht="15" customHeight="1" outlineLevel="1" x14ac:dyDescent="0.25">
      <c r="A4" s="36"/>
      <c r="B4" s="36"/>
      <c r="C4" s="53" t="s">
        <v>526</v>
      </c>
      <c r="D4" s="53"/>
      <c r="E4" s="19"/>
      <c r="F4" s="19"/>
      <c r="G4" s="581">
        <f>COUNTA($C$13:$C$43)/$G$3</f>
        <v>0.31632653061224492</v>
      </c>
      <c r="H4" s="20"/>
      <c r="I4" s="582">
        <f>$I$2/$G$2</f>
        <v>0.26997798415695345</v>
      </c>
      <c r="J4" s="1158" t="s">
        <v>532</v>
      </c>
      <c r="K4" s="1159"/>
      <c r="L4" s="1159"/>
      <c r="M4" s="577"/>
      <c r="N4" s="1127" t="s">
        <v>586</v>
      </c>
      <c r="O4" s="1127"/>
      <c r="P4" s="1127"/>
      <c r="Q4" s="1127"/>
      <c r="R4" s="83"/>
      <c r="S4" s="583">
        <f>$S$2/$G$2</f>
        <v>0.18124727414601524</v>
      </c>
      <c r="T4" s="579"/>
      <c r="V4" s="583">
        <f>$V$2/$G$2</f>
        <v>0.14507813534169842</v>
      </c>
      <c r="X4" s="1123" t="s">
        <v>586</v>
      </c>
      <c r="Y4" s="1123"/>
      <c r="Z4" s="1123"/>
      <c r="AA4" s="1123"/>
      <c r="AB4" s="1123"/>
      <c r="AC4" s="15"/>
      <c r="AD4" s="15"/>
      <c r="AE4" s="15"/>
      <c r="DB4" s="59"/>
    </row>
    <row r="5" spans="1:106" s="16" customFormat="1" ht="5.25" customHeight="1" outlineLevel="1" x14ac:dyDescent="0.25">
      <c r="A5" s="38"/>
      <c r="B5" s="38"/>
      <c r="C5" s="26"/>
      <c r="D5" s="26"/>
      <c r="E5" s="26"/>
      <c r="F5" s="26"/>
      <c r="H5" s="15"/>
      <c r="M5" s="60"/>
      <c r="N5" s="108"/>
      <c r="O5" s="108"/>
      <c r="P5" s="107"/>
      <c r="Q5" s="107"/>
      <c r="R5" s="59"/>
      <c r="S5" s="15"/>
      <c r="T5" s="59"/>
      <c r="V5" s="15"/>
      <c r="X5" s="15"/>
      <c r="AA5" s="60"/>
      <c r="AB5" s="60"/>
      <c r="AC5" s="60"/>
      <c r="AD5" s="584"/>
      <c r="AE5" s="60"/>
      <c r="AG5" s="21"/>
      <c r="AH5" s="21"/>
      <c r="AI5" s="21"/>
      <c r="AJ5" s="21"/>
      <c r="AK5" s="21"/>
      <c r="AL5" s="21"/>
      <c r="AM5" s="21"/>
      <c r="AN5" s="21"/>
      <c r="AO5" s="21"/>
      <c r="AP5" s="21"/>
      <c r="DB5" s="59"/>
    </row>
    <row r="6" spans="1:106" s="16" customFormat="1" ht="15" customHeight="1" outlineLevel="1" x14ac:dyDescent="0.25">
      <c r="A6" s="38"/>
      <c r="B6" s="38"/>
      <c r="C6" s="26"/>
      <c r="D6" s="26"/>
      <c r="E6" s="26"/>
      <c r="F6" s="26"/>
      <c r="H6" s="15"/>
      <c r="M6" s="60"/>
      <c r="N6" s="1125" t="s">
        <v>582</v>
      </c>
      <c r="O6" s="1125"/>
      <c r="P6" s="1125"/>
      <c r="Q6" s="1126"/>
      <c r="R6" s="572"/>
      <c r="S6" s="573">
        <f>SUMIFS($G$13:$G$154,$E$13:$E$154,"AO",$F$13:$F$154,"")</f>
        <v>180627</v>
      </c>
      <c r="T6" s="574"/>
      <c r="V6" s="573">
        <f>SUMIFS($G$13:$G$154,$E$13:$E$154,"REG",$F$13:$F$154,"")</f>
        <v>4309</v>
      </c>
      <c r="X6" s="1137" t="s">
        <v>584</v>
      </c>
      <c r="Y6" s="1137"/>
      <c r="Z6" s="1137"/>
      <c r="AA6" s="1137"/>
      <c r="AB6" s="1137"/>
      <c r="AC6" s="60"/>
      <c r="AD6" s="584"/>
      <c r="AE6" s="60"/>
      <c r="AG6" s="21"/>
      <c r="AH6" s="21"/>
      <c r="AI6" s="21"/>
      <c r="AJ6" s="21"/>
      <c r="AK6" s="21"/>
      <c r="AL6" s="21"/>
      <c r="AM6" s="21"/>
      <c r="AN6" s="21"/>
      <c r="AO6" s="21"/>
      <c r="AP6" s="21"/>
      <c r="DB6" s="59"/>
    </row>
    <row r="7" spans="1:106" s="16" customFormat="1" ht="15" customHeight="1" outlineLevel="1" x14ac:dyDescent="0.25">
      <c r="A7" s="38"/>
      <c r="B7" s="38"/>
      <c r="C7" s="26"/>
      <c r="D7" s="26"/>
      <c r="E7" s="26"/>
      <c r="F7" s="26"/>
      <c r="H7" s="15"/>
      <c r="M7" s="60"/>
      <c r="N7" s="1127" t="s">
        <v>531</v>
      </c>
      <c r="O7" s="1127"/>
      <c r="P7" s="1127"/>
      <c r="Q7" s="1127"/>
      <c r="R7" s="14"/>
      <c r="S7" s="578">
        <f>COUNTIFS($E$13:$E$43,"AO",$F$13:$F$43,"")+COUNTIFS($E$45:$E$59,"AO",$F$45:$F$59,"")+COUNTIFS($E$63:$E$66,"AO",$F$63:$F$66,"")</f>
        <v>10</v>
      </c>
      <c r="T7" s="579"/>
      <c r="V7" s="578">
        <f>COUNTIFS($E$13:$E$154,"REG",$F$13:$F$154,"")</f>
        <v>1</v>
      </c>
      <c r="X7" s="1123" t="s">
        <v>531</v>
      </c>
      <c r="Y7" s="1123"/>
      <c r="Z7" s="1123"/>
      <c r="AA7" s="1123"/>
      <c r="AB7" s="1123"/>
      <c r="AC7" s="60"/>
      <c r="AD7" s="584"/>
      <c r="AE7" s="60"/>
      <c r="AG7" s="21"/>
      <c r="AH7" s="21"/>
      <c r="AI7" s="21"/>
      <c r="AJ7" s="21"/>
      <c r="AK7" s="21"/>
      <c r="AL7" s="21"/>
      <c r="AM7" s="21"/>
      <c r="AN7" s="21"/>
      <c r="AO7" s="21"/>
      <c r="AP7" s="21"/>
      <c r="DB7" s="59"/>
    </row>
    <row r="8" spans="1:106" s="16" customFormat="1" ht="15" customHeight="1" outlineLevel="1" x14ac:dyDescent="0.25">
      <c r="A8" s="38"/>
      <c r="B8" s="38"/>
      <c r="C8" s="26"/>
      <c r="D8" s="26"/>
      <c r="E8" s="26"/>
      <c r="F8" s="26"/>
      <c r="H8" s="15"/>
      <c r="M8" s="60"/>
      <c r="N8" s="1127" t="s">
        <v>586</v>
      </c>
      <c r="O8" s="1127"/>
      <c r="P8" s="1127"/>
      <c r="Q8" s="1127"/>
      <c r="R8" s="14"/>
      <c r="S8" s="583">
        <f>$S$6/$G$2</f>
        <v>0.31460883559878217</v>
      </c>
      <c r="T8" s="579"/>
      <c r="V8" s="583">
        <f>$V$6/$G$2</f>
        <v>7.5052426968014322E-3</v>
      </c>
      <c r="X8" s="1123" t="s">
        <v>586</v>
      </c>
      <c r="Y8" s="1123"/>
      <c r="Z8" s="1123"/>
      <c r="AA8" s="1123"/>
      <c r="AB8" s="1123"/>
      <c r="AC8" s="60"/>
      <c r="AD8" s="584"/>
      <c r="AE8" s="60"/>
      <c r="AG8" s="21"/>
      <c r="AH8" s="21"/>
      <c r="AI8" s="21"/>
      <c r="AJ8" s="21"/>
      <c r="AK8" s="21"/>
      <c r="AL8" s="21"/>
      <c r="AM8" s="21"/>
      <c r="AN8" s="21"/>
      <c r="AO8" s="21"/>
      <c r="AP8" s="21"/>
      <c r="DB8" s="59"/>
    </row>
    <row r="9" spans="1:106" s="16" customFormat="1" ht="12.75" customHeight="1" x14ac:dyDescent="0.25">
      <c r="A9" s="38"/>
      <c r="B9" s="38"/>
      <c r="C9" s="26"/>
      <c r="D9" s="26"/>
      <c r="E9" s="26"/>
      <c r="F9" s="26"/>
      <c r="H9" s="15"/>
      <c r="M9" s="60"/>
      <c r="N9" s="15"/>
      <c r="P9" s="59"/>
      <c r="Q9" s="59"/>
      <c r="R9" s="59"/>
      <c r="T9" s="59"/>
      <c r="U9" s="60"/>
      <c r="V9" s="15"/>
      <c r="W9" s="60"/>
      <c r="X9" s="584"/>
      <c r="Y9" s="60"/>
      <c r="Z9" s="15"/>
      <c r="AA9" s="60"/>
      <c r="AB9" s="60"/>
      <c r="AC9" s="60"/>
      <c r="AD9" s="60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DB9" s="59"/>
    </row>
    <row r="10" spans="1:106" s="16" customFormat="1" ht="17.25" thickBot="1" x14ac:dyDescent="0.3">
      <c r="A10" s="36"/>
      <c r="B10" s="36"/>
      <c r="E10" s="15"/>
      <c r="F10" s="15"/>
      <c r="G10" s="1155" t="s">
        <v>523</v>
      </c>
      <c r="H10" s="1156"/>
      <c r="I10" s="1156"/>
      <c r="J10" s="1157">
        <v>43008</v>
      </c>
      <c r="K10" s="1157"/>
      <c r="L10" s="1157"/>
      <c r="M10" s="59"/>
      <c r="N10" s="585"/>
      <c r="O10" s="585"/>
      <c r="P10" s="586"/>
      <c r="Q10" s="586"/>
      <c r="R10" s="586"/>
      <c r="S10" s="585"/>
      <c r="T10" s="586"/>
      <c r="U10" s="59"/>
      <c r="V10" s="587"/>
      <c r="W10" s="59"/>
      <c r="X10" s="84"/>
      <c r="Y10" s="59"/>
      <c r="Z10" s="15"/>
      <c r="AA10" s="59"/>
      <c r="AB10" s="59"/>
      <c r="AC10" s="80"/>
      <c r="AD10" s="1151" t="s">
        <v>869</v>
      </c>
      <c r="AE10" s="1151"/>
      <c r="AF10" s="1151"/>
      <c r="AG10" s="1151"/>
      <c r="AH10" s="1151" t="s">
        <v>870</v>
      </c>
      <c r="AI10" s="1151"/>
      <c r="AJ10" s="1151"/>
      <c r="AK10" s="1151"/>
      <c r="AL10" s="1151" t="s">
        <v>871</v>
      </c>
      <c r="AM10" s="1151"/>
      <c r="AN10" s="1151"/>
      <c r="AO10" s="1151"/>
      <c r="AP10" s="455"/>
      <c r="DB10" s="59"/>
    </row>
    <row r="11" spans="1:106" s="16" customFormat="1" ht="36" customHeight="1" thickBot="1" x14ac:dyDescent="0.3">
      <c r="A11" s="36"/>
      <c r="B11" s="36"/>
      <c r="C11" s="385" t="s">
        <v>638</v>
      </c>
      <c r="D11" s="386" t="s">
        <v>637</v>
      </c>
      <c r="E11" s="78" t="s">
        <v>530</v>
      </c>
      <c r="F11" s="78" t="s">
        <v>529</v>
      </c>
      <c r="G11" s="588" t="s">
        <v>0</v>
      </c>
      <c r="H11" s="22" t="s">
        <v>524</v>
      </c>
      <c r="I11" s="588" t="s">
        <v>1</v>
      </c>
      <c r="J11" s="588" t="s">
        <v>2</v>
      </c>
      <c r="K11" s="588" t="s">
        <v>3</v>
      </c>
      <c r="L11" s="589" t="s">
        <v>4</v>
      </c>
      <c r="M11" s="590"/>
      <c r="N11" s="54" t="s">
        <v>520</v>
      </c>
      <c r="O11" s="54" t="s">
        <v>525</v>
      </c>
      <c r="P11" s="590"/>
      <c r="Q11" s="62" t="s">
        <v>587</v>
      </c>
      <c r="R11" s="590"/>
      <c r="S11" s="105" t="s">
        <v>522</v>
      </c>
      <c r="T11" s="591"/>
      <c r="U11" s="1140" t="s">
        <v>872</v>
      </c>
      <c r="V11" s="1152"/>
      <c r="W11" s="590"/>
      <c r="X11" s="62" t="s">
        <v>593</v>
      </c>
      <c r="Y11" s="590"/>
      <c r="Z11" s="54" t="s">
        <v>23</v>
      </c>
      <c r="AA11" s="590"/>
      <c r="AB11" s="1153" t="s">
        <v>594</v>
      </c>
      <c r="AC11" s="1154"/>
      <c r="AD11" s="55" t="s">
        <v>533</v>
      </c>
      <c r="AE11" s="56" t="s">
        <v>535</v>
      </c>
      <c r="AF11" s="56" t="s">
        <v>581</v>
      </c>
      <c r="AG11" s="56" t="s">
        <v>556</v>
      </c>
      <c r="AH11" s="57" t="s">
        <v>533</v>
      </c>
      <c r="AI11" s="58" t="s">
        <v>535</v>
      </c>
      <c r="AJ11" s="58" t="s">
        <v>581</v>
      </c>
      <c r="AK11" s="58" t="s">
        <v>556</v>
      </c>
      <c r="AL11" s="449" t="s">
        <v>533</v>
      </c>
      <c r="AM11" s="450" t="s">
        <v>535</v>
      </c>
      <c r="AN11" s="450" t="s">
        <v>581</v>
      </c>
      <c r="AO11" s="450" t="s">
        <v>556</v>
      </c>
      <c r="AQ11" s="1148">
        <v>43374</v>
      </c>
      <c r="AR11" s="1149"/>
      <c r="AS11" s="1149"/>
      <c r="AT11" s="1149"/>
      <c r="AU11" s="1150"/>
      <c r="AV11" s="1148">
        <v>43405</v>
      </c>
      <c r="AW11" s="1149"/>
      <c r="AX11" s="1149"/>
      <c r="AY11" s="1149"/>
      <c r="AZ11" s="1150"/>
      <c r="BA11" s="1148">
        <v>43435</v>
      </c>
      <c r="BB11" s="1149"/>
      <c r="BC11" s="1149"/>
      <c r="BD11" s="1149"/>
      <c r="BE11" s="1150"/>
      <c r="BG11" s="1148">
        <v>43101</v>
      </c>
      <c r="BH11" s="1149"/>
      <c r="BI11" s="1149"/>
      <c r="BJ11" s="1149"/>
      <c r="BK11" s="1150"/>
      <c r="BL11" s="1148">
        <v>43132</v>
      </c>
      <c r="BM11" s="1149"/>
      <c r="BN11" s="1149"/>
      <c r="BO11" s="1149"/>
      <c r="BP11" s="1150"/>
      <c r="BQ11" s="1148">
        <v>43160</v>
      </c>
      <c r="BR11" s="1149"/>
      <c r="BS11" s="1149"/>
      <c r="BT11" s="1149"/>
      <c r="BU11" s="1150"/>
      <c r="BV11" s="592"/>
      <c r="BW11" s="1148">
        <v>43191</v>
      </c>
      <c r="BX11" s="1149"/>
      <c r="BY11" s="1149"/>
      <c r="BZ11" s="1149"/>
      <c r="CA11" s="1150"/>
      <c r="CB11" s="1148">
        <v>43221</v>
      </c>
      <c r="CC11" s="1149"/>
      <c r="CD11" s="1149"/>
      <c r="CE11" s="1149"/>
      <c r="CF11" s="1150"/>
      <c r="CG11" s="1148">
        <v>43252</v>
      </c>
      <c r="CH11" s="1149"/>
      <c r="CI11" s="1149"/>
      <c r="CJ11" s="1149"/>
      <c r="CK11" s="1150"/>
      <c r="CM11" s="1148">
        <v>43282</v>
      </c>
      <c r="CN11" s="1149"/>
      <c r="CO11" s="1149"/>
      <c r="CP11" s="1149"/>
      <c r="CQ11" s="1150"/>
      <c r="CR11" s="1148">
        <v>43313</v>
      </c>
      <c r="CS11" s="1149"/>
      <c r="CT11" s="1149"/>
      <c r="CU11" s="1149"/>
      <c r="CV11" s="1150"/>
      <c r="CW11" s="1148">
        <v>43344</v>
      </c>
      <c r="CX11" s="1149"/>
      <c r="CY11" s="1149"/>
      <c r="CZ11" s="1149"/>
      <c r="DA11" s="1150"/>
      <c r="DB11" s="59"/>
    </row>
    <row r="12" spans="1:106" s="455" customFormat="1" ht="5.25" customHeight="1" thickBot="1" x14ac:dyDescent="0.3">
      <c r="A12" s="37"/>
      <c r="B12" s="37"/>
      <c r="C12" s="18"/>
      <c r="D12" s="18"/>
      <c r="E12" s="24"/>
      <c r="F12" s="24"/>
      <c r="G12" s="453"/>
      <c r="H12" s="454"/>
      <c r="M12" s="59"/>
      <c r="N12" s="454"/>
      <c r="P12" s="59"/>
      <c r="Q12" s="454"/>
      <c r="R12" s="59"/>
      <c r="T12" s="59"/>
      <c r="U12" s="59"/>
      <c r="V12" s="454"/>
      <c r="W12" s="59"/>
      <c r="X12" s="84"/>
      <c r="Y12" s="59"/>
      <c r="Z12" s="454"/>
      <c r="AA12" s="59"/>
      <c r="AB12" s="59"/>
      <c r="AC12" s="59"/>
      <c r="AQ12" s="593"/>
      <c r="AR12" s="593"/>
      <c r="AS12" s="593"/>
      <c r="AT12" s="593"/>
      <c r="AU12" s="593"/>
      <c r="AV12" s="593"/>
      <c r="AW12" s="593"/>
      <c r="AX12" s="593"/>
      <c r="AY12" s="593"/>
      <c r="AZ12" s="593"/>
      <c r="BA12" s="593"/>
      <c r="BB12" s="593"/>
      <c r="BC12" s="593"/>
      <c r="BD12" s="593"/>
      <c r="BE12" s="593"/>
      <c r="BG12" s="593"/>
      <c r="BH12" s="593"/>
      <c r="BI12" s="593"/>
      <c r="BJ12" s="593"/>
      <c r="BK12" s="593"/>
      <c r="BL12" s="593"/>
      <c r="BM12" s="593"/>
      <c r="BN12" s="593"/>
      <c r="BO12" s="593"/>
      <c r="BP12" s="593"/>
      <c r="BQ12" s="593"/>
      <c r="BR12" s="593"/>
      <c r="BS12" s="593"/>
      <c r="BT12" s="593"/>
      <c r="BU12" s="593"/>
      <c r="BW12" s="593"/>
      <c r="BX12" s="593"/>
      <c r="BY12" s="593"/>
      <c r="BZ12" s="593"/>
      <c r="CA12" s="593"/>
      <c r="CB12" s="593"/>
      <c r="CC12" s="593"/>
      <c r="CD12" s="593"/>
      <c r="CE12" s="593"/>
      <c r="CF12" s="593"/>
      <c r="CG12" s="593"/>
      <c r="CH12" s="593"/>
      <c r="CI12" s="593"/>
      <c r="CJ12" s="593"/>
      <c r="CK12" s="593"/>
      <c r="CM12" s="593"/>
      <c r="CN12" s="593"/>
      <c r="CO12" s="593"/>
      <c r="CP12" s="593"/>
      <c r="CQ12" s="593"/>
      <c r="CR12" s="593"/>
      <c r="CS12" s="593"/>
      <c r="CT12" s="593"/>
      <c r="CU12" s="593"/>
      <c r="CV12" s="593"/>
      <c r="CW12" s="593"/>
      <c r="CX12" s="593"/>
      <c r="CY12" s="593"/>
      <c r="CZ12" s="593"/>
      <c r="DA12" s="593"/>
      <c r="DB12" s="59"/>
    </row>
    <row r="13" spans="1:106" s="687" customFormat="1" ht="18" customHeight="1" x14ac:dyDescent="0.25">
      <c r="A13" s="1069">
        <v>1</v>
      </c>
      <c r="B13" s="1069">
        <v>1</v>
      </c>
      <c r="C13" s="1070" t="s">
        <v>1239</v>
      </c>
      <c r="D13" s="1071" t="s">
        <v>1246</v>
      </c>
      <c r="E13" s="1072" t="s">
        <v>548</v>
      </c>
      <c r="F13" s="1073" t="s">
        <v>527</v>
      </c>
      <c r="G13" s="1074">
        <v>37622</v>
      </c>
      <c r="H13" s="1075">
        <f t="shared" ref="H13:H44" si="0">G13/$G$2</f>
        <v>6.5528484738701209E-2</v>
      </c>
      <c r="I13" s="1076">
        <v>28752</v>
      </c>
      <c r="J13" s="1077">
        <v>5255</v>
      </c>
      <c r="K13" s="1078">
        <v>3615</v>
      </c>
      <c r="L13" s="1079">
        <f t="shared" ref="L13:L44" si="1">K13/G13</f>
        <v>9.6087395672744672E-2</v>
      </c>
      <c r="M13" s="610"/>
      <c r="N13" s="1080">
        <v>42005</v>
      </c>
      <c r="O13" s="1081">
        <f t="shared" ref="O13:O44" ca="1" si="2">($G$1-N13)/30.33/12</f>
        <v>3.2366194087262339</v>
      </c>
      <c r="P13" s="610"/>
      <c r="Q13" s="1082" t="s">
        <v>29</v>
      </c>
      <c r="R13" s="610"/>
      <c r="S13" s="1083">
        <f t="shared" ref="S13:S44" ca="1" si="3">(X13-$G$1)/30.33</f>
        <v>-2.7365644576327068</v>
      </c>
      <c r="T13" s="615"/>
      <c r="U13" s="1082" t="s">
        <v>592</v>
      </c>
      <c r="V13" s="66"/>
      <c r="W13" s="595"/>
      <c r="X13" s="1084" t="str">
        <f t="shared" ref="X13:X44" si="4">IF(OR(U13="",U13="N"),Q13,EDATE(Q13,V13))</f>
        <v>31/12/2017</v>
      </c>
      <c r="Y13" s="595"/>
      <c r="Z13" s="1085" t="s">
        <v>551</v>
      </c>
      <c r="AA13" s="595"/>
      <c r="AB13" s="1086" t="s">
        <v>873</v>
      </c>
      <c r="AC13" s="620"/>
      <c r="AD13" s="1087" t="s">
        <v>536</v>
      </c>
      <c r="AE13" s="1087" t="s">
        <v>874</v>
      </c>
      <c r="AF13" s="1088" t="s">
        <v>875</v>
      </c>
      <c r="AG13" s="1089" t="s">
        <v>876</v>
      </c>
      <c r="AH13" s="1087"/>
      <c r="AI13" s="1087"/>
      <c r="AJ13" s="1088"/>
      <c r="AK13" s="1089"/>
      <c r="AL13" s="1087"/>
      <c r="AM13" s="1087"/>
      <c r="AN13" s="1088"/>
      <c r="AO13" s="1090"/>
      <c r="AQ13" s="1091"/>
      <c r="AR13" s="1092"/>
      <c r="AS13" s="1092"/>
      <c r="AT13" s="1092"/>
      <c r="AU13" s="1093"/>
      <c r="AV13" s="1091"/>
      <c r="AW13" s="1092"/>
      <c r="AX13" s="1092"/>
      <c r="AY13" s="1092"/>
      <c r="AZ13" s="1093"/>
      <c r="BA13" s="1091"/>
      <c r="BB13" s="1092"/>
      <c r="BC13" s="1092"/>
      <c r="BD13" s="1092"/>
      <c r="BE13" s="1093"/>
      <c r="BF13" s="1094"/>
      <c r="BG13" s="1091"/>
      <c r="BH13" s="1092"/>
      <c r="BI13" s="1095"/>
      <c r="BJ13" s="1092"/>
      <c r="BK13" s="1093"/>
      <c r="BL13" s="1091"/>
      <c r="BM13" s="1092"/>
      <c r="BN13" s="1092"/>
      <c r="BO13" s="1092"/>
      <c r="BP13" s="1093"/>
      <c r="BQ13" s="1091"/>
      <c r="BR13" s="1092"/>
      <c r="BS13" s="1092"/>
      <c r="BT13" s="1092"/>
      <c r="BU13" s="1093"/>
      <c r="BV13" s="1096"/>
      <c r="BW13" s="1091"/>
      <c r="BX13" s="1092"/>
      <c r="BY13" s="1092"/>
      <c r="BZ13" s="1092"/>
      <c r="CA13" s="1093"/>
      <c r="CB13" s="1091"/>
      <c r="CC13" s="1092"/>
      <c r="CD13" s="1092"/>
      <c r="CE13" s="1092"/>
      <c r="CF13" s="1093"/>
      <c r="CG13" s="1091"/>
      <c r="CH13" s="1092"/>
      <c r="CI13" s="1092"/>
      <c r="CJ13" s="1092"/>
      <c r="CK13" s="1093"/>
      <c r="CL13" s="1097"/>
      <c r="CM13" s="1091"/>
      <c r="CN13" s="1092"/>
      <c r="CO13" s="1092"/>
      <c r="CP13" s="1092"/>
      <c r="CQ13" s="1093"/>
      <c r="CR13" s="1091"/>
      <c r="CS13" s="1092"/>
      <c r="CT13" s="1092"/>
      <c r="CU13" s="1092"/>
      <c r="CV13" s="1093"/>
      <c r="CW13" s="1091"/>
      <c r="CX13" s="1092"/>
      <c r="CY13" s="1092"/>
      <c r="CZ13" s="1092"/>
      <c r="DA13" s="1093"/>
      <c r="DB13" s="600"/>
    </row>
    <row r="14" spans="1:106" s="596" customFormat="1" ht="18" customHeight="1" x14ac:dyDescent="0.25">
      <c r="A14" s="594">
        <v>2</v>
      </c>
      <c r="B14" s="594"/>
      <c r="C14" s="601" t="s">
        <v>1240</v>
      </c>
      <c r="D14" s="602" t="s">
        <v>1247</v>
      </c>
      <c r="E14" s="603" t="s">
        <v>548</v>
      </c>
      <c r="F14" s="604" t="s">
        <v>597</v>
      </c>
      <c r="G14" s="605">
        <v>10121</v>
      </c>
      <c r="H14" s="606">
        <f t="shared" si="0"/>
        <v>1.7628350274849686E-2</v>
      </c>
      <c r="I14" s="607">
        <v>6907</v>
      </c>
      <c r="J14" s="608">
        <v>217</v>
      </c>
      <c r="K14" s="609">
        <v>2997</v>
      </c>
      <c r="L14" s="69">
        <f t="shared" si="1"/>
        <v>0.29611698448769885</v>
      </c>
      <c r="M14" s="610"/>
      <c r="N14" s="611">
        <v>43101</v>
      </c>
      <c r="O14" s="612">
        <f t="shared" ca="1" si="2"/>
        <v>0.22529948345972087</v>
      </c>
      <c r="P14" s="610"/>
      <c r="Q14" s="613" t="s">
        <v>28</v>
      </c>
      <c r="R14" s="610"/>
      <c r="S14" s="614">
        <f t="shared" ca="1" si="3"/>
        <v>9.2977250247279919</v>
      </c>
      <c r="T14" s="615"/>
      <c r="U14" s="613" t="s">
        <v>592</v>
      </c>
      <c r="V14" s="616"/>
      <c r="W14" s="595"/>
      <c r="X14" s="617" t="str">
        <f t="shared" si="4"/>
        <v>31/12/2018</v>
      </c>
      <c r="Y14" s="595"/>
      <c r="Z14" s="618" t="s">
        <v>551</v>
      </c>
      <c r="AA14" s="595"/>
      <c r="AB14" s="619" t="s">
        <v>873</v>
      </c>
      <c r="AC14" s="620"/>
      <c r="AD14" s="621" t="s">
        <v>536</v>
      </c>
      <c r="AE14" s="621" t="s">
        <v>874</v>
      </c>
      <c r="AF14" s="622" t="s">
        <v>875</v>
      </c>
      <c r="AG14" s="623" t="s">
        <v>876</v>
      </c>
      <c r="AH14" s="624"/>
      <c r="AI14" s="624"/>
      <c r="AJ14" s="625"/>
      <c r="AK14" s="626"/>
      <c r="AL14" s="624"/>
      <c r="AM14" s="624"/>
      <c r="AN14" s="625"/>
      <c r="AO14" s="627"/>
      <c r="AQ14" s="628"/>
      <c r="AR14" s="629"/>
      <c r="AS14" s="629"/>
      <c r="AT14" s="629"/>
      <c r="AU14" s="630"/>
      <c r="AV14" s="628"/>
      <c r="AW14" s="629"/>
      <c r="AX14" s="629"/>
      <c r="AY14" s="629"/>
      <c r="AZ14" s="630"/>
      <c r="BA14" s="628"/>
      <c r="BB14" s="629"/>
      <c r="BC14" s="629"/>
      <c r="BD14" s="629"/>
      <c r="BE14" s="630"/>
      <c r="BF14" s="631"/>
      <c r="BG14" s="628"/>
      <c r="BH14" s="629"/>
      <c r="BI14" s="632"/>
      <c r="BJ14" s="629"/>
      <c r="BK14" s="630"/>
      <c r="BL14" s="628"/>
      <c r="BM14" s="629"/>
      <c r="BN14" s="629"/>
      <c r="BO14" s="629"/>
      <c r="BP14" s="630"/>
      <c r="BQ14" s="628"/>
      <c r="BR14" s="629"/>
      <c r="BS14" s="629"/>
      <c r="BT14" s="629"/>
      <c r="BU14" s="630"/>
      <c r="BV14" s="633"/>
      <c r="BW14" s="628"/>
      <c r="BX14" s="629"/>
      <c r="BY14" s="629"/>
      <c r="BZ14" s="629"/>
      <c r="CA14" s="630"/>
      <c r="CB14" s="628"/>
      <c r="CC14" s="629"/>
      <c r="CD14" s="629"/>
      <c r="CE14" s="629"/>
      <c r="CF14" s="630"/>
      <c r="CG14" s="628"/>
      <c r="CH14" s="629"/>
      <c r="CI14" s="629"/>
      <c r="CJ14" s="629"/>
      <c r="CK14" s="630"/>
      <c r="CL14" s="634"/>
      <c r="CM14" s="628"/>
      <c r="CN14" s="629"/>
      <c r="CO14" s="629"/>
      <c r="CP14" s="629"/>
      <c r="CQ14" s="630"/>
      <c r="CR14" s="628"/>
      <c r="CS14" s="629"/>
      <c r="CT14" s="629"/>
      <c r="CU14" s="629"/>
      <c r="CV14" s="630"/>
      <c r="CW14" s="628"/>
      <c r="CX14" s="629"/>
      <c r="CY14" s="629"/>
      <c r="CZ14" s="629"/>
      <c r="DA14" s="635"/>
      <c r="DB14" s="600"/>
    </row>
    <row r="15" spans="1:106" s="596" customFormat="1" ht="18" customHeight="1" x14ac:dyDescent="0.25">
      <c r="A15" s="594">
        <v>3</v>
      </c>
      <c r="B15" s="594"/>
      <c r="C15" s="601" t="s">
        <v>1241</v>
      </c>
      <c r="D15" s="602" t="s">
        <v>1248</v>
      </c>
      <c r="E15" s="603" t="s">
        <v>548</v>
      </c>
      <c r="F15" s="604"/>
      <c r="G15" s="605">
        <v>1196</v>
      </c>
      <c r="H15" s="606">
        <f t="shared" si="0"/>
        <v>2.0831446426954081E-3</v>
      </c>
      <c r="I15" s="607">
        <v>953</v>
      </c>
      <c r="J15" s="608">
        <v>125</v>
      </c>
      <c r="K15" s="609">
        <v>118</v>
      </c>
      <c r="L15" s="69">
        <f t="shared" si="1"/>
        <v>9.8662207357859535E-2</v>
      </c>
      <c r="M15" s="610"/>
      <c r="N15" s="611">
        <v>42248</v>
      </c>
      <c r="O15" s="612">
        <f t="shared" ca="1" si="2"/>
        <v>2.5689636223760854</v>
      </c>
      <c r="P15" s="610"/>
      <c r="Q15" s="613" t="s">
        <v>877</v>
      </c>
      <c r="R15" s="610"/>
      <c r="S15" s="614">
        <f t="shared" ca="1" si="3"/>
        <v>5.275304978569074</v>
      </c>
      <c r="T15" s="615"/>
      <c r="U15" s="613" t="s">
        <v>592</v>
      </c>
      <c r="V15" s="616"/>
      <c r="W15" s="595"/>
      <c r="X15" s="617" t="str">
        <f t="shared" si="4"/>
        <v>31/08/2018</v>
      </c>
      <c r="Y15" s="595"/>
      <c r="Z15" s="618" t="s">
        <v>551</v>
      </c>
      <c r="AA15" s="595"/>
      <c r="AB15" s="619" t="s">
        <v>873</v>
      </c>
      <c r="AC15" s="620"/>
      <c r="AD15" s="621" t="s">
        <v>536</v>
      </c>
      <c r="AE15" s="621" t="s">
        <v>874</v>
      </c>
      <c r="AF15" s="622" t="s">
        <v>875</v>
      </c>
      <c r="AG15" s="623" t="s">
        <v>876</v>
      </c>
      <c r="AH15" s="624"/>
      <c r="AI15" s="624"/>
      <c r="AJ15" s="625"/>
      <c r="AK15" s="626"/>
      <c r="AL15" s="624"/>
      <c r="AM15" s="624"/>
      <c r="AN15" s="625"/>
      <c r="AO15" s="627"/>
      <c r="AQ15" s="628"/>
      <c r="AR15" s="629"/>
      <c r="AS15" s="629"/>
      <c r="AT15" s="629"/>
      <c r="AU15" s="630"/>
      <c r="AV15" s="628"/>
      <c r="AW15" s="629"/>
      <c r="AX15" s="629"/>
      <c r="AY15" s="629"/>
      <c r="AZ15" s="630"/>
      <c r="BA15" s="628"/>
      <c r="BB15" s="629"/>
      <c r="BC15" s="629"/>
      <c r="BD15" s="629"/>
      <c r="BE15" s="630"/>
      <c r="BF15" s="631"/>
      <c r="BG15" s="628"/>
      <c r="BH15" s="629"/>
      <c r="BI15" s="632"/>
      <c r="BJ15" s="629"/>
      <c r="BK15" s="630"/>
      <c r="BL15" s="628"/>
      <c r="BM15" s="629"/>
      <c r="BN15" s="629"/>
      <c r="BO15" s="629"/>
      <c r="BP15" s="630"/>
      <c r="BQ15" s="628"/>
      <c r="BR15" s="629"/>
      <c r="BS15" s="629"/>
      <c r="BT15" s="629"/>
      <c r="BU15" s="630"/>
      <c r="BV15" s="633"/>
      <c r="BW15" s="628"/>
      <c r="BX15" s="629"/>
      <c r="BY15" s="629"/>
      <c r="BZ15" s="629"/>
      <c r="CA15" s="630"/>
      <c r="CB15" s="628"/>
      <c r="CC15" s="629"/>
      <c r="CD15" s="629"/>
      <c r="CE15" s="629"/>
      <c r="CF15" s="630"/>
      <c r="CG15" s="628"/>
      <c r="CH15" s="629"/>
      <c r="CI15" s="629"/>
      <c r="CJ15" s="629"/>
      <c r="CK15" s="630"/>
      <c r="CL15" s="634"/>
      <c r="CM15" s="628"/>
      <c r="CN15" s="629"/>
      <c r="CO15" s="629"/>
      <c r="CP15" s="629"/>
      <c r="CQ15" s="630"/>
      <c r="CR15" s="628"/>
      <c r="CS15" s="629"/>
      <c r="CT15" s="629"/>
      <c r="CU15" s="629"/>
      <c r="CV15" s="630"/>
      <c r="CW15" s="628"/>
      <c r="CX15" s="629"/>
      <c r="CY15" s="629"/>
      <c r="CZ15" s="629"/>
      <c r="DA15" s="635"/>
      <c r="DB15" s="600"/>
    </row>
    <row r="16" spans="1:106" s="596" customFormat="1" ht="18" customHeight="1" x14ac:dyDescent="0.25">
      <c r="A16" s="594">
        <v>4</v>
      </c>
      <c r="B16" s="594"/>
      <c r="C16" s="601" t="s">
        <v>1242</v>
      </c>
      <c r="D16" s="602"/>
      <c r="E16" s="603" t="s">
        <v>548</v>
      </c>
      <c r="F16" s="604" t="s">
        <v>597</v>
      </c>
      <c r="G16" s="605">
        <v>9185</v>
      </c>
      <c r="H16" s="606">
        <f t="shared" si="0"/>
        <v>1.5998063163175019E-2</v>
      </c>
      <c r="I16" s="607">
        <v>6453</v>
      </c>
      <c r="J16" s="608">
        <v>1068</v>
      </c>
      <c r="K16" s="609">
        <v>1664</v>
      </c>
      <c r="L16" s="69">
        <f t="shared" si="1"/>
        <v>0.18116494284158954</v>
      </c>
      <c r="M16" s="610"/>
      <c r="N16" s="611">
        <v>42064</v>
      </c>
      <c r="O16" s="612">
        <f t="shared" ca="1" si="2"/>
        <v>3.0745136828222885</v>
      </c>
      <c r="P16" s="610"/>
      <c r="Q16" s="613" t="s">
        <v>29</v>
      </c>
      <c r="R16" s="610"/>
      <c r="S16" s="614">
        <f t="shared" ca="1" si="3"/>
        <v>9.2977250247279919</v>
      </c>
      <c r="T16" s="615"/>
      <c r="U16" s="613" t="s">
        <v>591</v>
      </c>
      <c r="V16" s="616">
        <v>12</v>
      </c>
      <c r="W16" s="595"/>
      <c r="X16" s="617">
        <f t="shared" si="4"/>
        <v>43465</v>
      </c>
      <c r="Y16" s="595"/>
      <c r="Z16" s="618" t="s">
        <v>551</v>
      </c>
      <c r="AA16" s="595"/>
      <c r="AB16" s="619" t="s">
        <v>873</v>
      </c>
      <c r="AC16" s="620"/>
      <c r="AD16" s="621" t="s">
        <v>536</v>
      </c>
      <c r="AE16" s="621" t="s">
        <v>874</v>
      </c>
      <c r="AF16" s="622" t="s">
        <v>875</v>
      </c>
      <c r="AG16" s="623" t="s">
        <v>876</v>
      </c>
      <c r="AH16" s="624"/>
      <c r="AI16" s="624"/>
      <c r="AJ16" s="625"/>
      <c r="AK16" s="626"/>
      <c r="AL16" s="624"/>
      <c r="AM16" s="624"/>
      <c r="AN16" s="625"/>
      <c r="AO16" s="627"/>
      <c r="AQ16" s="628"/>
      <c r="AR16" s="629"/>
      <c r="AS16" s="629"/>
      <c r="AT16" s="629"/>
      <c r="AU16" s="630"/>
      <c r="AV16" s="628"/>
      <c r="AW16" s="629"/>
      <c r="AX16" s="629"/>
      <c r="AY16" s="629"/>
      <c r="AZ16" s="630"/>
      <c r="BA16" s="628"/>
      <c r="BB16" s="629"/>
      <c r="BC16" s="629"/>
      <c r="BD16" s="629"/>
      <c r="BE16" s="630"/>
      <c r="BF16" s="631"/>
      <c r="BG16" s="628"/>
      <c r="BH16" s="629"/>
      <c r="BI16" s="632"/>
      <c r="BJ16" s="629"/>
      <c r="BK16" s="630"/>
      <c r="BL16" s="628"/>
      <c r="BM16" s="629"/>
      <c r="BN16" s="629"/>
      <c r="BO16" s="629"/>
      <c r="BP16" s="630"/>
      <c r="BQ16" s="628"/>
      <c r="BR16" s="629"/>
      <c r="BS16" s="629"/>
      <c r="BT16" s="629"/>
      <c r="BU16" s="630"/>
      <c r="BV16" s="633"/>
      <c r="BW16" s="628"/>
      <c r="BX16" s="629"/>
      <c r="BY16" s="629"/>
      <c r="BZ16" s="629"/>
      <c r="CA16" s="630"/>
      <c r="CB16" s="628"/>
      <c r="CC16" s="629"/>
      <c r="CD16" s="629"/>
      <c r="CE16" s="629"/>
      <c r="CF16" s="630"/>
      <c r="CG16" s="628"/>
      <c r="CH16" s="629"/>
      <c r="CI16" s="629"/>
      <c r="CJ16" s="629"/>
      <c r="CK16" s="630"/>
      <c r="CL16" s="634"/>
      <c r="CM16" s="628"/>
      <c r="CN16" s="629"/>
      <c r="CO16" s="629"/>
      <c r="CP16" s="629"/>
      <c r="CQ16" s="630"/>
      <c r="CR16" s="628"/>
      <c r="CS16" s="629"/>
      <c r="CT16" s="629"/>
      <c r="CU16" s="629"/>
      <c r="CV16" s="630"/>
      <c r="CW16" s="628"/>
      <c r="CX16" s="629"/>
      <c r="CY16" s="629"/>
      <c r="CZ16" s="629"/>
      <c r="DA16" s="635"/>
      <c r="DB16" s="600"/>
    </row>
    <row r="17" spans="1:106" s="596" customFormat="1" ht="18" customHeight="1" x14ac:dyDescent="0.25">
      <c r="A17" s="594">
        <v>5</v>
      </c>
      <c r="B17" s="594"/>
      <c r="C17" s="601" t="s">
        <v>1243</v>
      </c>
      <c r="D17" s="602"/>
      <c r="E17" s="603" t="s">
        <v>548</v>
      </c>
      <c r="F17" s="604"/>
      <c r="G17" s="605">
        <v>3258</v>
      </c>
      <c r="H17" s="606">
        <f t="shared" si="0"/>
        <v>5.6746532156368226E-3</v>
      </c>
      <c r="I17" s="607">
        <v>1776</v>
      </c>
      <c r="J17" s="608">
        <v>261</v>
      </c>
      <c r="K17" s="609">
        <v>1221</v>
      </c>
      <c r="L17" s="69">
        <f t="shared" si="1"/>
        <v>0.37476979742173111</v>
      </c>
      <c r="M17" s="610"/>
      <c r="N17" s="611">
        <v>42278</v>
      </c>
      <c r="O17" s="612">
        <f t="shared" ca="1" si="2"/>
        <v>2.4865369820859438</v>
      </c>
      <c r="P17" s="610"/>
      <c r="Q17" s="613" t="s">
        <v>712</v>
      </c>
      <c r="R17" s="610"/>
      <c r="S17" s="614">
        <f t="shared" ca="1" si="3"/>
        <v>6.2644246620507751</v>
      </c>
      <c r="T17" s="615"/>
      <c r="U17" s="613" t="s">
        <v>592</v>
      </c>
      <c r="V17" s="616"/>
      <c r="W17" s="595"/>
      <c r="X17" s="617" t="str">
        <f t="shared" si="4"/>
        <v>30/09/2018</v>
      </c>
      <c r="Y17" s="595"/>
      <c r="Z17" s="618" t="s">
        <v>551</v>
      </c>
      <c r="AA17" s="595"/>
      <c r="AB17" s="619" t="s">
        <v>873</v>
      </c>
      <c r="AC17" s="620"/>
      <c r="AD17" s="621" t="s">
        <v>536</v>
      </c>
      <c r="AE17" s="621" t="s">
        <v>874</v>
      </c>
      <c r="AF17" s="622" t="s">
        <v>875</v>
      </c>
      <c r="AG17" s="623" t="s">
        <v>876</v>
      </c>
      <c r="AH17" s="624"/>
      <c r="AI17" s="624"/>
      <c r="AJ17" s="625"/>
      <c r="AK17" s="626"/>
      <c r="AL17" s="624"/>
      <c r="AM17" s="624"/>
      <c r="AN17" s="625"/>
      <c r="AO17" s="627"/>
      <c r="AQ17" s="628"/>
      <c r="AR17" s="629"/>
      <c r="AS17" s="629"/>
      <c r="AT17" s="629"/>
      <c r="AU17" s="630"/>
      <c r="AV17" s="628"/>
      <c r="AW17" s="629"/>
      <c r="AX17" s="629"/>
      <c r="AY17" s="629"/>
      <c r="AZ17" s="630"/>
      <c r="BA17" s="628"/>
      <c r="BB17" s="629"/>
      <c r="BC17" s="629"/>
      <c r="BD17" s="629"/>
      <c r="BE17" s="630"/>
      <c r="BF17" s="631"/>
      <c r="BG17" s="628"/>
      <c r="BH17" s="629"/>
      <c r="BI17" s="632"/>
      <c r="BJ17" s="629"/>
      <c r="BK17" s="630"/>
      <c r="BL17" s="628"/>
      <c r="BM17" s="629"/>
      <c r="BN17" s="629"/>
      <c r="BO17" s="629"/>
      <c r="BP17" s="630"/>
      <c r="BQ17" s="628"/>
      <c r="BR17" s="629"/>
      <c r="BS17" s="629"/>
      <c r="BT17" s="629"/>
      <c r="BU17" s="630"/>
      <c r="BV17" s="633"/>
      <c r="BW17" s="628"/>
      <c r="BX17" s="629"/>
      <c r="BY17" s="629"/>
      <c r="BZ17" s="629"/>
      <c r="CA17" s="630"/>
      <c r="CB17" s="628"/>
      <c r="CC17" s="629"/>
      <c r="CD17" s="629"/>
      <c r="CE17" s="629"/>
      <c r="CF17" s="630"/>
      <c r="CG17" s="628"/>
      <c r="CH17" s="629"/>
      <c r="CI17" s="629"/>
      <c r="CJ17" s="629"/>
      <c r="CK17" s="630"/>
      <c r="CL17" s="634"/>
      <c r="CM17" s="628"/>
      <c r="CN17" s="629"/>
      <c r="CO17" s="629"/>
      <c r="CP17" s="629"/>
      <c r="CQ17" s="630"/>
      <c r="CR17" s="628"/>
      <c r="CS17" s="629"/>
      <c r="CT17" s="629"/>
      <c r="CU17" s="629"/>
      <c r="CV17" s="630"/>
      <c r="CW17" s="628"/>
      <c r="CX17" s="629"/>
      <c r="CY17" s="629"/>
      <c r="CZ17" s="629"/>
      <c r="DA17" s="635"/>
      <c r="DB17" s="600"/>
    </row>
    <row r="18" spans="1:106" s="596" customFormat="1" ht="18" customHeight="1" x14ac:dyDescent="0.25">
      <c r="A18" s="594">
        <v>6</v>
      </c>
      <c r="B18" s="594">
        <v>2</v>
      </c>
      <c r="C18" s="636" t="s">
        <v>1244</v>
      </c>
      <c r="D18" s="637"/>
      <c r="E18" s="603" t="s">
        <v>580</v>
      </c>
      <c r="F18" s="638" t="s">
        <v>597</v>
      </c>
      <c r="G18" s="639">
        <v>51997</v>
      </c>
      <c r="H18" s="640">
        <f t="shared" si="0"/>
        <v>9.0566280924944093E-2</v>
      </c>
      <c r="I18" s="641">
        <v>33809</v>
      </c>
      <c r="J18" s="642">
        <v>7601.2</v>
      </c>
      <c r="K18" s="643">
        <v>10587</v>
      </c>
      <c r="L18" s="69">
        <f t="shared" si="1"/>
        <v>0.20360790045579552</v>
      </c>
      <c r="M18" s="610"/>
      <c r="N18" s="644">
        <v>41153</v>
      </c>
      <c r="O18" s="143">
        <f t="shared" ca="1" si="2"/>
        <v>5.5775359929662605</v>
      </c>
      <c r="P18" s="610"/>
      <c r="Q18" s="645" t="s">
        <v>878</v>
      </c>
      <c r="R18" s="610"/>
      <c r="S18" s="64">
        <f t="shared" ca="1" si="3"/>
        <v>31.355093966369932</v>
      </c>
      <c r="T18" s="615"/>
      <c r="U18" s="645" t="s">
        <v>591</v>
      </c>
      <c r="V18" s="67">
        <v>36</v>
      </c>
      <c r="W18" s="595"/>
      <c r="X18" s="92">
        <f t="shared" si="4"/>
        <v>44134</v>
      </c>
      <c r="Y18" s="595"/>
      <c r="Z18" s="646" t="s">
        <v>135</v>
      </c>
      <c r="AA18" s="595"/>
      <c r="AB18" s="647" t="s">
        <v>879</v>
      </c>
      <c r="AC18" s="648"/>
      <c r="AD18" s="649" t="s">
        <v>536</v>
      </c>
      <c r="AE18" s="649" t="s">
        <v>880</v>
      </c>
      <c r="AF18" s="650" t="s">
        <v>881</v>
      </c>
      <c r="AG18" s="651" t="s">
        <v>882</v>
      </c>
      <c r="AH18" s="649" t="s">
        <v>536</v>
      </c>
      <c r="AI18" s="649" t="s">
        <v>883</v>
      </c>
      <c r="AJ18" s="650" t="s">
        <v>884</v>
      </c>
      <c r="AK18" s="651"/>
      <c r="AL18" s="652"/>
      <c r="AM18" s="652"/>
      <c r="AN18" s="653"/>
      <c r="AO18" s="654"/>
      <c r="AQ18" s="655"/>
      <c r="AR18" s="656"/>
      <c r="AS18" s="656"/>
      <c r="AT18" s="656"/>
      <c r="AU18" s="657"/>
      <c r="AV18" s="655"/>
      <c r="AW18" s="656"/>
      <c r="AX18" s="656"/>
      <c r="AY18" s="656"/>
      <c r="AZ18" s="657"/>
      <c r="BA18" s="655"/>
      <c r="BB18" s="656"/>
      <c r="BC18" s="656"/>
      <c r="BD18" s="656"/>
      <c r="BE18" s="657"/>
      <c r="BF18" s="658"/>
      <c r="BG18" s="655"/>
      <c r="BH18" s="656"/>
      <c r="BI18" s="659"/>
      <c r="BJ18" s="656"/>
      <c r="BK18" s="657"/>
      <c r="BL18" s="655"/>
      <c r="BM18" s="656"/>
      <c r="BN18" s="659"/>
      <c r="BO18" s="656"/>
      <c r="BP18" s="657"/>
      <c r="BQ18" s="655"/>
      <c r="BR18" s="656"/>
      <c r="BS18" s="659"/>
      <c r="BT18" s="656"/>
      <c r="BU18" s="657"/>
      <c r="BV18" s="660"/>
      <c r="BW18" s="655"/>
      <c r="BX18" s="656"/>
      <c r="BY18" s="659"/>
      <c r="BZ18" s="656"/>
      <c r="CA18" s="657"/>
      <c r="CB18" s="655"/>
      <c r="CC18" s="656"/>
      <c r="CD18" s="659"/>
      <c r="CE18" s="656"/>
      <c r="CF18" s="657"/>
      <c r="CG18" s="655"/>
      <c r="CH18" s="656"/>
      <c r="CI18" s="659"/>
      <c r="CJ18" s="656"/>
      <c r="CK18" s="657"/>
      <c r="CL18" s="661"/>
      <c r="CM18" s="655"/>
      <c r="CN18" s="656"/>
      <c r="CO18" s="659"/>
      <c r="CP18" s="656"/>
      <c r="CQ18" s="657"/>
      <c r="CR18" s="655"/>
      <c r="CS18" s="656"/>
      <c r="CT18" s="659"/>
      <c r="CU18" s="656"/>
      <c r="CV18" s="657"/>
      <c r="CW18" s="655"/>
      <c r="CX18" s="656"/>
      <c r="CY18" s="659"/>
      <c r="CZ18" s="656"/>
      <c r="DA18" s="657"/>
      <c r="DB18" s="600"/>
    </row>
    <row r="19" spans="1:106" s="596" customFormat="1" ht="18" customHeight="1" x14ac:dyDescent="0.25">
      <c r="A19" s="594">
        <v>7</v>
      </c>
      <c r="B19" s="594">
        <v>3</v>
      </c>
      <c r="C19" s="636" t="s">
        <v>1245</v>
      </c>
      <c r="D19" s="637"/>
      <c r="E19" s="603" t="s">
        <v>548</v>
      </c>
      <c r="F19" s="638"/>
      <c r="G19" s="639">
        <v>47634</v>
      </c>
      <c r="H19" s="640">
        <f t="shared" si="0"/>
        <v>8.2966983202469119E-2</v>
      </c>
      <c r="I19" s="641">
        <v>43322</v>
      </c>
      <c r="J19" s="642">
        <v>3208</v>
      </c>
      <c r="K19" s="643">
        <v>1104</v>
      </c>
      <c r="L19" s="69">
        <f t="shared" si="1"/>
        <v>2.3176722509132133E-2</v>
      </c>
      <c r="M19" s="610"/>
      <c r="N19" s="644">
        <v>43101</v>
      </c>
      <c r="O19" s="143">
        <f t="shared" ca="1" si="2"/>
        <v>0.22529948345972087</v>
      </c>
      <c r="P19" s="610"/>
      <c r="Q19" s="645" t="s">
        <v>885</v>
      </c>
      <c r="R19" s="610"/>
      <c r="S19" s="64">
        <f t="shared" ca="1" si="3"/>
        <v>33.399274645565448</v>
      </c>
      <c r="T19" s="615"/>
      <c r="U19" s="645" t="s">
        <v>592</v>
      </c>
      <c r="V19" s="67"/>
      <c r="W19" s="595"/>
      <c r="X19" s="92" t="str">
        <f t="shared" si="4"/>
        <v>31/12/2020</v>
      </c>
      <c r="Y19" s="595"/>
      <c r="Z19" s="646" t="s">
        <v>135</v>
      </c>
      <c r="AA19" s="595"/>
      <c r="AB19" s="647" t="s">
        <v>886</v>
      </c>
      <c r="AC19" s="648"/>
      <c r="AD19" s="649" t="s">
        <v>536</v>
      </c>
      <c r="AE19" s="649" t="s">
        <v>887</v>
      </c>
      <c r="AF19" s="650" t="s">
        <v>888</v>
      </c>
      <c r="AG19" s="651" t="s">
        <v>889</v>
      </c>
      <c r="AH19" s="649" t="s">
        <v>536</v>
      </c>
      <c r="AI19" s="649" t="s">
        <v>890</v>
      </c>
      <c r="AJ19" s="650" t="s">
        <v>891</v>
      </c>
      <c r="AK19" s="651" t="s">
        <v>892</v>
      </c>
      <c r="AL19" s="652"/>
      <c r="AM19" s="652"/>
      <c r="AN19" s="653"/>
      <c r="AO19" s="654"/>
      <c r="AQ19" s="655"/>
      <c r="AR19" s="656"/>
      <c r="AS19" s="656"/>
      <c r="AT19" s="656"/>
      <c r="AU19" s="657"/>
      <c r="AV19" s="655"/>
      <c r="AW19" s="656"/>
      <c r="AX19" s="656"/>
      <c r="AY19" s="656"/>
      <c r="AZ19" s="657"/>
      <c r="BA19" s="655"/>
      <c r="BB19" s="656"/>
      <c r="BC19" s="656"/>
      <c r="BD19" s="656"/>
      <c r="BE19" s="657"/>
      <c r="BF19" s="658"/>
      <c r="BG19" s="655"/>
      <c r="BH19" s="656"/>
      <c r="BI19" s="659"/>
      <c r="BJ19" s="656"/>
      <c r="BK19" s="657"/>
      <c r="BL19" s="655"/>
      <c r="BM19" s="656"/>
      <c r="BN19" s="659"/>
      <c r="BO19" s="656"/>
      <c r="BP19" s="657"/>
      <c r="BQ19" s="655"/>
      <c r="BR19" s="656"/>
      <c r="BS19" s="659"/>
      <c r="BT19" s="656"/>
      <c r="BU19" s="657"/>
      <c r="BV19" s="660"/>
      <c r="BW19" s="655"/>
      <c r="BX19" s="656"/>
      <c r="BY19" s="659"/>
      <c r="BZ19" s="656"/>
      <c r="CA19" s="657"/>
      <c r="CB19" s="655"/>
      <c r="CC19" s="656"/>
      <c r="CD19" s="659"/>
      <c r="CE19" s="656"/>
      <c r="CF19" s="657"/>
      <c r="CG19" s="655"/>
      <c r="CH19" s="656"/>
      <c r="CI19" s="659"/>
      <c r="CJ19" s="656"/>
      <c r="CK19" s="657"/>
      <c r="CL19" s="661"/>
      <c r="CM19" s="655"/>
      <c r="CN19" s="656"/>
      <c r="CO19" s="659"/>
      <c r="CP19" s="656"/>
      <c r="CQ19" s="657"/>
      <c r="CR19" s="655"/>
      <c r="CS19" s="656"/>
      <c r="CT19" s="659"/>
      <c r="CU19" s="656"/>
      <c r="CV19" s="657"/>
      <c r="CW19" s="655"/>
      <c r="CX19" s="656"/>
      <c r="CY19" s="659"/>
      <c r="CZ19" s="656"/>
      <c r="DA19" s="657"/>
      <c r="DB19" s="600"/>
    </row>
    <row r="20" spans="1:106" s="596" customFormat="1" ht="18" customHeight="1" x14ac:dyDescent="0.25">
      <c r="A20" s="594">
        <v>8</v>
      </c>
      <c r="B20" s="594">
        <v>4</v>
      </c>
      <c r="C20" s="636" t="s">
        <v>1249</v>
      </c>
      <c r="D20" s="637"/>
      <c r="E20" s="603" t="s">
        <v>548</v>
      </c>
      <c r="F20" s="638"/>
      <c r="G20" s="662">
        <v>40424</v>
      </c>
      <c r="H20" s="640">
        <f t="shared" si="0"/>
        <v>7.0408895515317038E-2</v>
      </c>
      <c r="I20" s="641">
        <v>37719.5</v>
      </c>
      <c r="J20" s="642">
        <v>5241.1000000000004</v>
      </c>
      <c r="K20" s="643">
        <v>6308.2</v>
      </c>
      <c r="L20" s="69">
        <f t="shared" si="1"/>
        <v>0.15605086087472789</v>
      </c>
      <c r="M20" s="610"/>
      <c r="N20" s="644">
        <v>42856</v>
      </c>
      <c r="O20" s="143">
        <f t="shared" ca="1" si="2"/>
        <v>0.89845037916254533</v>
      </c>
      <c r="P20" s="610"/>
      <c r="Q20" s="645" t="s">
        <v>893</v>
      </c>
      <c r="R20" s="610"/>
      <c r="S20" s="64">
        <f t="shared" ca="1" si="3"/>
        <v>36.366633696010553</v>
      </c>
      <c r="T20" s="615"/>
      <c r="U20" s="645" t="s">
        <v>592</v>
      </c>
      <c r="V20" s="67"/>
      <c r="W20" s="595"/>
      <c r="X20" s="617" t="str">
        <f t="shared" si="4"/>
        <v>31/03/2021</v>
      </c>
      <c r="Y20" s="595"/>
      <c r="Z20" s="646" t="s">
        <v>135</v>
      </c>
      <c r="AA20" s="595"/>
      <c r="AB20" s="647" t="s">
        <v>894</v>
      </c>
      <c r="AC20" s="663"/>
      <c r="AD20" s="649" t="s">
        <v>536</v>
      </c>
      <c r="AE20" s="649" t="s">
        <v>895</v>
      </c>
      <c r="AF20" s="650" t="s">
        <v>896</v>
      </c>
      <c r="AG20" s="651" t="s">
        <v>897</v>
      </c>
      <c r="AH20" s="649" t="s">
        <v>536</v>
      </c>
      <c r="AI20" s="649" t="s">
        <v>898</v>
      </c>
      <c r="AJ20" s="650" t="s">
        <v>899</v>
      </c>
      <c r="AK20" s="651" t="s">
        <v>900</v>
      </c>
      <c r="AL20" s="652"/>
      <c r="AM20" s="652"/>
      <c r="AN20" s="653"/>
      <c r="AO20" s="654"/>
      <c r="AQ20" s="655"/>
      <c r="AR20" s="656"/>
      <c r="AS20" s="656"/>
      <c r="AT20" s="656"/>
      <c r="AU20" s="657"/>
      <c r="AV20" s="655"/>
      <c r="AW20" s="656"/>
      <c r="AX20" s="656"/>
      <c r="AY20" s="656"/>
      <c r="AZ20" s="657"/>
      <c r="BA20" s="655"/>
      <c r="BB20" s="656"/>
      <c r="BC20" s="656"/>
      <c r="BD20" s="656"/>
      <c r="BE20" s="657"/>
      <c r="BF20" s="658"/>
      <c r="BG20" s="655"/>
      <c r="BH20" s="656"/>
      <c r="BI20" s="659"/>
      <c r="BJ20" s="656"/>
      <c r="BK20" s="657"/>
      <c r="BL20" s="655"/>
      <c r="BM20" s="656"/>
      <c r="BN20" s="659"/>
      <c r="BO20" s="656"/>
      <c r="BP20" s="657"/>
      <c r="BQ20" s="655"/>
      <c r="BR20" s="656"/>
      <c r="BS20" s="659"/>
      <c r="BT20" s="656"/>
      <c r="BU20" s="657"/>
      <c r="BV20" s="660"/>
      <c r="BW20" s="655"/>
      <c r="BX20" s="656"/>
      <c r="BY20" s="659"/>
      <c r="BZ20" s="656"/>
      <c r="CA20" s="657"/>
      <c r="CB20" s="655"/>
      <c r="CC20" s="656"/>
      <c r="CD20" s="659"/>
      <c r="CE20" s="656"/>
      <c r="CF20" s="657"/>
      <c r="CG20" s="655"/>
      <c r="CH20" s="656"/>
      <c r="CI20" s="659"/>
      <c r="CJ20" s="656"/>
      <c r="CK20" s="657"/>
      <c r="CL20" s="661"/>
      <c r="CM20" s="655"/>
      <c r="CN20" s="656"/>
      <c r="CO20" s="659"/>
      <c r="CP20" s="656"/>
      <c r="CQ20" s="657"/>
      <c r="CR20" s="655"/>
      <c r="CS20" s="656"/>
      <c r="CT20" s="659"/>
      <c r="CU20" s="656"/>
      <c r="CV20" s="657"/>
      <c r="CW20" s="655"/>
      <c r="CX20" s="656"/>
      <c r="CY20" s="659"/>
      <c r="CZ20" s="656"/>
      <c r="DA20" s="657"/>
      <c r="DB20" s="600"/>
    </row>
    <row r="21" spans="1:106" s="596" customFormat="1" ht="18" customHeight="1" x14ac:dyDescent="0.25">
      <c r="A21" s="594">
        <v>9</v>
      </c>
      <c r="B21" s="594"/>
      <c r="C21" s="636" t="s">
        <v>1250</v>
      </c>
      <c r="D21" s="637"/>
      <c r="E21" s="603" t="s">
        <v>548</v>
      </c>
      <c r="F21" s="638"/>
      <c r="G21" s="662">
        <v>8164</v>
      </c>
      <c r="H21" s="640">
        <f t="shared" si="0"/>
        <v>1.4219726474051264E-2</v>
      </c>
      <c r="I21" s="641">
        <v>6777</v>
      </c>
      <c r="J21" s="642">
        <v>418</v>
      </c>
      <c r="K21" s="643">
        <v>969</v>
      </c>
      <c r="L21" s="69">
        <f t="shared" si="1"/>
        <v>0.11869181773640372</v>
      </c>
      <c r="M21" s="610"/>
      <c r="N21" s="644">
        <v>42856</v>
      </c>
      <c r="O21" s="143">
        <f t="shared" ca="1" si="2"/>
        <v>0.89845037916254533</v>
      </c>
      <c r="P21" s="610"/>
      <c r="Q21" s="645" t="s">
        <v>893</v>
      </c>
      <c r="R21" s="610"/>
      <c r="S21" s="64">
        <f t="shared" ca="1" si="3"/>
        <v>36.366633696010553</v>
      </c>
      <c r="T21" s="615"/>
      <c r="U21" s="645" t="s">
        <v>592</v>
      </c>
      <c r="V21" s="67"/>
      <c r="W21" s="595"/>
      <c r="X21" s="617" t="str">
        <f t="shared" si="4"/>
        <v>31/03/2021</v>
      </c>
      <c r="Y21" s="595"/>
      <c r="Z21" s="646" t="s">
        <v>135</v>
      </c>
      <c r="AA21" s="595"/>
      <c r="AB21" s="647" t="s">
        <v>894</v>
      </c>
      <c r="AC21" s="663"/>
      <c r="AD21" s="649" t="s">
        <v>536</v>
      </c>
      <c r="AE21" s="649" t="s">
        <v>895</v>
      </c>
      <c r="AF21" s="650" t="s">
        <v>896</v>
      </c>
      <c r="AG21" s="651" t="s">
        <v>897</v>
      </c>
      <c r="AH21" s="649" t="s">
        <v>536</v>
      </c>
      <c r="AI21" s="649" t="s">
        <v>898</v>
      </c>
      <c r="AJ21" s="650" t="s">
        <v>899</v>
      </c>
      <c r="AK21" s="651" t="s">
        <v>900</v>
      </c>
      <c r="AL21" s="652"/>
      <c r="AM21" s="652"/>
      <c r="AN21" s="653"/>
      <c r="AO21" s="654"/>
      <c r="AQ21" s="655"/>
      <c r="AR21" s="656"/>
      <c r="AS21" s="656"/>
      <c r="AT21" s="656"/>
      <c r="AU21" s="657"/>
      <c r="AV21" s="655"/>
      <c r="AW21" s="656"/>
      <c r="AX21" s="656"/>
      <c r="AY21" s="656"/>
      <c r="AZ21" s="657"/>
      <c r="BA21" s="655"/>
      <c r="BB21" s="656"/>
      <c r="BC21" s="656"/>
      <c r="BD21" s="656"/>
      <c r="BE21" s="657"/>
      <c r="BF21" s="658"/>
      <c r="BG21" s="655"/>
      <c r="BH21" s="656"/>
      <c r="BI21" s="659"/>
      <c r="BJ21" s="656"/>
      <c r="BK21" s="657"/>
      <c r="BL21" s="655"/>
      <c r="BM21" s="656"/>
      <c r="BN21" s="659"/>
      <c r="BO21" s="656"/>
      <c r="BP21" s="657"/>
      <c r="BQ21" s="655"/>
      <c r="BR21" s="656"/>
      <c r="BS21" s="659"/>
      <c r="BT21" s="656"/>
      <c r="BU21" s="657"/>
      <c r="BV21" s="660"/>
      <c r="BW21" s="655"/>
      <c r="BX21" s="656"/>
      <c r="BY21" s="659"/>
      <c r="BZ21" s="656"/>
      <c r="CA21" s="657"/>
      <c r="CB21" s="655"/>
      <c r="CC21" s="656"/>
      <c r="CD21" s="659"/>
      <c r="CE21" s="656"/>
      <c r="CF21" s="657"/>
      <c r="CG21" s="655"/>
      <c r="CH21" s="656"/>
      <c r="CI21" s="659"/>
      <c r="CJ21" s="656"/>
      <c r="CK21" s="657"/>
      <c r="CL21" s="661"/>
      <c r="CM21" s="655"/>
      <c r="CN21" s="656"/>
      <c r="CO21" s="659"/>
      <c r="CP21" s="656"/>
      <c r="CQ21" s="657"/>
      <c r="CR21" s="655"/>
      <c r="CS21" s="656"/>
      <c r="CT21" s="659"/>
      <c r="CU21" s="656"/>
      <c r="CV21" s="657"/>
      <c r="CW21" s="655"/>
      <c r="CX21" s="656"/>
      <c r="CY21" s="659"/>
      <c r="CZ21" s="656"/>
      <c r="DA21" s="657"/>
      <c r="DB21" s="600"/>
    </row>
    <row r="22" spans="1:106" s="596" customFormat="1" ht="18" customHeight="1" x14ac:dyDescent="0.25">
      <c r="A22" s="594">
        <v>10</v>
      </c>
      <c r="B22" s="594">
        <v>5</v>
      </c>
      <c r="C22" s="664" t="s">
        <v>1251</v>
      </c>
      <c r="D22" s="665"/>
      <c r="E22" s="603" t="s">
        <v>580</v>
      </c>
      <c r="F22" s="638" t="s">
        <v>597</v>
      </c>
      <c r="G22" s="639">
        <v>37723</v>
      </c>
      <c r="H22" s="640">
        <f t="shared" si="0"/>
        <v>6.5704402471905413E-2</v>
      </c>
      <c r="I22" s="641">
        <v>25673</v>
      </c>
      <c r="J22" s="642">
        <v>4681.3999999999996</v>
      </c>
      <c r="K22" s="643">
        <v>7369</v>
      </c>
      <c r="L22" s="69">
        <f t="shared" si="1"/>
        <v>0.19534501497759987</v>
      </c>
      <c r="M22" s="610"/>
      <c r="N22" s="644">
        <v>41791</v>
      </c>
      <c r="O22" s="143">
        <f t="shared" ca="1" si="2"/>
        <v>3.8245961094625787</v>
      </c>
      <c r="P22" s="610"/>
      <c r="Q22" s="645" t="s">
        <v>29</v>
      </c>
      <c r="R22" s="610"/>
      <c r="S22" s="64">
        <f t="shared" ca="1" si="3"/>
        <v>9.2977250247279919</v>
      </c>
      <c r="T22" s="615"/>
      <c r="U22" s="645" t="s">
        <v>591</v>
      </c>
      <c r="V22" s="67">
        <v>12</v>
      </c>
      <c r="W22" s="595"/>
      <c r="X22" s="92">
        <f t="shared" si="4"/>
        <v>43465</v>
      </c>
      <c r="Y22" s="595"/>
      <c r="Z22" s="646" t="s">
        <v>135</v>
      </c>
      <c r="AA22" s="595"/>
      <c r="AB22" s="647" t="s">
        <v>901</v>
      </c>
      <c r="AC22" s="666"/>
      <c r="AD22" s="649" t="s">
        <v>536</v>
      </c>
      <c r="AE22" s="649" t="s">
        <v>902</v>
      </c>
      <c r="AF22" s="650" t="s">
        <v>82</v>
      </c>
      <c r="AG22" s="651" t="s">
        <v>903</v>
      </c>
      <c r="AH22" s="649" t="s">
        <v>536</v>
      </c>
      <c r="AI22" s="649" t="s">
        <v>904</v>
      </c>
      <c r="AJ22" s="650" t="s">
        <v>905</v>
      </c>
      <c r="AK22" s="651" t="s">
        <v>906</v>
      </c>
      <c r="AL22" s="649" t="s">
        <v>536</v>
      </c>
      <c r="AM22" s="649" t="s">
        <v>907</v>
      </c>
      <c r="AN22" s="650" t="s">
        <v>908</v>
      </c>
      <c r="AO22" s="667" t="s">
        <v>909</v>
      </c>
      <c r="AQ22" s="668"/>
      <c r="AR22" s="669"/>
      <c r="AS22" s="669"/>
      <c r="AT22" s="669"/>
      <c r="AU22" s="670"/>
      <c r="AV22" s="668"/>
      <c r="AW22" s="669"/>
      <c r="AX22" s="669"/>
      <c r="AY22" s="669"/>
      <c r="AZ22" s="670"/>
      <c r="BA22" s="668"/>
      <c r="BB22" s="669"/>
      <c r="BC22" s="669"/>
      <c r="BD22" s="669"/>
      <c r="BE22" s="670"/>
      <c r="BF22" s="671"/>
      <c r="BG22" s="668"/>
      <c r="BH22" s="669"/>
      <c r="BI22" s="672"/>
      <c r="BJ22" s="669"/>
      <c r="BK22" s="670"/>
      <c r="BL22" s="668"/>
      <c r="BM22" s="669"/>
      <c r="BN22" s="672"/>
      <c r="BO22" s="669"/>
      <c r="BP22" s="670"/>
      <c r="BQ22" s="668"/>
      <c r="BR22" s="669"/>
      <c r="BS22" s="672"/>
      <c r="BT22" s="669"/>
      <c r="BU22" s="670"/>
      <c r="BV22" s="673"/>
      <c r="BW22" s="668"/>
      <c r="BX22" s="669"/>
      <c r="BY22" s="672"/>
      <c r="BZ22" s="669"/>
      <c r="CA22" s="670"/>
      <c r="CB22" s="668"/>
      <c r="CC22" s="669"/>
      <c r="CD22" s="672"/>
      <c r="CE22" s="669"/>
      <c r="CF22" s="670"/>
      <c r="CG22" s="668"/>
      <c r="CH22" s="669"/>
      <c r="CI22" s="672"/>
      <c r="CJ22" s="669"/>
      <c r="CK22" s="670"/>
      <c r="CL22" s="674"/>
      <c r="CM22" s="668"/>
      <c r="CN22" s="669"/>
      <c r="CO22" s="672"/>
      <c r="CP22" s="669"/>
      <c r="CQ22" s="670"/>
      <c r="CR22" s="668"/>
      <c r="CS22" s="669"/>
      <c r="CT22" s="672"/>
      <c r="CU22" s="669"/>
      <c r="CV22" s="670"/>
      <c r="CW22" s="668"/>
      <c r="CX22" s="669"/>
      <c r="CY22" s="672"/>
      <c r="CZ22" s="669"/>
      <c r="DA22" s="670"/>
      <c r="DB22" s="600"/>
    </row>
    <row r="23" spans="1:106" s="687" customFormat="1" ht="18" customHeight="1" x14ac:dyDescent="0.25">
      <c r="A23" s="594">
        <v>11</v>
      </c>
      <c r="B23" s="594">
        <v>6</v>
      </c>
      <c r="C23" s="675" t="s">
        <v>1252</v>
      </c>
      <c r="D23" s="676"/>
      <c r="E23" s="677" t="s">
        <v>521</v>
      </c>
      <c r="F23" s="678"/>
      <c r="G23" s="679">
        <v>35570</v>
      </c>
      <c r="H23" s="640">
        <f t="shared" si="0"/>
        <v>6.1954393763106741E-2</v>
      </c>
      <c r="I23" s="680">
        <v>29381.8</v>
      </c>
      <c r="J23" s="681"/>
      <c r="K23" s="682">
        <v>6428.8</v>
      </c>
      <c r="L23" s="69">
        <f t="shared" si="1"/>
        <v>0.18073657576609503</v>
      </c>
      <c r="M23" s="610"/>
      <c r="N23" s="644">
        <v>42658</v>
      </c>
      <c r="O23" s="143">
        <f t="shared" ca="1" si="2"/>
        <v>1.442466205077481</v>
      </c>
      <c r="P23" s="610"/>
      <c r="Q23" s="645" t="s">
        <v>910</v>
      </c>
      <c r="R23" s="610"/>
      <c r="S23" s="64">
        <f t="shared" ca="1" si="3"/>
        <v>19.320804484009233</v>
      </c>
      <c r="T23" s="615"/>
      <c r="U23" s="645" t="s">
        <v>592</v>
      </c>
      <c r="V23" s="67"/>
      <c r="W23" s="595"/>
      <c r="X23" s="92" t="str">
        <f t="shared" si="4"/>
        <v>31/10/2019</v>
      </c>
      <c r="Y23" s="595"/>
      <c r="Z23" s="683" t="s">
        <v>135</v>
      </c>
      <c r="AA23" s="595"/>
      <c r="AB23" s="647" t="s">
        <v>911</v>
      </c>
      <c r="AC23" s="663"/>
      <c r="AD23" s="649" t="s">
        <v>536</v>
      </c>
      <c r="AE23" s="649" t="s">
        <v>890</v>
      </c>
      <c r="AF23" s="684" t="s">
        <v>741</v>
      </c>
      <c r="AG23" s="685" t="s">
        <v>912</v>
      </c>
      <c r="AH23" s="649" t="s">
        <v>536</v>
      </c>
      <c r="AI23" s="649" t="s">
        <v>913</v>
      </c>
      <c r="AJ23" s="684" t="s">
        <v>914</v>
      </c>
      <c r="AK23" s="685" t="s">
        <v>915</v>
      </c>
      <c r="AL23" s="649" t="s">
        <v>536</v>
      </c>
      <c r="AM23" s="649" t="s">
        <v>916</v>
      </c>
      <c r="AN23" s="684" t="s">
        <v>917</v>
      </c>
      <c r="AO23" s="686" t="s">
        <v>915</v>
      </c>
      <c r="AQ23" s="688"/>
      <c r="AR23" s="689"/>
      <c r="AS23" s="689"/>
      <c r="AT23" s="689"/>
      <c r="AU23" s="690"/>
      <c r="AV23" s="688"/>
      <c r="AW23" s="689"/>
      <c r="AX23" s="689"/>
      <c r="AY23" s="689"/>
      <c r="AZ23" s="690"/>
      <c r="BA23" s="688"/>
      <c r="BB23" s="689"/>
      <c r="BC23" s="689"/>
      <c r="BD23" s="689"/>
      <c r="BE23" s="690"/>
      <c r="BF23" s="691"/>
      <c r="BG23" s="688"/>
      <c r="BH23" s="689"/>
      <c r="BI23" s="692"/>
      <c r="BJ23" s="689"/>
      <c r="BK23" s="690"/>
      <c r="BL23" s="688"/>
      <c r="BM23" s="689"/>
      <c r="BN23" s="692"/>
      <c r="BO23" s="689"/>
      <c r="BP23" s="690"/>
      <c r="BQ23" s="688"/>
      <c r="BR23" s="689"/>
      <c r="BS23" s="692"/>
      <c r="BT23" s="689"/>
      <c r="BU23" s="690"/>
      <c r="BV23" s="693"/>
      <c r="BW23" s="688"/>
      <c r="BX23" s="689"/>
      <c r="BY23" s="692"/>
      <c r="BZ23" s="689"/>
      <c r="CA23" s="690"/>
      <c r="CB23" s="688"/>
      <c r="CC23" s="689"/>
      <c r="CD23" s="692"/>
      <c r="CE23" s="689"/>
      <c r="CF23" s="690"/>
      <c r="CG23" s="688"/>
      <c r="CH23" s="689"/>
      <c r="CI23" s="692"/>
      <c r="CJ23" s="689"/>
      <c r="CK23" s="690"/>
      <c r="CL23" s="694"/>
      <c r="CM23" s="688"/>
      <c r="CN23" s="689"/>
      <c r="CO23" s="692"/>
      <c r="CP23" s="689"/>
      <c r="CQ23" s="690"/>
      <c r="CR23" s="688"/>
      <c r="CS23" s="689"/>
      <c r="CT23" s="692"/>
      <c r="CU23" s="689"/>
      <c r="CV23" s="690"/>
      <c r="CW23" s="688"/>
      <c r="CX23" s="689"/>
      <c r="CY23" s="692"/>
      <c r="CZ23" s="689"/>
      <c r="DA23" s="690"/>
      <c r="DB23" s="600"/>
    </row>
    <row r="24" spans="1:106" s="596" customFormat="1" ht="18" customHeight="1" x14ac:dyDescent="0.25">
      <c r="A24" s="594">
        <v>12</v>
      </c>
      <c r="B24" s="594">
        <v>7</v>
      </c>
      <c r="C24" s="636" t="s">
        <v>1253</v>
      </c>
      <c r="D24" s="637"/>
      <c r="E24" s="603" t="s">
        <v>548</v>
      </c>
      <c r="F24" s="638"/>
      <c r="G24" s="639">
        <v>34093</v>
      </c>
      <c r="H24" s="640">
        <f t="shared" si="0"/>
        <v>5.9381814634961998E-2</v>
      </c>
      <c r="I24" s="641">
        <v>24106</v>
      </c>
      <c r="J24" s="642">
        <v>4588</v>
      </c>
      <c r="K24" s="643">
        <v>5398</v>
      </c>
      <c r="L24" s="69">
        <f t="shared" si="1"/>
        <v>0.15833162232716394</v>
      </c>
      <c r="M24" s="610"/>
      <c r="N24" s="644">
        <v>43101</v>
      </c>
      <c r="O24" s="143">
        <f t="shared" ca="1" si="2"/>
        <v>0.22529948345972087</v>
      </c>
      <c r="P24" s="610"/>
      <c r="Q24" s="645" t="s">
        <v>885</v>
      </c>
      <c r="R24" s="610"/>
      <c r="S24" s="64">
        <f t="shared" ca="1" si="3"/>
        <v>33.399274645565448</v>
      </c>
      <c r="T24" s="615"/>
      <c r="U24" s="645" t="s">
        <v>592</v>
      </c>
      <c r="V24" s="67"/>
      <c r="W24" s="595"/>
      <c r="X24" s="92" t="str">
        <f t="shared" si="4"/>
        <v>31/12/2020</v>
      </c>
      <c r="Y24" s="595"/>
      <c r="Z24" s="646" t="s">
        <v>135</v>
      </c>
      <c r="AA24" s="595"/>
      <c r="AB24" s="647" t="s">
        <v>918</v>
      </c>
      <c r="AC24" s="648"/>
      <c r="AD24" s="649" t="s">
        <v>536</v>
      </c>
      <c r="AE24" s="649" t="s">
        <v>919</v>
      </c>
      <c r="AF24" s="650" t="s">
        <v>920</v>
      </c>
      <c r="AG24" s="651" t="s">
        <v>921</v>
      </c>
      <c r="AH24" s="652"/>
      <c r="AI24" s="652"/>
      <c r="AJ24" s="653"/>
      <c r="AK24" s="695"/>
      <c r="AL24" s="652"/>
      <c r="AM24" s="652"/>
      <c r="AN24" s="653"/>
      <c r="AO24" s="654"/>
      <c r="AQ24" s="655"/>
      <c r="AR24" s="656"/>
      <c r="AS24" s="656"/>
      <c r="AT24" s="656"/>
      <c r="AU24" s="657"/>
      <c r="AV24" s="655"/>
      <c r="AW24" s="656"/>
      <c r="AX24" s="656"/>
      <c r="AY24" s="656"/>
      <c r="AZ24" s="657"/>
      <c r="BA24" s="655"/>
      <c r="BB24" s="656"/>
      <c r="BC24" s="656"/>
      <c r="BD24" s="656"/>
      <c r="BE24" s="657"/>
      <c r="BF24" s="658"/>
      <c r="BG24" s="655"/>
      <c r="BH24" s="656"/>
      <c r="BI24" s="659"/>
      <c r="BJ24" s="656"/>
      <c r="BK24" s="657"/>
      <c r="BL24" s="655"/>
      <c r="BM24" s="656"/>
      <c r="BN24" s="659"/>
      <c r="BO24" s="656"/>
      <c r="BP24" s="657"/>
      <c r="BQ24" s="655"/>
      <c r="BR24" s="656"/>
      <c r="BS24" s="659"/>
      <c r="BT24" s="656"/>
      <c r="BU24" s="657"/>
      <c r="BV24" s="660"/>
      <c r="BW24" s="655"/>
      <c r="BX24" s="656"/>
      <c r="BY24" s="659"/>
      <c r="BZ24" s="656"/>
      <c r="CA24" s="657"/>
      <c r="CB24" s="655"/>
      <c r="CC24" s="656"/>
      <c r="CD24" s="659"/>
      <c r="CE24" s="656"/>
      <c r="CF24" s="657"/>
      <c r="CG24" s="655"/>
      <c r="CH24" s="656"/>
      <c r="CI24" s="659"/>
      <c r="CJ24" s="656"/>
      <c r="CK24" s="657"/>
      <c r="CL24" s="661"/>
      <c r="CM24" s="655"/>
      <c r="CN24" s="656"/>
      <c r="CO24" s="659"/>
      <c r="CP24" s="656"/>
      <c r="CQ24" s="657"/>
      <c r="CR24" s="655"/>
      <c r="CS24" s="656"/>
      <c r="CT24" s="659"/>
      <c r="CU24" s="656"/>
      <c r="CV24" s="657"/>
      <c r="CW24" s="655"/>
      <c r="CX24" s="656"/>
      <c r="CY24" s="659"/>
      <c r="CZ24" s="656"/>
      <c r="DA24" s="657"/>
      <c r="DB24" s="600"/>
    </row>
    <row r="25" spans="1:106" s="596" customFormat="1" ht="18" customHeight="1" x14ac:dyDescent="0.25">
      <c r="A25" s="594">
        <v>13</v>
      </c>
      <c r="B25" s="594">
        <v>8</v>
      </c>
      <c r="C25" s="696" t="s">
        <v>1254</v>
      </c>
      <c r="D25" s="697" t="s">
        <v>1255</v>
      </c>
      <c r="E25" s="603" t="s">
        <v>580</v>
      </c>
      <c r="F25" s="698"/>
      <c r="G25" s="699">
        <v>30347</v>
      </c>
      <c r="H25" s="640">
        <f t="shared" si="0"/>
        <v>5.2857182668793933E-2</v>
      </c>
      <c r="I25" s="700">
        <v>20736</v>
      </c>
      <c r="J25" s="701">
        <v>920</v>
      </c>
      <c r="K25" s="701">
        <v>8691</v>
      </c>
      <c r="L25" s="69">
        <f t="shared" si="1"/>
        <v>0.28638745180742742</v>
      </c>
      <c r="M25" s="610"/>
      <c r="N25" s="702">
        <v>40725</v>
      </c>
      <c r="O25" s="143">
        <f t="shared" ca="1" si="2"/>
        <v>6.75348939443895</v>
      </c>
      <c r="P25" s="610"/>
      <c r="Q25" s="703" t="s">
        <v>29</v>
      </c>
      <c r="R25" s="610"/>
      <c r="S25" s="64">
        <f t="shared" ca="1" si="3"/>
        <v>9.2977250247279919</v>
      </c>
      <c r="T25" s="615"/>
      <c r="U25" s="703" t="s">
        <v>591</v>
      </c>
      <c r="V25" s="67">
        <v>12</v>
      </c>
      <c r="W25" s="704"/>
      <c r="X25" s="92">
        <f t="shared" si="4"/>
        <v>43465</v>
      </c>
      <c r="Y25" s="704"/>
      <c r="Z25" s="705" t="s">
        <v>135</v>
      </c>
      <c r="AA25" s="704"/>
      <c r="AB25" s="647" t="s">
        <v>894</v>
      </c>
      <c r="AC25" s="648"/>
      <c r="AD25" s="706" t="s">
        <v>536</v>
      </c>
      <c r="AE25" s="706" t="s">
        <v>922</v>
      </c>
      <c r="AF25" s="650" t="s">
        <v>923</v>
      </c>
      <c r="AG25" s="651" t="s">
        <v>924</v>
      </c>
      <c r="AH25" s="706" t="s">
        <v>536</v>
      </c>
      <c r="AI25" s="706" t="s">
        <v>925</v>
      </c>
      <c r="AJ25" s="650" t="s">
        <v>926</v>
      </c>
      <c r="AK25" s="651" t="s">
        <v>927</v>
      </c>
      <c r="AL25" s="706" t="s">
        <v>534</v>
      </c>
      <c r="AM25" s="706" t="s">
        <v>928</v>
      </c>
      <c r="AN25" s="650" t="s">
        <v>929</v>
      </c>
      <c r="AO25" s="667" t="s">
        <v>930</v>
      </c>
      <c r="AQ25" s="668"/>
      <c r="AR25" s="669"/>
      <c r="AS25" s="669"/>
      <c r="AT25" s="669"/>
      <c r="AU25" s="707"/>
      <c r="AV25" s="668"/>
      <c r="AW25" s="669"/>
      <c r="AX25" s="669"/>
      <c r="AY25" s="669"/>
      <c r="AZ25" s="707"/>
      <c r="BA25" s="668"/>
      <c r="BB25" s="669"/>
      <c r="BC25" s="669"/>
      <c r="BD25" s="669"/>
      <c r="BE25" s="707"/>
      <c r="BF25" s="671"/>
      <c r="BG25" s="668"/>
      <c r="BH25" s="669"/>
      <c r="BI25" s="672"/>
      <c r="BJ25" s="669"/>
      <c r="BK25" s="707"/>
      <c r="BL25" s="668"/>
      <c r="BM25" s="669"/>
      <c r="BN25" s="669"/>
      <c r="BO25" s="669"/>
      <c r="BP25" s="707"/>
      <c r="BQ25" s="668"/>
      <c r="BR25" s="669"/>
      <c r="BS25" s="669"/>
      <c r="BT25" s="669"/>
      <c r="BU25" s="707"/>
      <c r="BV25" s="673"/>
      <c r="BW25" s="668"/>
      <c r="BX25" s="669"/>
      <c r="BY25" s="669"/>
      <c r="BZ25" s="669"/>
      <c r="CA25" s="707"/>
      <c r="CB25" s="668"/>
      <c r="CC25" s="669"/>
      <c r="CD25" s="669"/>
      <c r="CE25" s="669"/>
      <c r="CF25" s="707"/>
      <c r="CG25" s="668"/>
      <c r="CH25" s="669"/>
      <c r="CI25" s="669"/>
      <c r="CJ25" s="669"/>
      <c r="CK25" s="707"/>
      <c r="CL25" s="674"/>
      <c r="CM25" s="668"/>
      <c r="CN25" s="669"/>
      <c r="CO25" s="669"/>
      <c r="CP25" s="669"/>
      <c r="CQ25" s="707"/>
      <c r="CR25" s="668"/>
      <c r="CS25" s="669"/>
      <c r="CT25" s="669"/>
      <c r="CU25" s="669"/>
      <c r="CV25" s="707"/>
      <c r="CW25" s="668"/>
      <c r="CX25" s="669"/>
      <c r="CY25" s="669"/>
      <c r="CZ25" s="669"/>
      <c r="DA25" s="657"/>
      <c r="DB25" s="600"/>
    </row>
    <row r="26" spans="1:106" s="687" customFormat="1" ht="18" customHeight="1" x14ac:dyDescent="0.25">
      <c r="A26" s="1069">
        <v>14</v>
      </c>
      <c r="B26" s="1069"/>
      <c r="C26" s="708" t="s">
        <v>1256</v>
      </c>
      <c r="D26" s="709"/>
      <c r="E26" s="677" t="s">
        <v>521</v>
      </c>
      <c r="F26" s="678" t="s">
        <v>527</v>
      </c>
      <c r="G26" s="784">
        <v>29433</v>
      </c>
      <c r="H26" s="785">
        <f t="shared" si="0"/>
        <v>5.1265214271282562E-2</v>
      </c>
      <c r="I26" s="786">
        <v>16727</v>
      </c>
      <c r="J26" s="787">
        <v>5049.3999999999996</v>
      </c>
      <c r="K26" s="788">
        <v>7656.6</v>
      </c>
      <c r="L26" s="789">
        <f t="shared" si="1"/>
        <v>0.2601365813882377</v>
      </c>
      <c r="M26" s="610"/>
      <c r="N26" s="715">
        <v>41640</v>
      </c>
      <c r="O26" s="790">
        <f t="shared" ca="1" si="2"/>
        <v>4.2394768655896256</v>
      </c>
      <c r="P26" s="610"/>
      <c r="Q26" s="703" t="s">
        <v>27</v>
      </c>
      <c r="R26" s="610"/>
      <c r="S26" s="791">
        <f t="shared" ca="1" si="3"/>
        <v>-8.8031651829871418</v>
      </c>
      <c r="T26" s="615"/>
      <c r="U26" s="703" t="s">
        <v>591</v>
      </c>
      <c r="V26" s="67">
        <v>6</v>
      </c>
      <c r="W26" s="595"/>
      <c r="X26" s="792">
        <f t="shared" si="4"/>
        <v>42916</v>
      </c>
      <c r="Y26" s="595"/>
      <c r="Z26" s="683" t="s">
        <v>551</v>
      </c>
      <c r="AA26" s="595"/>
      <c r="AB26" s="647"/>
      <c r="AC26" s="663"/>
      <c r="AD26" s="649"/>
      <c r="AE26" s="649"/>
      <c r="AF26" s="684"/>
      <c r="AG26" s="685"/>
      <c r="AH26" s="649"/>
      <c r="AI26" s="649"/>
      <c r="AJ26" s="684"/>
      <c r="AK26" s="685"/>
      <c r="AL26" s="649"/>
      <c r="AM26" s="649"/>
      <c r="AN26" s="684"/>
      <c r="AO26" s="686"/>
      <c r="AQ26" s="802"/>
      <c r="AR26" s="803"/>
      <c r="AS26" s="803"/>
      <c r="AT26" s="803"/>
      <c r="AU26" s="804"/>
      <c r="AV26" s="802"/>
      <c r="AW26" s="803"/>
      <c r="AX26" s="803"/>
      <c r="AY26" s="803"/>
      <c r="AZ26" s="804"/>
      <c r="BA26" s="802"/>
      <c r="BB26" s="803"/>
      <c r="BC26" s="803"/>
      <c r="BD26" s="803"/>
      <c r="BE26" s="804"/>
      <c r="BF26" s="1098"/>
      <c r="BG26" s="802"/>
      <c r="BH26" s="803"/>
      <c r="BI26" s="1099"/>
      <c r="BJ26" s="803"/>
      <c r="BK26" s="804"/>
      <c r="BL26" s="802"/>
      <c r="BM26" s="803"/>
      <c r="BN26" s="1099"/>
      <c r="BO26" s="803"/>
      <c r="BP26" s="804"/>
      <c r="BQ26" s="802"/>
      <c r="BR26" s="803"/>
      <c r="BS26" s="1099"/>
      <c r="BT26" s="803"/>
      <c r="BU26" s="804"/>
      <c r="BV26" s="1100"/>
      <c r="BW26" s="802"/>
      <c r="BX26" s="803"/>
      <c r="BY26" s="1099"/>
      <c r="BZ26" s="803"/>
      <c r="CA26" s="804"/>
      <c r="CB26" s="802"/>
      <c r="CC26" s="803"/>
      <c r="CD26" s="1099"/>
      <c r="CE26" s="803"/>
      <c r="CF26" s="804"/>
      <c r="CG26" s="802"/>
      <c r="CH26" s="803"/>
      <c r="CI26" s="1099"/>
      <c r="CJ26" s="803"/>
      <c r="CK26" s="804"/>
      <c r="CL26" s="803"/>
      <c r="CM26" s="802"/>
      <c r="CN26" s="803"/>
      <c r="CO26" s="1099"/>
      <c r="CP26" s="803"/>
      <c r="CQ26" s="804"/>
      <c r="CR26" s="802"/>
      <c r="CS26" s="803"/>
      <c r="CT26" s="1099"/>
      <c r="CU26" s="803"/>
      <c r="CV26" s="804"/>
      <c r="CW26" s="802"/>
      <c r="CX26" s="803"/>
      <c r="CY26" s="1099"/>
      <c r="CZ26" s="803"/>
      <c r="DA26" s="804"/>
      <c r="DB26" s="600"/>
    </row>
    <row r="27" spans="1:106" s="687" customFormat="1" ht="18" customHeight="1" x14ac:dyDescent="0.25">
      <c r="A27" s="1069">
        <v>15</v>
      </c>
      <c r="B27" s="1069"/>
      <c r="C27" s="708" t="s">
        <v>1257</v>
      </c>
      <c r="D27" s="709"/>
      <c r="E27" s="677" t="s">
        <v>521</v>
      </c>
      <c r="F27" s="678" t="s">
        <v>527</v>
      </c>
      <c r="G27" s="784">
        <v>26081</v>
      </c>
      <c r="H27" s="785">
        <f t="shared" si="0"/>
        <v>4.5426835640584397E-2</v>
      </c>
      <c r="I27" s="786">
        <v>8029.3</v>
      </c>
      <c r="J27" s="787">
        <v>11208</v>
      </c>
      <c r="K27" s="788">
        <v>6844.6</v>
      </c>
      <c r="L27" s="789">
        <f t="shared" si="1"/>
        <v>0.26243625627851697</v>
      </c>
      <c r="M27" s="610"/>
      <c r="N27" s="715">
        <v>42095</v>
      </c>
      <c r="O27" s="790">
        <f t="shared" ca="1" si="2"/>
        <v>2.9893394878558084</v>
      </c>
      <c r="P27" s="610"/>
      <c r="Q27" s="645" t="s">
        <v>80</v>
      </c>
      <c r="R27" s="610"/>
      <c r="S27" s="791">
        <f t="shared" ca="1" si="3"/>
        <v>0.23079459281239698</v>
      </c>
      <c r="T27" s="615"/>
      <c r="U27" s="645" t="s">
        <v>592</v>
      </c>
      <c r="V27" s="67"/>
      <c r="W27" s="595"/>
      <c r="X27" s="792" t="str">
        <f t="shared" si="4"/>
        <v>31/03/2018</v>
      </c>
      <c r="Y27" s="595"/>
      <c r="Z27" s="683" t="s">
        <v>551</v>
      </c>
      <c r="AA27" s="595"/>
      <c r="AB27" s="647" t="s">
        <v>931</v>
      </c>
      <c r="AC27" s="663"/>
      <c r="AD27" s="649" t="s">
        <v>536</v>
      </c>
      <c r="AE27" s="649" t="s">
        <v>932</v>
      </c>
      <c r="AF27" s="684" t="s">
        <v>270</v>
      </c>
      <c r="AG27" s="685" t="s">
        <v>933</v>
      </c>
      <c r="AH27" s="649" t="s">
        <v>536</v>
      </c>
      <c r="AI27" s="649" t="s">
        <v>934</v>
      </c>
      <c r="AJ27" s="684" t="s">
        <v>935</v>
      </c>
      <c r="AK27" s="685" t="s">
        <v>897</v>
      </c>
      <c r="AL27" s="649" t="s">
        <v>534</v>
      </c>
      <c r="AM27" s="649" t="s">
        <v>936</v>
      </c>
      <c r="AN27" s="684" t="s">
        <v>937</v>
      </c>
      <c r="AO27" s="686" t="s">
        <v>897</v>
      </c>
      <c r="AQ27" s="802"/>
      <c r="AR27" s="803"/>
      <c r="AS27" s="803"/>
      <c r="AT27" s="803"/>
      <c r="AU27" s="804"/>
      <c r="AV27" s="802"/>
      <c r="AW27" s="803"/>
      <c r="AX27" s="803"/>
      <c r="AY27" s="803"/>
      <c r="AZ27" s="804"/>
      <c r="BA27" s="802"/>
      <c r="BB27" s="803"/>
      <c r="BC27" s="803"/>
      <c r="BD27" s="803"/>
      <c r="BE27" s="804"/>
      <c r="BF27" s="1098"/>
      <c r="BG27" s="802"/>
      <c r="BH27" s="803"/>
      <c r="BI27" s="1099"/>
      <c r="BJ27" s="803"/>
      <c r="BK27" s="804"/>
      <c r="BL27" s="802"/>
      <c r="BM27" s="803"/>
      <c r="BN27" s="1099"/>
      <c r="BO27" s="803"/>
      <c r="BP27" s="804"/>
      <c r="BQ27" s="802"/>
      <c r="BR27" s="803"/>
      <c r="BS27" s="1099"/>
      <c r="BT27" s="803"/>
      <c r="BU27" s="804"/>
      <c r="BV27" s="1100"/>
      <c r="BW27" s="802"/>
      <c r="BX27" s="803"/>
      <c r="BY27" s="1099"/>
      <c r="BZ27" s="803"/>
      <c r="CA27" s="804"/>
      <c r="CB27" s="802"/>
      <c r="CC27" s="803"/>
      <c r="CD27" s="1099"/>
      <c r="CE27" s="803"/>
      <c r="CF27" s="804"/>
      <c r="CG27" s="802"/>
      <c r="CH27" s="803"/>
      <c r="CI27" s="1099"/>
      <c r="CJ27" s="803"/>
      <c r="CK27" s="804"/>
      <c r="CL27" s="803"/>
      <c r="CM27" s="802"/>
      <c r="CN27" s="803"/>
      <c r="CO27" s="1099"/>
      <c r="CP27" s="803"/>
      <c r="CQ27" s="804"/>
      <c r="CR27" s="802"/>
      <c r="CS27" s="803"/>
      <c r="CT27" s="1099"/>
      <c r="CU27" s="803"/>
      <c r="CV27" s="804"/>
      <c r="CW27" s="802"/>
      <c r="CX27" s="803"/>
      <c r="CY27" s="1099"/>
      <c r="CZ27" s="803"/>
      <c r="DA27" s="804"/>
      <c r="DB27" s="600"/>
    </row>
    <row r="28" spans="1:106" s="596" customFormat="1" ht="18" customHeight="1" x14ac:dyDescent="0.25">
      <c r="A28" s="594">
        <v>16</v>
      </c>
      <c r="B28" s="594">
        <v>9</v>
      </c>
      <c r="C28" s="636" t="s">
        <v>1258</v>
      </c>
      <c r="D28" s="637"/>
      <c r="E28" s="603" t="s">
        <v>521</v>
      </c>
      <c r="F28" s="638"/>
      <c r="G28" s="662">
        <v>2403</v>
      </c>
      <c r="H28" s="640">
        <f t="shared" si="0"/>
        <v>4.1854486424724629E-3</v>
      </c>
      <c r="I28" s="641">
        <v>2316</v>
      </c>
      <c r="J28" s="642">
        <v>160</v>
      </c>
      <c r="K28" s="643">
        <v>-73</v>
      </c>
      <c r="L28" s="69">
        <f t="shared" si="1"/>
        <v>-3.0378693300041615E-2</v>
      </c>
      <c r="M28" s="610"/>
      <c r="N28" s="644">
        <v>40483</v>
      </c>
      <c r="O28" s="143">
        <f t="shared" ca="1" si="2"/>
        <v>7.4183976261127604</v>
      </c>
      <c r="P28" s="610"/>
      <c r="Q28" s="703" t="s">
        <v>29</v>
      </c>
      <c r="R28" s="610"/>
      <c r="S28" s="64">
        <f t="shared" ca="1" si="3"/>
        <v>9.2977250247279919</v>
      </c>
      <c r="T28" s="615"/>
      <c r="U28" s="703" t="s">
        <v>591</v>
      </c>
      <c r="V28" s="67">
        <v>12</v>
      </c>
      <c r="W28" s="595"/>
      <c r="X28" s="92">
        <f t="shared" si="4"/>
        <v>43465</v>
      </c>
      <c r="Y28" s="595"/>
      <c r="Z28" s="683" t="s">
        <v>519</v>
      </c>
      <c r="AA28" s="595"/>
      <c r="AB28" s="647" t="s">
        <v>938</v>
      </c>
      <c r="AC28" s="663"/>
      <c r="AD28" s="649"/>
      <c r="AE28" s="649"/>
      <c r="AF28" s="684"/>
      <c r="AG28" s="684" t="s">
        <v>939</v>
      </c>
      <c r="AH28" s="649"/>
      <c r="AI28" s="649"/>
      <c r="AJ28" s="684"/>
      <c r="AK28" s="685" t="s">
        <v>915</v>
      </c>
      <c r="AL28" s="649" t="s">
        <v>536</v>
      </c>
      <c r="AM28" s="649" t="s">
        <v>940</v>
      </c>
      <c r="AN28" s="684" t="s">
        <v>941</v>
      </c>
      <c r="AO28" s="686" t="s">
        <v>942</v>
      </c>
      <c r="AQ28" s="655"/>
      <c r="AR28" s="656"/>
      <c r="AS28" s="659"/>
      <c r="AT28" s="656"/>
      <c r="AU28" s="657"/>
      <c r="AV28" s="655"/>
      <c r="AW28" s="656"/>
      <c r="AX28" s="659"/>
      <c r="AY28" s="656"/>
      <c r="AZ28" s="657"/>
      <c r="BA28" s="655"/>
      <c r="BB28" s="656"/>
      <c r="BC28" s="659"/>
      <c r="BD28" s="656"/>
      <c r="BE28" s="657"/>
      <c r="BF28" s="671"/>
      <c r="BG28" s="655"/>
      <c r="BH28" s="656"/>
      <c r="BI28" s="659"/>
      <c r="BJ28" s="656"/>
      <c r="BK28" s="657"/>
      <c r="BL28" s="655"/>
      <c r="BM28" s="656"/>
      <c r="BN28" s="659"/>
      <c r="BO28" s="656"/>
      <c r="BP28" s="657"/>
      <c r="BQ28" s="655"/>
      <c r="BR28" s="656"/>
      <c r="BS28" s="659"/>
      <c r="BT28" s="656"/>
      <c r="BU28" s="657"/>
      <c r="BV28" s="673"/>
      <c r="BW28" s="655"/>
      <c r="BX28" s="656"/>
      <c r="BY28" s="659"/>
      <c r="BZ28" s="656"/>
      <c r="CA28" s="657"/>
      <c r="CB28" s="655"/>
      <c r="CC28" s="656"/>
      <c r="CD28" s="659"/>
      <c r="CE28" s="656"/>
      <c r="CF28" s="657"/>
      <c r="CG28" s="655"/>
      <c r="CH28" s="656"/>
      <c r="CI28" s="659"/>
      <c r="CJ28" s="656"/>
      <c r="CK28" s="657"/>
      <c r="CL28" s="674"/>
      <c r="CM28" s="655"/>
      <c r="CN28" s="656"/>
      <c r="CO28" s="659"/>
      <c r="CP28" s="656"/>
      <c r="CQ28" s="657"/>
      <c r="CR28" s="655"/>
      <c r="CS28" s="656"/>
      <c r="CT28" s="659"/>
      <c r="CU28" s="656"/>
      <c r="CV28" s="657"/>
      <c r="CW28" s="655"/>
      <c r="CX28" s="656"/>
      <c r="CY28" s="659"/>
      <c r="CZ28" s="656"/>
      <c r="DA28" s="657"/>
      <c r="DB28" s="600"/>
    </row>
    <row r="29" spans="1:106" s="596" customFormat="1" ht="18" customHeight="1" x14ac:dyDescent="0.25">
      <c r="A29" s="594">
        <v>17</v>
      </c>
      <c r="B29" s="594"/>
      <c r="C29" s="636" t="s">
        <v>1259</v>
      </c>
      <c r="D29" s="637"/>
      <c r="E29" s="603" t="s">
        <v>521</v>
      </c>
      <c r="F29" s="638"/>
      <c r="G29" s="662">
        <v>4567</v>
      </c>
      <c r="H29" s="640">
        <f t="shared" si="0"/>
        <v>7.9546167083527838E-3</v>
      </c>
      <c r="I29" s="641">
        <v>2975</v>
      </c>
      <c r="J29" s="642">
        <v>267</v>
      </c>
      <c r="K29" s="643">
        <v>1325</v>
      </c>
      <c r="L29" s="69">
        <f t="shared" si="1"/>
        <v>0.29012480840814542</v>
      </c>
      <c r="M29" s="610"/>
      <c r="N29" s="644">
        <v>40483</v>
      </c>
      <c r="O29" s="143">
        <f t="shared" ca="1" si="2"/>
        <v>7.4183976261127604</v>
      </c>
      <c r="P29" s="610"/>
      <c r="Q29" s="703" t="s">
        <v>29</v>
      </c>
      <c r="R29" s="610"/>
      <c r="S29" s="64">
        <f t="shared" ca="1" si="3"/>
        <v>9.2977250247279919</v>
      </c>
      <c r="T29" s="615"/>
      <c r="U29" s="703" t="s">
        <v>591</v>
      </c>
      <c r="V29" s="67">
        <v>12</v>
      </c>
      <c r="W29" s="595"/>
      <c r="X29" s="92">
        <f t="shared" si="4"/>
        <v>43465</v>
      </c>
      <c r="Y29" s="595"/>
      <c r="Z29" s="683" t="s">
        <v>519</v>
      </c>
      <c r="AA29" s="595"/>
      <c r="AB29" s="647" t="s">
        <v>938</v>
      </c>
      <c r="AC29" s="663"/>
      <c r="AD29" s="649"/>
      <c r="AE29" s="649"/>
      <c r="AF29" s="684"/>
      <c r="AG29" s="684" t="s">
        <v>939</v>
      </c>
      <c r="AH29" s="649"/>
      <c r="AI29" s="649"/>
      <c r="AJ29" s="684"/>
      <c r="AK29" s="685" t="s">
        <v>915</v>
      </c>
      <c r="AL29" s="649" t="s">
        <v>536</v>
      </c>
      <c r="AM29" s="649" t="s">
        <v>940</v>
      </c>
      <c r="AN29" s="684" t="s">
        <v>941</v>
      </c>
      <c r="AO29" s="686" t="s">
        <v>942</v>
      </c>
      <c r="AQ29" s="655"/>
      <c r="AR29" s="656"/>
      <c r="AS29" s="659"/>
      <c r="AT29" s="656"/>
      <c r="AU29" s="657"/>
      <c r="AV29" s="655"/>
      <c r="AW29" s="656"/>
      <c r="AX29" s="659"/>
      <c r="AY29" s="656"/>
      <c r="AZ29" s="657"/>
      <c r="BA29" s="655"/>
      <c r="BB29" s="656"/>
      <c r="BC29" s="659"/>
      <c r="BD29" s="656"/>
      <c r="BE29" s="657"/>
      <c r="BF29" s="671"/>
      <c r="BG29" s="655"/>
      <c r="BH29" s="656"/>
      <c r="BI29" s="659"/>
      <c r="BJ29" s="656"/>
      <c r="BK29" s="657"/>
      <c r="BL29" s="655"/>
      <c r="BM29" s="656"/>
      <c r="BN29" s="659"/>
      <c r="BO29" s="656"/>
      <c r="BP29" s="657"/>
      <c r="BQ29" s="655"/>
      <c r="BR29" s="656"/>
      <c r="BS29" s="659"/>
      <c r="BT29" s="656"/>
      <c r="BU29" s="657"/>
      <c r="BV29" s="673"/>
      <c r="BW29" s="655"/>
      <c r="BX29" s="656"/>
      <c r="BY29" s="659"/>
      <c r="BZ29" s="656"/>
      <c r="CA29" s="657"/>
      <c r="CB29" s="655"/>
      <c r="CC29" s="656"/>
      <c r="CD29" s="659"/>
      <c r="CE29" s="656"/>
      <c r="CF29" s="657"/>
      <c r="CG29" s="655"/>
      <c r="CH29" s="656"/>
      <c r="CI29" s="659"/>
      <c r="CJ29" s="656"/>
      <c r="CK29" s="657"/>
      <c r="CL29" s="674"/>
      <c r="CM29" s="655"/>
      <c r="CN29" s="656"/>
      <c r="CO29" s="659"/>
      <c r="CP29" s="656"/>
      <c r="CQ29" s="657"/>
      <c r="CR29" s="655"/>
      <c r="CS29" s="656"/>
      <c r="CT29" s="659"/>
      <c r="CU29" s="656"/>
      <c r="CV29" s="657"/>
      <c r="CW29" s="655"/>
      <c r="CX29" s="656"/>
      <c r="CY29" s="659"/>
      <c r="CZ29" s="656"/>
      <c r="DA29" s="657"/>
      <c r="DB29" s="600"/>
    </row>
    <row r="30" spans="1:106" s="596" customFormat="1" ht="18" customHeight="1" x14ac:dyDescent="0.25">
      <c r="A30" s="594">
        <v>18</v>
      </c>
      <c r="B30" s="594"/>
      <c r="C30" s="636" t="s">
        <v>1260</v>
      </c>
      <c r="D30" s="637"/>
      <c r="E30" s="603" t="s">
        <v>521</v>
      </c>
      <c r="F30" s="638"/>
      <c r="G30" s="662">
        <v>1862</v>
      </c>
      <c r="H30" s="640">
        <f t="shared" si="0"/>
        <v>3.2431566260023828E-3</v>
      </c>
      <c r="I30" s="641">
        <v>982</v>
      </c>
      <c r="J30" s="642">
        <v>54</v>
      </c>
      <c r="K30" s="643">
        <v>826</v>
      </c>
      <c r="L30" s="69">
        <f t="shared" si="1"/>
        <v>0.44360902255639095</v>
      </c>
      <c r="M30" s="610"/>
      <c r="N30" s="644">
        <v>40483</v>
      </c>
      <c r="O30" s="143">
        <f t="shared" ca="1" si="2"/>
        <v>7.4183976261127604</v>
      </c>
      <c r="P30" s="610"/>
      <c r="Q30" s="703" t="s">
        <v>29</v>
      </c>
      <c r="R30" s="610"/>
      <c r="S30" s="64">
        <f t="shared" ca="1" si="3"/>
        <v>9.2977250247279919</v>
      </c>
      <c r="T30" s="615"/>
      <c r="U30" s="703" t="s">
        <v>591</v>
      </c>
      <c r="V30" s="67">
        <v>12</v>
      </c>
      <c r="W30" s="595"/>
      <c r="X30" s="92">
        <f t="shared" si="4"/>
        <v>43465</v>
      </c>
      <c r="Y30" s="595"/>
      <c r="Z30" s="683" t="s">
        <v>519</v>
      </c>
      <c r="AA30" s="595"/>
      <c r="AB30" s="647" t="s">
        <v>886</v>
      </c>
      <c r="AC30" s="663"/>
      <c r="AD30" s="649" t="s">
        <v>536</v>
      </c>
      <c r="AE30" s="649" t="s">
        <v>943</v>
      </c>
      <c r="AF30" s="684" t="s">
        <v>944</v>
      </c>
      <c r="AG30" s="684" t="s">
        <v>939</v>
      </c>
      <c r="AH30" s="649" t="s">
        <v>536</v>
      </c>
      <c r="AI30" s="649"/>
      <c r="AJ30" s="684" t="s">
        <v>945</v>
      </c>
      <c r="AK30" s="685" t="s">
        <v>915</v>
      </c>
      <c r="AL30" s="649" t="s">
        <v>536</v>
      </c>
      <c r="AM30" s="649" t="s">
        <v>940</v>
      </c>
      <c r="AN30" s="684" t="s">
        <v>941</v>
      </c>
      <c r="AO30" s="686" t="s">
        <v>942</v>
      </c>
      <c r="AQ30" s="655"/>
      <c r="AR30" s="656"/>
      <c r="AS30" s="659"/>
      <c r="AT30" s="656"/>
      <c r="AU30" s="657"/>
      <c r="AV30" s="655"/>
      <c r="AW30" s="656"/>
      <c r="AX30" s="659"/>
      <c r="AY30" s="656"/>
      <c r="AZ30" s="657"/>
      <c r="BA30" s="655"/>
      <c r="BB30" s="656"/>
      <c r="BC30" s="659"/>
      <c r="BD30" s="656"/>
      <c r="BE30" s="657"/>
      <c r="BF30" s="671"/>
      <c r="BG30" s="655"/>
      <c r="BH30" s="656"/>
      <c r="BI30" s="659"/>
      <c r="BJ30" s="656"/>
      <c r="BK30" s="657"/>
      <c r="BL30" s="655"/>
      <c r="BM30" s="656"/>
      <c r="BN30" s="659"/>
      <c r="BO30" s="656"/>
      <c r="BP30" s="657"/>
      <c r="BQ30" s="655"/>
      <c r="BR30" s="656"/>
      <c r="BS30" s="659"/>
      <c r="BT30" s="656"/>
      <c r="BU30" s="657"/>
      <c r="BV30" s="673"/>
      <c r="BW30" s="655"/>
      <c r="BX30" s="656"/>
      <c r="BY30" s="659"/>
      <c r="BZ30" s="656"/>
      <c r="CA30" s="657"/>
      <c r="CB30" s="655"/>
      <c r="CC30" s="656"/>
      <c r="CD30" s="659"/>
      <c r="CE30" s="656"/>
      <c r="CF30" s="657"/>
      <c r="CG30" s="655"/>
      <c r="CH30" s="656"/>
      <c r="CI30" s="659"/>
      <c r="CJ30" s="656"/>
      <c r="CK30" s="657"/>
      <c r="CL30" s="674"/>
      <c r="CM30" s="655"/>
      <c r="CN30" s="656"/>
      <c r="CO30" s="659"/>
      <c r="CP30" s="656"/>
      <c r="CQ30" s="657"/>
      <c r="CR30" s="655"/>
      <c r="CS30" s="656"/>
      <c r="CT30" s="659"/>
      <c r="CU30" s="656"/>
      <c r="CV30" s="657"/>
      <c r="CW30" s="655"/>
      <c r="CX30" s="656"/>
      <c r="CY30" s="659"/>
      <c r="CZ30" s="656"/>
      <c r="DA30" s="657"/>
      <c r="DB30" s="600"/>
    </row>
    <row r="31" spans="1:106" s="596" customFormat="1" ht="18" customHeight="1" x14ac:dyDescent="0.25">
      <c r="A31" s="594">
        <v>19</v>
      </c>
      <c r="B31" s="594"/>
      <c r="C31" s="636" t="s">
        <v>1261</v>
      </c>
      <c r="D31" s="637"/>
      <c r="E31" s="603" t="s">
        <v>521</v>
      </c>
      <c r="F31" s="638"/>
      <c r="G31" s="662">
        <v>4895</v>
      </c>
      <c r="H31" s="640">
        <f t="shared" si="0"/>
        <v>8.5259139013327944E-3</v>
      </c>
      <c r="I31" s="641">
        <v>2616</v>
      </c>
      <c r="J31" s="642">
        <v>257</v>
      </c>
      <c r="K31" s="643">
        <v>2022</v>
      </c>
      <c r="L31" s="69">
        <f t="shared" si="1"/>
        <v>0.41307456588355462</v>
      </c>
      <c r="M31" s="610"/>
      <c r="N31" s="644">
        <v>40483</v>
      </c>
      <c r="O31" s="143">
        <f t="shared" ca="1" si="2"/>
        <v>7.4183976261127604</v>
      </c>
      <c r="P31" s="610"/>
      <c r="Q31" s="703" t="s">
        <v>29</v>
      </c>
      <c r="R31" s="610"/>
      <c r="S31" s="64">
        <f t="shared" ca="1" si="3"/>
        <v>9.2977250247279919</v>
      </c>
      <c r="T31" s="615"/>
      <c r="U31" s="703" t="s">
        <v>591</v>
      </c>
      <c r="V31" s="67">
        <v>12</v>
      </c>
      <c r="W31" s="595"/>
      <c r="X31" s="92">
        <f t="shared" si="4"/>
        <v>43465</v>
      </c>
      <c r="Y31" s="595"/>
      <c r="Z31" s="683" t="s">
        <v>519</v>
      </c>
      <c r="AA31" s="595"/>
      <c r="AB31" s="647" t="s">
        <v>886</v>
      </c>
      <c r="AC31" s="663"/>
      <c r="AD31" s="649" t="s">
        <v>536</v>
      </c>
      <c r="AE31" s="649" t="s">
        <v>946</v>
      </c>
      <c r="AF31" s="684" t="s">
        <v>947</v>
      </c>
      <c r="AG31" s="684" t="s">
        <v>939</v>
      </c>
      <c r="AH31" s="649" t="s">
        <v>536</v>
      </c>
      <c r="AI31" s="649" t="s">
        <v>948</v>
      </c>
      <c r="AJ31" s="684" t="s">
        <v>949</v>
      </c>
      <c r="AK31" s="685" t="s">
        <v>915</v>
      </c>
      <c r="AL31" s="649" t="s">
        <v>536</v>
      </c>
      <c r="AM31" s="649" t="s">
        <v>940</v>
      </c>
      <c r="AN31" s="684" t="s">
        <v>941</v>
      </c>
      <c r="AO31" s="686" t="s">
        <v>942</v>
      </c>
      <c r="AQ31" s="655"/>
      <c r="AR31" s="656"/>
      <c r="AS31" s="659"/>
      <c r="AT31" s="656"/>
      <c r="AU31" s="657"/>
      <c r="AV31" s="655"/>
      <c r="AW31" s="656"/>
      <c r="AX31" s="659"/>
      <c r="AY31" s="656"/>
      <c r="AZ31" s="657"/>
      <c r="BA31" s="655"/>
      <c r="BB31" s="656"/>
      <c r="BC31" s="659"/>
      <c r="BD31" s="656"/>
      <c r="BE31" s="657"/>
      <c r="BF31" s="671"/>
      <c r="BG31" s="655"/>
      <c r="BH31" s="656"/>
      <c r="BI31" s="659"/>
      <c r="BJ31" s="656"/>
      <c r="BK31" s="657"/>
      <c r="BL31" s="655"/>
      <c r="BM31" s="656"/>
      <c r="BN31" s="659"/>
      <c r="BO31" s="656"/>
      <c r="BP31" s="657"/>
      <c r="BQ31" s="655"/>
      <c r="BR31" s="656"/>
      <c r="BS31" s="659"/>
      <c r="BT31" s="656"/>
      <c r="BU31" s="657"/>
      <c r="BV31" s="673"/>
      <c r="BW31" s="655"/>
      <c r="BX31" s="656"/>
      <c r="BY31" s="659"/>
      <c r="BZ31" s="656"/>
      <c r="CA31" s="657"/>
      <c r="CB31" s="655"/>
      <c r="CC31" s="656"/>
      <c r="CD31" s="659"/>
      <c r="CE31" s="656"/>
      <c r="CF31" s="657"/>
      <c r="CG31" s="655"/>
      <c r="CH31" s="656"/>
      <c r="CI31" s="659"/>
      <c r="CJ31" s="656"/>
      <c r="CK31" s="657"/>
      <c r="CL31" s="674"/>
      <c r="CM31" s="655"/>
      <c r="CN31" s="656"/>
      <c r="CO31" s="659"/>
      <c r="CP31" s="656"/>
      <c r="CQ31" s="657"/>
      <c r="CR31" s="655"/>
      <c r="CS31" s="656"/>
      <c r="CT31" s="659"/>
      <c r="CU31" s="656"/>
      <c r="CV31" s="657"/>
      <c r="CW31" s="655"/>
      <c r="CX31" s="656"/>
      <c r="CY31" s="659"/>
      <c r="CZ31" s="656"/>
      <c r="DA31" s="657"/>
      <c r="DB31" s="600"/>
    </row>
    <row r="32" spans="1:106" s="596" customFormat="1" ht="18" customHeight="1" x14ac:dyDescent="0.25">
      <c r="A32" s="594">
        <v>20</v>
      </c>
      <c r="B32" s="594"/>
      <c r="C32" s="636" t="s">
        <v>1262</v>
      </c>
      <c r="D32" s="637"/>
      <c r="E32" s="603" t="s">
        <v>521</v>
      </c>
      <c r="F32" s="638"/>
      <c r="G32" s="662">
        <v>6067</v>
      </c>
      <c r="H32" s="640">
        <f t="shared" si="0"/>
        <v>1.0567256310395519E-2</v>
      </c>
      <c r="I32" s="641">
        <v>3950</v>
      </c>
      <c r="J32" s="642">
        <v>339</v>
      </c>
      <c r="K32" s="643">
        <v>1779</v>
      </c>
      <c r="L32" s="69">
        <f t="shared" si="1"/>
        <v>0.29322564694247572</v>
      </c>
      <c r="M32" s="610"/>
      <c r="N32" s="644">
        <v>40483</v>
      </c>
      <c r="O32" s="143">
        <f t="shared" ca="1" si="2"/>
        <v>7.4183976261127604</v>
      </c>
      <c r="P32" s="610"/>
      <c r="Q32" s="703" t="s">
        <v>29</v>
      </c>
      <c r="R32" s="610"/>
      <c r="S32" s="64">
        <f t="shared" ca="1" si="3"/>
        <v>9.2977250247279919</v>
      </c>
      <c r="T32" s="615"/>
      <c r="U32" s="703" t="s">
        <v>591</v>
      </c>
      <c r="V32" s="67">
        <v>12</v>
      </c>
      <c r="W32" s="595"/>
      <c r="X32" s="92">
        <f t="shared" si="4"/>
        <v>43465</v>
      </c>
      <c r="Y32" s="595"/>
      <c r="Z32" s="683" t="s">
        <v>519</v>
      </c>
      <c r="AA32" s="595"/>
      <c r="AB32" s="647" t="s">
        <v>886</v>
      </c>
      <c r="AC32" s="663"/>
      <c r="AD32" s="649" t="s">
        <v>536</v>
      </c>
      <c r="AE32" s="649"/>
      <c r="AF32" s="684"/>
      <c r="AG32" s="684" t="s">
        <v>939</v>
      </c>
      <c r="AH32" s="649" t="s">
        <v>536</v>
      </c>
      <c r="AI32" s="649" t="s">
        <v>950</v>
      </c>
      <c r="AJ32" s="684" t="s">
        <v>951</v>
      </c>
      <c r="AK32" s="685" t="s">
        <v>915</v>
      </c>
      <c r="AL32" s="649" t="s">
        <v>536</v>
      </c>
      <c r="AM32" s="649" t="s">
        <v>940</v>
      </c>
      <c r="AN32" s="684" t="s">
        <v>941</v>
      </c>
      <c r="AO32" s="686" t="s">
        <v>942</v>
      </c>
      <c r="AQ32" s="655"/>
      <c r="AR32" s="656"/>
      <c r="AS32" s="659"/>
      <c r="AT32" s="656"/>
      <c r="AU32" s="657"/>
      <c r="AV32" s="655"/>
      <c r="AW32" s="656"/>
      <c r="AX32" s="659"/>
      <c r="AY32" s="656"/>
      <c r="AZ32" s="657"/>
      <c r="BA32" s="655"/>
      <c r="BB32" s="656"/>
      <c r="BC32" s="659"/>
      <c r="BD32" s="656"/>
      <c r="BE32" s="657"/>
      <c r="BF32" s="671"/>
      <c r="BG32" s="655"/>
      <c r="BH32" s="656"/>
      <c r="BI32" s="659"/>
      <c r="BJ32" s="656"/>
      <c r="BK32" s="657"/>
      <c r="BL32" s="655"/>
      <c r="BM32" s="656"/>
      <c r="BN32" s="659"/>
      <c r="BO32" s="656"/>
      <c r="BP32" s="657"/>
      <c r="BQ32" s="655"/>
      <c r="BR32" s="656"/>
      <c r="BS32" s="659"/>
      <c r="BT32" s="656"/>
      <c r="BU32" s="657"/>
      <c r="BV32" s="673"/>
      <c r="BW32" s="655"/>
      <c r="BX32" s="656"/>
      <c r="BY32" s="659"/>
      <c r="BZ32" s="656"/>
      <c r="CA32" s="657"/>
      <c r="CB32" s="655"/>
      <c r="CC32" s="656"/>
      <c r="CD32" s="659"/>
      <c r="CE32" s="656"/>
      <c r="CF32" s="657"/>
      <c r="CG32" s="655"/>
      <c r="CH32" s="656"/>
      <c r="CI32" s="659"/>
      <c r="CJ32" s="656"/>
      <c r="CK32" s="657"/>
      <c r="CL32" s="674"/>
      <c r="CM32" s="655"/>
      <c r="CN32" s="656"/>
      <c r="CO32" s="659"/>
      <c r="CP32" s="656"/>
      <c r="CQ32" s="657"/>
      <c r="CR32" s="655"/>
      <c r="CS32" s="656"/>
      <c r="CT32" s="659"/>
      <c r="CU32" s="656"/>
      <c r="CV32" s="657"/>
      <c r="CW32" s="655"/>
      <c r="CX32" s="656"/>
      <c r="CY32" s="659"/>
      <c r="CZ32" s="656"/>
      <c r="DA32" s="657"/>
      <c r="DB32" s="600"/>
    </row>
    <row r="33" spans="1:106" s="596" customFormat="1" ht="18" customHeight="1" x14ac:dyDescent="0.25">
      <c r="A33" s="594">
        <v>21</v>
      </c>
      <c r="B33" s="594"/>
      <c r="C33" s="636" t="s">
        <v>1263</v>
      </c>
      <c r="D33" s="637"/>
      <c r="E33" s="603" t="s">
        <v>521</v>
      </c>
      <c r="F33" s="638"/>
      <c r="G33" s="662">
        <v>1609</v>
      </c>
      <c r="H33" s="640">
        <f t="shared" si="0"/>
        <v>2.802491413124508E-3</v>
      </c>
      <c r="I33" s="641">
        <v>1371</v>
      </c>
      <c r="J33" s="642">
        <v>78</v>
      </c>
      <c r="K33" s="643">
        <v>161</v>
      </c>
      <c r="L33" s="69">
        <f t="shared" si="1"/>
        <v>0.10006215040397763</v>
      </c>
      <c r="M33" s="610"/>
      <c r="N33" s="644">
        <v>40483</v>
      </c>
      <c r="O33" s="143">
        <f t="shared" ca="1" si="2"/>
        <v>7.4183976261127604</v>
      </c>
      <c r="P33" s="610"/>
      <c r="Q33" s="703" t="s">
        <v>29</v>
      </c>
      <c r="R33" s="610"/>
      <c r="S33" s="64">
        <f t="shared" ca="1" si="3"/>
        <v>9.2977250247279919</v>
      </c>
      <c r="T33" s="615"/>
      <c r="U33" s="703" t="s">
        <v>591</v>
      </c>
      <c r="V33" s="67">
        <v>12</v>
      </c>
      <c r="W33" s="595"/>
      <c r="X33" s="92">
        <f t="shared" si="4"/>
        <v>43465</v>
      </c>
      <c r="Y33" s="595"/>
      <c r="Z33" s="683" t="s">
        <v>519</v>
      </c>
      <c r="AA33" s="595"/>
      <c r="AB33" s="647" t="s">
        <v>886</v>
      </c>
      <c r="AC33" s="663"/>
      <c r="AD33" s="649" t="s">
        <v>536</v>
      </c>
      <c r="AE33" s="649"/>
      <c r="AF33" s="684" t="s">
        <v>944</v>
      </c>
      <c r="AG33" s="684" t="s">
        <v>939</v>
      </c>
      <c r="AH33" s="649" t="s">
        <v>536</v>
      </c>
      <c r="AI33" s="649" t="s">
        <v>494</v>
      </c>
      <c r="AJ33" s="684" t="s">
        <v>952</v>
      </c>
      <c r="AK33" s="685" t="s">
        <v>915</v>
      </c>
      <c r="AL33" s="649" t="s">
        <v>536</v>
      </c>
      <c r="AM33" s="649" t="s">
        <v>940</v>
      </c>
      <c r="AN33" s="684" t="s">
        <v>941</v>
      </c>
      <c r="AO33" s="686" t="s">
        <v>942</v>
      </c>
      <c r="AQ33" s="655"/>
      <c r="AR33" s="656"/>
      <c r="AS33" s="659"/>
      <c r="AT33" s="656"/>
      <c r="AU33" s="657"/>
      <c r="AV33" s="655"/>
      <c r="AW33" s="656"/>
      <c r="AX33" s="659"/>
      <c r="AY33" s="656"/>
      <c r="AZ33" s="657"/>
      <c r="BA33" s="655"/>
      <c r="BB33" s="656"/>
      <c r="BC33" s="659"/>
      <c r="BD33" s="656"/>
      <c r="BE33" s="657"/>
      <c r="BF33" s="671"/>
      <c r="BG33" s="655"/>
      <c r="BH33" s="656"/>
      <c r="BI33" s="659"/>
      <c r="BJ33" s="656"/>
      <c r="BK33" s="657"/>
      <c r="BL33" s="655"/>
      <c r="BM33" s="656"/>
      <c r="BN33" s="659"/>
      <c r="BO33" s="656"/>
      <c r="BP33" s="657"/>
      <c r="BQ33" s="655"/>
      <c r="BR33" s="656"/>
      <c r="BS33" s="659"/>
      <c r="BT33" s="656"/>
      <c r="BU33" s="657"/>
      <c r="BV33" s="673"/>
      <c r="BW33" s="655"/>
      <c r="BX33" s="656"/>
      <c r="BY33" s="659"/>
      <c r="BZ33" s="656"/>
      <c r="CA33" s="657"/>
      <c r="CB33" s="655"/>
      <c r="CC33" s="656"/>
      <c r="CD33" s="659"/>
      <c r="CE33" s="656"/>
      <c r="CF33" s="657"/>
      <c r="CG33" s="655"/>
      <c r="CH33" s="656"/>
      <c r="CI33" s="659"/>
      <c r="CJ33" s="656"/>
      <c r="CK33" s="657"/>
      <c r="CL33" s="674"/>
      <c r="CM33" s="655"/>
      <c r="CN33" s="656"/>
      <c r="CO33" s="659"/>
      <c r="CP33" s="656"/>
      <c r="CQ33" s="657"/>
      <c r="CR33" s="655"/>
      <c r="CS33" s="656"/>
      <c r="CT33" s="659"/>
      <c r="CU33" s="656"/>
      <c r="CV33" s="657"/>
      <c r="CW33" s="655"/>
      <c r="CX33" s="656"/>
      <c r="CY33" s="659"/>
      <c r="CZ33" s="656"/>
      <c r="DA33" s="657"/>
      <c r="DB33" s="600"/>
    </row>
    <row r="34" spans="1:106" s="596" customFormat="1" ht="18" customHeight="1" x14ac:dyDescent="0.25">
      <c r="A34" s="594">
        <v>22</v>
      </c>
      <c r="B34" s="594"/>
      <c r="C34" s="636" t="s">
        <v>1264</v>
      </c>
      <c r="D34" s="637"/>
      <c r="E34" s="603" t="s">
        <v>521</v>
      </c>
      <c r="F34" s="638"/>
      <c r="G34" s="662">
        <v>3757</v>
      </c>
      <c r="H34" s="640">
        <f t="shared" si="0"/>
        <v>6.5437913232497058E-3</v>
      </c>
      <c r="I34" s="641">
        <v>2405</v>
      </c>
      <c r="J34" s="642">
        <v>0</v>
      </c>
      <c r="K34" s="643">
        <v>1352</v>
      </c>
      <c r="L34" s="69">
        <f t="shared" si="1"/>
        <v>0.35986159169550175</v>
      </c>
      <c r="M34" s="610"/>
      <c r="N34" s="644">
        <v>40483</v>
      </c>
      <c r="O34" s="143">
        <f t="shared" ca="1" si="2"/>
        <v>7.4183976261127604</v>
      </c>
      <c r="P34" s="610"/>
      <c r="Q34" s="703" t="s">
        <v>29</v>
      </c>
      <c r="R34" s="610"/>
      <c r="S34" s="64">
        <f t="shared" ca="1" si="3"/>
        <v>9.2977250247279919</v>
      </c>
      <c r="T34" s="615"/>
      <c r="U34" s="703" t="s">
        <v>591</v>
      </c>
      <c r="V34" s="67">
        <v>12</v>
      </c>
      <c r="W34" s="595"/>
      <c r="X34" s="92">
        <f t="shared" si="4"/>
        <v>43465</v>
      </c>
      <c r="Y34" s="595"/>
      <c r="Z34" s="683" t="s">
        <v>519</v>
      </c>
      <c r="AA34" s="595"/>
      <c r="AB34" s="647" t="s">
        <v>886</v>
      </c>
      <c r="AC34" s="663"/>
      <c r="AD34" s="649" t="s">
        <v>536</v>
      </c>
      <c r="AE34" s="649" t="s">
        <v>953</v>
      </c>
      <c r="AF34" s="684" t="s">
        <v>954</v>
      </c>
      <c r="AG34" s="684" t="s">
        <v>939</v>
      </c>
      <c r="AH34" s="649" t="s">
        <v>534</v>
      </c>
      <c r="AI34" s="649" t="s">
        <v>955</v>
      </c>
      <c r="AJ34" s="684" t="s">
        <v>956</v>
      </c>
      <c r="AK34" s="685" t="s">
        <v>915</v>
      </c>
      <c r="AL34" s="649" t="s">
        <v>536</v>
      </c>
      <c r="AM34" s="649" t="s">
        <v>940</v>
      </c>
      <c r="AN34" s="684" t="s">
        <v>941</v>
      </c>
      <c r="AO34" s="686" t="s">
        <v>942</v>
      </c>
      <c r="AQ34" s="655"/>
      <c r="AR34" s="656"/>
      <c r="AS34" s="659"/>
      <c r="AT34" s="656"/>
      <c r="AU34" s="657"/>
      <c r="AV34" s="655"/>
      <c r="AW34" s="656"/>
      <c r="AX34" s="659"/>
      <c r="AY34" s="656"/>
      <c r="AZ34" s="657"/>
      <c r="BA34" s="655"/>
      <c r="BB34" s="656"/>
      <c r="BC34" s="659"/>
      <c r="BD34" s="656"/>
      <c r="BE34" s="657"/>
      <c r="BF34" s="671"/>
      <c r="BG34" s="655"/>
      <c r="BH34" s="656"/>
      <c r="BI34" s="659"/>
      <c r="BJ34" s="656"/>
      <c r="BK34" s="657"/>
      <c r="BL34" s="655"/>
      <c r="BM34" s="656"/>
      <c r="BN34" s="659"/>
      <c r="BO34" s="656"/>
      <c r="BP34" s="657"/>
      <c r="BQ34" s="655"/>
      <c r="BR34" s="656"/>
      <c r="BS34" s="659"/>
      <c r="BT34" s="656"/>
      <c r="BU34" s="657"/>
      <c r="BV34" s="673"/>
      <c r="BW34" s="655"/>
      <c r="BX34" s="656"/>
      <c r="BY34" s="659"/>
      <c r="BZ34" s="656"/>
      <c r="CA34" s="657"/>
      <c r="CB34" s="655"/>
      <c r="CC34" s="656"/>
      <c r="CD34" s="659"/>
      <c r="CE34" s="656"/>
      <c r="CF34" s="657"/>
      <c r="CG34" s="655"/>
      <c r="CH34" s="656"/>
      <c r="CI34" s="659"/>
      <c r="CJ34" s="656"/>
      <c r="CK34" s="657"/>
      <c r="CL34" s="674"/>
      <c r="CM34" s="655"/>
      <c r="CN34" s="656"/>
      <c r="CO34" s="659"/>
      <c r="CP34" s="656"/>
      <c r="CQ34" s="657"/>
      <c r="CR34" s="655"/>
      <c r="CS34" s="656"/>
      <c r="CT34" s="659"/>
      <c r="CU34" s="656"/>
      <c r="CV34" s="657"/>
      <c r="CW34" s="655"/>
      <c r="CX34" s="656"/>
      <c r="CY34" s="659"/>
      <c r="CZ34" s="656"/>
      <c r="DA34" s="657"/>
      <c r="DB34" s="600"/>
    </row>
    <row r="35" spans="1:106" s="596" customFormat="1" ht="18" customHeight="1" x14ac:dyDescent="0.25">
      <c r="A35" s="594">
        <v>23</v>
      </c>
      <c r="B35" s="594">
        <v>10</v>
      </c>
      <c r="C35" s="696" t="s">
        <v>1265</v>
      </c>
      <c r="D35" s="697"/>
      <c r="E35" s="603" t="s">
        <v>580</v>
      </c>
      <c r="F35" s="698"/>
      <c r="G35" s="699">
        <v>24284</v>
      </c>
      <c r="H35" s="640">
        <f t="shared" si="0"/>
        <v>4.22968933973372E-2</v>
      </c>
      <c r="I35" s="700">
        <v>17499</v>
      </c>
      <c r="J35" s="701">
        <v>1239</v>
      </c>
      <c r="K35" s="701">
        <v>5546</v>
      </c>
      <c r="L35" s="69">
        <f t="shared" si="1"/>
        <v>0.22838082688189754</v>
      </c>
      <c r="M35" s="610"/>
      <c r="N35" s="702">
        <v>40725</v>
      </c>
      <c r="O35" s="143">
        <f t="shared" ca="1" si="2"/>
        <v>6.75348939443895</v>
      </c>
      <c r="P35" s="610"/>
      <c r="Q35" s="703" t="s">
        <v>29</v>
      </c>
      <c r="R35" s="610"/>
      <c r="S35" s="64">
        <f t="shared" ca="1" si="3"/>
        <v>9.2977250247279919</v>
      </c>
      <c r="T35" s="615"/>
      <c r="U35" s="703" t="s">
        <v>591</v>
      </c>
      <c r="V35" s="67">
        <v>12</v>
      </c>
      <c r="W35" s="704"/>
      <c r="X35" s="92">
        <f t="shared" si="4"/>
        <v>43465</v>
      </c>
      <c r="Y35" s="704"/>
      <c r="Z35" s="705" t="s">
        <v>135</v>
      </c>
      <c r="AA35" s="704"/>
      <c r="AB35" s="647" t="s">
        <v>894</v>
      </c>
      <c r="AC35" s="648"/>
      <c r="AD35" s="706" t="s">
        <v>536</v>
      </c>
      <c r="AE35" s="706" t="s">
        <v>922</v>
      </c>
      <c r="AF35" s="650" t="s">
        <v>923</v>
      </c>
      <c r="AG35" s="651" t="s">
        <v>924</v>
      </c>
      <c r="AH35" s="706" t="s">
        <v>536</v>
      </c>
      <c r="AI35" s="706" t="s">
        <v>925</v>
      </c>
      <c r="AJ35" s="650" t="s">
        <v>926</v>
      </c>
      <c r="AK35" s="651" t="s">
        <v>927</v>
      </c>
      <c r="AL35" s="706" t="s">
        <v>534</v>
      </c>
      <c r="AM35" s="706" t="s">
        <v>928</v>
      </c>
      <c r="AN35" s="650" t="s">
        <v>929</v>
      </c>
      <c r="AO35" s="667" t="s">
        <v>930</v>
      </c>
      <c r="AQ35" s="668"/>
      <c r="AR35" s="669"/>
      <c r="AS35" s="669"/>
      <c r="AT35" s="669"/>
      <c r="AU35" s="707"/>
      <c r="AV35" s="668"/>
      <c r="AW35" s="669"/>
      <c r="AX35" s="669"/>
      <c r="AY35" s="669"/>
      <c r="AZ35" s="707"/>
      <c r="BA35" s="668"/>
      <c r="BB35" s="669"/>
      <c r="BC35" s="669"/>
      <c r="BD35" s="669"/>
      <c r="BE35" s="707"/>
      <c r="BF35" s="671"/>
      <c r="BG35" s="668"/>
      <c r="BH35" s="669"/>
      <c r="BI35" s="672"/>
      <c r="BJ35" s="669"/>
      <c r="BK35" s="707"/>
      <c r="BL35" s="668"/>
      <c r="BM35" s="669"/>
      <c r="BN35" s="669"/>
      <c r="BO35" s="669"/>
      <c r="BP35" s="707"/>
      <c r="BQ35" s="668"/>
      <c r="BR35" s="669"/>
      <c r="BS35" s="669"/>
      <c r="BT35" s="669"/>
      <c r="BU35" s="707"/>
      <c r="BV35" s="673"/>
      <c r="BW35" s="668"/>
      <c r="BX35" s="669"/>
      <c r="BY35" s="669"/>
      <c r="BZ35" s="669"/>
      <c r="CA35" s="707"/>
      <c r="CB35" s="668"/>
      <c r="CC35" s="669"/>
      <c r="CD35" s="669"/>
      <c r="CE35" s="669"/>
      <c r="CF35" s="707"/>
      <c r="CG35" s="668"/>
      <c r="CH35" s="669"/>
      <c r="CI35" s="669"/>
      <c r="CJ35" s="669"/>
      <c r="CK35" s="707"/>
      <c r="CL35" s="674"/>
      <c r="CM35" s="668"/>
      <c r="CN35" s="669"/>
      <c r="CO35" s="669"/>
      <c r="CP35" s="669"/>
      <c r="CQ35" s="707"/>
      <c r="CR35" s="668"/>
      <c r="CS35" s="669"/>
      <c r="CT35" s="669"/>
      <c r="CU35" s="669"/>
      <c r="CV35" s="707"/>
      <c r="CW35" s="668"/>
      <c r="CX35" s="669"/>
      <c r="CY35" s="669"/>
      <c r="CZ35" s="669"/>
      <c r="DA35" s="657"/>
      <c r="DB35" s="600"/>
    </row>
    <row r="36" spans="1:106" s="725" customFormat="1" ht="18" customHeight="1" x14ac:dyDescent="0.25">
      <c r="A36" s="594">
        <v>24</v>
      </c>
      <c r="B36" s="594">
        <v>11</v>
      </c>
      <c r="C36" s="675" t="s">
        <v>1266</v>
      </c>
      <c r="D36" s="676"/>
      <c r="E36" s="677" t="s">
        <v>548</v>
      </c>
      <c r="F36" s="678" t="s">
        <v>527</v>
      </c>
      <c r="G36" s="784">
        <v>20126</v>
      </c>
      <c r="H36" s="785">
        <f t="shared" si="0"/>
        <v>3.5054656420474735E-2</v>
      </c>
      <c r="I36" s="786">
        <v>14443</v>
      </c>
      <c r="J36" s="787">
        <v>1745.4</v>
      </c>
      <c r="K36" s="788">
        <v>3937.6</v>
      </c>
      <c r="L36" s="789">
        <f t="shared" si="1"/>
        <v>0.19564742124614926</v>
      </c>
      <c r="M36" s="610"/>
      <c r="N36" s="715">
        <v>41395</v>
      </c>
      <c r="O36" s="790">
        <f t="shared" ca="1" si="2"/>
        <v>4.91262776129245</v>
      </c>
      <c r="P36" s="610"/>
      <c r="Q36" s="715" t="s">
        <v>957</v>
      </c>
      <c r="R36" s="610"/>
      <c r="S36" s="791">
        <f t="shared" ca="1" si="3"/>
        <v>1.2199142762940984</v>
      </c>
      <c r="T36" s="610"/>
      <c r="U36" s="716" t="s">
        <v>591</v>
      </c>
      <c r="V36" s="67">
        <v>12</v>
      </c>
      <c r="W36" s="610"/>
      <c r="X36" s="792">
        <f t="shared" si="4"/>
        <v>43220</v>
      </c>
      <c r="Y36" s="610"/>
      <c r="Z36" s="793" t="s">
        <v>551</v>
      </c>
      <c r="AA36" s="610"/>
      <c r="AB36" s="717" t="s">
        <v>931</v>
      </c>
      <c r="AC36" s="718"/>
      <c r="AD36" s="649" t="s">
        <v>534</v>
      </c>
      <c r="AE36" s="649" t="s">
        <v>958</v>
      </c>
      <c r="AF36" s="794" t="s">
        <v>959</v>
      </c>
      <c r="AG36" s="795" t="s">
        <v>915</v>
      </c>
      <c r="AH36" s="721"/>
      <c r="AI36" s="722"/>
      <c r="AJ36" s="796"/>
      <c r="AK36" s="797"/>
      <c r="AL36" s="722"/>
      <c r="AM36" s="722"/>
      <c r="AN36" s="796"/>
      <c r="AO36" s="798"/>
      <c r="AP36" s="799"/>
      <c r="AQ36" s="688"/>
      <c r="AR36" s="689"/>
      <c r="AS36" s="689"/>
      <c r="AT36" s="689"/>
      <c r="AU36" s="690"/>
      <c r="AV36" s="688"/>
      <c r="AW36" s="689"/>
      <c r="AX36" s="689"/>
      <c r="AY36" s="689"/>
      <c r="AZ36" s="690"/>
      <c r="BA36" s="800"/>
      <c r="BB36" s="689"/>
      <c r="BC36" s="689"/>
      <c r="BD36" s="689"/>
      <c r="BE36" s="689"/>
      <c r="BF36" s="689"/>
      <c r="BG36" s="689"/>
      <c r="BH36" s="689"/>
      <c r="BI36" s="689"/>
      <c r="BJ36" s="689"/>
      <c r="BK36" s="801"/>
      <c r="BL36" s="802"/>
      <c r="BM36" s="803"/>
      <c r="BN36" s="803"/>
      <c r="BO36" s="803"/>
      <c r="BP36" s="804"/>
      <c r="BQ36" s="802"/>
      <c r="BR36" s="803"/>
      <c r="BS36" s="803"/>
      <c r="BT36" s="804"/>
      <c r="BU36" s="803"/>
      <c r="BV36" s="805"/>
      <c r="BW36" s="803"/>
      <c r="BX36" s="803"/>
      <c r="BY36" s="803"/>
      <c r="BZ36" s="803"/>
      <c r="CA36" s="803"/>
      <c r="CB36" s="803"/>
      <c r="CC36" s="803"/>
      <c r="CD36" s="803"/>
      <c r="CE36" s="803"/>
      <c r="CF36" s="803"/>
      <c r="CG36" s="803"/>
      <c r="CH36" s="803"/>
      <c r="CI36" s="803"/>
      <c r="CJ36" s="803"/>
      <c r="CK36" s="803"/>
      <c r="CL36" s="689"/>
      <c r="CM36" s="669"/>
      <c r="CN36" s="669"/>
      <c r="CO36" s="669"/>
      <c r="CP36" s="669"/>
      <c r="CQ36" s="669"/>
      <c r="CR36" s="669"/>
      <c r="CS36" s="669"/>
      <c r="CT36" s="656"/>
      <c r="CU36" s="656"/>
      <c r="CV36" s="656"/>
      <c r="CW36" s="656"/>
      <c r="CX36" s="656"/>
      <c r="CY36" s="656"/>
      <c r="CZ36" s="656"/>
      <c r="DA36" s="657"/>
      <c r="DB36" s="728"/>
    </row>
    <row r="37" spans="1:106" s="596" customFormat="1" ht="18" customHeight="1" x14ac:dyDescent="0.25">
      <c r="A37" s="594">
        <v>25</v>
      </c>
      <c r="B37" s="594">
        <v>12</v>
      </c>
      <c r="C37" s="708" t="s">
        <v>1267</v>
      </c>
      <c r="D37" s="709"/>
      <c r="E37" s="677" t="s">
        <v>548</v>
      </c>
      <c r="F37" s="678"/>
      <c r="G37" s="639">
        <v>15899</v>
      </c>
      <c r="H37" s="640">
        <f t="shared" si="0"/>
        <v>2.7692238021918305E-2</v>
      </c>
      <c r="I37" s="641">
        <v>13056.1</v>
      </c>
      <c r="J37" s="642">
        <v>6320.5</v>
      </c>
      <c r="K37" s="643">
        <v>3477.4</v>
      </c>
      <c r="L37" s="69">
        <f t="shared" si="1"/>
        <v>0.21871815837474057</v>
      </c>
      <c r="M37" s="610"/>
      <c r="N37" s="644">
        <v>42552</v>
      </c>
      <c r="O37" s="143">
        <f t="shared" ca="1" si="2"/>
        <v>1.7337070007693154</v>
      </c>
      <c r="P37" s="610"/>
      <c r="Q37" s="703" t="s">
        <v>33</v>
      </c>
      <c r="R37" s="610"/>
      <c r="S37" s="64">
        <f t="shared" ca="1" si="3"/>
        <v>3.2311242993735578</v>
      </c>
      <c r="T37" s="615"/>
      <c r="U37" s="703" t="s">
        <v>591</v>
      </c>
      <c r="V37" s="67">
        <v>12</v>
      </c>
      <c r="W37" s="595"/>
      <c r="X37" s="92">
        <f t="shared" si="4"/>
        <v>43281</v>
      </c>
      <c r="Y37" s="595"/>
      <c r="Z37" s="646" t="s">
        <v>519</v>
      </c>
      <c r="AA37" s="595"/>
      <c r="AB37" s="647" t="s">
        <v>960</v>
      </c>
      <c r="AC37" s="663"/>
      <c r="AD37" s="649" t="s">
        <v>534</v>
      </c>
      <c r="AE37" s="649" t="s">
        <v>961</v>
      </c>
      <c r="AF37" s="650" t="s">
        <v>962</v>
      </c>
      <c r="AG37" s="651" t="s">
        <v>963</v>
      </c>
      <c r="AH37" s="649" t="s">
        <v>534</v>
      </c>
      <c r="AI37" s="649" t="s">
        <v>964</v>
      </c>
      <c r="AJ37" s="650" t="s">
        <v>965</v>
      </c>
      <c r="AK37" s="651" t="s">
        <v>966</v>
      </c>
      <c r="AL37" s="649" t="s">
        <v>534</v>
      </c>
      <c r="AM37" s="649" t="s">
        <v>967</v>
      </c>
      <c r="AN37" s="684" t="s">
        <v>968</v>
      </c>
      <c r="AO37" s="686" t="s">
        <v>969</v>
      </c>
      <c r="AQ37" s="655"/>
      <c r="AR37" s="656"/>
      <c r="AS37" s="656"/>
      <c r="AT37" s="656"/>
      <c r="AU37" s="657"/>
      <c r="AV37" s="655"/>
      <c r="AW37" s="656"/>
      <c r="AX37" s="656"/>
      <c r="AY37" s="656"/>
      <c r="AZ37" s="657"/>
      <c r="BA37" s="655"/>
      <c r="BB37" s="656"/>
      <c r="BC37" s="656"/>
      <c r="BD37" s="656"/>
      <c r="BE37" s="657"/>
      <c r="BF37" s="671"/>
      <c r="BG37" s="655"/>
      <c r="BH37" s="656"/>
      <c r="BI37" s="659"/>
      <c r="BJ37" s="656"/>
      <c r="BK37" s="657"/>
      <c r="BL37" s="655"/>
      <c r="BM37" s="656"/>
      <c r="BN37" s="659"/>
      <c r="BO37" s="656"/>
      <c r="BP37" s="657"/>
      <c r="BQ37" s="655"/>
      <c r="BR37" s="656"/>
      <c r="BS37" s="659"/>
      <c r="BT37" s="656"/>
      <c r="BU37" s="657"/>
      <c r="BV37" s="673"/>
      <c r="BW37" s="655"/>
      <c r="BX37" s="656"/>
      <c r="BY37" s="659"/>
      <c r="BZ37" s="656"/>
      <c r="CA37" s="657"/>
      <c r="CB37" s="655"/>
      <c r="CC37" s="656"/>
      <c r="CD37" s="659"/>
      <c r="CE37" s="656"/>
      <c r="CF37" s="657"/>
      <c r="CG37" s="655"/>
      <c r="CH37" s="656"/>
      <c r="CI37" s="659"/>
      <c r="CJ37" s="656"/>
      <c r="CK37" s="657"/>
      <c r="CL37" s="674"/>
      <c r="CM37" s="655"/>
      <c r="CN37" s="656"/>
      <c r="CO37" s="659"/>
      <c r="CP37" s="656"/>
      <c r="CQ37" s="657"/>
      <c r="CR37" s="655"/>
      <c r="CS37" s="656"/>
      <c r="CT37" s="659"/>
      <c r="CU37" s="656"/>
      <c r="CV37" s="657"/>
      <c r="CW37" s="655"/>
      <c r="CX37" s="656"/>
      <c r="CY37" s="659"/>
      <c r="CZ37" s="656"/>
      <c r="DA37" s="657"/>
      <c r="DB37" s="600"/>
    </row>
    <row r="38" spans="1:106" s="596" customFormat="1" ht="18" customHeight="1" x14ac:dyDescent="0.25">
      <c r="A38" s="594">
        <v>26</v>
      </c>
      <c r="B38" s="594">
        <v>13</v>
      </c>
      <c r="C38" s="636" t="s">
        <v>1268</v>
      </c>
      <c r="D38" s="637"/>
      <c r="E38" s="603" t="s">
        <v>580</v>
      </c>
      <c r="F38" s="638"/>
      <c r="G38" s="662">
        <v>6178</v>
      </c>
      <c r="H38" s="640">
        <f t="shared" si="0"/>
        <v>1.0760591640946681E-2</v>
      </c>
      <c r="I38" s="641">
        <v>5761</v>
      </c>
      <c r="J38" s="642"/>
      <c r="K38" s="643">
        <v>416</v>
      </c>
      <c r="L38" s="69">
        <f t="shared" si="1"/>
        <v>6.7335707348656529E-2</v>
      </c>
      <c r="M38" s="610"/>
      <c r="N38" s="644">
        <v>39479</v>
      </c>
      <c r="O38" s="143">
        <f t="shared" ca="1" si="2"/>
        <v>10.176942521156171</v>
      </c>
      <c r="P38" s="610"/>
      <c r="Q38" s="703" t="s">
        <v>970</v>
      </c>
      <c r="R38" s="610"/>
      <c r="S38" s="64">
        <f t="shared" ca="1" si="3"/>
        <v>10.286844708209694</v>
      </c>
      <c r="T38" s="615"/>
      <c r="U38" s="703" t="s">
        <v>591</v>
      </c>
      <c r="V38" s="67">
        <v>12</v>
      </c>
      <c r="W38" s="595"/>
      <c r="X38" s="92">
        <f t="shared" si="4"/>
        <v>43495</v>
      </c>
      <c r="Y38" s="595"/>
      <c r="Z38" s="683" t="s">
        <v>135</v>
      </c>
      <c r="AA38" s="595"/>
      <c r="AB38" s="647" t="s">
        <v>931</v>
      </c>
      <c r="AC38" s="663"/>
      <c r="AD38" s="649" t="s">
        <v>536</v>
      </c>
      <c r="AE38" s="649" t="s">
        <v>971</v>
      </c>
      <c r="AF38" s="684" t="s">
        <v>972</v>
      </c>
      <c r="AG38" s="685" t="s">
        <v>973</v>
      </c>
      <c r="AH38" s="649" t="s">
        <v>536</v>
      </c>
      <c r="AI38" s="649" t="s">
        <v>974</v>
      </c>
      <c r="AJ38" s="684" t="s">
        <v>282</v>
      </c>
      <c r="AK38" s="685" t="s">
        <v>975</v>
      </c>
      <c r="AL38" s="652"/>
      <c r="AM38" s="652"/>
      <c r="AN38" s="710"/>
      <c r="AO38" s="711"/>
      <c r="AQ38" s="655"/>
      <c r="AR38" s="656"/>
      <c r="AS38" s="656"/>
      <c r="AT38" s="656"/>
      <c r="AU38" s="657"/>
      <c r="AV38" s="655"/>
      <c r="AW38" s="656"/>
      <c r="AX38" s="656"/>
      <c r="AY38" s="656"/>
      <c r="AZ38" s="657"/>
      <c r="BA38" s="655"/>
      <c r="BB38" s="656"/>
      <c r="BC38" s="656"/>
      <c r="BD38" s="656"/>
      <c r="BE38" s="657"/>
      <c r="BF38" s="671"/>
      <c r="BG38" s="655"/>
      <c r="BH38" s="656"/>
      <c r="BI38" s="659"/>
      <c r="BJ38" s="656"/>
      <c r="BK38" s="657"/>
      <c r="BL38" s="655"/>
      <c r="BM38" s="656"/>
      <c r="BN38" s="659"/>
      <c r="BO38" s="656"/>
      <c r="BP38" s="657"/>
      <c r="BQ38" s="655"/>
      <c r="BR38" s="656"/>
      <c r="BS38" s="659"/>
      <c r="BT38" s="656"/>
      <c r="BU38" s="657"/>
      <c r="BV38" s="673"/>
      <c r="BW38" s="655"/>
      <c r="BX38" s="656"/>
      <c r="BY38" s="659"/>
      <c r="BZ38" s="656"/>
      <c r="CA38" s="657"/>
      <c r="CB38" s="655"/>
      <c r="CC38" s="656"/>
      <c r="CD38" s="659"/>
      <c r="CE38" s="656"/>
      <c r="CF38" s="657"/>
      <c r="CG38" s="655"/>
      <c r="CH38" s="656"/>
      <c r="CI38" s="659"/>
      <c r="CJ38" s="656"/>
      <c r="CK38" s="657"/>
      <c r="CL38" s="674"/>
      <c r="CM38" s="655"/>
      <c r="CN38" s="656"/>
      <c r="CO38" s="659"/>
      <c r="CP38" s="656"/>
      <c r="CQ38" s="657"/>
      <c r="CR38" s="655"/>
      <c r="CS38" s="656"/>
      <c r="CT38" s="659"/>
      <c r="CU38" s="656"/>
      <c r="CV38" s="657"/>
      <c r="CW38" s="655"/>
      <c r="CX38" s="656"/>
      <c r="CY38" s="659"/>
      <c r="CZ38" s="656"/>
      <c r="DA38" s="657"/>
      <c r="DB38" s="600"/>
    </row>
    <row r="39" spans="1:106" s="596" customFormat="1" ht="18" customHeight="1" x14ac:dyDescent="0.25">
      <c r="A39" s="594">
        <v>27</v>
      </c>
      <c r="B39" s="594"/>
      <c r="C39" s="636" t="s">
        <v>1269</v>
      </c>
      <c r="D39" s="637"/>
      <c r="E39" s="603" t="s">
        <v>521</v>
      </c>
      <c r="F39" s="638"/>
      <c r="G39" s="662">
        <v>3020</v>
      </c>
      <c r="H39" s="640">
        <f t="shared" si="0"/>
        <v>5.2601143987793747E-3</v>
      </c>
      <c r="I39" s="641">
        <v>5105</v>
      </c>
      <c r="J39" s="642"/>
      <c r="K39" s="643">
        <v>-2085</v>
      </c>
      <c r="L39" s="69">
        <f t="shared" si="1"/>
        <v>-0.69039735099337751</v>
      </c>
      <c r="M39" s="610"/>
      <c r="N39" s="644">
        <v>40809</v>
      </c>
      <c r="O39" s="143">
        <f t="shared" ca="1" si="2"/>
        <v>6.5226948016265531</v>
      </c>
      <c r="P39" s="610"/>
      <c r="Q39" s="703" t="s">
        <v>29</v>
      </c>
      <c r="R39" s="610"/>
      <c r="S39" s="64">
        <f t="shared" ca="1" si="3"/>
        <v>9.2977250247279919</v>
      </c>
      <c r="T39" s="615"/>
      <c r="U39" s="703" t="s">
        <v>591</v>
      </c>
      <c r="V39" s="67">
        <v>12</v>
      </c>
      <c r="W39" s="595"/>
      <c r="X39" s="92">
        <f t="shared" si="4"/>
        <v>43465</v>
      </c>
      <c r="Y39" s="595"/>
      <c r="Z39" s="683" t="s">
        <v>135</v>
      </c>
      <c r="AA39" s="595"/>
      <c r="AB39" s="647" t="s">
        <v>931</v>
      </c>
      <c r="AC39" s="663"/>
      <c r="AD39" s="649" t="s">
        <v>536</v>
      </c>
      <c r="AE39" s="649" t="s">
        <v>971</v>
      </c>
      <c r="AF39" s="684" t="s">
        <v>972</v>
      </c>
      <c r="AG39" s="685" t="s">
        <v>973</v>
      </c>
      <c r="AH39" s="649" t="s">
        <v>536</v>
      </c>
      <c r="AI39" s="649" t="s">
        <v>895</v>
      </c>
      <c r="AJ39" s="684" t="s">
        <v>976</v>
      </c>
      <c r="AK39" s="685" t="s">
        <v>977</v>
      </c>
      <c r="AL39" s="652"/>
      <c r="AM39" s="652"/>
      <c r="AN39" s="710"/>
      <c r="AO39" s="711"/>
      <c r="AQ39" s="655"/>
      <c r="AR39" s="656"/>
      <c r="AS39" s="656"/>
      <c r="AT39" s="656"/>
      <c r="AU39" s="657"/>
      <c r="AV39" s="655"/>
      <c r="AW39" s="656"/>
      <c r="AX39" s="656"/>
      <c r="AY39" s="656"/>
      <c r="AZ39" s="657"/>
      <c r="BA39" s="655"/>
      <c r="BB39" s="656"/>
      <c r="BC39" s="656"/>
      <c r="BD39" s="656"/>
      <c r="BE39" s="657"/>
      <c r="BF39" s="671"/>
      <c r="BG39" s="655"/>
      <c r="BH39" s="656"/>
      <c r="BI39" s="659"/>
      <c r="BJ39" s="656"/>
      <c r="BK39" s="657"/>
      <c r="BL39" s="655"/>
      <c r="BM39" s="656"/>
      <c r="BN39" s="659"/>
      <c r="BO39" s="656"/>
      <c r="BP39" s="657"/>
      <c r="BQ39" s="655"/>
      <c r="BR39" s="656"/>
      <c r="BS39" s="659"/>
      <c r="BT39" s="656"/>
      <c r="BU39" s="657"/>
      <c r="BV39" s="673"/>
      <c r="BW39" s="655"/>
      <c r="BX39" s="656"/>
      <c r="BY39" s="659"/>
      <c r="BZ39" s="656"/>
      <c r="CA39" s="657"/>
      <c r="CB39" s="655"/>
      <c r="CC39" s="656"/>
      <c r="CD39" s="659"/>
      <c r="CE39" s="656"/>
      <c r="CF39" s="657"/>
      <c r="CG39" s="655"/>
      <c r="CH39" s="656"/>
      <c r="CI39" s="659"/>
      <c r="CJ39" s="656"/>
      <c r="CK39" s="657"/>
      <c r="CL39" s="674"/>
      <c r="CM39" s="655"/>
      <c r="CN39" s="656"/>
      <c r="CO39" s="659"/>
      <c r="CP39" s="656"/>
      <c r="CQ39" s="657"/>
      <c r="CR39" s="655"/>
      <c r="CS39" s="656"/>
      <c r="CT39" s="659"/>
      <c r="CU39" s="656"/>
      <c r="CV39" s="657"/>
      <c r="CW39" s="655"/>
      <c r="CX39" s="656"/>
      <c r="CY39" s="659"/>
      <c r="CZ39" s="656"/>
      <c r="DA39" s="657"/>
      <c r="DB39" s="600"/>
    </row>
    <row r="40" spans="1:106" s="596" customFormat="1" ht="18" customHeight="1" x14ac:dyDescent="0.25">
      <c r="A40" s="594">
        <v>28</v>
      </c>
      <c r="B40" s="594"/>
      <c r="C40" s="636" t="s">
        <v>1270</v>
      </c>
      <c r="D40" s="637"/>
      <c r="E40" s="603" t="s">
        <v>580</v>
      </c>
      <c r="F40" s="638"/>
      <c r="G40" s="662">
        <v>2995</v>
      </c>
      <c r="H40" s="640">
        <f t="shared" si="0"/>
        <v>5.2165704054119959E-3</v>
      </c>
      <c r="I40" s="641">
        <v>2149</v>
      </c>
      <c r="J40" s="642"/>
      <c r="K40" s="643">
        <v>846</v>
      </c>
      <c r="L40" s="69">
        <f t="shared" si="1"/>
        <v>0.28247078464106845</v>
      </c>
      <c r="M40" s="610"/>
      <c r="N40" s="644">
        <v>41487</v>
      </c>
      <c r="O40" s="143">
        <f t="shared" ca="1" si="2"/>
        <v>4.6598527310693489</v>
      </c>
      <c r="P40" s="610"/>
      <c r="Q40" s="703" t="s">
        <v>978</v>
      </c>
      <c r="R40" s="610"/>
      <c r="S40" s="64">
        <f t="shared" ca="1" si="3"/>
        <v>16.287504121332017</v>
      </c>
      <c r="T40" s="615"/>
      <c r="U40" s="703" t="s">
        <v>591</v>
      </c>
      <c r="V40" s="67">
        <v>36</v>
      </c>
      <c r="W40" s="595"/>
      <c r="X40" s="92">
        <f t="shared" si="4"/>
        <v>43677</v>
      </c>
      <c r="Y40" s="595"/>
      <c r="Z40" s="683" t="s">
        <v>135</v>
      </c>
      <c r="AA40" s="595"/>
      <c r="AB40" s="647" t="s">
        <v>931</v>
      </c>
      <c r="AC40" s="663"/>
      <c r="AD40" s="649" t="s">
        <v>534</v>
      </c>
      <c r="AE40" s="649" t="s">
        <v>979</v>
      </c>
      <c r="AF40" s="684" t="s">
        <v>980</v>
      </c>
      <c r="AG40" s="685" t="s">
        <v>981</v>
      </c>
      <c r="AH40" s="652"/>
      <c r="AI40" s="652"/>
      <c r="AJ40" s="710"/>
      <c r="AK40" s="712"/>
      <c r="AL40" s="652"/>
      <c r="AM40" s="652"/>
      <c r="AN40" s="710"/>
      <c r="AO40" s="711"/>
      <c r="AQ40" s="655"/>
      <c r="AR40" s="656"/>
      <c r="AS40" s="656"/>
      <c r="AT40" s="656"/>
      <c r="AU40" s="657"/>
      <c r="AV40" s="655"/>
      <c r="AW40" s="656"/>
      <c r="AX40" s="656"/>
      <c r="AY40" s="656"/>
      <c r="AZ40" s="657"/>
      <c r="BA40" s="655"/>
      <c r="BB40" s="656"/>
      <c r="BC40" s="656"/>
      <c r="BD40" s="656"/>
      <c r="BE40" s="657"/>
      <c r="BF40" s="671"/>
      <c r="BG40" s="655"/>
      <c r="BH40" s="656"/>
      <c r="BI40" s="659"/>
      <c r="BJ40" s="656"/>
      <c r="BK40" s="657"/>
      <c r="BL40" s="655"/>
      <c r="BM40" s="656"/>
      <c r="BN40" s="659"/>
      <c r="BO40" s="656"/>
      <c r="BP40" s="657"/>
      <c r="BQ40" s="655"/>
      <c r="BR40" s="656"/>
      <c r="BS40" s="659"/>
      <c r="BT40" s="656"/>
      <c r="BU40" s="657"/>
      <c r="BV40" s="673"/>
      <c r="BW40" s="655"/>
      <c r="BX40" s="656"/>
      <c r="BY40" s="659"/>
      <c r="BZ40" s="656"/>
      <c r="CA40" s="657"/>
      <c r="CB40" s="655"/>
      <c r="CC40" s="656"/>
      <c r="CD40" s="659"/>
      <c r="CE40" s="656"/>
      <c r="CF40" s="657"/>
      <c r="CG40" s="655"/>
      <c r="CH40" s="656"/>
      <c r="CI40" s="659"/>
      <c r="CJ40" s="656"/>
      <c r="CK40" s="657"/>
      <c r="CL40" s="674"/>
      <c r="CM40" s="655"/>
      <c r="CN40" s="656"/>
      <c r="CO40" s="659"/>
      <c r="CP40" s="656"/>
      <c r="CQ40" s="657"/>
      <c r="CR40" s="655"/>
      <c r="CS40" s="656"/>
      <c r="CT40" s="659"/>
      <c r="CU40" s="656"/>
      <c r="CV40" s="657"/>
      <c r="CW40" s="655"/>
      <c r="CX40" s="656"/>
      <c r="CY40" s="659"/>
      <c r="CZ40" s="656"/>
      <c r="DA40" s="657"/>
      <c r="DB40" s="600"/>
    </row>
    <row r="41" spans="1:106" s="596" customFormat="1" ht="18" customHeight="1" x14ac:dyDescent="0.25">
      <c r="A41" s="594">
        <v>29</v>
      </c>
      <c r="B41" s="594">
        <v>14</v>
      </c>
      <c r="C41" s="636" t="s">
        <v>1271</v>
      </c>
      <c r="D41" s="637"/>
      <c r="E41" s="603" t="s">
        <v>580</v>
      </c>
      <c r="F41" s="638"/>
      <c r="G41" s="639">
        <v>11509</v>
      </c>
      <c r="H41" s="640">
        <f t="shared" si="0"/>
        <v>2.0045912786606564E-2</v>
      </c>
      <c r="I41" s="641">
        <v>7383.6</v>
      </c>
      <c r="J41" s="642">
        <v>534.29999999999995</v>
      </c>
      <c r="K41" s="643">
        <v>3591.1</v>
      </c>
      <c r="L41" s="69">
        <f t="shared" si="1"/>
        <v>0.31202537144843168</v>
      </c>
      <c r="M41" s="610"/>
      <c r="N41" s="644">
        <v>41944</v>
      </c>
      <c r="O41" s="143">
        <f t="shared" ca="1" si="2"/>
        <v>3.4042202439828557</v>
      </c>
      <c r="P41" s="610"/>
      <c r="Q41" s="703" t="s">
        <v>982</v>
      </c>
      <c r="R41" s="610"/>
      <c r="S41" s="64">
        <f t="shared" ca="1" si="3"/>
        <v>19.287833827893177</v>
      </c>
      <c r="T41" s="615"/>
      <c r="U41" s="703" t="s">
        <v>592</v>
      </c>
      <c r="V41" s="67"/>
      <c r="W41" s="595"/>
      <c r="X41" s="92" t="str">
        <f t="shared" si="4"/>
        <v>30/10/2019</v>
      </c>
      <c r="Y41" s="595"/>
      <c r="Z41" s="683" t="s">
        <v>135</v>
      </c>
      <c r="AA41" s="595"/>
      <c r="AB41" s="647" t="s">
        <v>983</v>
      </c>
      <c r="AC41" s="663"/>
      <c r="AD41" s="649" t="s">
        <v>536</v>
      </c>
      <c r="AE41" s="649" t="s">
        <v>904</v>
      </c>
      <c r="AF41" s="684" t="s">
        <v>984</v>
      </c>
      <c r="AG41" s="685" t="s">
        <v>985</v>
      </c>
      <c r="AH41" s="649" t="s">
        <v>536</v>
      </c>
      <c r="AI41" s="649" t="s">
        <v>986</v>
      </c>
      <c r="AJ41" s="684" t="s">
        <v>987</v>
      </c>
      <c r="AK41" s="685" t="s">
        <v>897</v>
      </c>
      <c r="AL41" s="652"/>
      <c r="AM41" s="652"/>
      <c r="AN41" s="710"/>
      <c r="AO41" s="711"/>
      <c r="AQ41" s="655"/>
      <c r="AR41" s="656"/>
      <c r="AS41" s="656"/>
      <c r="AT41" s="656"/>
      <c r="AU41" s="657"/>
      <c r="AV41" s="655"/>
      <c r="AW41" s="656"/>
      <c r="AX41" s="656"/>
      <c r="AY41" s="656"/>
      <c r="AZ41" s="657"/>
      <c r="BA41" s="655"/>
      <c r="BB41" s="656"/>
      <c r="BC41" s="656"/>
      <c r="BD41" s="656"/>
      <c r="BE41" s="657"/>
      <c r="BF41" s="671"/>
      <c r="BG41" s="655"/>
      <c r="BH41" s="656"/>
      <c r="BI41" s="659"/>
      <c r="BJ41" s="656"/>
      <c r="BK41" s="657"/>
      <c r="BL41" s="655"/>
      <c r="BM41" s="656"/>
      <c r="BN41" s="659"/>
      <c r="BO41" s="656"/>
      <c r="BP41" s="657"/>
      <c r="BQ41" s="655"/>
      <c r="BR41" s="656"/>
      <c r="BS41" s="659"/>
      <c r="BT41" s="656"/>
      <c r="BU41" s="657"/>
      <c r="BV41" s="673"/>
      <c r="BW41" s="655"/>
      <c r="BX41" s="656"/>
      <c r="BY41" s="659"/>
      <c r="BZ41" s="656"/>
      <c r="CA41" s="657"/>
      <c r="CB41" s="655"/>
      <c r="CC41" s="656"/>
      <c r="CD41" s="659"/>
      <c r="CE41" s="656"/>
      <c r="CF41" s="657"/>
      <c r="CG41" s="655"/>
      <c r="CH41" s="656"/>
      <c r="CI41" s="659"/>
      <c r="CJ41" s="656"/>
      <c r="CK41" s="657"/>
      <c r="CL41" s="674"/>
      <c r="CM41" s="655"/>
      <c r="CN41" s="656"/>
      <c r="CO41" s="659"/>
      <c r="CP41" s="656"/>
      <c r="CQ41" s="657"/>
      <c r="CR41" s="655"/>
      <c r="CS41" s="656"/>
      <c r="CT41" s="659"/>
      <c r="CU41" s="656"/>
      <c r="CV41" s="657"/>
      <c r="CW41" s="655"/>
      <c r="CX41" s="656"/>
      <c r="CY41" s="659"/>
      <c r="CZ41" s="656"/>
      <c r="DA41" s="657"/>
      <c r="DB41" s="600"/>
    </row>
    <row r="42" spans="1:106" s="596" customFormat="1" ht="18" customHeight="1" x14ac:dyDescent="0.25">
      <c r="A42" s="594">
        <v>30</v>
      </c>
      <c r="B42" s="594">
        <v>15</v>
      </c>
      <c r="C42" s="636" t="s">
        <v>1272</v>
      </c>
      <c r="D42" s="637"/>
      <c r="E42" s="603" t="s">
        <v>548</v>
      </c>
      <c r="F42" s="638"/>
      <c r="G42" s="639">
        <v>10609</v>
      </c>
      <c r="H42" s="640">
        <f t="shared" si="0"/>
        <v>1.8478329025380921E-2</v>
      </c>
      <c r="I42" s="641">
        <v>7530.1</v>
      </c>
      <c r="J42" s="642">
        <v>534.1</v>
      </c>
      <c r="K42" s="643">
        <v>2544.8000000000002</v>
      </c>
      <c r="L42" s="69">
        <f t="shared" si="1"/>
        <v>0.23987180695635782</v>
      </c>
      <c r="M42" s="610"/>
      <c r="N42" s="644">
        <v>42614</v>
      </c>
      <c r="O42" s="143">
        <f t="shared" ca="1" si="2"/>
        <v>1.5633586108363557</v>
      </c>
      <c r="P42" s="610"/>
      <c r="Q42" s="703" t="s">
        <v>988</v>
      </c>
      <c r="R42" s="610"/>
      <c r="S42" s="64">
        <f t="shared" ca="1" si="3"/>
        <v>17.309594460929773</v>
      </c>
      <c r="T42" s="615"/>
      <c r="U42" s="703" t="s">
        <v>592</v>
      </c>
      <c r="V42" s="67"/>
      <c r="W42" s="595"/>
      <c r="X42" s="92" t="str">
        <f t="shared" si="4"/>
        <v>31/08/2019</v>
      </c>
      <c r="Y42" s="595"/>
      <c r="Z42" s="683" t="s">
        <v>135</v>
      </c>
      <c r="AA42" s="595"/>
      <c r="AB42" s="647" t="s">
        <v>983</v>
      </c>
      <c r="AC42" s="663"/>
      <c r="AD42" s="649" t="s">
        <v>536</v>
      </c>
      <c r="AE42" s="649" t="s">
        <v>943</v>
      </c>
      <c r="AF42" s="684" t="s">
        <v>989</v>
      </c>
      <c r="AG42" s="685" t="s">
        <v>990</v>
      </c>
      <c r="AH42" s="652"/>
      <c r="AI42" s="652"/>
      <c r="AJ42" s="710"/>
      <c r="AK42" s="712"/>
      <c r="AL42" s="652"/>
      <c r="AM42" s="652"/>
      <c r="AN42" s="710"/>
      <c r="AO42" s="711"/>
      <c r="AQ42" s="655"/>
      <c r="AR42" s="656"/>
      <c r="AS42" s="656"/>
      <c r="AT42" s="656"/>
      <c r="AU42" s="657"/>
      <c r="AV42" s="655"/>
      <c r="AW42" s="656"/>
      <c r="AX42" s="656"/>
      <c r="AY42" s="656"/>
      <c r="AZ42" s="657"/>
      <c r="BA42" s="655"/>
      <c r="BB42" s="656"/>
      <c r="BC42" s="656"/>
      <c r="BD42" s="656"/>
      <c r="BE42" s="657"/>
      <c r="BF42" s="671"/>
      <c r="BG42" s="655"/>
      <c r="BH42" s="656"/>
      <c r="BI42" s="659"/>
      <c r="BJ42" s="656"/>
      <c r="BK42" s="657"/>
      <c r="BL42" s="655"/>
      <c r="BM42" s="656"/>
      <c r="BN42" s="659"/>
      <c r="BO42" s="656"/>
      <c r="BP42" s="657"/>
      <c r="BQ42" s="655"/>
      <c r="BR42" s="656"/>
      <c r="BS42" s="659"/>
      <c r="BT42" s="656"/>
      <c r="BU42" s="657"/>
      <c r="BV42" s="673"/>
      <c r="BW42" s="655"/>
      <c r="BX42" s="656"/>
      <c r="BY42" s="659"/>
      <c r="BZ42" s="656"/>
      <c r="CA42" s="657"/>
      <c r="CB42" s="655"/>
      <c r="CC42" s="656"/>
      <c r="CD42" s="659"/>
      <c r="CE42" s="656"/>
      <c r="CF42" s="657"/>
      <c r="CG42" s="655"/>
      <c r="CH42" s="656"/>
      <c r="CI42" s="659"/>
      <c r="CJ42" s="656"/>
      <c r="CK42" s="657"/>
      <c r="CL42" s="674"/>
      <c r="CM42" s="655"/>
      <c r="CN42" s="656"/>
      <c r="CO42" s="659"/>
      <c r="CP42" s="656"/>
      <c r="CQ42" s="657"/>
      <c r="CR42" s="655"/>
      <c r="CS42" s="656"/>
      <c r="CT42" s="659"/>
      <c r="CU42" s="656"/>
      <c r="CV42" s="657"/>
      <c r="CW42" s="655"/>
      <c r="CX42" s="656"/>
      <c r="CY42" s="659"/>
      <c r="CZ42" s="656"/>
      <c r="DA42" s="657"/>
      <c r="DB42" s="600"/>
    </row>
    <row r="43" spans="1:106" s="725" customFormat="1" ht="18" customHeight="1" x14ac:dyDescent="0.25">
      <c r="A43" s="594">
        <v>31</v>
      </c>
      <c r="B43" s="594"/>
      <c r="C43" s="675" t="s">
        <v>231</v>
      </c>
      <c r="D43" s="676"/>
      <c r="E43" s="677" t="s">
        <v>521</v>
      </c>
      <c r="F43" s="678" t="s">
        <v>527</v>
      </c>
      <c r="G43" s="784">
        <v>10203</v>
      </c>
      <c r="H43" s="785">
        <f t="shared" si="0"/>
        <v>1.777117457309469E-2</v>
      </c>
      <c r="I43" s="786">
        <v>6331.6</v>
      </c>
      <c r="J43" s="787">
        <v>875.1</v>
      </c>
      <c r="K43" s="788">
        <v>2996.7</v>
      </c>
      <c r="L43" s="789">
        <f t="shared" si="1"/>
        <v>0.29370773301970005</v>
      </c>
      <c r="M43" s="610"/>
      <c r="N43" s="715">
        <v>41000</v>
      </c>
      <c r="O43" s="790">
        <f t="shared" ca="1" si="2"/>
        <v>5.9979118584459838</v>
      </c>
      <c r="P43" s="610"/>
      <c r="Q43" s="715" t="s">
        <v>991</v>
      </c>
      <c r="R43" s="610"/>
      <c r="S43" s="791">
        <f t="shared" ca="1" si="3"/>
        <v>0.98911968348170132</v>
      </c>
      <c r="T43" s="610"/>
      <c r="U43" s="716" t="s">
        <v>592</v>
      </c>
      <c r="V43" s="67"/>
      <c r="W43" s="610"/>
      <c r="X43" s="792" t="str">
        <f t="shared" si="4"/>
        <v>23/04/2018</v>
      </c>
      <c r="Y43" s="610"/>
      <c r="Z43" s="793"/>
      <c r="AA43" s="610"/>
      <c r="AB43" s="717"/>
      <c r="AC43" s="718"/>
      <c r="AD43" s="649" t="s">
        <v>536</v>
      </c>
      <c r="AE43" s="649" t="s">
        <v>992</v>
      </c>
      <c r="AF43" s="794" t="s">
        <v>993</v>
      </c>
      <c r="AG43" s="795"/>
      <c r="AH43" s="721" t="s">
        <v>536</v>
      </c>
      <c r="AI43" s="722" t="s">
        <v>919</v>
      </c>
      <c r="AJ43" s="796" t="s">
        <v>994</v>
      </c>
      <c r="AK43" s="797"/>
      <c r="AL43" s="722"/>
      <c r="AM43" s="722"/>
      <c r="AN43" s="796"/>
      <c r="AO43" s="798"/>
      <c r="AP43" s="799"/>
      <c r="AQ43" s="688"/>
      <c r="AR43" s="689"/>
      <c r="AS43" s="689"/>
      <c r="AT43" s="689"/>
      <c r="AU43" s="690"/>
      <c r="AV43" s="688"/>
      <c r="AW43" s="689"/>
      <c r="AX43" s="689"/>
      <c r="AY43" s="689"/>
      <c r="AZ43" s="690"/>
      <c r="BA43" s="800"/>
      <c r="BB43" s="689"/>
      <c r="BC43" s="689"/>
      <c r="BD43" s="689"/>
      <c r="BE43" s="689"/>
      <c r="BF43" s="689"/>
      <c r="BG43" s="689"/>
      <c r="BH43" s="689"/>
      <c r="BI43" s="689"/>
      <c r="BJ43" s="689"/>
      <c r="BK43" s="801"/>
      <c r="BL43" s="802"/>
      <c r="BM43" s="803"/>
      <c r="BN43" s="803"/>
      <c r="BO43" s="803"/>
      <c r="BP43" s="804"/>
      <c r="BQ43" s="802"/>
      <c r="BR43" s="803"/>
      <c r="BS43" s="803"/>
      <c r="BT43" s="804"/>
      <c r="BU43" s="803"/>
      <c r="BV43" s="805"/>
      <c r="BW43" s="803"/>
      <c r="BX43" s="803"/>
      <c r="BY43" s="803"/>
      <c r="BZ43" s="803"/>
      <c r="CA43" s="803"/>
      <c r="CB43" s="803"/>
      <c r="CC43" s="803"/>
      <c r="CD43" s="803"/>
      <c r="CE43" s="803"/>
      <c r="CF43" s="803"/>
      <c r="CG43" s="803"/>
      <c r="CH43" s="803"/>
      <c r="CI43" s="803"/>
      <c r="CJ43" s="803"/>
      <c r="CK43" s="803"/>
      <c r="CL43" s="689"/>
      <c r="CM43" s="669"/>
      <c r="CN43" s="669"/>
      <c r="CO43" s="669"/>
      <c r="CP43" s="669"/>
      <c r="CQ43" s="669"/>
      <c r="CR43" s="669"/>
      <c r="CS43" s="669"/>
      <c r="CT43" s="656"/>
      <c r="CU43" s="656"/>
      <c r="CV43" s="656"/>
      <c r="CW43" s="656"/>
      <c r="CX43" s="656"/>
      <c r="CY43" s="656"/>
      <c r="CZ43" s="656"/>
      <c r="DA43" s="657"/>
      <c r="DB43" s="728"/>
    </row>
    <row r="44" spans="1:106" s="725" customFormat="1" ht="18" customHeight="1" x14ac:dyDescent="0.25">
      <c r="A44" s="594">
        <v>32</v>
      </c>
      <c r="B44" s="594">
        <v>16</v>
      </c>
      <c r="C44" s="636" t="s">
        <v>1273</v>
      </c>
      <c r="D44" s="637"/>
      <c r="E44" s="603" t="s">
        <v>548</v>
      </c>
      <c r="F44" s="713"/>
      <c r="G44" s="639">
        <v>9897</v>
      </c>
      <c r="H44" s="640">
        <f t="shared" si="0"/>
        <v>1.7238196094277972E-2</v>
      </c>
      <c r="I44" s="641">
        <v>7330</v>
      </c>
      <c r="J44" s="642">
        <v>337</v>
      </c>
      <c r="K44" s="643">
        <v>2230</v>
      </c>
      <c r="L44" s="69">
        <f t="shared" si="1"/>
        <v>0.22532080428412651</v>
      </c>
      <c r="M44" s="610"/>
      <c r="N44" s="714">
        <v>43101</v>
      </c>
      <c r="O44" s="143">
        <f t="shared" ca="1" si="2"/>
        <v>0.22529948345972087</v>
      </c>
      <c r="P44" s="610"/>
      <c r="Q44" s="715">
        <v>44196</v>
      </c>
      <c r="R44" s="610"/>
      <c r="S44" s="64">
        <f t="shared" ca="1" si="3"/>
        <v>33.399274645565448</v>
      </c>
      <c r="T44" s="610"/>
      <c r="U44" s="716" t="s">
        <v>592</v>
      </c>
      <c r="V44" s="67"/>
      <c r="W44" s="610"/>
      <c r="X44" s="92">
        <f t="shared" si="4"/>
        <v>44196</v>
      </c>
      <c r="Y44" s="610"/>
      <c r="Z44" s="705" t="s">
        <v>135</v>
      </c>
      <c r="AA44" s="610"/>
      <c r="AB44" s="717" t="s">
        <v>995</v>
      </c>
      <c r="AC44" s="718"/>
      <c r="AD44" s="649"/>
      <c r="AE44" s="649"/>
      <c r="AF44" s="719"/>
      <c r="AG44" s="720"/>
      <c r="AH44" s="721"/>
      <c r="AI44" s="722"/>
      <c r="AJ44" s="542"/>
      <c r="AK44" s="723"/>
      <c r="AL44" s="722"/>
      <c r="AM44" s="722"/>
      <c r="AN44" s="542"/>
      <c r="AO44" s="724"/>
      <c r="AQ44" s="655"/>
      <c r="AR44" s="656"/>
      <c r="AS44" s="656"/>
      <c r="AT44" s="656"/>
      <c r="AU44" s="657"/>
      <c r="AV44" s="655"/>
      <c r="AW44" s="656"/>
      <c r="AX44" s="656"/>
      <c r="AY44" s="656"/>
      <c r="AZ44" s="657"/>
      <c r="BA44" s="726"/>
      <c r="BB44" s="656"/>
      <c r="BC44" s="656"/>
      <c r="BD44" s="656"/>
      <c r="BE44" s="656"/>
      <c r="BF44" s="674"/>
      <c r="BG44" s="656"/>
      <c r="BH44" s="656"/>
      <c r="BI44" s="656"/>
      <c r="BJ44" s="656"/>
      <c r="BK44" s="727"/>
      <c r="BL44" s="668"/>
      <c r="BM44" s="669"/>
      <c r="BN44" s="669"/>
      <c r="BO44" s="669"/>
      <c r="BP44" s="670"/>
      <c r="BQ44" s="668"/>
      <c r="BR44" s="669"/>
      <c r="BS44" s="669"/>
      <c r="BT44" s="670"/>
      <c r="BU44" s="669"/>
      <c r="BV44" s="673"/>
      <c r="BW44" s="669"/>
      <c r="BX44" s="669"/>
      <c r="BY44" s="669"/>
      <c r="BZ44" s="669"/>
      <c r="CA44" s="669"/>
      <c r="CB44" s="669"/>
      <c r="CC44" s="669"/>
      <c r="CD44" s="669"/>
      <c r="CE44" s="669"/>
      <c r="CF44" s="669"/>
      <c r="CG44" s="669"/>
      <c r="CH44" s="669"/>
      <c r="CI44" s="669"/>
      <c r="CJ44" s="669"/>
      <c r="CK44" s="669"/>
      <c r="CL44" s="674"/>
      <c r="CM44" s="669"/>
      <c r="CN44" s="669"/>
      <c r="CO44" s="669"/>
      <c r="CP44" s="669"/>
      <c r="CQ44" s="669"/>
      <c r="CR44" s="669"/>
      <c r="CS44" s="669"/>
      <c r="CT44" s="656"/>
      <c r="CU44" s="656"/>
      <c r="CV44" s="656"/>
      <c r="CW44" s="656"/>
      <c r="CX44" s="656"/>
      <c r="CY44" s="656"/>
      <c r="CZ44" s="656"/>
      <c r="DA44" s="657"/>
      <c r="DB44" s="728"/>
    </row>
    <row r="45" spans="1:106" s="725" customFormat="1" ht="18" customHeight="1" x14ac:dyDescent="0.25">
      <c r="A45" s="594">
        <v>33</v>
      </c>
      <c r="B45" s="594"/>
      <c r="C45" s="675" t="s">
        <v>1274</v>
      </c>
      <c r="D45" s="676"/>
      <c r="E45" s="677" t="s">
        <v>548</v>
      </c>
      <c r="F45" s="678" t="s">
        <v>527</v>
      </c>
      <c r="G45" s="784">
        <v>9098</v>
      </c>
      <c r="H45" s="785">
        <f t="shared" ref="H45:H76" si="5">G45/$G$2</f>
        <v>1.5846530066256539E-2</v>
      </c>
      <c r="I45" s="786">
        <v>6895.4</v>
      </c>
      <c r="J45" s="787">
        <v>0</v>
      </c>
      <c r="K45" s="788">
        <v>2202.6</v>
      </c>
      <c r="L45" s="789">
        <f t="shared" ref="L45:L76" si="6">K45/G45</f>
        <v>0.24209716421191468</v>
      </c>
      <c r="M45" s="610"/>
      <c r="N45" s="715">
        <v>40909</v>
      </c>
      <c r="O45" s="790">
        <f t="shared" ref="O45:O76" ca="1" si="7">($G$1-N45)/30.33/12</f>
        <v>6.2479393339927469</v>
      </c>
      <c r="P45" s="610"/>
      <c r="Q45" s="715" t="s">
        <v>29</v>
      </c>
      <c r="R45" s="610"/>
      <c r="S45" s="791">
        <f t="shared" ref="S45:S68" ca="1" si="8">(X45-$G$1)/30.33</f>
        <v>-2.7365644576327068</v>
      </c>
      <c r="T45" s="610"/>
      <c r="U45" s="716" t="s">
        <v>591</v>
      </c>
      <c r="V45" s="67"/>
      <c r="W45" s="610"/>
      <c r="X45" s="792">
        <f t="shared" ref="X45:X68" si="9">IF(OR(U45="",U45="N"),Q45,EDATE(Q45,V45))</f>
        <v>43100</v>
      </c>
      <c r="Y45" s="610"/>
      <c r="Z45" s="793"/>
      <c r="AA45" s="610"/>
      <c r="AB45" s="717"/>
      <c r="AC45" s="718"/>
      <c r="AD45" s="649" t="s">
        <v>534</v>
      </c>
      <c r="AE45" s="649" t="s">
        <v>996</v>
      </c>
      <c r="AF45" s="794" t="s">
        <v>997</v>
      </c>
      <c r="AG45" s="795"/>
      <c r="AH45" s="721" t="s">
        <v>536</v>
      </c>
      <c r="AI45" s="722" t="s">
        <v>998</v>
      </c>
      <c r="AJ45" s="796" t="s">
        <v>999</v>
      </c>
      <c r="AK45" s="797"/>
      <c r="AL45" s="722"/>
      <c r="AM45" s="722"/>
      <c r="AN45" s="796"/>
      <c r="AO45" s="798"/>
      <c r="AP45" s="799"/>
      <c r="AQ45" s="688"/>
      <c r="AR45" s="689"/>
      <c r="AS45" s="689"/>
      <c r="AT45" s="689"/>
      <c r="AU45" s="690"/>
      <c r="AV45" s="688"/>
      <c r="AW45" s="689"/>
      <c r="AX45" s="689"/>
      <c r="AY45" s="689"/>
      <c r="AZ45" s="690"/>
      <c r="BA45" s="800"/>
      <c r="BB45" s="689"/>
      <c r="BC45" s="689"/>
      <c r="BD45" s="689"/>
      <c r="BE45" s="689"/>
      <c r="BF45" s="689"/>
      <c r="BG45" s="689"/>
      <c r="BH45" s="689"/>
      <c r="BI45" s="689"/>
      <c r="BJ45" s="689"/>
      <c r="BK45" s="801"/>
      <c r="BL45" s="802"/>
      <c r="BM45" s="803"/>
      <c r="BN45" s="803"/>
      <c r="BO45" s="803"/>
      <c r="BP45" s="804"/>
      <c r="BQ45" s="802"/>
      <c r="BR45" s="803"/>
      <c r="BS45" s="803"/>
      <c r="BT45" s="804"/>
      <c r="BU45" s="803"/>
      <c r="BV45" s="805"/>
      <c r="BW45" s="803"/>
      <c r="BX45" s="803"/>
      <c r="BY45" s="803"/>
      <c r="BZ45" s="803"/>
      <c r="CA45" s="803"/>
      <c r="CB45" s="803"/>
      <c r="CC45" s="803"/>
      <c r="CD45" s="803"/>
      <c r="CE45" s="803"/>
      <c r="CF45" s="803"/>
      <c r="CG45" s="803"/>
      <c r="CH45" s="803"/>
      <c r="CI45" s="803"/>
      <c r="CJ45" s="803"/>
      <c r="CK45" s="803"/>
      <c r="CL45" s="689"/>
      <c r="CM45" s="669"/>
      <c r="CN45" s="669"/>
      <c r="CO45" s="669"/>
      <c r="CP45" s="669"/>
      <c r="CQ45" s="669"/>
      <c r="CR45" s="669"/>
      <c r="CS45" s="669"/>
      <c r="CT45" s="656"/>
      <c r="CU45" s="656"/>
      <c r="CV45" s="656"/>
      <c r="CW45" s="656"/>
      <c r="CX45" s="656"/>
      <c r="CY45" s="656"/>
      <c r="CZ45" s="656"/>
      <c r="DA45" s="657"/>
      <c r="DB45" s="728"/>
    </row>
    <row r="46" spans="1:106" s="725" customFormat="1" ht="18" customHeight="1" x14ac:dyDescent="0.25">
      <c r="A46" s="594">
        <v>34</v>
      </c>
      <c r="B46" s="594">
        <v>17</v>
      </c>
      <c r="C46" s="636" t="s">
        <v>1275</v>
      </c>
      <c r="D46" s="637"/>
      <c r="E46" s="603" t="s">
        <v>521</v>
      </c>
      <c r="F46" s="713"/>
      <c r="G46" s="639">
        <v>7841.07</v>
      </c>
      <c r="H46" s="640">
        <f t="shared" si="5"/>
        <v>1.3657260002926155E-2</v>
      </c>
      <c r="I46" s="641">
        <v>5643.3</v>
      </c>
      <c r="J46" s="642">
        <v>11.7</v>
      </c>
      <c r="K46" s="643">
        <v>2186.1</v>
      </c>
      <c r="L46" s="69">
        <f t="shared" si="6"/>
        <v>0.27880123503552451</v>
      </c>
      <c r="M46" s="610"/>
      <c r="N46" s="714">
        <v>42705</v>
      </c>
      <c r="O46" s="143">
        <f t="shared" ca="1" si="7"/>
        <v>1.3133311352895924</v>
      </c>
      <c r="P46" s="610"/>
      <c r="Q46" s="715">
        <v>43069</v>
      </c>
      <c r="R46" s="610"/>
      <c r="S46" s="64">
        <f t="shared" ca="1" si="8"/>
        <v>8.2756346851302354</v>
      </c>
      <c r="T46" s="610"/>
      <c r="U46" s="716" t="s">
        <v>591</v>
      </c>
      <c r="V46" s="67">
        <v>12</v>
      </c>
      <c r="W46" s="610"/>
      <c r="X46" s="92">
        <f t="shared" si="9"/>
        <v>43434</v>
      </c>
      <c r="Y46" s="610"/>
      <c r="Z46" s="705" t="s">
        <v>135</v>
      </c>
      <c r="AA46" s="610"/>
      <c r="AB46" s="717" t="s">
        <v>995</v>
      </c>
      <c r="AC46" s="718"/>
      <c r="AD46" s="649" t="s">
        <v>534</v>
      </c>
      <c r="AE46" s="649" t="s">
        <v>1000</v>
      </c>
      <c r="AF46" s="719" t="s">
        <v>1001</v>
      </c>
      <c r="AG46" s="720" t="s">
        <v>1002</v>
      </c>
      <c r="AH46" s="729"/>
      <c r="AI46" s="730"/>
      <c r="AJ46" s="731"/>
      <c r="AK46" s="732"/>
      <c r="AL46" s="730"/>
      <c r="AM46" s="730"/>
      <c r="AN46" s="731"/>
      <c r="AO46" s="733"/>
      <c r="AQ46" s="655"/>
      <c r="AR46" s="656"/>
      <c r="AS46" s="656"/>
      <c r="AT46" s="656"/>
      <c r="AU46" s="657"/>
      <c r="AV46" s="655"/>
      <c r="AW46" s="656"/>
      <c r="AX46" s="656"/>
      <c r="AY46" s="656"/>
      <c r="AZ46" s="657"/>
      <c r="BA46" s="726"/>
      <c r="BB46" s="656"/>
      <c r="BC46" s="656"/>
      <c r="BD46" s="656"/>
      <c r="BE46" s="656"/>
      <c r="BF46" s="674"/>
      <c r="BG46" s="656"/>
      <c r="BH46" s="656"/>
      <c r="BI46" s="656"/>
      <c r="BJ46" s="656"/>
      <c r="BK46" s="727"/>
      <c r="BL46" s="668"/>
      <c r="BM46" s="669"/>
      <c r="BN46" s="669"/>
      <c r="BO46" s="669"/>
      <c r="BP46" s="670"/>
      <c r="BQ46" s="668"/>
      <c r="BR46" s="669"/>
      <c r="BS46" s="669"/>
      <c r="BT46" s="670"/>
      <c r="BU46" s="669"/>
      <c r="BV46" s="673"/>
      <c r="BW46" s="669"/>
      <c r="BX46" s="669"/>
      <c r="BY46" s="669"/>
      <c r="BZ46" s="669"/>
      <c r="CA46" s="669"/>
      <c r="CB46" s="669"/>
      <c r="CC46" s="669"/>
      <c r="CD46" s="669"/>
      <c r="CE46" s="669"/>
      <c r="CF46" s="669"/>
      <c r="CG46" s="669"/>
      <c r="CH46" s="669"/>
      <c r="CI46" s="669"/>
      <c r="CJ46" s="669"/>
      <c r="CK46" s="669"/>
      <c r="CL46" s="674"/>
      <c r="CM46" s="669"/>
      <c r="CN46" s="669"/>
      <c r="CO46" s="669"/>
      <c r="CP46" s="669"/>
      <c r="CQ46" s="669"/>
      <c r="CR46" s="669"/>
      <c r="CS46" s="669"/>
      <c r="CT46" s="656"/>
      <c r="CU46" s="656"/>
      <c r="CV46" s="656"/>
      <c r="CW46" s="656"/>
      <c r="CX46" s="656"/>
      <c r="CY46" s="656"/>
      <c r="CZ46" s="656"/>
      <c r="DA46" s="657"/>
      <c r="DB46" s="728"/>
    </row>
    <row r="47" spans="1:106" s="725" customFormat="1" ht="18" customHeight="1" x14ac:dyDescent="0.25">
      <c r="A47" s="594">
        <v>35</v>
      </c>
      <c r="B47" s="594"/>
      <c r="C47" s="675" t="s">
        <v>1276</v>
      </c>
      <c r="D47" s="676"/>
      <c r="E47" s="677" t="s">
        <v>521</v>
      </c>
      <c r="F47" s="678" t="s">
        <v>527</v>
      </c>
      <c r="G47" s="784">
        <v>7810</v>
      </c>
      <c r="H47" s="785">
        <f t="shared" si="5"/>
        <v>1.3603143527969179E-2</v>
      </c>
      <c r="I47" s="786">
        <v>3893</v>
      </c>
      <c r="J47" s="787">
        <v>356.7</v>
      </c>
      <c r="K47" s="788">
        <v>3560</v>
      </c>
      <c r="L47" s="789">
        <f t="shared" si="6"/>
        <v>0.45582586427656852</v>
      </c>
      <c r="M47" s="610"/>
      <c r="N47" s="715">
        <v>41640</v>
      </c>
      <c r="O47" s="790">
        <f t="shared" ca="1" si="7"/>
        <v>4.2394768655896256</v>
      </c>
      <c r="P47" s="610"/>
      <c r="Q47" s="715">
        <v>43100</v>
      </c>
      <c r="R47" s="610"/>
      <c r="S47" s="791">
        <f t="shared" ca="1" si="8"/>
        <v>-2.7365644576327068</v>
      </c>
      <c r="T47" s="610"/>
      <c r="U47" s="716"/>
      <c r="V47" s="67"/>
      <c r="W47" s="610"/>
      <c r="X47" s="792">
        <f t="shared" si="9"/>
        <v>43100</v>
      </c>
      <c r="Y47" s="610"/>
      <c r="Z47" s="793"/>
      <c r="AA47" s="610"/>
      <c r="AB47" s="717"/>
      <c r="AC47" s="718"/>
      <c r="AD47" s="649"/>
      <c r="AE47" s="649"/>
      <c r="AF47" s="794"/>
      <c r="AG47" s="795"/>
      <c r="AH47" s="721"/>
      <c r="AI47" s="722"/>
      <c r="AJ47" s="796"/>
      <c r="AK47" s="797"/>
      <c r="AL47" s="722"/>
      <c r="AM47" s="722"/>
      <c r="AN47" s="796"/>
      <c r="AO47" s="798"/>
      <c r="AP47" s="799"/>
      <c r="AQ47" s="688"/>
      <c r="AR47" s="689"/>
      <c r="AS47" s="689"/>
      <c r="AT47" s="689"/>
      <c r="AU47" s="690"/>
      <c r="AV47" s="688"/>
      <c r="AW47" s="689"/>
      <c r="AX47" s="689"/>
      <c r="AY47" s="689"/>
      <c r="AZ47" s="690"/>
      <c r="BA47" s="800"/>
      <c r="BB47" s="689"/>
      <c r="BC47" s="689"/>
      <c r="BD47" s="689"/>
      <c r="BE47" s="689"/>
      <c r="BF47" s="689"/>
      <c r="BG47" s="689"/>
      <c r="BH47" s="689"/>
      <c r="BI47" s="689"/>
      <c r="BJ47" s="689"/>
      <c r="BK47" s="801"/>
      <c r="BL47" s="802"/>
      <c r="BM47" s="803"/>
      <c r="BN47" s="803"/>
      <c r="BO47" s="803"/>
      <c r="BP47" s="804"/>
      <c r="BQ47" s="802"/>
      <c r="BR47" s="803"/>
      <c r="BS47" s="803"/>
      <c r="BT47" s="804"/>
      <c r="BU47" s="803"/>
      <c r="BV47" s="805"/>
      <c r="BW47" s="803"/>
      <c r="BX47" s="803"/>
      <c r="BY47" s="803"/>
      <c r="BZ47" s="803"/>
      <c r="CA47" s="803"/>
      <c r="CB47" s="803"/>
      <c r="CC47" s="803"/>
      <c r="CD47" s="803"/>
      <c r="CE47" s="803"/>
      <c r="CF47" s="803"/>
      <c r="CG47" s="803"/>
      <c r="CH47" s="803"/>
      <c r="CI47" s="803"/>
      <c r="CJ47" s="803"/>
      <c r="CK47" s="803"/>
      <c r="CL47" s="689"/>
      <c r="CM47" s="669"/>
      <c r="CN47" s="669"/>
      <c r="CO47" s="669"/>
      <c r="CP47" s="669"/>
      <c r="CQ47" s="669"/>
      <c r="CR47" s="669"/>
      <c r="CS47" s="669"/>
      <c r="CT47" s="656"/>
      <c r="CU47" s="656"/>
      <c r="CV47" s="656"/>
      <c r="CW47" s="656"/>
      <c r="CX47" s="656"/>
      <c r="CY47" s="656"/>
      <c r="CZ47" s="656"/>
      <c r="DA47" s="657"/>
      <c r="DB47" s="728"/>
    </row>
    <row r="48" spans="1:106" s="725" customFormat="1" ht="18" customHeight="1" x14ac:dyDescent="0.25">
      <c r="A48" s="594">
        <v>36</v>
      </c>
      <c r="B48" s="594">
        <v>18</v>
      </c>
      <c r="C48" s="636" t="s">
        <v>1277</v>
      </c>
      <c r="D48" s="637"/>
      <c r="E48" s="603" t="s">
        <v>521</v>
      </c>
      <c r="F48" s="638"/>
      <c r="G48" s="639">
        <v>7779</v>
      </c>
      <c r="H48" s="640">
        <f t="shared" si="5"/>
        <v>1.3549148976193628E-2</v>
      </c>
      <c r="I48" s="641">
        <v>5844.9</v>
      </c>
      <c r="J48" s="642">
        <v>0</v>
      </c>
      <c r="K48" s="643">
        <v>1934</v>
      </c>
      <c r="L48" s="69">
        <f t="shared" si="6"/>
        <v>0.2486180743026096</v>
      </c>
      <c r="M48" s="610"/>
      <c r="N48" s="714">
        <v>41334</v>
      </c>
      <c r="O48" s="143">
        <f t="shared" ca="1" si="7"/>
        <v>5.0802285965490714</v>
      </c>
      <c r="P48" s="610"/>
      <c r="Q48" s="715">
        <v>43191</v>
      </c>
      <c r="R48" s="610"/>
      <c r="S48" s="64">
        <f t="shared" ca="1" si="8"/>
        <v>12.298054731289154</v>
      </c>
      <c r="T48" s="610"/>
      <c r="U48" s="716" t="s">
        <v>591</v>
      </c>
      <c r="V48" s="67">
        <v>12</v>
      </c>
      <c r="W48" s="610"/>
      <c r="X48" s="92">
        <f t="shared" si="9"/>
        <v>43556</v>
      </c>
      <c r="Y48" s="610"/>
      <c r="Z48" s="705" t="s">
        <v>135</v>
      </c>
      <c r="AA48" s="610"/>
      <c r="AB48" s="717" t="s">
        <v>1003</v>
      </c>
      <c r="AC48" s="718"/>
      <c r="AD48" s="649"/>
      <c r="AE48" s="649"/>
      <c r="AF48" s="719"/>
      <c r="AG48" s="720"/>
      <c r="AH48" s="721"/>
      <c r="AI48" s="722"/>
      <c r="AJ48" s="542"/>
      <c r="AK48" s="723"/>
      <c r="AL48" s="722"/>
      <c r="AM48" s="722"/>
      <c r="AN48" s="542"/>
      <c r="AO48" s="724"/>
      <c r="AQ48" s="655"/>
      <c r="AR48" s="656"/>
      <c r="AS48" s="656"/>
      <c r="AT48" s="656"/>
      <c r="AU48" s="657"/>
      <c r="AV48" s="655"/>
      <c r="AW48" s="656"/>
      <c r="AX48" s="656"/>
      <c r="AY48" s="656"/>
      <c r="AZ48" s="657"/>
      <c r="BA48" s="726"/>
      <c r="BB48" s="656"/>
      <c r="BC48" s="656"/>
      <c r="BD48" s="656"/>
      <c r="BE48" s="656"/>
      <c r="BF48" s="674"/>
      <c r="BG48" s="656"/>
      <c r="BH48" s="656"/>
      <c r="BI48" s="656"/>
      <c r="BJ48" s="656"/>
      <c r="BK48" s="727"/>
      <c r="BL48" s="668"/>
      <c r="BM48" s="669"/>
      <c r="BN48" s="669"/>
      <c r="BO48" s="669"/>
      <c r="BP48" s="670"/>
      <c r="BQ48" s="668"/>
      <c r="BR48" s="669"/>
      <c r="BS48" s="669"/>
      <c r="BT48" s="670"/>
      <c r="BU48" s="669"/>
      <c r="BV48" s="673"/>
      <c r="BW48" s="669"/>
      <c r="BX48" s="669"/>
      <c r="BY48" s="669"/>
      <c r="BZ48" s="669"/>
      <c r="CA48" s="669"/>
      <c r="CB48" s="669"/>
      <c r="CC48" s="669"/>
      <c r="CD48" s="669"/>
      <c r="CE48" s="669"/>
      <c r="CF48" s="669"/>
      <c r="CG48" s="669"/>
      <c r="CH48" s="669"/>
      <c r="CI48" s="669"/>
      <c r="CJ48" s="669"/>
      <c r="CK48" s="669"/>
      <c r="CL48" s="674"/>
      <c r="CM48" s="669"/>
      <c r="CN48" s="669"/>
      <c r="CO48" s="669"/>
      <c r="CP48" s="669"/>
      <c r="CQ48" s="669"/>
      <c r="CR48" s="669"/>
      <c r="CS48" s="669"/>
      <c r="CT48" s="656"/>
      <c r="CU48" s="656"/>
      <c r="CV48" s="656"/>
      <c r="CW48" s="656"/>
      <c r="CX48" s="656"/>
      <c r="CY48" s="656"/>
      <c r="CZ48" s="656"/>
      <c r="DA48" s="657"/>
      <c r="DB48" s="728"/>
    </row>
    <row r="49" spans="1:106" s="725" customFormat="1" ht="18" customHeight="1" x14ac:dyDescent="0.25">
      <c r="A49" s="594">
        <v>37</v>
      </c>
      <c r="B49" s="594">
        <v>18</v>
      </c>
      <c r="C49" s="636" t="s">
        <v>1278</v>
      </c>
      <c r="D49" s="637"/>
      <c r="E49" s="603" t="s">
        <v>521</v>
      </c>
      <c r="F49" s="638"/>
      <c r="G49" s="639">
        <v>6322</v>
      </c>
      <c r="H49" s="640">
        <f t="shared" si="5"/>
        <v>1.1011405042742783E-2</v>
      </c>
      <c r="I49" s="641">
        <v>3305</v>
      </c>
      <c r="J49" s="642">
        <v>436</v>
      </c>
      <c r="K49" s="643">
        <v>2581</v>
      </c>
      <c r="L49" s="69">
        <f t="shared" si="6"/>
        <v>0.40825688073394495</v>
      </c>
      <c r="M49" s="610"/>
      <c r="N49" s="714">
        <v>40360</v>
      </c>
      <c r="O49" s="143">
        <f t="shared" ca="1" si="7"/>
        <v>7.7563468513023421</v>
      </c>
      <c r="P49" s="610"/>
      <c r="Q49" s="715">
        <v>43100</v>
      </c>
      <c r="R49" s="610"/>
      <c r="S49" s="64">
        <f t="shared" ca="1" si="8"/>
        <v>9.2977250247279919</v>
      </c>
      <c r="T49" s="610"/>
      <c r="U49" s="716" t="s">
        <v>591</v>
      </c>
      <c r="V49" s="67">
        <v>12</v>
      </c>
      <c r="W49" s="610"/>
      <c r="X49" s="92">
        <f t="shared" si="9"/>
        <v>43465</v>
      </c>
      <c r="Y49" s="610"/>
      <c r="Z49" s="705" t="s">
        <v>135</v>
      </c>
      <c r="AA49" s="610"/>
      <c r="AB49" s="717" t="s">
        <v>1004</v>
      </c>
      <c r="AC49" s="718"/>
      <c r="AD49" s="649"/>
      <c r="AE49" s="649"/>
      <c r="AF49" s="719"/>
      <c r="AG49" s="720"/>
      <c r="AH49" s="721"/>
      <c r="AI49" s="722"/>
      <c r="AJ49" s="542"/>
      <c r="AK49" s="723"/>
      <c r="AL49" s="722"/>
      <c r="AM49" s="722"/>
      <c r="AN49" s="542"/>
      <c r="AO49" s="724"/>
      <c r="AQ49" s="655"/>
      <c r="AR49" s="656"/>
      <c r="AS49" s="656"/>
      <c r="AT49" s="656"/>
      <c r="AU49" s="657"/>
      <c r="AV49" s="655"/>
      <c r="AW49" s="656"/>
      <c r="AX49" s="656"/>
      <c r="AY49" s="656"/>
      <c r="AZ49" s="657"/>
      <c r="BA49" s="726"/>
      <c r="BB49" s="656"/>
      <c r="BC49" s="656"/>
      <c r="BD49" s="656"/>
      <c r="BE49" s="656"/>
      <c r="BF49" s="674"/>
      <c r="BG49" s="656"/>
      <c r="BH49" s="656"/>
      <c r="BI49" s="656"/>
      <c r="BJ49" s="656"/>
      <c r="BK49" s="727"/>
      <c r="BL49" s="668"/>
      <c r="BM49" s="669"/>
      <c r="BN49" s="669"/>
      <c r="BO49" s="669"/>
      <c r="BP49" s="670"/>
      <c r="BQ49" s="668"/>
      <c r="BR49" s="669"/>
      <c r="BS49" s="669"/>
      <c r="BT49" s="670"/>
      <c r="BU49" s="669"/>
      <c r="BV49" s="673"/>
      <c r="BW49" s="669"/>
      <c r="BX49" s="669"/>
      <c r="BY49" s="669"/>
      <c r="BZ49" s="669"/>
      <c r="CA49" s="669"/>
      <c r="CB49" s="669"/>
      <c r="CC49" s="669"/>
      <c r="CD49" s="669"/>
      <c r="CE49" s="669"/>
      <c r="CF49" s="669"/>
      <c r="CG49" s="669"/>
      <c r="CH49" s="669"/>
      <c r="CI49" s="669"/>
      <c r="CJ49" s="669"/>
      <c r="CK49" s="669"/>
      <c r="CL49" s="674"/>
      <c r="CM49" s="669"/>
      <c r="CN49" s="669"/>
      <c r="CO49" s="669"/>
      <c r="CP49" s="669"/>
      <c r="CQ49" s="669"/>
      <c r="CR49" s="669"/>
      <c r="CS49" s="669"/>
      <c r="CT49" s="656"/>
      <c r="CU49" s="656"/>
      <c r="CV49" s="656"/>
      <c r="CW49" s="656"/>
      <c r="CX49" s="656"/>
      <c r="CY49" s="656"/>
      <c r="CZ49" s="656"/>
      <c r="DA49" s="657"/>
      <c r="DB49" s="728"/>
    </row>
    <row r="50" spans="1:106" s="725" customFormat="1" ht="18" customHeight="1" x14ac:dyDescent="0.25">
      <c r="A50" s="594">
        <v>38</v>
      </c>
      <c r="B50" s="594">
        <v>20</v>
      </c>
      <c r="C50" s="664" t="s">
        <v>1279</v>
      </c>
      <c r="D50" s="665"/>
      <c r="E50" s="603" t="s">
        <v>548</v>
      </c>
      <c r="F50" s="638"/>
      <c r="G50" s="639">
        <v>5643</v>
      </c>
      <c r="H50" s="640">
        <f t="shared" si="5"/>
        <v>9.8287501828847722E-3</v>
      </c>
      <c r="I50" s="641">
        <v>4348.8999999999996</v>
      </c>
      <c r="J50" s="642">
        <v>430</v>
      </c>
      <c r="K50" s="643">
        <v>863.8</v>
      </c>
      <c r="L50" s="69">
        <f t="shared" si="6"/>
        <v>0.15307460570618464</v>
      </c>
      <c r="M50" s="610"/>
      <c r="N50" s="714">
        <v>42240</v>
      </c>
      <c r="O50" s="143">
        <f t="shared" ca="1" si="7"/>
        <v>2.5909440597867897</v>
      </c>
      <c r="P50" s="610"/>
      <c r="Q50" s="715">
        <v>43343</v>
      </c>
      <c r="R50" s="610"/>
      <c r="S50" s="64">
        <f t="shared" ca="1" si="8"/>
        <v>5.275304978569074</v>
      </c>
      <c r="T50" s="610"/>
      <c r="U50" s="716" t="s">
        <v>592</v>
      </c>
      <c r="V50" s="67"/>
      <c r="W50" s="610"/>
      <c r="X50" s="92">
        <f t="shared" si="9"/>
        <v>43343</v>
      </c>
      <c r="Y50" s="610"/>
      <c r="Z50" s="705"/>
      <c r="AA50" s="610"/>
      <c r="AB50" s="717" t="s">
        <v>1005</v>
      </c>
      <c r="AC50" s="718"/>
      <c r="AD50" s="649" t="s">
        <v>534</v>
      </c>
      <c r="AE50" s="649" t="s">
        <v>1006</v>
      </c>
      <c r="AF50" s="719" t="s">
        <v>1007</v>
      </c>
      <c r="AG50" s="720" t="s">
        <v>1008</v>
      </c>
      <c r="AH50" s="721" t="s">
        <v>536</v>
      </c>
      <c r="AI50" s="722" t="s">
        <v>1009</v>
      </c>
      <c r="AJ50" s="542" t="s">
        <v>1010</v>
      </c>
      <c r="AK50" s="723" t="s">
        <v>1011</v>
      </c>
      <c r="AL50" s="730"/>
      <c r="AM50" s="730"/>
      <c r="AN50" s="731"/>
      <c r="AO50" s="733"/>
      <c r="AQ50" s="655"/>
      <c r="AR50" s="656"/>
      <c r="AS50" s="656"/>
      <c r="AT50" s="656"/>
      <c r="AU50" s="657"/>
      <c r="AV50" s="655"/>
      <c r="AW50" s="656"/>
      <c r="AX50" s="656"/>
      <c r="AY50" s="656"/>
      <c r="AZ50" s="657"/>
      <c r="BA50" s="726"/>
      <c r="BB50" s="656"/>
      <c r="BC50" s="656"/>
      <c r="BD50" s="656"/>
      <c r="BE50" s="656"/>
      <c r="BF50" s="674"/>
      <c r="BG50" s="656"/>
      <c r="BH50" s="656"/>
      <c r="BI50" s="656"/>
      <c r="BJ50" s="656"/>
      <c r="BK50" s="727"/>
      <c r="BL50" s="668"/>
      <c r="BM50" s="669"/>
      <c r="BN50" s="669"/>
      <c r="BO50" s="669"/>
      <c r="BP50" s="670"/>
      <c r="BQ50" s="668"/>
      <c r="BR50" s="669"/>
      <c r="BS50" s="669"/>
      <c r="BT50" s="670"/>
      <c r="BU50" s="669"/>
      <c r="BV50" s="673"/>
      <c r="BW50" s="669"/>
      <c r="BX50" s="669"/>
      <c r="BY50" s="669"/>
      <c r="BZ50" s="669"/>
      <c r="CA50" s="669"/>
      <c r="CB50" s="669"/>
      <c r="CC50" s="669"/>
      <c r="CD50" s="669"/>
      <c r="CE50" s="669"/>
      <c r="CF50" s="669"/>
      <c r="CG50" s="669"/>
      <c r="CH50" s="669"/>
      <c r="CI50" s="669"/>
      <c r="CJ50" s="669"/>
      <c r="CK50" s="669"/>
      <c r="CL50" s="674"/>
      <c r="CM50" s="669"/>
      <c r="CN50" s="669"/>
      <c r="CO50" s="669"/>
      <c r="CP50" s="669"/>
      <c r="CQ50" s="669"/>
      <c r="CR50" s="669"/>
      <c r="CS50" s="669"/>
      <c r="CT50" s="656"/>
      <c r="CU50" s="656"/>
      <c r="CV50" s="656"/>
      <c r="CW50" s="656"/>
      <c r="CX50" s="656"/>
      <c r="CY50" s="656"/>
      <c r="CZ50" s="656"/>
      <c r="DA50" s="657"/>
      <c r="DB50" s="728"/>
    </row>
    <row r="51" spans="1:106" s="725" customFormat="1" ht="18" customHeight="1" x14ac:dyDescent="0.25">
      <c r="A51" s="594">
        <v>39</v>
      </c>
      <c r="B51" s="594"/>
      <c r="C51" s="675" t="s">
        <v>1280</v>
      </c>
      <c r="D51" s="676"/>
      <c r="E51" s="677" t="s">
        <v>521</v>
      </c>
      <c r="F51" s="678" t="s">
        <v>527</v>
      </c>
      <c r="G51" s="784">
        <v>5214</v>
      </c>
      <c r="H51" s="785">
        <f t="shared" si="5"/>
        <v>9.0815352567005497E-3</v>
      </c>
      <c r="I51" s="786">
        <v>4416.3999999999996</v>
      </c>
      <c r="J51" s="787">
        <v>5.5</v>
      </c>
      <c r="K51" s="788">
        <v>792.3</v>
      </c>
      <c r="L51" s="789">
        <f t="shared" si="6"/>
        <v>0.15195627157652472</v>
      </c>
      <c r="M51" s="610"/>
      <c r="N51" s="715">
        <v>41275</v>
      </c>
      <c r="O51" s="790">
        <f t="shared" ca="1" si="7"/>
        <v>5.2423343224530177</v>
      </c>
      <c r="P51" s="610"/>
      <c r="Q51" s="715">
        <v>43100</v>
      </c>
      <c r="R51" s="610"/>
      <c r="S51" s="791">
        <f t="shared" ca="1" si="8"/>
        <v>-2.7365644576327068</v>
      </c>
      <c r="T51" s="610"/>
      <c r="U51" s="716" t="s">
        <v>591</v>
      </c>
      <c r="V51" s="67"/>
      <c r="W51" s="610"/>
      <c r="X51" s="792">
        <f t="shared" si="9"/>
        <v>43100</v>
      </c>
      <c r="Y51" s="610"/>
      <c r="Z51" s="793"/>
      <c r="AA51" s="610"/>
      <c r="AB51" s="717"/>
      <c r="AC51" s="718"/>
      <c r="AD51" s="649"/>
      <c r="AE51" s="649"/>
      <c r="AF51" s="794"/>
      <c r="AG51" s="795"/>
      <c r="AH51" s="721"/>
      <c r="AI51" s="722"/>
      <c r="AJ51" s="796"/>
      <c r="AK51" s="797"/>
      <c r="AL51" s="722"/>
      <c r="AM51" s="722"/>
      <c r="AN51" s="796"/>
      <c r="AO51" s="798"/>
      <c r="AP51" s="799"/>
      <c r="AQ51" s="688"/>
      <c r="AR51" s="689"/>
      <c r="AS51" s="689"/>
      <c r="AT51" s="689"/>
      <c r="AU51" s="690"/>
      <c r="AV51" s="688"/>
      <c r="AW51" s="689"/>
      <c r="AX51" s="689"/>
      <c r="AY51" s="689"/>
      <c r="AZ51" s="690"/>
      <c r="BA51" s="800"/>
      <c r="BB51" s="689"/>
      <c r="BC51" s="689"/>
      <c r="BD51" s="689"/>
      <c r="BE51" s="689"/>
      <c r="BF51" s="689"/>
      <c r="BG51" s="689"/>
      <c r="BH51" s="689"/>
      <c r="BI51" s="689"/>
      <c r="BJ51" s="689"/>
      <c r="BK51" s="801"/>
      <c r="BL51" s="802"/>
      <c r="BM51" s="803"/>
      <c r="BN51" s="803"/>
      <c r="BO51" s="803"/>
      <c r="BP51" s="804"/>
      <c r="BQ51" s="802"/>
      <c r="BR51" s="803"/>
      <c r="BS51" s="803"/>
      <c r="BT51" s="804"/>
      <c r="BU51" s="803"/>
      <c r="BV51" s="805"/>
      <c r="BW51" s="803"/>
      <c r="BX51" s="803"/>
      <c r="BY51" s="803"/>
      <c r="BZ51" s="803"/>
      <c r="CA51" s="803"/>
      <c r="CB51" s="803"/>
      <c r="CC51" s="803"/>
      <c r="CD51" s="803"/>
      <c r="CE51" s="803"/>
      <c r="CF51" s="803"/>
      <c r="CG51" s="803"/>
      <c r="CH51" s="803"/>
      <c r="CI51" s="803"/>
      <c r="CJ51" s="803"/>
      <c r="CK51" s="803"/>
      <c r="CL51" s="689"/>
      <c r="CM51" s="669"/>
      <c r="CN51" s="669"/>
      <c r="CO51" s="669"/>
      <c r="CP51" s="669"/>
      <c r="CQ51" s="669"/>
      <c r="CR51" s="669"/>
      <c r="CS51" s="669"/>
      <c r="CT51" s="656"/>
      <c r="CU51" s="656"/>
      <c r="CV51" s="656"/>
      <c r="CW51" s="656"/>
      <c r="CX51" s="656"/>
      <c r="CY51" s="656"/>
      <c r="CZ51" s="656"/>
      <c r="DA51" s="657"/>
      <c r="DB51" s="728"/>
    </row>
    <row r="52" spans="1:106" s="725" customFormat="1" ht="18" customHeight="1" x14ac:dyDescent="0.25">
      <c r="A52" s="594">
        <v>40</v>
      </c>
      <c r="B52" s="594"/>
      <c r="C52" s="675" t="s">
        <v>1291</v>
      </c>
      <c r="D52" s="676"/>
      <c r="E52" s="677" t="s">
        <v>580</v>
      </c>
      <c r="F52" s="678" t="s">
        <v>527</v>
      </c>
      <c r="G52" s="784">
        <v>4981</v>
      </c>
      <c r="H52" s="785">
        <f t="shared" si="5"/>
        <v>8.6757052385165786E-3</v>
      </c>
      <c r="I52" s="786">
        <v>4262.3999999999996</v>
      </c>
      <c r="J52" s="787">
        <v>143.6</v>
      </c>
      <c r="K52" s="788">
        <v>575.5</v>
      </c>
      <c r="L52" s="789">
        <f t="shared" si="6"/>
        <v>0.11553904838385866</v>
      </c>
      <c r="M52" s="610"/>
      <c r="N52" s="715">
        <v>41640</v>
      </c>
      <c r="O52" s="790">
        <f t="shared" ca="1" si="7"/>
        <v>4.2394768655896256</v>
      </c>
      <c r="P52" s="610"/>
      <c r="Q52" s="715">
        <v>43100</v>
      </c>
      <c r="R52" s="610"/>
      <c r="S52" s="791">
        <f t="shared" ca="1" si="8"/>
        <v>-2.7365644576327068</v>
      </c>
      <c r="T52" s="610"/>
      <c r="U52" s="716" t="s">
        <v>592</v>
      </c>
      <c r="V52" s="67"/>
      <c r="W52" s="610"/>
      <c r="X52" s="792">
        <f t="shared" si="9"/>
        <v>43100</v>
      </c>
      <c r="Y52" s="610"/>
      <c r="Z52" s="793" t="s">
        <v>551</v>
      </c>
      <c r="AA52" s="610"/>
      <c r="AB52" s="717"/>
      <c r="AC52" s="718"/>
      <c r="AD52" s="649" t="s">
        <v>534</v>
      </c>
      <c r="AE52" s="649" t="s">
        <v>1012</v>
      </c>
      <c r="AF52" s="794" t="s">
        <v>1013</v>
      </c>
      <c r="AG52" s="795"/>
      <c r="AH52" s="721"/>
      <c r="AI52" s="722"/>
      <c r="AJ52" s="796"/>
      <c r="AK52" s="797"/>
      <c r="AL52" s="722"/>
      <c r="AM52" s="722"/>
      <c r="AN52" s="796"/>
      <c r="AO52" s="798"/>
      <c r="AP52" s="799"/>
      <c r="AQ52" s="688"/>
      <c r="AR52" s="689"/>
      <c r="AS52" s="689"/>
      <c r="AT52" s="689"/>
      <c r="AU52" s="690"/>
      <c r="AV52" s="688"/>
      <c r="AW52" s="689"/>
      <c r="AX52" s="689"/>
      <c r="AY52" s="689"/>
      <c r="AZ52" s="690"/>
      <c r="BA52" s="800"/>
      <c r="BB52" s="689"/>
      <c r="BC52" s="689"/>
      <c r="BD52" s="689"/>
      <c r="BE52" s="689"/>
      <c r="BF52" s="689"/>
      <c r="BG52" s="689"/>
      <c r="BH52" s="689"/>
      <c r="BI52" s="689"/>
      <c r="BJ52" s="689"/>
      <c r="BK52" s="801"/>
      <c r="BL52" s="802"/>
      <c r="BM52" s="803"/>
      <c r="BN52" s="803"/>
      <c r="BO52" s="803"/>
      <c r="BP52" s="804"/>
      <c r="BQ52" s="802"/>
      <c r="BR52" s="803"/>
      <c r="BS52" s="803"/>
      <c r="BT52" s="804"/>
      <c r="BU52" s="803"/>
      <c r="BV52" s="805"/>
      <c r="BW52" s="803"/>
      <c r="BX52" s="803"/>
      <c r="BY52" s="803"/>
      <c r="BZ52" s="803"/>
      <c r="CA52" s="803"/>
      <c r="CB52" s="803"/>
      <c r="CC52" s="803"/>
      <c r="CD52" s="803"/>
      <c r="CE52" s="803"/>
      <c r="CF52" s="803"/>
      <c r="CG52" s="803"/>
      <c r="CH52" s="803"/>
      <c r="CI52" s="803"/>
      <c r="CJ52" s="803"/>
      <c r="CK52" s="803"/>
      <c r="CL52" s="689"/>
      <c r="CM52" s="669"/>
      <c r="CN52" s="669"/>
      <c r="CO52" s="669"/>
      <c r="CP52" s="669"/>
      <c r="CQ52" s="669"/>
      <c r="CR52" s="669"/>
      <c r="CS52" s="669"/>
      <c r="CT52" s="656"/>
      <c r="CU52" s="656"/>
      <c r="CV52" s="656"/>
      <c r="CW52" s="656"/>
      <c r="CX52" s="656"/>
      <c r="CY52" s="656"/>
      <c r="CZ52" s="656"/>
      <c r="DA52" s="657"/>
      <c r="DB52" s="728"/>
    </row>
    <row r="53" spans="1:106" s="725" customFormat="1" ht="18" customHeight="1" x14ac:dyDescent="0.25">
      <c r="A53" s="594">
        <v>41</v>
      </c>
      <c r="B53" s="594">
        <v>21</v>
      </c>
      <c r="C53" s="636" t="s">
        <v>1292</v>
      </c>
      <c r="D53" s="637" t="s">
        <v>1295</v>
      </c>
      <c r="E53" s="603" t="s">
        <v>547</v>
      </c>
      <c r="F53" s="638"/>
      <c r="G53" s="639">
        <v>4309</v>
      </c>
      <c r="H53" s="640">
        <f t="shared" si="5"/>
        <v>7.5052426968014322E-3</v>
      </c>
      <c r="I53" s="641">
        <v>2706.1</v>
      </c>
      <c r="J53" s="642">
        <v>243.5</v>
      </c>
      <c r="K53" s="643">
        <v>1359.1</v>
      </c>
      <c r="L53" s="69">
        <f t="shared" si="6"/>
        <v>0.31540960779763283</v>
      </c>
      <c r="M53" s="610"/>
      <c r="N53" s="714">
        <v>41671</v>
      </c>
      <c r="O53" s="143">
        <f t="shared" ca="1" si="7"/>
        <v>4.1543026706231458</v>
      </c>
      <c r="P53" s="610"/>
      <c r="Q53" s="715">
        <v>42766</v>
      </c>
      <c r="R53" s="610"/>
      <c r="S53" s="64">
        <f t="shared" ca="1" si="8"/>
        <v>-1.714474118034949</v>
      </c>
      <c r="T53" s="610"/>
      <c r="U53" s="716" t="s">
        <v>591</v>
      </c>
      <c r="V53" s="67">
        <v>12</v>
      </c>
      <c r="W53" s="610"/>
      <c r="X53" s="92">
        <f t="shared" si="9"/>
        <v>43131</v>
      </c>
      <c r="Y53" s="610"/>
      <c r="Z53" s="705" t="s">
        <v>135</v>
      </c>
      <c r="AA53" s="610"/>
      <c r="AB53" s="717" t="s">
        <v>1014</v>
      </c>
      <c r="AC53" s="718"/>
      <c r="AD53" s="649" t="s">
        <v>536</v>
      </c>
      <c r="AE53" s="649" t="s">
        <v>1015</v>
      </c>
      <c r="AF53" s="719" t="s">
        <v>1016</v>
      </c>
      <c r="AG53" s="720" t="s">
        <v>1017</v>
      </c>
      <c r="AH53" s="729"/>
      <c r="AI53" s="730"/>
      <c r="AJ53" s="731"/>
      <c r="AK53" s="732"/>
      <c r="AL53" s="730"/>
      <c r="AM53" s="730"/>
      <c r="AN53" s="731"/>
      <c r="AO53" s="733"/>
      <c r="AQ53" s="655"/>
      <c r="AR53" s="656"/>
      <c r="AS53" s="656"/>
      <c r="AT53" s="656"/>
      <c r="AU53" s="657"/>
      <c r="AV53" s="655"/>
      <c r="AW53" s="656"/>
      <c r="AX53" s="656"/>
      <c r="AY53" s="656"/>
      <c r="AZ53" s="657"/>
      <c r="BA53" s="726"/>
      <c r="BB53" s="656"/>
      <c r="BC53" s="656"/>
      <c r="BD53" s="656"/>
      <c r="BE53" s="656"/>
      <c r="BF53" s="674"/>
      <c r="BG53" s="656"/>
      <c r="BH53" s="656"/>
      <c r="BI53" s="656"/>
      <c r="BJ53" s="656"/>
      <c r="BK53" s="727"/>
      <c r="BL53" s="668"/>
      <c r="BM53" s="669"/>
      <c r="BN53" s="669"/>
      <c r="BO53" s="669"/>
      <c r="BP53" s="670"/>
      <c r="BQ53" s="668"/>
      <c r="BR53" s="669"/>
      <c r="BS53" s="669"/>
      <c r="BT53" s="670"/>
      <c r="BU53" s="669"/>
      <c r="BV53" s="673"/>
      <c r="BW53" s="669"/>
      <c r="BX53" s="669"/>
      <c r="BY53" s="669"/>
      <c r="BZ53" s="669"/>
      <c r="CA53" s="669"/>
      <c r="CB53" s="669"/>
      <c r="CC53" s="669"/>
      <c r="CD53" s="669"/>
      <c r="CE53" s="669"/>
      <c r="CF53" s="669"/>
      <c r="CG53" s="669"/>
      <c r="CH53" s="669"/>
      <c r="CI53" s="669"/>
      <c r="CJ53" s="669"/>
      <c r="CK53" s="669"/>
      <c r="CL53" s="674"/>
      <c r="CM53" s="669"/>
      <c r="CN53" s="669"/>
      <c r="CO53" s="669"/>
      <c r="CP53" s="669"/>
      <c r="CQ53" s="669"/>
      <c r="CR53" s="669"/>
      <c r="CS53" s="669"/>
      <c r="CT53" s="656"/>
      <c r="CU53" s="656"/>
      <c r="CV53" s="656"/>
      <c r="CW53" s="656"/>
      <c r="CX53" s="656"/>
      <c r="CY53" s="656"/>
      <c r="CZ53" s="656"/>
      <c r="DA53" s="657"/>
      <c r="DB53" s="728"/>
    </row>
    <row r="54" spans="1:106" s="740" customFormat="1" ht="18" customHeight="1" x14ac:dyDescent="0.25">
      <c r="A54" s="594">
        <v>42</v>
      </c>
      <c r="B54" s="594">
        <v>21</v>
      </c>
      <c r="C54" s="601" t="s">
        <v>1293</v>
      </c>
      <c r="D54" s="734" t="s">
        <v>1296</v>
      </c>
      <c r="E54" s="735" t="s">
        <v>521</v>
      </c>
      <c r="F54" s="604"/>
      <c r="G54" s="605">
        <v>928.82</v>
      </c>
      <c r="H54" s="640">
        <f t="shared" si="5"/>
        <v>1.6177812767795561E-3</v>
      </c>
      <c r="I54" s="607">
        <v>513.80999999999995</v>
      </c>
      <c r="J54" s="608">
        <v>133.34</v>
      </c>
      <c r="K54" s="609">
        <v>282</v>
      </c>
      <c r="L54" s="69">
        <f t="shared" si="6"/>
        <v>0.30361103335414824</v>
      </c>
      <c r="M54" s="736"/>
      <c r="N54" s="737">
        <v>42979</v>
      </c>
      <c r="O54" s="143">
        <f t="shared" ca="1" si="7"/>
        <v>0.56050115397296407</v>
      </c>
      <c r="P54" s="736"/>
      <c r="Q54" s="715">
        <v>44074</v>
      </c>
      <c r="R54" s="736"/>
      <c r="S54" s="64">
        <f t="shared" ca="1" si="8"/>
        <v>29.376854599406531</v>
      </c>
      <c r="T54" s="736"/>
      <c r="U54" s="716" t="s">
        <v>591</v>
      </c>
      <c r="V54" s="616"/>
      <c r="W54" s="736"/>
      <c r="X54" s="617">
        <f t="shared" si="9"/>
        <v>44074</v>
      </c>
      <c r="Y54" s="736"/>
      <c r="Z54" s="618"/>
      <c r="AA54" s="736"/>
      <c r="AB54" s="619" t="s">
        <v>1018</v>
      </c>
      <c r="AC54" s="736"/>
      <c r="AD54" s="649"/>
      <c r="AE54" s="738"/>
      <c r="AF54" s="739"/>
      <c r="AG54" s="739"/>
      <c r="AH54" s="738"/>
      <c r="AI54" s="738"/>
      <c r="AJ54" s="739"/>
      <c r="AK54" s="739"/>
      <c r="AL54" s="738"/>
      <c r="AM54" s="738"/>
      <c r="AN54" s="739"/>
      <c r="AO54" s="739"/>
      <c r="AQ54" s="741"/>
      <c r="AR54" s="741"/>
      <c r="AS54" s="741"/>
      <c r="AT54" s="741"/>
      <c r="AU54" s="741"/>
      <c r="AV54" s="741"/>
      <c r="AW54" s="741"/>
      <c r="AX54" s="741"/>
      <c r="AY54" s="741"/>
      <c r="AZ54" s="741"/>
      <c r="BA54" s="741"/>
      <c r="BB54" s="741"/>
      <c r="BC54" s="741"/>
      <c r="BD54" s="741"/>
      <c r="BE54" s="741"/>
      <c r="BF54" s="742"/>
      <c r="BG54" s="741"/>
      <c r="BH54" s="741"/>
      <c r="BI54" s="741"/>
      <c r="BJ54" s="741"/>
      <c r="BK54" s="741"/>
      <c r="BL54" s="741"/>
      <c r="BM54" s="741"/>
      <c r="BN54" s="741"/>
      <c r="BO54" s="741"/>
      <c r="BP54" s="741"/>
      <c r="BQ54" s="741"/>
      <c r="BR54" s="741"/>
      <c r="BS54" s="741"/>
      <c r="BT54" s="741"/>
      <c r="BU54" s="743"/>
      <c r="BV54" s="744"/>
      <c r="BW54" s="741"/>
      <c r="BX54" s="741"/>
      <c r="BY54" s="741"/>
      <c r="BZ54" s="741"/>
      <c r="CA54" s="741"/>
      <c r="CB54" s="741"/>
      <c r="CC54" s="741"/>
      <c r="CD54" s="741"/>
      <c r="CE54" s="741"/>
      <c r="CF54" s="741"/>
      <c r="CG54" s="741"/>
      <c r="CH54" s="741"/>
      <c r="CI54" s="741"/>
      <c r="CJ54" s="741"/>
      <c r="CK54" s="741"/>
      <c r="CL54" s="742"/>
      <c r="CM54" s="741"/>
      <c r="CN54" s="741"/>
      <c r="CO54" s="741"/>
      <c r="CP54" s="741"/>
      <c r="CQ54" s="741"/>
      <c r="CR54" s="741"/>
      <c r="CS54" s="741"/>
      <c r="CT54" s="741"/>
      <c r="CU54" s="741"/>
      <c r="CV54" s="741"/>
      <c r="CW54" s="741"/>
      <c r="CX54" s="741"/>
      <c r="CY54" s="741"/>
      <c r="CZ54" s="741"/>
      <c r="DA54" s="745"/>
      <c r="DB54" s="746"/>
    </row>
    <row r="55" spans="1:106" s="740" customFormat="1" ht="18" customHeight="1" x14ac:dyDescent="0.25">
      <c r="A55" s="594">
        <v>43</v>
      </c>
      <c r="B55" s="594"/>
      <c r="C55" s="601" t="s">
        <v>1019</v>
      </c>
      <c r="D55" s="734" t="s">
        <v>1297</v>
      </c>
      <c r="E55" s="735" t="s">
        <v>521</v>
      </c>
      <c r="F55" s="604"/>
      <c r="G55" s="605">
        <v>1284.97</v>
      </c>
      <c r="H55" s="640">
        <f t="shared" si="5"/>
        <v>2.238109006291236E-3</v>
      </c>
      <c r="I55" s="607">
        <v>835.27</v>
      </c>
      <c r="J55" s="608">
        <v>200.08</v>
      </c>
      <c r="K55" s="609">
        <v>250</v>
      </c>
      <c r="L55" s="69">
        <f t="shared" si="6"/>
        <v>0.19455707137131606</v>
      </c>
      <c r="M55" s="736"/>
      <c r="N55" s="737">
        <v>42979</v>
      </c>
      <c r="O55" s="143">
        <f t="shared" ca="1" si="7"/>
        <v>0.56050115397296407</v>
      </c>
      <c r="P55" s="736"/>
      <c r="Q55" s="715">
        <v>44074</v>
      </c>
      <c r="R55" s="736"/>
      <c r="S55" s="64">
        <f t="shared" ca="1" si="8"/>
        <v>29.376854599406531</v>
      </c>
      <c r="T55" s="736"/>
      <c r="U55" s="716" t="s">
        <v>591</v>
      </c>
      <c r="V55" s="616"/>
      <c r="W55" s="736"/>
      <c r="X55" s="617">
        <f t="shared" si="9"/>
        <v>44074</v>
      </c>
      <c r="Y55" s="736"/>
      <c r="Z55" s="618"/>
      <c r="AA55" s="736"/>
      <c r="AB55" s="619" t="s">
        <v>1018</v>
      </c>
      <c r="AC55" s="736"/>
      <c r="AD55" s="649" t="s">
        <v>534</v>
      </c>
      <c r="AE55" s="738" t="s">
        <v>1020</v>
      </c>
      <c r="AF55" s="622" t="s">
        <v>1021</v>
      </c>
      <c r="AG55" s="622" t="s">
        <v>1022</v>
      </c>
      <c r="AH55" s="747"/>
      <c r="AI55" s="747"/>
      <c r="AJ55" s="748"/>
      <c r="AK55" s="748"/>
      <c r="AL55" s="747"/>
      <c r="AM55" s="747"/>
      <c r="AN55" s="748"/>
      <c r="AO55" s="748"/>
      <c r="AQ55" s="741"/>
      <c r="AR55" s="741"/>
      <c r="AS55" s="741"/>
      <c r="AT55" s="741"/>
      <c r="AU55" s="741"/>
      <c r="AV55" s="741"/>
      <c r="AW55" s="741"/>
      <c r="AX55" s="741"/>
      <c r="AY55" s="741"/>
      <c r="AZ55" s="741"/>
      <c r="BA55" s="741"/>
      <c r="BB55" s="741"/>
      <c r="BC55" s="741"/>
      <c r="BD55" s="741"/>
      <c r="BE55" s="741"/>
      <c r="BF55" s="742"/>
      <c r="BG55" s="741"/>
      <c r="BH55" s="741"/>
      <c r="BI55" s="741"/>
      <c r="BJ55" s="741"/>
      <c r="BK55" s="741"/>
      <c r="BL55" s="741"/>
      <c r="BM55" s="741"/>
      <c r="BN55" s="741"/>
      <c r="BO55" s="741"/>
      <c r="BP55" s="741"/>
      <c r="BQ55" s="741"/>
      <c r="BR55" s="741"/>
      <c r="BS55" s="741"/>
      <c r="BT55" s="741"/>
      <c r="BU55" s="743"/>
      <c r="BV55" s="744"/>
      <c r="BW55" s="741"/>
      <c r="BX55" s="741"/>
      <c r="BY55" s="741"/>
      <c r="BZ55" s="741"/>
      <c r="CA55" s="741"/>
      <c r="CB55" s="741"/>
      <c r="CC55" s="741"/>
      <c r="CD55" s="741"/>
      <c r="CE55" s="741"/>
      <c r="CF55" s="741"/>
      <c r="CG55" s="741"/>
      <c r="CH55" s="741"/>
      <c r="CI55" s="741"/>
      <c r="CJ55" s="741"/>
      <c r="CK55" s="741"/>
      <c r="CL55" s="742"/>
      <c r="CM55" s="741"/>
      <c r="CN55" s="741"/>
      <c r="CO55" s="741"/>
      <c r="CP55" s="741"/>
      <c r="CQ55" s="741"/>
      <c r="CR55" s="741"/>
      <c r="CS55" s="741"/>
      <c r="CT55" s="741"/>
      <c r="CU55" s="741"/>
      <c r="CV55" s="741"/>
      <c r="CW55" s="741"/>
      <c r="CX55" s="741"/>
      <c r="CY55" s="741"/>
      <c r="CZ55" s="741"/>
      <c r="DA55" s="745"/>
      <c r="DB55" s="746"/>
    </row>
    <row r="56" spans="1:106" s="740" customFormat="1" ht="18" customHeight="1" x14ac:dyDescent="0.25">
      <c r="A56" s="594">
        <v>44</v>
      </c>
      <c r="B56" s="594"/>
      <c r="C56" s="601" t="s">
        <v>1294</v>
      </c>
      <c r="D56" s="734" t="s">
        <v>1298</v>
      </c>
      <c r="E56" s="735" t="s">
        <v>521</v>
      </c>
      <c r="F56" s="604"/>
      <c r="G56" s="605">
        <v>2055</v>
      </c>
      <c r="H56" s="640">
        <f t="shared" si="5"/>
        <v>3.5793162547985481E-3</v>
      </c>
      <c r="I56" s="607">
        <v>1210</v>
      </c>
      <c r="J56" s="608">
        <v>200.08</v>
      </c>
      <c r="K56" s="609">
        <v>645</v>
      </c>
      <c r="L56" s="69">
        <f t="shared" si="6"/>
        <v>0.31386861313868614</v>
      </c>
      <c r="M56" s="736"/>
      <c r="N56" s="737">
        <v>43101</v>
      </c>
      <c r="O56" s="143">
        <f t="shared" ca="1" si="7"/>
        <v>0.22529948345972087</v>
      </c>
      <c r="P56" s="736"/>
      <c r="Q56" s="715">
        <v>44196</v>
      </c>
      <c r="R56" s="736"/>
      <c r="S56" s="64">
        <f t="shared" ca="1" si="8"/>
        <v>33.399274645565448</v>
      </c>
      <c r="T56" s="736"/>
      <c r="U56" s="716" t="s">
        <v>591</v>
      </c>
      <c r="V56" s="616"/>
      <c r="W56" s="736"/>
      <c r="X56" s="617">
        <f t="shared" si="9"/>
        <v>44196</v>
      </c>
      <c r="Y56" s="736"/>
      <c r="Z56" s="618"/>
      <c r="AA56" s="736"/>
      <c r="AB56" s="619" t="s">
        <v>1018</v>
      </c>
      <c r="AC56" s="736"/>
      <c r="AD56" s="649" t="s">
        <v>534</v>
      </c>
      <c r="AE56" s="738" t="s">
        <v>961</v>
      </c>
      <c r="AF56" s="622" t="s">
        <v>1023</v>
      </c>
      <c r="AG56" s="622" t="s">
        <v>1022</v>
      </c>
      <c r="AH56" s="747"/>
      <c r="AI56" s="747"/>
      <c r="AJ56" s="748"/>
      <c r="AK56" s="748"/>
      <c r="AL56" s="747"/>
      <c r="AM56" s="747"/>
      <c r="AN56" s="748"/>
      <c r="AO56" s="748"/>
      <c r="AQ56" s="741"/>
      <c r="AR56" s="741"/>
      <c r="AS56" s="741"/>
      <c r="AT56" s="741"/>
      <c r="AU56" s="741"/>
      <c r="AV56" s="741"/>
      <c r="AW56" s="741"/>
      <c r="AX56" s="741"/>
      <c r="AY56" s="741"/>
      <c r="AZ56" s="741"/>
      <c r="BA56" s="741"/>
      <c r="BB56" s="741"/>
      <c r="BC56" s="741"/>
      <c r="BD56" s="741"/>
      <c r="BE56" s="741"/>
      <c r="BF56" s="742"/>
      <c r="BG56" s="741"/>
      <c r="BH56" s="741"/>
      <c r="BI56" s="741"/>
      <c r="BJ56" s="741"/>
      <c r="BK56" s="741"/>
      <c r="BL56" s="741"/>
      <c r="BM56" s="741"/>
      <c r="BN56" s="741"/>
      <c r="BO56" s="741"/>
      <c r="BP56" s="741"/>
      <c r="BQ56" s="741"/>
      <c r="BR56" s="741"/>
      <c r="BS56" s="741"/>
      <c r="BT56" s="741"/>
      <c r="BU56" s="743"/>
      <c r="BV56" s="744"/>
      <c r="BW56" s="741"/>
      <c r="BX56" s="741"/>
      <c r="BY56" s="741"/>
      <c r="BZ56" s="741"/>
      <c r="CA56" s="741"/>
      <c r="CB56" s="741"/>
      <c r="CC56" s="741"/>
      <c r="CD56" s="741"/>
      <c r="CE56" s="741"/>
      <c r="CF56" s="741"/>
      <c r="CG56" s="741"/>
      <c r="CH56" s="741"/>
      <c r="CI56" s="741"/>
      <c r="CJ56" s="741"/>
      <c r="CK56" s="741"/>
      <c r="CL56" s="742"/>
      <c r="CM56" s="741"/>
      <c r="CN56" s="741"/>
      <c r="CO56" s="741"/>
      <c r="CP56" s="741"/>
      <c r="CQ56" s="741"/>
      <c r="CR56" s="741"/>
      <c r="CS56" s="741"/>
      <c r="CT56" s="741"/>
      <c r="CU56" s="741"/>
      <c r="CV56" s="741"/>
      <c r="CW56" s="741"/>
      <c r="CX56" s="741"/>
      <c r="CY56" s="741"/>
      <c r="CZ56" s="741"/>
      <c r="DA56" s="745"/>
      <c r="DB56" s="746"/>
    </row>
    <row r="57" spans="1:106" s="725" customFormat="1" ht="18" customHeight="1" x14ac:dyDescent="0.25">
      <c r="A57" s="594">
        <v>45</v>
      </c>
      <c r="B57" s="594">
        <v>23</v>
      </c>
      <c r="C57" s="636" t="s">
        <v>1136</v>
      </c>
      <c r="D57" s="637"/>
      <c r="E57" s="603" t="s">
        <v>521</v>
      </c>
      <c r="F57" s="638"/>
      <c r="G57" s="639">
        <v>3985</v>
      </c>
      <c r="H57" s="640">
        <f t="shared" si="5"/>
        <v>6.9409125427602018E-3</v>
      </c>
      <c r="I57" s="641">
        <v>3017.5</v>
      </c>
      <c r="J57" s="642">
        <v>17.7</v>
      </c>
      <c r="K57" s="643">
        <v>949.6</v>
      </c>
      <c r="L57" s="69">
        <f t="shared" si="6"/>
        <v>0.23829360100376412</v>
      </c>
      <c r="M57" s="610"/>
      <c r="N57" s="714">
        <v>41944</v>
      </c>
      <c r="O57" s="143">
        <f t="shared" ca="1" si="7"/>
        <v>3.4042202439828557</v>
      </c>
      <c r="P57" s="610"/>
      <c r="Q57" s="715">
        <v>43039</v>
      </c>
      <c r="R57" s="610"/>
      <c r="S57" s="64">
        <f t="shared" ca="1" si="8"/>
        <v>7.2865150016485334</v>
      </c>
      <c r="T57" s="610"/>
      <c r="U57" s="716" t="s">
        <v>591</v>
      </c>
      <c r="V57" s="67">
        <v>12</v>
      </c>
      <c r="W57" s="610"/>
      <c r="X57" s="92">
        <f t="shared" si="9"/>
        <v>43404</v>
      </c>
      <c r="Y57" s="610"/>
      <c r="Z57" s="705" t="s">
        <v>135</v>
      </c>
      <c r="AA57" s="610"/>
      <c r="AB57" s="717" t="s">
        <v>1024</v>
      </c>
      <c r="AC57" s="718"/>
      <c r="AD57" s="649"/>
      <c r="AE57" s="649"/>
      <c r="AF57" s="719"/>
      <c r="AG57" s="720"/>
      <c r="AH57" s="721"/>
      <c r="AI57" s="722"/>
      <c r="AJ57" s="542"/>
      <c r="AK57" s="723"/>
      <c r="AL57" s="722"/>
      <c r="AM57" s="722"/>
      <c r="AN57" s="542"/>
      <c r="AO57" s="724"/>
      <c r="AQ57" s="655"/>
      <c r="AR57" s="656"/>
      <c r="AS57" s="656"/>
      <c r="AT57" s="656"/>
      <c r="AU57" s="657"/>
      <c r="AV57" s="655"/>
      <c r="AW57" s="656"/>
      <c r="AX57" s="656"/>
      <c r="AY57" s="656"/>
      <c r="AZ57" s="657"/>
      <c r="BA57" s="726"/>
      <c r="BB57" s="656"/>
      <c r="BC57" s="656"/>
      <c r="BD57" s="656"/>
      <c r="BE57" s="656"/>
      <c r="BF57" s="674"/>
      <c r="BG57" s="656"/>
      <c r="BH57" s="656"/>
      <c r="BI57" s="656"/>
      <c r="BJ57" s="656"/>
      <c r="BK57" s="727"/>
      <c r="BL57" s="668"/>
      <c r="BM57" s="669"/>
      <c r="BN57" s="669"/>
      <c r="BO57" s="669"/>
      <c r="BP57" s="670"/>
      <c r="BQ57" s="668"/>
      <c r="BR57" s="669"/>
      <c r="BS57" s="669"/>
      <c r="BT57" s="670"/>
      <c r="BU57" s="669"/>
      <c r="BV57" s="673"/>
      <c r="BW57" s="669"/>
      <c r="BX57" s="669"/>
      <c r="BY57" s="669"/>
      <c r="BZ57" s="669"/>
      <c r="CA57" s="669"/>
      <c r="CB57" s="669"/>
      <c r="CC57" s="669"/>
      <c r="CD57" s="669"/>
      <c r="CE57" s="669"/>
      <c r="CF57" s="669"/>
      <c r="CG57" s="669"/>
      <c r="CH57" s="669"/>
      <c r="CI57" s="669"/>
      <c r="CJ57" s="669"/>
      <c r="CK57" s="669"/>
      <c r="CL57" s="674"/>
      <c r="CM57" s="669"/>
      <c r="CN57" s="669"/>
      <c r="CO57" s="669"/>
      <c r="CP57" s="669"/>
      <c r="CQ57" s="669"/>
      <c r="CR57" s="669"/>
      <c r="CS57" s="669"/>
      <c r="CT57" s="656"/>
      <c r="CU57" s="656"/>
      <c r="CV57" s="656"/>
      <c r="CW57" s="656"/>
      <c r="CX57" s="656"/>
      <c r="CY57" s="656"/>
      <c r="CZ57" s="656"/>
      <c r="DA57" s="657"/>
      <c r="DB57" s="728"/>
    </row>
    <row r="58" spans="1:106" s="725" customFormat="1" ht="18" customHeight="1" x14ac:dyDescent="0.25">
      <c r="A58" s="594">
        <v>46</v>
      </c>
      <c r="B58" s="594">
        <v>24</v>
      </c>
      <c r="C58" s="636" t="s">
        <v>1290</v>
      </c>
      <c r="D58" s="637"/>
      <c r="E58" s="603" t="s">
        <v>548</v>
      </c>
      <c r="F58" s="638"/>
      <c r="G58" s="639">
        <v>3810</v>
      </c>
      <c r="H58" s="640">
        <f t="shared" si="5"/>
        <v>6.636104589188549E-3</v>
      </c>
      <c r="I58" s="641">
        <v>3154.7</v>
      </c>
      <c r="J58" s="642">
        <v>329.2</v>
      </c>
      <c r="K58" s="643">
        <v>325.7</v>
      </c>
      <c r="L58" s="69">
        <f t="shared" si="6"/>
        <v>8.5485564304461942E-2</v>
      </c>
      <c r="M58" s="610"/>
      <c r="N58" s="714">
        <v>42461</v>
      </c>
      <c r="O58" s="143">
        <f t="shared" ca="1" si="7"/>
        <v>1.9837344763160789</v>
      </c>
      <c r="P58" s="610"/>
      <c r="Q58" s="715">
        <v>43921</v>
      </c>
      <c r="R58" s="610"/>
      <c r="S58" s="64">
        <f t="shared" ca="1" si="8"/>
        <v>24.332344213649854</v>
      </c>
      <c r="T58" s="610"/>
      <c r="U58" s="716" t="s">
        <v>592</v>
      </c>
      <c r="V58" s="67"/>
      <c r="W58" s="610"/>
      <c r="X58" s="92">
        <f t="shared" si="9"/>
        <v>43921</v>
      </c>
      <c r="Y58" s="610"/>
      <c r="Z58" s="705" t="s">
        <v>135</v>
      </c>
      <c r="AA58" s="610"/>
      <c r="AB58" s="717" t="s">
        <v>1025</v>
      </c>
      <c r="AC58" s="749"/>
      <c r="AD58" s="649"/>
      <c r="AE58" s="649"/>
      <c r="AF58" s="719"/>
      <c r="AG58" s="720"/>
      <c r="AH58" s="721"/>
      <c r="AI58" s="722"/>
      <c r="AJ58" s="542"/>
      <c r="AK58" s="723"/>
      <c r="AL58" s="722"/>
      <c r="AM58" s="722"/>
      <c r="AN58" s="542"/>
      <c r="AO58" s="724"/>
      <c r="AQ58" s="655"/>
      <c r="AR58" s="656"/>
      <c r="AS58" s="656"/>
      <c r="AT58" s="656"/>
      <c r="AU58" s="657"/>
      <c r="AV58" s="655"/>
      <c r="AW58" s="656"/>
      <c r="AX58" s="656"/>
      <c r="AY58" s="656"/>
      <c r="AZ58" s="657"/>
      <c r="BA58" s="726"/>
      <c r="BB58" s="656"/>
      <c r="BC58" s="656"/>
      <c r="BD58" s="656"/>
      <c r="BE58" s="656"/>
      <c r="BF58" s="674"/>
      <c r="BG58" s="656"/>
      <c r="BH58" s="656"/>
      <c r="BI58" s="656"/>
      <c r="BJ58" s="656"/>
      <c r="BK58" s="750"/>
      <c r="BL58" s="751"/>
      <c r="BM58" s="752"/>
      <c r="BN58" s="752"/>
      <c r="BO58" s="752"/>
      <c r="BP58" s="753"/>
      <c r="BQ58" s="751"/>
      <c r="BR58" s="752"/>
      <c r="BS58" s="752"/>
      <c r="BT58" s="753"/>
      <c r="BU58" s="752"/>
      <c r="BV58" s="693"/>
      <c r="BW58" s="752"/>
      <c r="BX58" s="752"/>
      <c r="BY58" s="752"/>
      <c r="BZ58" s="752"/>
      <c r="CA58" s="752"/>
      <c r="CB58" s="752"/>
      <c r="CC58" s="752"/>
      <c r="CD58" s="752"/>
      <c r="CE58" s="752"/>
      <c r="CF58" s="752"/>
      <c r="CG58" s="752"/>
      <c r="CH58" s="752"/>
      <c r="CI58" s="752"/>
      <c r="CJ58" s="752"/>
      <c r="CK58" s="752"/>
      <c r="CL58" s="674"/>
      <c r="CM58" s="752"/>
      <c r="CN58" s="752"/>
      <c r="CO58" s="752"/>
      <c r="CP58" s="752"/>
      <c r="CQ58" s="752"/>
      <c r="CR58" s="752"/>
      <c r="CS58" s="752"/>
      <c r="CT58" s="656"/>
      <c r="CU58" s="656"/>
      <c r="CV58" s="656"/>
      <c r="CW58" s="656"/>
      <c r="CX58" s="656"/>
      <c r="CY58" s="656"/>
      <c r="CZ58" s="656"/>
      <c r="DA58" s="657"/>
      <c r="DB58" s="728"/>
    </row>
    <row r="59" spans="1:106" s="725" customFormat="1" ht="18" customHeight="1" x14ac:dyDescent="0.25">
      <c r="A59" s="594">
        <v>47</v>
      </c>
      <c r="B59" s="594">
        <v>25</v>
      </c>
      <c r="C59" s="636" t="s">
        <v>1289</v>
      </c>
      <c r="D59" s="637"/>
      <c r="E59" s="603" t="s">
        <v>521</v>
      </c>
      <c r="F59" s="638"/>
      <c r="G59" s="639">
        <v>3696</v>
      </c>
      <c r="H59" s="640">
        <f t="shared" si="5"/>
        <v>6.4375439794333014E-3</v>
      </c>
      <c r="I59" s="641">
        <v>1383.6</v>
      </c>
      <c r="J59" s="642">
        <v>0</v>
      </c>
      <c r="K59" s="643">
        <v>2312.1</v>
      </c>
      <c r="L59" s="69">
        <f t="shared" si="6"/>
        <v>0.62556818181818175</v>
      </c>
      <c r="M59" s="610"/>
      <c r="N59" s="714">
        <v>38718</v>
      </c>
      <c r="O59" s="143">
        <f t="shared" ca="1" si="7"/>
        <v>12.267831629849434</v>
      </c>
      <c r="P59" s="610"/>
      <c r="Q59" s="715">
        <v>43100</v>
      </c>
      <c r="R59" s="610"/>
      <c r="S59" s="64">
        <f t="shared" ca="1" si="8"/>
        <v>9.2977250247279919</v>
      </c>
      <c r="T59" s="610"/>
      <c r="U59" s="716" t="s">
        <v>591</v>
      </c>
      <c r="V59" s="67">
        <v>12</v>
      </c>
      <c r="W59" s="610"/>
      <c r="X59" s="92">
        <f t="shared" si="9"/>
        <v>43465</v>
      </c>
      <c r="Y59" s="610"/>
      <c r="Z59" s="716" t="s">
        <v>135</v>
      </c>
      <c r="AA59" s="610"/>
      <c r="AB59" s="717" t="s">
        <v>1014</v>
      </c>
      <c r="AC59" s="718"/>
      <c r="AD59" s="649"/>
      <c r="AE59" s="649"/>
      <c r="AF59" s="719"/>
      <c r="AG59" s="720"/>
      <c r="AH59" s="721"/>
      <c r="AI59" s="722"/>
      <c r="AJ59" s="542"/>
      <c r="AK59" s="723"/>
      <c r="AL59" s="722"/>
      <c r="AM59" s="722"/>
      <c r="AN59" s="542"/>
      <c r="AO59" s="724"/>
      <c r="AQ59" s="655"/>
      <c r="AR59" s="656"/>
      <c r="AS59" s="656"/>
      <c r="AT59" s="656"/>
      <c r="AU59" s="657"/>
      <c r="AV59" s="655"/>
      <c r="AW59" s="656"/>
      <c r="AX59" s="656"/>
      <c r="AY59" s="656"/>
      <c r="AZ59" s="657"/>
      <c r="BA59" s="726"/>
      <c r="BB59" s="656"/>
      <c r="BC59" s="656"/>
      <c r="BD59" s="656"/>
      <c r="BE59" s="656"/>
      <c r="BF59" s="674"/>
      <c r="BG59" s="656"/>
      <c r="BH59" s="656"/>
      <c r="BI59" s="656"/>
      <c r="BJ59" s="656"/>
      <c r="BK59" s="754"/>
      <c r="BL59" s="655"/>
      <c r="BM59" s="656"/>
      <c r="BN59" s="656"/>
      <c r="BO59" s="656"/>
      <c r="BP59" s="657"/>
      <c r="BQ59" s="655"/>
      <c r="BR59" s="656"/>
      <c r="BS59" s="656"/>
      <c r="BT59" s="657"/>
      <c r="BU59" s="656"/>
      <c r="BV59" s="660"/>
      <c r="BW59" s="656"/>
      <c r="BX59" s="656"/>
      <c r="BY59" s="656"/>
      <c r="BZ59" s="656"/>
      <c r="CA59" s="656"/>
      <c r="CB59" s="656"/>
      <c r="CC59" s="656"/>
      <c r="CD59" s="656"/>
      <c r="CE59" s="656"/>
      <c r="CF59" s="656"/>
      <c r="CG59" s="656"/>
      <c r="CH59" s="656"/>
      <c r="CI59" s="656"/>
      <c r="CJ59" s="656"/>
      <c r="CK59" s="656"/>
      <c r="CL59" s="674"/>
      <c r="CM59" s="656"/>
      <c r="CN59" s="656"/>
      <c r="CO59" s="656"/>
      <c r="CP59" s="656"/>
      <c r="CQ59" s="656"/>
      <c r="CR59" s="656"/>
      <c r="CS59" s="656"/>
      <c r="CT59" s="656"/>
      <c r="CU59" s="656"/>
      <c r="CV59" s="656"/>
      <c r="CW59" s="656"/>
      <c r="CX59" s="656"/>
      <c r="CY59" s="656"/>
      <c r="CZ59" s="656"/>
      <c r="DA59" s="657"/>
      <c r="DB59" s="728"/>
    </row>
    <row r="60" spans="1:106" s="725" customFormat="1" ht="18" customHeight="1" x14ac:dyDescent="0.25">
      <c r="A60" s="594">
        <v>48</v>
      </c>
      <c r="B60" s="594">
        <v>26</v>
      </c>
      <c r="C60" s="636" t="s">
        <v>1026</v>
      </c>
      <c r="D60" s="637"/>
      <c r="E60" s="603" t="s">
        <v>521</v>
      </c>
      <c r="F60" s="638"/>
      <c r="G60" s="662">
        <v>859</v>
      </c>
      <c r="H60" s="640">
        <f t="shared" si="5"/>
        <v>1.49617161210314E-3</v>
      </c>
      <c r="I60" s="641">
        <v>600</v>
      </c>
      <c r="J60" s="642">
        <v>91</v>
      </c>
      <c r="K60" s="643">
        <v>168</v>
      </c>
      <c r="L60" s="69">
        <f t="shared" si="6"/>
        <v>0.19557625145518046</v>
      </c>
      <c r="M60" s="610"/>
      <c r="N60" s="714">
        <v>40544</v>
      </c>
      <c r="O60" s="143">
        <f t="shared" ca="1" si="7"/>
        <v>7.2507967908561382</v>
      </c>
      <c r="P60" s="610"/>
      <c r="Q60" s="715">
        <v>43100</v>
      </c>
      <c r="R60" s="610"/>
      <c r="S60" s="64">
        <f t="shared" ca="1" si="8"/>
        <v>9.2977250247279919</v>
      </c>
      <c r="T60" s="610"/>
      <c r="U60" s="716" t="s">
        <v>591</v>
      </c>
      <c r="V60" s="67">
        <v>12</v>
      </c>
      <c r="W60" s="610"/>
      <c r="X60" s="92">
        <f t="shared" si="9"/>
        <v>43465</v>
      </c>
      <c r="Y60" s="610"/>
      <c r="Z60" s="705" t="s">
        <v>135</v>
      </c>
      <c r="AA60" s="610"/>
      <c r="AB60" s="717" t="s">
        <v>1027</v>
      </c>
      <c r="AC60" s="718"/>
      <c r="AD60" s="649"/>
      <c r="AE60" s="649"/>
      <c r="AF60" s="719"/>
      <c r="AG60" s="720"/>
      <c r="AH60" s="729"/>
      <c r="AI60" s="730"/>
      <c r="AJ60" s="731"/>
      <c r="AK60" s="732"/>
      <c r="AL60" s="730"/>
      <c r="AM60" s="730"/>
      <c r="AN60" s="731"/>
      <c r="AO60" s="733"/>
      <c r="AQ60" s="655"/>
      <c r="AR60" s="656"/>
      <c r="AS60" s="656"/>
      <c r="AT60" s="656"/>
      <c r="AU60" s="657"/>
      <c r="AV60" s="655"/>
      <c r="AW60" s="656"/>
      <c r="AX60" s="656"/>
      <c r="AY60" s="656"/>
      <c r="AZ60" s="657"/>
      <c r="BA60" s="726"/>
      <c r="BB60" s="656"/>
      <c r="BC60" s="656"/>
      <c r="BD60" s="656"/>
      <c r="BE60" s="656"/>
      <c r="BF60" s="674"/>
      <c r="BG60" s="656"/>
      <c r="BH60" s="656"/>
      <c r="BI60" s="656"/>
      <c r="BJ60" s="656"/>
      <c r="BK60" s="727"/>
      <c r="BL60" s="668"/>
      <c r="BM60" s="669"/>
      <c r="BN60" s="669"/>
      <c r="BO60" s="669"/>
      <c r="BP60" s="670"/>
      <c r="BQ60" s="668"/>
      <c r="BR60" s="669"/>
      <c r="BS60" s="669"/>
      <c r="BT60" s="670"/>
      <c r="BU60" s="669"/>
      <c r="BV60" s="673"/>
      <c r="BW60" s="669"/>
      <c r="BX60" s="669"/>
      <c r="BY60" s="669"/>
      <c r="BZ60" s="669"/>
      <c r="CA60" s="669"/>
      <c r="CB60" s="669"/>
      <c r="CC60" s="669"/>
      <c r="CD60" s="669"/>
      <c r="CE60" s="669"/>
      <c r="CF60" s="669"/>
      <c r="CG60" s="669"/>
      <c r="CH60" s="669"/>
      <c r="CI60" s="669"/>
      <c r="CJ60" s="669"/>
      <c r="CK60" s="669"/>
      <c r="CL60" s="674"/>
      <c r="CM60" s="669"/>
      <c r="CN60" s="669"/>
      <c r="CO60" s="669"/>
      <c r="CP60" s="669"/>
      <c r="CQ60" s="669"/>
      <c r="CR60" s="669"/>
      <c r="CS60" s="669"/>
      <c r="CT60" s="656"/>
      <c r="CU60" s="656"/>
      <c r="CV60" s="656"/>
      <c r="CW60" s="656"/>
      <c r="CX60" s="656"/>
      <c r="CY60" s="656"/>
      <c r="CZ60" s="656"/>
      <c r="DA60" s="657"/>
      <c r="DB60" s="728"/>
    </row>
    <row r="61" spans="1:106" s="725" customFormat="1" ht="18" customHeight="1" x14ac:dyDescent="0.25">
      <c r="A61" s="594">
        <v>49</v>
      </c>
      <c r="B61" s="594"/>
      <c r="C61" s="636" t="s">
        <v>1281</v>
      </c>
      <c r="D61" s="637"/>
      <c r="E61" s="677" t="s">
        <v>521</v>
      </c>
      <c r="F61" s="678" t="s">
        <v>527</v>
      </c>
      <c r="G61" s="784">
        <v>1410</v>
      </c>
      <c r="H61" s="785">
        <f t="shared" si="5"/>
        <v>2.4558812259201715E-3</v>
      </c>
      <c r="I61" s="786">
        <v>680</v>
      </c>
      <c r="J61" s="787">
        <v>195</v>
      </c>
      <c r="K61" s="788">
        <v>535</v>
      </c>
      <c r="L61" s="789">
        <f t="shared" si="6"/>
        <v>0.37943262411347517</v>
      </c>
      <c r="M61" s="610"/>
      <c r="N61" s="715">
        <v>40544</v>
      </c>
      <c r="O61" s="790">
        <f t="shared" ca="1" si="7"/>
        <v>7.2507967908561382</v>
      </c>
      <c r="P61" s="610"/>
      <c r="Q61" s="715">
        <v>43100</v>
      </c>
      <c r="R61" s="610"/>
      <c r="S61" s="791">
        <f t="shared" ca="1" si="8"/>
        <v>-2.7365644576327068</v>
      </c>
      <c r="T61" s="610"/>
      <c r="U61" s="716" t="s">
        <v>591</v>
      </c>
      <c r="V61" s="67"/>
      <c r="W61" s="610"/>
      <c r="X61" s="792">
        <f t="shared" si="9"/>
        <v>43100</v>
      </c>
      <c r="Y61" s="610"/>
      <c r="Z61" s="793" t="s">
        <v>551</v>
      </c>
      <c r="AA61" s="610"/>
      <c r="AB61" s="717" t="s">
        <v>1027</v>
      </c>
      <c r="AC61" s="718"/>
      <c r="AD61" s="649" t="s">
        <v>534</v>
      </c>
      <c r="AE61" s="649" t="s">
        <v>996</v>
      </c>
      <c r="AF61" s="794" t="s">
        <v>1028</v>
      </c>
      <c r="AG61" s="795" t="s">
        <v>915</v>
      </c>
      <c r="AH61" s="721"/>
      <c r="AI61" s="722"/>
      <c r="AJ61" s="796"/>
      <c r="AK61" s="797"/>
      <c r="AL61" s="722"/>
      <c r="AM61" s="722"/>
      <c r="AN61" s="796"/>
      <c r="AO61" s="798"/>
      <c r="AP61" s="799"/>
      <c r="AQ61" s="688"/>
      <c r="AR61" s="689"/>
      <c r="AS61" s="689"/>
      <c r="AT61" s="689"/>
      <c r="AU61" s="690"/>
      <c r="AV61" s="688"/>
      <c r="AW61" s="689"/>
      <c r="AX61" s="689"/>
      <c r="AY61" s="689"/>
      <c r="AZ61" s="690"/>
      <c r="BA61" s="800"/>
      <c r="BB61" s="689"/>
      <c r="BC61" s="689"/>
      <c r="BD61" s="689"/>
      <c r="BE61" s="689"/>
      <c r="BF61" s="689"/>
      <c r="BG61" s="689"/>
      <c r="BH61" s="689"/>
      <c r="BI61" s="689"/>
      <c r="BJ61" s="689"/>
      <c r="BK61" s="801"/>
      <c r="BL61" s="802"/>
      <c r="BM61" s="803"/>
      <c r="BN61" s="803"/>
      <c r="BO61" s="803"/>
      <c r="BP61" s="804"/>
      <c r="BQ61" s="802"/>
      <c r="BR61" s="803"/>
      <c r="BS61" s="803"/>
      <c r="BT61" s="804"/>
      <c r="BU61" s="803"/>
      <c r="BV61" s="805"/>
      <c r="BW61" s="803"/>
      <c r="BX61" s="803"/>
      <c r="BY61" s="803"/>
      <c r="BZ61" s="803"/>
      <c r="CA61" s="803"/>
      <c r="CB61" s="803"/>
      <c r="CC61" s="803"/>
      <c r="CD61" s="803"/>
      <c r="CE61" s="803"/>
      <c r="CF61" s="803"/>
      <c r="CG61" s="803"/>
      <c r="CH61" s="803"/>
      <c r="CI61" s="803"/>
      <c r="CJ61" s="803"/>
      <c r="CK61" s="803"/>
      <c r="CL61" s="689"/>
      <c r="CM61" s="669"/>
      <c r="CN61" s="669"/>
      <c r="CO61" s="669"/>
      <c r="CP61" s="669"/>
      <c r="CQ61" s="669"/>
      <c r="CR61" s="669"/>
      <c r="CS61" s="669"/>
      <c r="CT61" s="656"/>
      <c r="CU61" s="656"/>
      <c r="CV61" s="656"/>
      <c r="CW61" s="656"/>
      <c r="CX61" s="656"/>
      <c r="CY61" s="656"/>
      <c r="CZ61" s="656"/>
      <c r="DA61" s="657"/>
      <c r="DB61" s="728"/>
    </row>
    <row r="62" spans="1:106" s="725" customFormat="1" ht="18" customHeight="1" x14ac:dyDescent="0.25">
      <c r="A62" s="594">
        <v>50</v>
      </c>
      <c r="B62" s="594"/>
      <c r="C62" s="636" t="s">
        <v>1282</v>
      </c>
      <c r="D62" s="637"/>
      <c r="E62" s="603" t="s">
        <v>521</v>
      </c>
      <c r="F62" s="638"/>
      <c r="G62" s="662">
        <v>1171</v>
      </c>
      <c r="H62" s="640">
        <f t="shared" si="5"/>
        <v>2.0396006493280292E-3</v>
      </c>
      <c r="I62" s="641">
        <v>610</v>
      </c>
      <c r="J62" s="642">
        <v>144</v>
      </c>
      <c r="K62" s="643">
        <v>417</v>
      </c>
      <c r="L62" s="69">
        <f t="shared" si="6"/>
        <v>0.3561058923996584</v>
      </c>
      <c r="M62" s="610"/>
      <c r="N62" s="714">
        <v>40544</v>
      </c>
      <c r="O62" s="143">
        <f t="shared" ca="1" si="7"/>
        <v>7.2507967908561382</v>
      </c>
      <c r="P62" s="610"/>
      <c r="Q62" s="715">
        <v>43100</v>
      </c>
      <c r="R62" s="610"/>
      <c r="S62" s="64">
        <f t="shared" ca="1" si="8"/>
        <v>9.2977250247279919</v>
      </c>
      <c r="T62" s="610"/>
      <c r="U62" s="716" t="s">
        <v>591</v>
      </c>
      <c r="V62" s="67">
        <v>12</v>
      </c>
      <c r="W62" s="610"/>
      <c r="X62" s="92">
        <f t="shared" si="9"/>
        <v>43465</v>
      </c>
      <c r="Y62" s="610"/>
      <c r="Z62" s="705" t="s">
        <v>135</v>
      </c>
      <c r="AA62" s="610"/>
      <c r="AB62" s="717" t="s">
        <v>1027</v>
      </c>
      <c r="AC62" s="718"/>
      <c r="AD62" s="649" t="s">
        <v>536</v>
      </c>
      <c r="AE62" s="649" t="s">
        <v>1029</v>
      </c>
      <c r="AF62" s="719" t="s">
        <v>1030</v>
      </c>
      <c r="AG62" s="720"/>
      <c r="AH62" s="729"/>
      <c r="AI62" s="730"/>
      <c r="AJ62" s="731"/>
      <c r="AK62" s="732"/>
      <c r="AL62" s="730"/>
      <c r="AM62" s="730"/>
      <c r="AN62" s="731"/>
      <c r="AO62" s="733"/>
      <c r="AQ62" s="655"/>
      <c r="AR62" s="656"/>
      <c r="AS62" s="656"/>
      <c r="AT62" s="656"/>
      <c r="AU62" s="657"/>
      <c r="AV62" s="655"/>
      <c r="AW62" s="656"/>
      <c r="AX62" s="656"/>
      <c r="AY62" s="656"/>
      <c r="AZ62" s="657"/>
      <c r="BA62" s="726"/>
      <c r="BB62" s="656"/>
      <c r="BC62" s="656"/>
      <c r="BD62" s="656"/>
      <c r="BE62" s="656"/>
      <c r="BF62" s="674"/>
      <c r="BG62" s="656"/>
      <c r="BH62" s="656"/>
      <c r="BI62" s="656"/>
      <c r="BJ62" s="656"/>
      <c r="BK62" s="727"/>
      <c r="BL62" s="668"/>
      <c r="BM62" s="669"/>
      <c r="BN62" s="669"/>
      <c r="BO62" s="669"/>
      <c r="BP62" s="670"/>
      <c r="BQ62" s="668"/>
      <c r="BR62" s="669"/>
      <c r="BS62" s="669"/>
      <c r="BT62" s="670"/>
      <c r="BU62" s="669"/>
      <c r="BV62" s="673"/>
      <c r="BW62" s="669"/>
      <c r="BX62" s="669"/>
      <c r="BY62" s="669"/>
      <c r="BZ62" s="669"/>
      <c r="CA62" s="669"/>
      <c r="CB62" s="669"/>
      <c r="CC62" s="669"/>
      <c r="CD62" s="669"/>
      <c r="CE62" s="669"/>
      <c r="CF62" s="669"/>
      <c r="CG62" s="669"/>
      <c r="CH62" s="669"/>
      <c r="CI62" s="669"/>
      <c r="CJ62" s="669"/>
      <c r="CK62" s="669"/>
      <c r="CL62" s="674"/>
      <c r="CM62" s="669"/>
      <c r="CN62" s="669"/>
      <c r="CO62" s="669"/>
      <c r="CP62" s="669"/>
      <c r="CQ62" s="669"/>
      <c r="CR62" s="669"/>
      <c r="CS62" s="669"/>
      <c r="CT62" s="656"/>
      <c r="CU62" s="656"/>
      <c r="CV62" s="656"/>
      <c r="CW62" s="656"/>
      <c r="CX62" s="656"/>
      <c r="CY62" s="656"/>
      <c r="CZ62" s="656"/>
      <c r="DA62" s="657"/>
      <c r="DB62" s="728"/>
    </row>
    <row r="63" spans="1:106" s="725" customFormat="1" ht="18" customHeight="1" x14ac:dyDescent="0.25">
      <c r="A63" s="594">
        <v>51</v>
      </c>
      <c r="B63" s="594">
        <v>27</v>
      </c>
      <c r="C63" s="636" t="s">
        <v>1283</v>
      </c>
      <c r="D63" s="637"/>
      <c r="E63" s="603" t="s">
        <v>580</v>
      </c>
      <c r="F63" s="638"/>
      <c r="G63" s="639">
        <v>3128</v>
      </c>
      <c r="H63" s="640">
        <f t="shared" si="5"/>
        <v>5.4482244501264515E-3</v>
      </c>
      <c r="I63" s="641">
        <v>1970.8</v>
      </c>
      <c r="J63" s="642">
        <v>58.2</v>
      </c>
      <c r="K63" s="643">
        <v>1099.4000000000001</v>
      </c>
      <c r="L63" s="69">
        <f t="shared" si="6"/>
        <v>0.35147058823529415</v>
      </c>
      <c r="M63" s="610"/>
      <c r="N63" s="714">
        <v>42736</v>
      </c>
      <c r="O63" s="143">
        <f t="shared" ca="1" si="7"/>
        <v>1.2281569403231125</v>
      </c>
      <c r="P63" s="610"/>
      <c r="Q63" s="715">
        <v>43830</v>
      </c>
      <c r="R63" s="610"/>
      <c r="S63" s="64">
        <f t="shared" ca="1" si="8"/>
        <v>21.332014507088694</v>
      </c>
      <c r="T63" s="610"/>
      <c r="U63" s="716" t="s">
        <v>591</v>
      </c>
      <c r="V63" s="67"/>
      <c r="W63" s="610"/>
      <c r="X63" s="92">
        <f t="shared" si="9"/>
        <v>43830</v>
      </c>
      <c r="Y63" s="610"/>
      <c r="Z63" s="716" t="s">
        <v>135</v>
      </c>
      <c r="AA63" s="610"/>
      <c r="AB63" s="717" t="s">
        <v>1031</v>
      </c>
      <c r="AC63" s="718"/>
      <c r="AD63" s="649"/>
      <c r="AE63" s="649"/>
      <c r="AF63" s="719"/>
      <c r="AG63" s="720"/>
      <c r="AH63" s="721"/>
      <c r="AI63" s="722"/>
      <c r="AJ63" s="542"/>
      <c r="AK63" s="723"/>
      <c r="AL63" s="722"/>
      <c r="AM63" s="722"/>
      <c r="AN63" s="542"/>
      <c r="AO63" s="724"/>
      <c r="AQ63" s="655"/>
      <c r="AR63" s="656"/>
      <c r="AS63" s="656"/>
      <c r="AT63" s="656"/>
      <c r="AU63" s="657"/>
      <c r="AV63" s="655"/>
      <c r="AW63" s="656"/>
      <c r="AX63" s="656"/>
      <c r="AY63" s="656"/>
      <c r="AZ63" s="657"/>
      <c r="BA63" s="726"/>
      <c r="BB63" s="656"/>
      <c r="BC63" s="656"/>
      <c r="BD63" s="656"/>
      <c r="BE63" s="656"/>
      <c r="BF63" s="674"/>
      <c r="BG63" s="656"/>
      <c r="BH63" s="656"/>
      <c r="BI63" s="656"/>
      <c r="BJ63" s="656"/>
      <c r="BK63" s="754"/>
      <c r="BL63" s="655"/>
      <c r="BM63" s="656"/>
      <c r="BN63" s="656"/>
      <c r="BO63" s="656"/>
      <c r="BP63" s="657"/>
      <c r="BQ63" s="655"/>
      <c r="BR63" s="656"/>
      <c r="BS63" s="656"/>
      <c r="BT63" s="657"/>
      <c r="BU63" s="656"/>
      <c r="BV63" s="660"/>
      <c r="BW63" s="656"/>
      <c r="BX63" s="656"/>
      <c r="BY63" s="656"/>
      <c r="BZ63" s="656"/>
      <c r="CA63" s="656"/>
      <c r="CB63" s="656"/>
      <c r="CC63" s="656"/>
      <c r="CD63" s="656"/>
      <c r="CE63" s="656"/>
      <c r="CF63" s="656"/>
      <c r="CG63" s="656"/>
      <c r="CH63" s="656"/>
      <c r="CI63" s="656"/>
      <c r="CJ63" s="656"/>
      <c r="CK63" s="656"/>
      <c r="CL63" s="674"/>
      <c r="CM63" s="656"/>
      <c r="CN63" s="656"/>
      <c r="CO63" s="656"/>
      <c r="CP63" s="656"/>
      <c r="CQ63" s="656"/>
      <c r="CR63" s="656"/>
      <c r="CS63" s="656"/>
      <c r="CT63" s="656"/>
      <c r="CU63" s="656"/>
      <c r="CV63" s="656"/>
      <c r="CW63" s="656"/>
      <c r="CX63" s="656"/>
      <c r="CY63" s="656"/>
      <c r="CZ63" s="656"/>
      <c r="DA63" s="657"/>
      <c r="DB63" s="728"/>
    </row>
    <row r="64" spans="1:106" s="725" customFormat="1" ht="18" customHeight="1" x14ac:dyDescent="0.25">
      <c r="A64" s="594">
        <v>52</v>
      </c>
      <c r="B64" s="594"/>
      <c r="C64" s="636" t="s">
        <v>1284</v>
      </c>
      <c r="D64" s="637"/>
      <c r="E64" s="677" t="s">
        <v>580</v>
      </c>
      <c r="F64" s="678" t="s">
        <v>527</v>
      </c>
      <c r="G64" s="784">
        <v>3025</v>
      </c>
      <c r="H64" s="785">
        <f t="shared" si="5"/>
        <v>5.2688231974528507E-3</v>
      </c>
      <c r="I64" s="786">
        <v>1827.4</v>
      </c>
      <c r="J64" s="787">
        <v>142</v>
      </c>
      <c r="K64" s="788">
        <v>1055.9000000000001</v>
      </c>
      <c r="L64" s="789">
        <f t="shared" si="6"/>
        <v>0.34905785123966943</v>
      </c>
      <c r="M64" s="610"/>
      <c r="N64" s="715">
        <v>41365</v>
      </c>
      <c r="O64" s="790">
        <f t="shared" ca="1" si="7"/>
        <v>4.9950544015825917</v>
      </c>
      <c r="P64" s="610"/>
      <c r="Q64" s="715">
        <v>43100</v>
      </c>
      <c r="R64" s="610"/>
      <c r="S64" s="791">
        <f t="shared" ca="1" si="8"/>
        <v>-2.7365644576327068</v>
      </c>
      <c r="T64" s="610"/>
      <c r="U64" s="716" t="s">
        <v>592</v>
      </c>
      <c r="V64" s="67"/>
      <c r="W64" s="610"/>
      <c r="X64" s="792">
        <f t="shared" si="9"/>
        <v>43100</v>
      </c>
      <c r="Y64" s="610"/>
      <c r="Z64" s="793" t="s">
        <v>135</v>
      </c>
      <c r="AA64" s="610"/>
      <c r="AB64" s="717"/>
      <c r="AC64" s="718"/>
      <c r="AD64" s="649"/>
      <c r="AE64" s="649"/>
      <c r="AF64" s="794"/>
      <c r="AG64" s="795"/>
      <c r="AH64" s="721"/>
      <c r="AI64" s="722"/>
      <c r="AJ64" s="796"/>
      <c r="AK64" s="797"/>
      <c r="AL64" s="722"/>
      <c r="AM64" s="722"/>
      <c r="AN64" s="796"/>
      <c r="AO64" s="798"/>
      <c r="AP64" s="799"/>
      <c r="AQ64" s="688"/>
      <c r="AR64" s="689"/>
      <c r="AS64" s="689"/>
      <c r="AT64" s="689"/>
      <c r="AU64" s="690"/>
      <c r="AV64" s="688"/>
      <c r="AW64" s="689"/>
      <c r="AX64" s="689"/>
      <c r="AY64" s="689"/>
      <c r="AZ64" s="690"/>
      <c r="BA64" s="800"/>
      <c r="BB64" s="689"/>
      <c r="BC64" s="689"/>
      <c r="BD64" s="689"/>
      <c r="BE64" s="689"/>
      <c r="BF64" s="689"/>
      <c r="BG64" s="689"/>
      <c r="BH64" s="689"/>
      <c r="BI64" s="689"/>
      <c r="BJ64" s="689"/>
      <c r="BK64" s="801"/>
      <c r="BL64" s="802"/>
      <c r="BM64" s="803"/>
      <c r="BN64" s="803"/>
      <c r="BO64" s="803"/>
      <c r="BP64" s="804"/>
      <c r="BQ64" s="802"/>
      <c r="BR64" s="803"/>
      <c r="BS64" s="803"/>
      <c r="BT64" s="804"/>
      <c r="BU64" s="803"/>
      <c r="BV64" s="805"/>
      <c r="BW64" s="803"/>
      <c r="BX64" s="803"/>
      <c r="BY64" s="803"/>
      <c r="BZ64" s="803"/>
      <c r="CA64" s="803"/>
      <c r="CB64" s="803"/>
      <c r="CC64" s="803"/>
      <c r="CD64" s="803"/>
      <c r="CE64" s="803"/>
      <c r="CF64" s="803"/>
      <c r="CG64" s="803"/>
      <c r="CH64" s="803"/>
      <c r="CI64" s="803"/>
      <c r="CJ64" s="803"/>
      <c r="CK64" s="803"/>
      <c r="CL64" s="689"/>
      <c r="CM64" s="669"/>
      <c r="CN64" s="669"/>
      <c r="CO64" s="669"/>
      <c r="CP64" s="669"/>
      <c r="CQ64" s="669"/>
      <c r="CR64" s="669"/>
      <c r="CS64" s="669"/>
      <c r="CT64" s="656"/>
      <c r="CU64" s="656"/>
      <c r="CV64" s="656"/>
      <c r="CW64" s="656"/>
      <c r="CX64" s="656"/>
      <c r="CY64" s="656"/>
      <c r="CZ64" s="656"/>
      <c r="DA64" s="657"/>
      <c r="DB64" s="728"/>
    </row>
    <row r="65" spans="1:106" s="740" customFormat="1" ht="18" customHeight="1" x14ac:dyDescent="0.25">
      <c r="A65" s="594">
        <v>53</v>
      </c>
      <c r="B65" s="594">
        <v>28</v>
      </c>
      <c r="C65" s="601" t="s">
        <v>1285</v>
      </c>
      <c r="D65" s="734"/>
      <c r="E65" s="735" t="s">
        <v>580</v>
      </c>
      <c r="F65" s="604"/>
      <c r="G65" s="755">
        <v>2797</v>
      </c>
      <c r="H65" s="640">
        <f t="shared" si="5"/>
        <v>4.8717019779423547E-3</v>
      </c>
      <c r="I65" s="607">
        <v>1910</v>
      </c>
      <c r="J65" s="608">
        <v>400</v>
      </c>
      <c r="K65" s="609">
        <v>487</v>
      </c>
      <c r="L65" s="69">
        <f t="shared" si="6"/>
        <v>0.17411512334644261</v>
      </c>
      <c r="M65" s="736"/>
      <c r="N65" s="737">
        <v>42767</v>
      </c>
      <c r="O65" s="143">
        <f t="shared" ca="1" si="7"/>
        <v>1.1429827453566326</v>
      </c>
      <c r="P65" s="736"/>
      <c r="Q65" s="715">
        <v>43473</v>
      </c>
      <c r="R65" s="736"/>
      <c r="S65" s="64">
        <f t="shared" ca="1" si="8"/>
        <v>9.561490273656446</v>
      </c>
      <c r="T65" s="736"/>
      <c r="U65" s="716" t="s">
        <v>592</v>
      </c>
      <c r="V65" s="616"/>
      <c r="W65" s="736"/>
      <c r="X65" s="617">
        <f t="shared" si="9"/>
        <v>43473</v>
      </c>
      <c r="Y65" s="736"/>
      <c r="Z65" s="618"/>
      <c r="AA65" s="736"/>
      <c r="AB65" s="619" t="s">
        <v>983</v>
      </c>
      <c r="AC65" s="736"/>
      <c r="AD65" s="649"/>
      <c r="AE65" s="621"/>
      <c r="AF65" s="622"/>
      <c r="AG65" s="622"/>
      <c r="AH65" s="738"/>
      <c r="AI65" s="738"/>
      <c r="AJ65" s="739"/>
      <c r="AK65" s="739"/>
      <c r="AL65" s="738"/>
      <c r="AM65" s="738"/>
      <c r="AN65" s="739"/>
      <c r="AO65" s="739"/>
      <c r="AQ65" s="741"/>
      <c r="AR65" s="741"/>
      <c r="AS65" s="741"/>
      <c r="AT65" s="741"/>
      <c r="AU65" s="741"/>
      <c r="AV65" s="741"/>
      <c r="AW65" s="741"/>
      <c r="AX65" s="741"/>
      <c r="AY65" s="741"/>
      <c r="AZ65" s="741"/>
      <c r="BA65" s="741"/>
      <c r="BB65" s="741"/>
      <c r="BC65" s="741"/>
      <c r="BD65" s="741"/>
      <c r="BE65" s="741"/>
      <c r="BF65" s="742"/>
      <c r="BG65" s="741"/>
      <c r="BH65" s="741"/>
      <c r="BI65" s="741"/>
      <c r="BJ65" s="741"/>
      <c r="BK65" s="741"/>
      <c r="BL65" s="741"/>
      <c r="BM65" s="741"/>
      <c r="BN65" s="741"/>
      <c r="BO65" s="741"/>
      <c r="BP65" s="741"/>
      <c r="BQ65" s="741"/>
      <c r="BR65" s="741"/>
      <c r="BS65" s="741"/>
      <c r="BT65" s="741"/>
      <c r="BU65" s="743"/>
      <c r="BV65" s="744"/>
      <c r="BW65" s="741"/>
      <c r="BX65" s="741"/>
      <c r="BY65" s="741"/>
      <c r="BZ65" s="741"/>
      <c r="CA65" s="741"/>
      <c r="CB65" s="741"/>
      <c r="CC65" s="741"/>
      <c r="CD65" s="741"/>
      <c r="CE65" s="741"/>
      <c r="CF65" s="741"/>
      <c r="CG65" s="741"/>
      <c r="CH65" s="741"/>
      <c r="CI65" s="741"/>
      <c r="CJ65" s="741"/>
      <c r="CK65" s="741"/>
      <c r="CL65" s="742"/>
      <c r="CM65" s="741"/>
      <c r="CN65" s="741"/>
      <c r="CO65" s="741"/>
      <c r="CP65" s="741"/>
      <c r="CQ65" s="741"/>
      <c r="CR65" s="741"/>
      <c r="CS65" s="741"/>
      <c r="CT65" s="741"/>
      <c r="CU65" s="741"/>
      <c r="CV65" s="741"/>
      <c r="CW65" s="741"/>
      <c r="CX65" s="741"/>
      <c r="CY65" s="741"/>
      <c r="CZ65" s="741"/>
      <c r="DA65" s="745"/>
      <c r="DB65" s="746"/>
    </row>
    <row r="66" spans="1:106" s="740" customFormat="1" ht="18" customHeight="1" x14ac:dyDescent="0.25">
      <c r="A66" s="594">
        <v>54</v>
      </c>
      <c r="B66" s="594">
        <v>29</v>
      </c>
      <c r="C66" s="601" t="s">
        <v>1286</v>
      </c>
      <c r="D66" s="734"/>
      <c r="E66" s="735" t="s">
        <v>521</v>
      </c>
      <c r="F66" s="604"/>
      <c r="G66" s="755">
        <v>2269</v>
      </c>
      <c r="H66" s="640">
        <f t="shared" si="5"/>
        <v>3.9520528380233115E-3</v>
      </c>
      <c r="I66" s="607">
        <v>1547.1</v>
      </c>
      <c r="J66" s="608">
        <v>310.5</v>
      </c>
      <c r="K66" s="609">
        <v>411.5</v>
      </c>
      <c r="L66" s="69">
        <f t="shared" si="6"/>
        <v>0.18135742617893344</v>
      </c>
      <c r="M66" s="736"/>
      <c r="N66" s="737">
        <v>42767</v>
      </c>
      <c r="O66" s="143">
        <f t="shared" ca="1" si="7"/>
        <v>1.1429827453566326</v>
      </c>
      <c r="P66" s="736"/>
      <c r="Q66" s="715">
        <v>43473</v>
      </c>
      <c r="R66" s="736"/>
      <c r="S66" s="64">
        <f t="shared" ca="1" si="8"/>
        <v>9.561490273656446</v>
      </c>
      <c r="T66" s="736"/>
      <c r="U66" s="716" t="s">
        <v>592</v>
      </c>
      <c r="V66" s="616"/>
      <c r="W66" s="736"/>
      <c r="X66" s="617">
        <f t="shared" si="9"/>
        <v>43473</v>
      </c>
      <c r="Y66" s="736"/>
      <c r="Z66" s="618"/>
      <c r="AA66" s="736"/>
      <c r="AB66" s="619" t="s">
        <v>1018</v>
      </c>
      <c r="AC66" s="736"/>
      <c r="AD66" s="649" t="s">
        <v>536</v>
      </c>
      <c r="AE66" s="621" t="s">
        <v>1032</v>
      </c>
      <c r="AF66" s="622" t="s">
        <v>862</v>
      </c>
      <c r="AG66" s="622" t="s">
        <v>1033</v>
      </c>
      <c r="AH66" s="747"/>
      <c r="AI66" s="747"/>
      <c r="AJ66" s="748"/>
      <c r="AK66" s="748"/>
      <c r="AL66" s="747"/>
      <c r="AM66" s="747"/>
      <c r="AN66" s="748"/>
      <c r="AO66" s="748"/>
      <c r="AQ66" s="741"/>
      <c r="AR66" s="741"/>
      <c r="AS66" s="741"/>
      <c r="AT66" s="741"/>
      <c r="AU66" s="741"/>
      <c r="AV66" s="741"/>
      <c r="AW66" s="741"/>
      <c r="AX66" s="741"/>
      <c r="AY66" s="741"/>
      <c r="AZ66" s="741"/>
      <c r="BA66" s="741"/>
      <c r="BB66" s="741"/>
      <c r="BC66" s="741"/>
      <c r="BD66" s="741"/>
      <c r="BE66" s="741"/>
      <c r="BF66" s="742"/>
      <c r="BG66" s="741"/>
      <c r="BH66" s="741"/>
      <c r="BI66" s="741"/>
      <c r="BJ66" s="741"/>
      <c r="BK66" s="741"/>
      <c r="BL66" s="741"/>
      <c r="BM66" s="741"/>
      <c r="BN66" s="741"/>
      <c r="BO66" s="741"/>
      <c r="BP66" s="741"/>
      <c r="BQ66" s="741"/>
      <c r="BR66" s="741"/>
      <c r="BS66" s="741"/>
      <c r="BT66" s="741"/>
      <c r="BU66" s="743"/>
      <c r="BV66" s="744"/>
      <c r="BW66" s="741"/>
      <c r="BX66" s="741"/>
      <c r="BY66" s="741"/>
      <c r="BZ66" s="741"/>
      <c r="CA66" s="741"/>
      <c r="CB66" s="741"/>
      <c r="CC66" s="741"/>
      <c r="CD66" s="741"/>
      <c r="CE66" s="741"/>
      <c r="CF66" s="741"/>
      <c r="CG66" s="741"/>
      <c r="CH66" s="741"/>
      <c r="CI66" s="741"/>
      <c r="CJ66" s="741"/>
      <c r="CK66" s="741"/>
      <c r="CL66" s="742"/>
      <c r="CM66" s="741"/>
      <c r="CN66" s="741"/>
      <c r="CO66" s="741"/>
      <c r="CP66" s="741"/>
      <c r="CQ66" s="741"/>
      <c r="CR66" s="741"/>
      <c r="CS66" s="741"/>
      <c r="CT66" s="741"/>
      <c r="CU66" s="741"/>
      <c r="CV66" s="741"/>
      <c r="CW66" s="741"/>
      <c r="CX66" s="741"/>
      <c r="CY66" s="741"/>
      <c r="CZ66" s="741"/>
      <c r="DA66" s="745"/>
      <c r="DB66" s="746"/>
    </row>
    <row r="67" spans="1:106" s="740" customFormat="1" ht="18" customHeight="1" x14ac:dyDescent="0.25">
      <c r="A67" s="594">
        <v>55</v>
      </c>
      <c r="B67" s="594">
        <v>30</v>
      </c>
      <c r="C67" s="601" t="s">
        <v>1287</v>
      </c>
      <c r="D67" s="734"/>
      <c r="E67" s="735" t="s">
        <v>521</v>
      </c>
      <c r="F67" s="604"/>
      <c r="G67" s="755">
        <v>2119</v>
      </c>
      <c r="H67" s="640">
        <f t="shared" si="5"/>
        <v>3.6907888778190383E-3</v>
      </c>
      <c r="I67" s="607">
        <v>1840</v>
      </c>
      <c r="J67" s="608">
        <v>190</v>
      </c>
      <c r="K67" s="609">
        <v>89</v>
      </c>
      <c r="L67" s="69">
        <f t="shared" si="6"/>
        <v>4.2000943841434636E-2</v>
      </c>
      <c r="M67" s="736"/>
      <c r="N67" s="737">
        <v>42005</v>
      </c>
      <c r="O67" s="143">
        <f t="shared" ca="1" si="7"/>
        <v>3.2366194087262339</v>
      </c>
      <c r="P67" s="736"/>
      <c r="Q67" s="715">
        <v>43100</v>
      </c>
      <c r="R67" s="736"/>
      <c r="S67" s="64">
        <f t="shared" ca="1" si="8"/>
        <v>9.2977250247279919</v>
      </c>
      <c r="T67" s="736"/>
      <c r="U67" s="716" t="s">
        <v>591</v>
      </c>
      <c r="V67" s="616">
        <v>12</v>
      </c>
      <c r="W67" s="736"/>
      <c r="X67" s="617">
        <f t="shared" si="9"/>
        <v>43465</v>
      </c>
      <c r="Y67" s="736"/>
      <c r="Z67" s="618"/>
      <c r="AA67" s="736"/>
      <c r="AB67" s="619" t="s">
        <v>1018</v>
      </c>
      <c r="AC67" s="736"/>
      <c r="AD67" s="649"/>
      <c r="AE67" s="621"/>
      <c r="AF67" s="622"/>
      <c r="AG67" s="622"/>
      <c r="AH67" s="738"/>
      <c r="AI67" s="738"/>
      <c r="AJ67" s="739"/>
      <c r="AK67" s="739"/>
      <c r="AL67" s="738"/>
      <c r="AM67" s="738"/>
      <c r="AN67" s="739"/>
      <c r="AO67" s="739"/>
      <c r="AQ67" s="741"/>
      <c r="AR67" s="741"/>
      <c r="AS67" s="741"/>
      <c r="AT67" s="741"/>
      <c r="AU67" s="741"/>
      <c r="AV67" s="741"/>
      <c r="AW67" s="741"/>
      <c r="AX67" s="741"/>
      <c r="AY67" s="741"/>
      <c r="AZ67" s="741"/>
      <c r="BA67" s="741"/>
      <c r="BB67" s="741"/>
      <c r="BC67" s="741"/>
      <c r="BD67" s="741"/>
      <c r="BE67" s="741"/>
      <c r="BF67" s="742"/>
      <c r="BG67" s="741"/>
      <c r="BH67" s="741"/>
      <c r="BI67" s="741"/>
      <c r="BJ67" s="741"/>
      <c r="BK67" s="741"/>
      <c r="BL67" s="741"/>
      <c r="BM67" s="741"/>
      <c r="BN67" s="741"/>
      <c r="BO67" s="741"/>
      <c r="BP67" s="741"/>
      <c r="BQ67" s="741"/>
      <c r="BR67" s="741"/>
      <c r="BS67" s="741"/>
      <c r="BT67" s="741"/>
      <c r="BU67" s="743"/>
      <c r="BV67" s="744"/>
      <c r="BW67" s="741"/>
      <c r="BX67" s="741"/>
      <c r="BY67" s="741"/>
      <c r="BZ67" s="741"/>
      <c r="CA67" s="741"/>
      <c r="CB67" s="741"/>
      <c r="CC67" s="741"/>
      <c r="CD67" s="741"/>
      <c r="CE67" s="741"/>
      <c r="CF67" s="741"/>
      <c r="CG67" s="741"/>
      <c r="CH67" s="741"/>
      <c r="CI67" s="741"/>
      <c r="CJ67" s="741"/>
      <c r="CK67" s="741"/>
      <c r="CL67" s="742"/>
      <c r="CM67" s="741"/>
      <c r="CN67" s="741"/>
      <c r="CO67" s="741"/>
      <c r="CP67" s="741"/>
      <c r="CQ67" s="741"/>
      <c r="CR67" s="741"/>
      <c r="CS67" s="741"/>
      <c r="CT67" s="741"/>
      <c r="CU67" s="741"/>
      <c r="CV67" s="741"/>
      <c r="CW67" s="741"/>
      <c r="CX67" s="741"/>
      <c r="CY67" s="741"/>
      <c r="CZ67" s="741"/>
      <c r="DA67" s="745"/>
      <c r="DB67" s="746"/>
    </row>
    <row r="68" spans="1:106" s="740" customFormat="1" ht="18" customHeight="1" thickBot="1" x14ac:dyDescent="0.3">
      <c r="A68" s="594">
        <v>56</v>
      </c>
      <c r="B68" s="594">
        <v>31</v>
      </c>
      <c r="C68" s="756" t="s">
        <v>1288</v>
      </c>
      <c r="D68" s="806"/>
      <c r="E68" s="757" t="s">
        <v>580</v>
      </c>
      <c r="F68" s="758"/>
      <c r="G68" s="759">
        <v>2056</v>
      </c>
      <c r="H68" s="760">
        <f t="shared" si="5"/>
        <v>3.5810580145332433E-3</v>
      </c>
      <c r="I68" s="761">
        <v>1450</v>
      </c>
      <c r="J68" s="762">
        <v>0</v>
      </c>
      <c r="K68" s="763">
        <v>606</v>
      </c>
      <c r="L68" s="70">
        <f t="shared" si="6"/>
        <v>0.29474708171206226</v>
      </c>
      <c r="M68" s="736"/>
      <c r="N68" s="764">
        <v>38565</v>
      </c>
      <c r="O68" s="557">
        <f t="shared" ca="1" si="7"/>
        <v>12.688207495329157</v>
      </c>
      <c r="P68" s="736"/>
      <c r="Q68" s="765">
        <v>43344</v>
      </c>
      <c r="R68" s="736"/>
      <c r="S68" s="65">
        <f t="shared" ca="1" si="8"/>
        <v>5.3082756346851303</v>
      </c>
      <c r="T68" s="736"/>
      <c r="U68" s="1101" t="s">
        <v>591</v>
      </c>
      <c r="V68" s="766"/>
      <c r="W68" s="736"/>
      <c r="X68" s="93">
        <f t="shared" si="9"/>
        <v>43344</v>
      </c>
      <c r="Y68" s="736"/>
      <c r="Z68" s="1102"/>
      <c r="AA68" s="736"/>
      <c r="AB68" s="767" t="s">
        <v>983</v>
      </c>
      <c r="AC68" s="736"/>
      <c r="AD68" s="768"/>
      <c r="AE68" s="768"/>
      <c r="AF68" s="769"/>
      <c r="AG68" s="769"/>
      <c r="AH68" s="770"/>
      <c r="AI68" s="770"/>
      <c r="AJ68" s="771"/>
      <c r="AK68" s="771"/>
      <c r="AL68" s="770"/>
      <c r="AM68" s="770"/>
      <c r="AN68" s="771"/>
      <c r="AO68" s="771"/>
      <c r="AQ68" s="772"/>
      <c r="AR68" s="772"/>
      <c r="AS68" s="772"/>
      <c r="AT68" s="772"/>
      <c r="AU68" s="772"/>
      <c r="AV68" s="772"/>
      <c r="AW68" s="772"/>
      <c r="AX68" s="772"/>
      <c r="AY68" s="772"/>
      <c r="AZ68" s="772"/>
      <c r="BA68" s="772"/>
      <c r="BB68" s="772"/>
      <c r="BC68" s="772"/>
      <c r="BD68" s="772"/>
      <c r="BE68" s="772"/>
      <c r="BF68" s="773"/>
      <c r="BG68" s="772"/>
      <c r="BH68" s="772"/>
      <c r="BI68" s="772"/>
      <c r="BJ68" s="772"/>
      <c r="BK68" s="772"/>
      <c r="BL68" s="772"/>
      <c r="BM68" s="772"/>
      <c r="BN68" s="772"/>
      <c r="BO68" s="772"/>
      <c r="BP68" s="772"/>
      <c r="BQ68" s="772"/>
      <c r="BR68" s="772"/>
      <c r="BS68" s="772"/>
      <c r="BT68" s="772"/>
      <c r="BU68" s="774"/>
      <c r="BV68" s="775"/>
      <c r="BW68" s="772"/>
      <c r="BX68" s="772"/>
      <c r="BY68" s="772"/>
      <c r="BZ68" s="772"/>
      <c r="CA68" s="772"/>
      <c r="CB68" s="772"/>
      <c r="CC68" s="772"/>
      <c r="CD68" s="772"/>
      <c r="CE68" s="772"/>
      <c r="CF68" s="772"/>
      <c r="CG68" s="772"/>
      <c r="CH68" s="772"/>
      <c r="CI68" s="772"/>
      <c r="CJ68" s="772"/>
      <c r="CK68" s="772"/>
      <c r="CL68" s="773"/>
      <c r="CM68" s="772"/>
      <c r="CN68" s="772"/>
      <c r="CO68" s="772"/>
      <c r="CP68" s="772"/>
      <c r="CQ68" s="772"/>
      <c r="CR68" s="772"/>
      <c r="CS68" s="772"/>
      <c r="CT68" s="772"/>
      <c r="CU68" s="772"/>
      <c r="CV68" s="772"/>
      <c r="CW68" s="772"/>
      <c r="CX68" s="772"/>
      <c r="CY68" s="772"/>
      <c r="CZ68" s="772"/>
      <c r="DA68" s="776"/>
      <c r="DB68" s="746"/>
    </row>
    <row r="69" spans="1:106" s="106" customFormat="1" x14ac:dyDescent="0.25">
      <c r="A69" s="594"/>
      <c r="B69" s="594"/>
      <c r="C69" s="777"/>
      <c r="D69" s="777"/>
      <c r="G69" s="778"/>
      <c r="H69" s="778"/>
      <c r="I69" s="778"/>
      <c r="J69" s="778"/>
      <c r="K69" s="778"/>
      <c r="L69" s="779"/>
      <c r="M69" s="780"/>
      <c r="N69" s="779"/>
      <c r="O69" s="779"/>
      <c r="P69" s="780"/>
      <c r="Q69" s="780"/>
      <c r="R69" s="780"/>
      <c r="S69" s="779"/>
      <c r="T69" s="780"/>
      <c r="U69" s="780"/>
      <c r="V69" s="781"/>
      <c r="W69" s="780"/>
      <c r="X69" s="782"/>
      <c r="Y69" s="780"/>
      <c r="Z69" s="783"/>
      <c r="AA69" s="780"/>
      <c r="AB69" s="780"/>
      <c r="AC69" s="783"/>
      <c r="AD69" s="59"/>
      <c r="AE69" s="780"/>
      <c r="AF69" s="780"/>
      <c r="AI69" s="778"/>
      <c r="AJ69" s="778"/>
      <c r="AK69" s="778"/>
      <c r="AL69" s="778"/>
      <c r="AM69" s="778"/>
      <c r="AN69" s="778"/>
      <c r="AO69" s="778"/>
      <c r="AP69" s="778"/>
      <c r="AQ69" s="778"/>
      <c r="AR69" s="778"/>
      <c r="AS69" s="778"/>
      <c r="AT69" s="778"/>
      <c r="AU69" s="778"/>
      <c r="AV69" s="778"/>
      <c r="AW69" s="778"/>
      <c r="AX69" s="778"/>
      <c r="AY69" s="778"/>
      <c r="AZ69" s="778"/>
      <c r="BA69" s="778"/>
      <c r="BB69" s="778"/>
      <c r="BC69" s="778"/>
      <c r="BD69" s="778"/>
      <c r="BE69" s="778"/>
      <c r="BF69" s="778"/>
      <c r="BG69" s="778"/>
      <c r="BH69" s="778"/>
      <c r="BI69" s="778"/>
      <c r="BJ69" s="778"/>
      <c r="BK69" s="778"/>
      <c r="BL69" s="778"/>
      <c r="BM69" s="778"/>
      <c r="BN69" s="778"/>
      <c r="BO69" s="778"/>
      <c r="BP69" s="778"/>
      <c r="BQ69" s="778"/>
      <c r="BR69" s="778"/>
      <c r="BS69" s="778"/>
      <c r="BT69" s="778"/>
      <c r="BU69" s="778"/>
      <c r="BV69" s="778"/>
      <c r="BW69" s="778"/>
      <c r="BX69" s="778"/>
      <c r="BY69" s="778"/>
      <c r="BZ69" s="778"/>
      <c r="CA69" s="778"/>
      <c r="CB69" s="778"/>
      <c r="CC69" s="778"/>
      <c r="CD69" s="778"/>
      <c r="CE69" s="778"/>
      <c r="CF69" s="778"/>
      <c r="CG69" s="778"/>
      <c r="CH69" s="778"/>
      <c r="CI69" s="778"/>
      <c r="CJ69" s="778"/>
      <c r="CK69" s="778"/>
      <c r="CL69" s="778"/>
      <c r="CM69" s="778"/>
      <c r="CN69" s="778"/>
      <c r="CO69" s="778"/>
      <c r="CP69" s="778"/>
      <c r="CQ69" s="778"/>
      <c r="CR69" s="778"/>
      <c r="CS69" s="778"/>
      <c r="CT69" s="778"/>
      <c r="CU69" s="778"/>
      <c r="CV69" s="778"/>
      <c r="CW69" s="778"/>
      <c r="CX69" s="778"/>
      <c r="CY69" s="778"/>
      <c r="CZ69" s="778"/>
      <c r="DA69" s="778"/>
      <c r="DB69" s="780"/>
    </row>
    <row r="70" spans="1:106" s="106" customFormat="1" x14ac:dyDescent="0.25">
      <c r="A70" s="594"/>
      <c r="B70" s="594"/>
      <c r="C70" s="777"/>
      <c r="D70" s="777"/>
      <c r="G70" s="778"/>
      <c r="H70" s="778"/>
      <c r="I70" s="778"/>
      <c r="J70" s="778"/>
      <c r="K70" s="778"/>
      <c r="L70" s="779"/>
      <c r="M70" s="780"/>
      <c r="N70" s="779"/>
      <c r="O70" s="779"/>
      <c r="P70" s="780"/>
      <c r="Q70" s="780"/>
      <c r="R70" s="780"/>
      <c r="S70" s="779"/>
      <c r="T70" s="780"/>
      <c r="U70" s="780"/>
      <c r="V70" s="781"/>
      <c r="W70" s="780"/>
      <c r="X70" s="782"/>
      <c r="Y70" s="780"/>
      <c r="Z70" s="783"/>
      <c r="AA70" s="780"/>
      <c r="AB70" s="780"/>
      <c r="AC70" s="783"/>
      <c r="AD70" s="59"/>
      <c r="AE70" s="780"/>
      <c r="AF70" s="780"/>
      <c r="AI70" s="778"/>
      <c r="AJ70" s="778"/>
      <c r="AK70" s="778"/>
      <c r="AL70" s="778"/>
      <c r="AM70" s="778"/>
      <c r="AN70" s="778"/>
      <c r="AO70" s="778"/>
      <c r="AP70" s="778"/>
      <c r="AQ70" s="778"/>
      <c r="AR70" s="778"/>
      <c r="AS70" s="778"/>
      <c r="AT70" s="778"/>
      <c r="AU70" s="778"/>
      <c r="AV70" s="778"/>
      <c r="AW70" s="778"/>
      <c r="AX70" s="778"/>
      <c r="AY70" s="778"/>
      <c r="AZ70" s="778"/>
      <c r="BA70" s="778"/>
      <c r="BB70" s="778"/>
      <c r="BC70" s="778"/>
      <c r="BD70" s="778"/>
      <c r="BE70" s="778"/>
      <c r="BF70" s="778"/>
      <c r="BG70" s="778"/>
      <c r="BH70" s="778"/>
      <c r="BI70" s="778"/>
      <c r="BJ70" s="778"/>
      <c r="BK70" s="778"/>
      <c r="BL70" s="778"/>
      <c r="BM70" s="778"/>
      <c r="BN70" s="778"/>
      <c r="BO70" s="778"/>
      <c r="BP70" s="778"/>
      <c r="BQ70" s="778"/>
      <c r="BR70" s="778"/>
      <c r="BS70" s="778"/>
      <c r="BT70" s="778"/>
      <c r="BU70" s="778"/>
      <c r="BV70" s="778"/>
      <c r="BW70" s="778"/>
      <c r="BX70" s="778"/>
      <c r="BY70" s="778"/>
      <c r="BZ70" s="778"/>
      <c r="CA70" s="778"/>
      <c r="CB70" s="778"/>
      <c r="CC70" s="778"/>
      <c r="CD70" s="778"/>
      <c r="CE70" s="778"/>
      <c r="CF70" s="778"/>
      <c r="CG70" s="778"/>
      <c r="CH70" s="778"/>
      <c r="CI70" s="778"/>
      <c r="CJ70" s="778"/>
      <c r="CK70" s="778"/>
      <c r="CL70" s="778"/>
      <c r="CM70" s="778"/>
      <c r="CN70" s="778"/>
      <c r="CO70" s="778"/>
      <c r="CP70" s="778"/>
      <c r="CQ70" s="778"/>
      <c r="CR70" s="778"/>
      <c r="CS70" s="778"/>
      <c r="CT70" s="778"/>
      <c r="CU70" s="778"/>
      <c r="CV70" s="778"/>
      <c r="CW70" s="778"/>
      <c r="CX70" s="778"/>
      <c r="CY70" s="778"/>
      <c r="CZ70" s="778"/>
      <c r="DA70" s="778"/>
      <c r="DB70" s="780"/>
    </row>
    <row r="71" spans="1:106" s="106" customFormat="1" x14ac:dyDescent="0.25">
      <c r="A71" s="594"/>
      <c r="B71" s="594"/>
      <c r="C71" s="777"/>
      <c r="D71" s="777"/>
      <c r="G71" s="778"/>
      <c r="H71" s="778"/>
      <c r="I71" s="778"/>
      <c r="J71" s="778"/>
      <c r="K71" s="778"/>
      <c r="L71" s="779"/>
      <c r="M71" s="780"/>
      <c r="N71" s="779"/>
      <c r="O71" s="779"/>
      <c r="P71" s="780"/>
      <c r="Q71" s="780"/>
      <c r="R71" s="780"/>
      <c r="S71" s="779"/>
      <c r="T71" s="780"/>
      <c r="U71" s="780"/>
      <c r="V71" s="781"/>
      <c r="W71" s="780"/>
      <c r="X71" s="782"/>
      <c r="Y71" s="780"/>
      <c r="Z71" s="783"/>
      <c r="AA71" s="780"/>
      <c r="AB71" s="780"/>
      <c r="AC71" s="783"/>
      <c r="AD71" s="59"/>
      <c r="AE71" s="780"/>
      <c r="AF71" s="780"/>
      <c r="AI71" s="778"/>
      <c r="AJ71" s="778"/>
      <c r="AK71" s="778"/>
      <c r="AL71" s="778"/>
      <c r="AM71" s="778"/>
      <c r="AN71" s="778"/>
      <c r="AO71" s="778"/>
      <c r="AP71" s="778"/>
      <c r="AQ71" s="778"/>
      <c r="AR71" s="778"/>
      <c r="AS71" s="778"/>
      <c r="AT71" s="778"/>
      <c r="AU71" s="778"/>
      <c r="AV71" s="778"/>
      <c r="AW71" s="778"/>
      <c r="AX71" s="778"/>
      <c r="AY71" s="778"/>
      <c r="AZ71" s="778"/>
      <c r="BA71" s="778"/>
      <c r="BB71" s="778"/>
      <c r="BC71" s="778"/>
      <c r="BD71" s="778"/>
      <c r="BE71" s="778"/>
      <c r="BF71" s="778"/>
      <c r="BG71" s="778"/>
      <c r="BH71" s="778"/>
      <c r="BI71" s="778"/>
      <c r="BJ71" s="778"/>
      <c r="BK71" s="778"/>
      <c r="BL71" s="778"/>
      <c r="BM71" s="778"/>
      <c r="BN71" s="778"/>
      <c r="BO71" s="778"/>
      <c r="BP71" s="778"/>
      <c r="BQ71" s="778"/>
      <c r="BR71" s="778"/>
      <c r="BS71" s="778"/>
      <c r="BT71" s="778"/>
      <c r="BU71" s="778"/>
      <c r="BV71" s="778"/>
      <c r="BW71" s="778"/>
      <c r="BX71" s="778"/>
      <c r="BY71" s="778"/>
      <c r="BZ71" s="778"/>
      <c r="CA71" s="778"/>
      <c r="CB71" s="778"/>
      <c r="CC71" s="778"/>
      <c r="CD71" s="778"/>
      <c r="CE71" s="778"/>
      <c r="CF71" s="778"/>
      <c r="CG71" s="778"/>
      <c r="CH71" s="778"/>
      <c r="CI71" s="778"/>
      <c r="CJ71" s="778"/>
      <c r="CK71" s="778"/>
      <c r="CL71" s="778"/>
      <c r="CM71" s="778"/>
      <c r="CN71" s="778"/>
      <c r="CO71" s="778"/>
      <c r="CP71" s="778"/>
      <c r="CQ71" s="778"/>
      <c r="CR71" s="778"/>
      <c r="CS71" s="778"/>
      <c r="CT71" s="778"/>
      <c r="CU71" s="778"/>
      <c r="CV71" s="778"/>
      <c r="CW71" s="778"/>
      <c r="CX71" s="778"/>
      <c r="CY71" s="778"/>
      <c r="CZ71" s="778"/>
      <c r="DA71" s="778"/>
      <c r="DB71" s="780"/>
    </row>
    <row r="72" spans="1:106" s="106" customFormat="1" x14ac:dyDescent="0.25">
      <c r="A72" s="594"/>
      <c r="B72" s="594"/>
      <c r="C72" s="777"/>
      <c r="D72" s="777"/>
      <c r="G72" s="778"/>
      <c r="H72" s="778"/>
      <c r="I72" s="778"/>
      <c r="J72" s="778"/>
      <c r="K72" s="778"/>
      <c r="L72" s="779"/>
      <c r="M72" s="780"/>
      <c r="N72" s="779"/>
      <c r="O72" s="779"/>
      <c r="P72" s="780"/>
      <c r="Q72" s="780"/>
      <c r="R72" s="780"/>
      <c r="S72" s="779"/>
      <c r="T72" s="780"/>
      <c r="U72" s="780"/>
      <c r="V72" s="781"/>
      <c r="W72" s="780"/>
      <c r="X72" s="782"/>
      <c r="Y72" s="780"/>
      <c r="Z72" s="783"/>
      <c r="AA72" s="780"/>
      <c r="AB72" s="780"/>
      <c r="AC72" s="783"/>
      <c r="AD72" s="59"/>
      <c r="AE72" s="780"/>
      <c r="AF72" s="780"/>
      <c r="AI72" s="778"/>
      <c r="AJ72" s="778"/>
      <c r="AK72" s="778"/>
      <c r="AL72" s="778"/>
      <c r="AM72" s="778"/>
      <c r="AN72" s="778"/>
      <c r="AO72" s="778"/>
      <c r="AP72" s="778"/>
      <c r="AQ72" s="778"/>
      <c r="AR72" s="778"/>
      <c r="AS72" s="778"/>
      <c r="AT72" s="778"/>
      <c r="AU72" s="778"/>
      <c r="AV72" s="778"/>
      <c r="AW72" s="778"/>
      <c r="AX72" s="778"/>
      <c r="AY72" s="778"/>
      <c r="AZ72" s="778"/>
      <c r="BA72" s="778"/>
      <c r="BB72" s="778"/>
      <c r="BC72" s="778"/>
      <c r="BD72" s="778"/>
      <c r="BE72" s="778"/>
      <c r="BF72" s="778"/>
      <c r="BG72" s="778"/>
      <c r="BH72" s="778"/>
      <c r="BI72" s="778"/>
      <c r="BJ72" s="778"/>
      <c r="BK72" s="778"/>
      <c r="BL72" s="778"/>
      <c r="BM72" s="778"/>
      <c r="BN72" s="778"/>
      <c r="BO72" s="778"/>
      <c r="BP72" s="778"/>
      <c r="BQ72" s="778"/>
      <c r="BR72" s="778"/>
      <c r="BS72" s="778"/>
      <c r="BT72" s="778"/>
      <c r="BU72" s="778"/>
      <c r="BV72" s="778"/>
      <c r="BW72" s="778"/>
      <c r="BX72" s="778"/>
      <c r="BY72" s="778"/>
      <c r="BZ72" s="778"/>
      <c r="CA72" s="778"/>
      <c r="CB72" s="778"/>
      <c r="CC72" s="778"/>
      <c r="CD72" s="778"/>
      <c r="CE72" s="778"/>
      <c r="CF72" s="778"/>
      <c r="CG72" s="778"/>
      <c r="CH72" s="778"/>
      <c r="CI72" s="778"/>
      <c r="CJ72" s="778"/>
      <c r="CK72" s="778"/>
      <c r="CL72" s="778"/>
      <c r="CM72" s="778"/>
      <c r="CN72" s="778"/>
      <c r="CO72" s="778"/>
      <c r="CP72" s="778"/>
      <c r="CQ72" s="778"/>
      <c r="CR72" s="778"/>
      <c r="CS72" s="778"/>
      <c r="CT72" s="778"/>
      <c r="CU72" s="778"/>
      <c r="CV72" s="778"/>
      <c r="CW72" s="778"/>
      <c r="CX72" s="778"/>
      <c r="CY72" s="778"/>
      <c r="CZ72" s="778"/>
      <c r="DA72" s="778"/>
      <c r="DB72" s="780"/>
    </row>
    <row r="73" spans="1:106" s="106" customFormat="1" x14ac:dyDescent="0.25">
      <c r="A73" s="594"/>
      <c r="B73" s="594"/>
      <c r="C73" s="777"/>
      <c r="D73" s="777"/>
      <c r="G73" s="778"/>
      <c r="H73" s="778"/>
      <c r="I73" s="778"/>
      <c r="J73" s="778"/>
      <c r="K73" s="778"/>
      <c r="L73" s="779"/>
      <c r="M73" s="780"/>
      <c r="N73" s="779"/>
      <c r="O73" s="779"/>
      <c r="P73" s="780"/>
      <c r="Q73" s="780"/>
      <c r="R73" s="780"/>
      <c r="S73" s="779"/>
      <c r="T73" s="780"/>
      <c r="U73" s="780"/>
      <c r="V73" s="781"/>
      <c r="W73" s="780"/>
      <c r="X73" s="782"/>
      <c r="Y73" s="780"/>
      <c r="Z73" s="783"/>
      <c r="AA73" s="780"/>
      <c r="AB73" s="780"/>
      <c r="AC73" s="783"/>
      <c r="AD73" s="59"/>
      <c r="AE73" s="780"/>
      <c r="AF73" s="780"/>
      <c r="AI73" s="778"/>
      <c r="AJ73" s="778"/>
      <c r="AK73" s="778"/>
      <c r="AL73" s="778"/>
      <c r="AM73" s="778"/>
      <c r="AN73" s="778"/>
      <c r="AO73" s="778"/>
      <c r="AP73" s="778"/>
      <c r="AQ73" s="778"/>
      <c r="AR73" s="778"/>
      <c r="AS73" s="778"/>
      <c r="AT73" s="778"/>
      <c r="AU73" s="778"/>
      <c r="AV73" s="778"/>
      <c r="AW73" s="778"/>
      <c r="AX73" s="778"/>
      <c r="AY73" s="778"/>
      <c r="AZ73" s="778"/>
      <c r="BA73" s="778"/>
      <c r="BB73" s="778"/>
      <c r="BC73" s="778"/>
      <c r="BD73" s="778"/>
      <c r="BE73" s="778"/>
      <c r="BF73" s="778"/>
      <c r="BG73" s="778"/>
      <c r="BH73" s="778"/>
      <c r="BI73" s="778"/>
      <c r="BJ73" s="778"/>
      <c r="BK73" s="778"/>
      <c r="BL73" s="778"/>
      <c r="BM73" s="778"/>
      <c r="BN73" s="778"/>
      <c r="BO73" s="778"/>
      <c r="BP73" s="778"/>
      <c r="BQ73" s="778"/>
      <c r="BR73" s="778"/>
      <c r="BS73" s="778"/>
      <c r="BT73" s="778"/>
      <c r="BU73" s="778"/>
      <c r="BV73" s="778"/>
      <c r="BW73" s="778"/>
      <c r="BX73" s="778"/>
      <c r="BY73" s="778"/>
      <c r="BZ73" s="778"/>
      <c r="CA73" s="778"/>
      <c r="CB73" s="778"/>
      <c r="CC73" s="778"/>
      <c r="CD73" s="778"/>
      <c r="CE73" s="778"/>
      <c r="CF73" s="778"/>
      <c r="CG73" s="778"/>
      <c r="CH73" s="778"/>
      <c r="CI73" s="778"/>
      <c r="CJ73" s="778"/>
      <c r="CK73" s="778"/>
      <c r="CL73" s="778"/>
      <c r="CM73" s="778"/>
      <c r="CN73" s="778"/>
      <c r="CO73" s="778"/>
      <c r="CP73" s="778"/>
      <c r="CQ73" s="778"/>
      <c r="CR73" s="778"/>
      <c r="CS73" s="778"/>
      <c r="CT73" s="778"/>
      <c r="CU73" s="778"/>
      <c r="CV73" s="778"/>
      <c r="CW73" s="778"/>
      <c r="CX73" s="778"/>
      <c r="CY73" s="778"/>
      <c r="CZ73" s="778"/>
      <c r="DA73" s="778"/>
      <c r="DB73" s="780"/>
    </row>
    <row r="74" spans="1:106" s="106" customFormat="1" x14ac:dyDescent="0.25">
      <c r="A74" s="594"/>
      <c r="B74" s="594"/>
      <c r="C74" s="777"/>
      <c r="D74" s="777"/>
      <c r="G74" s="778"/>
      <c r="H74" s="778"/>
      <c r="I74" s="778"/>
      <c r="J74" s="778"/>
      <c r="K74" s="778"/>
      <c r="L74" s="779"/>
      <c r="M74" s="780"/>
      <c r="N74" s="779"/>
      <c r="O74" s="779"/>
      <c r="P74" s="780"/>
      <c r="Q74" s="780"/>
      <c r="R74" s="780"/>
      <c r="S74" s="779"/>
      <c r="T74" s="780"/>
      <c r="U74" s="780"/>
      <c r="V74" s="781"/>
      <c r="W74" s="780"/>
      <c r="X74" s="782"/>
      <c r="Y74" s="780"/>
      <c r="Z74" s="783"/>
      <c r="AA74" s="780"/>
      <c r="AB74" s="780"/>
      <c r="AC74" s="783"/>
      <c r="AD74" s="59"/>
      <c r="AE74" s="780"/>
      <c r="AF74" s="780"/>
      <c r="AI74" s="778"/>
      <c r="AJ74" s="778"/>
      <c r="AK74" s="778"/>
      <c r="AL74" s="778"/>
      <c r="AM74" s="778"/>
      <c r="AN74" s="778"/>
      <c r="AO74" s="778"/>
      <c r="AP74" s="778"/>
      <c r="AQ74" s="778"/>
      <c r="AR74" s="778"/>
      <c r="AS74" s="778"/>
      <c r="AT74" s="778"/>
      <c r="AU74" s="778"/>
      <c r="AV74" s="778"/>
      <c r="AW74" s="778"/>
      <c r="AX74" s="778"/>
      <c r="AY74" s="778"/>
      <c r="AZ74" s="778"/>
      <c r="BA74" s="778"/>
      <c r="BB74" s="778"/>
      <c r="BC74" s="778"/>
      <c r="BD74" s="778"/>
      <c r="BE74" s="778"/>
      <c r="BF74" s="778"/>
      <c r="BG74" s="778"/>
      <c r="BH74" s="778"/>
      <c r="BI74" s="778"/>
      <c r="BJ74" s="778"/>
      <c r="BK74" s="778"/>
      <c r="BL74" s="778"/>
      <c r="BM74" s="778"/>
      <c r="BN74" s="778"/>
      <c r="BO74" s="778"/>
      <c r="BP74" s="778"/>
      <c r="BQ74" s="778"/>
      <c r="BR74" s="778"/>
      <c r="BS74" s="778"/>
      <c r="BT74" s="778"/>
      <c r="BU74" s="778"/>
      <c r="BV74" s="778"/>
      <c r="BW74" s="778"/>
      <c r="BX74" s="778"/>
      <c r="BY74" s="778"/>
      <c r="BZ74" s="778"/>
      <c r="CA74" s="778"/>
      <c r="CB74" s="778"/>
      <c r="CC74" s="778"/>
      <c r="CD74" s="778"/>
      <c r="CE74" s="778"/>
      <c r="CF74" s="778"/>
      <c r="CG74" s="778"/>
      <c r="CH74" s="778"/>
      <c r="CI74" s="778"/>
      <c r="CJ74" s="778"/>
      <c r="CK74" s="778"/>
      <c r="CL74" s="778"/>
      <c r="CM74" s="778"/>
      <c r="CN74" s="778"/>
      <c r="CO74" s="778"/>
      <c r="CP74" s="778"/>
      <c r="CQ74" s="778"/>
      <c r="CR74" s="778"/>
      <c r="CS74" s="778"/>
      <c r="CT74" s="778"/>
      <c r="CU74" s="778"/>
      <c r="CV74" s="778"/>
      <c r="CW74" s="778"/>
      <c r="CX74" s="778"/>
      <c r="CY74" s="778"/>
      <c r="CZ74" s="778"/>
      <c r="DA74" s="778"/>
      <c r="DB74" s="780"/>
    </row>
    <row r="75" spans="1:106" s="106" customFormat="1" x14ac:dyDescent="0.25">
      <c r="A75" s="594"/>
      <c r="B75" s="594"/>
      <c r="C75" s="777"/>
      <c r="D75" s="777"/>
      <c r="G75" s="778"/>
      <c r="H75" s="778"/>
      <c r="I75" s="778"/>
      <c r="J75" s="778"/>
      <c r="K75" s="778"/>
      <c r="L75" s="779"/>
      <c r="M75" s="780"/>
      <c r="N75" s="779"/>
      <c r="O75" s="779"/>
      <c r="P75" s="780"/>
      <c r="Q75" s="780"/>
      <c r="R75" s="780"/>
      <c r="S75" s="779"/>
      <c r="T75" s="780"/>
      <c r="U75" s="780"/>
      <c r="V75" s="781"/>
      <c r="W75" s="780"/>
      <c r="X75" s="782"/>
      <c r="Y75" s="780"/>
      <c r="Z75" s="783"/>
      <c r="AA75" s="780"/>
      <c r="AB75" s="780"/>
      <c r="AC75" s="783"/>
      <c r="AD75" s="59"/>
      <c r="AE75" s="780"/>
      <c r="AF75" s="780"/>
      <c r="AI75" s="778"/>
      <c r="AJ75" s="778"/>
      <c r="AK75" s="778"/>
      <c r="AL75" s="778"/>
      <c r="AM75" s="778"/>
      <c r="AN75" s="778"/>
      <c r="AO75" s="778"/>
      <c r="AP75" s="778"/>
      <c r="AQ75" s="778"/>
      <c r="AR75" s="778"/>
      <c r="AS75" s="778"/>
      <c r="AT75" s="778"/>
      <c r="AU75" s="778"/>
      <c r="AV75" s="778"/>
      <c r="AW75" s="778"/>
      <c r="AX75" s="778"/>
      <c r="AY75" s="778"/>
      <c r="AZ75" s="778"/>
      <c r="BA75" s="778"/>
      <c r="BB75" s="778"/>
      <c r="BC75" s="778"/>
      <c r="BD75" s="778"/>
      <c r="BE75" s="778"/>
      <c r="BF75" s="778"/>
      <c r="BG75" s="778"/>
      <c r="BH75" s="778"/>
      <c r="BI75" s="778"/>
      <c r="BJ75" s="778"/>
      <c r="BK75" s="778"/>
      <c r="BL75" s="778"/>
      <c r="BM75" s="778"/>
      <c r="BN75" s="778"/>
      <c r="BO75" s="778"/>
      <c r="BP75" s="778"/>
      <c r="BQ75" s="778"/>
      <c r="BR75" s="778"/>
      <c r="BS75" s="778"/>
      <c r="BT75" s="778"/>
      <c r="BU75" s="778"/>
      <c r="BV75" s="778"/>
      <c r="BW75" s="778"/>
      <c r="BX75" s="778"/>
      <c r="BY75" s="778"/>
      <c r="BZ75" s="778"/>
      <c r="CA75" s="778"/>
      <c r="CB75" s="778"/>
      <c r="CC75" s="778"/>
      <c r="CD75" s="778"/>
      <c r="CE75" s="778"/>
      <c r="CF75" s="778"/>
      <c r="CG75" s="778"/>
      <c r="CH75" s="778"/>
      <c r="CI75" s="778"/>
      <c r="CJ75" s="778"/>
      <c r="CK75" s="778"/>
      <c r="CL75" s="778"/>
      <c r="CM75" s="778"/>
      <c r="CN75" s="778"/>
      <c r="CO75" s="778"/>
      <c r="CP75" s="778"/>
      <c r="CQ75" s="778"/>
      <c r="CR75" s="778"/>
      <c r="CS75" s="778"/>
      <c r="CT75" s="778"/>
      <c r="CU75" s="778"/>
      <c r="CV75" s="778"/>
      <c r="CW75" s="778"/>
      <c r="CX75" s="778"/>
      <c r="CY75" s="778"/>
      <c r="CZ75" s="778"/>
      <c r="DA75" s="778"/>
      <c r="DB75" s="780"/>
    </row>
    <row r="76" spans="1:106" s="106" customFormat="1" x14ac:dyDescent="0.25">
      <c r="A76" s="594"/>
      <c r="B76" s="594"/>
      <c r="C76" s="777"/>
      <c r="D76" s="777"/>
      <c r="G76" s="778"/>
      <c r="H76" s="778"/>
      <c r="I76" s="778"/>
      <c r="J76" s="778"/>
      <c r="K76" s="778"/>
      <c r="L76" s="779"/>
      <c r="M76" s="780"/>
      <c r="N76" s="779"/>
      <c r="O76" s="779"/>
      <c r="P76" s="780"/>
      <c r="Q76" s="780"/>
      <c r="R76" s="780"/>
      <c r="S76" s="779"/>
      <c r="T76" s="780"/>
      <c r="U76" s="780"/>
      <c r="V76" s="781"/>
      <c r="W76" s="780"/>
      <c r="X76" s="782"/>
      <c r="Y76" s="780"/>
      <c r="Z76" s="783"/>
      <c r="AA76" s="780"/>
      <c r="AB76" s="780"/>
      <c r="AC76" s="783"/>
      <c r="AD76" s="59"/>
      <c r="AE76" s="780"/>
      <c r="AF76" s="780"/>
      <c r="AI76" s="778"/>
      <c r="AJ76" s="778"/>
      <c r="AK76" s="778"/>
      <c r="AL76" s="778"/>
      <c r="AM76" s="778"/>
      <c r="AN76" s="778"/>
      <c r="AO76" s="778"/>
      <c r="AP76" s="778"/>
      <c r="AQ76" s="778"/>
      <c r="AR76" s="778"/>
      <c r="AS76" s="778"/>
      <c r="AT76" s="778"/>
      <c r="AU76" s="778"/>
      <c r="AV76" s="778"/>
      <c r="AW76" s="778"/>
      <c r="AX76" s="778"/>
      <c r="AY76" s="778"/>
      <c r="AZ76" s="778"/>
      <c r="BA76" s="778"/>
      <c r="BB76" s="778"/>
      <c r="BC76" s="778"/>
      <c r="BD76" s="778"/>
      <c r="BE76" s="778"/>
      <c r="BF76" s="778"/>
      <c r="BG76" s="778"/>
      <c r="BH76" s="778"/>
      <c r="BI76" s="778"/>
      <c r="BJ76" s="778"/>
      <c r="BK76" s="778"/>
      <c r="BL76" s="778"/>
      <c r="BM76" s="778"/>
      <c r="BN76" s="778"/>
      <c r="BO76" s="778"/>
      <c r="BP76" s="778"/>
      <c r="BQ76" s="778"/>
      <c r="BR76" s="778"/>
      <c r="BS76" s="778"/>
      <c r="BT76" s="778"/>
      <c r="BU76" s="778"/>
      <c r="BV76" s="778"/>
      <c r="BW76" s="778"/>
      <c r="BX76" s="778"/>
      <c r="BY76" s="778"/>
      <c r="BZ76" s="778"/>
      <c r="CA76" s="778"/>
      <c r="CB76" s="778"/>
      <c r="CC76" s="778"/>
      <c r="CD76" s="778"/>
      <c r="CE76" s="778"/>
      <c r="CF76" s="778"/>
      <c r="CG76" s="778"/>
      <c r="CH76" s="778"/>
      <c r="CI76" s="778"/>
      <c r="CJ76" s="778"/>
      <c r="CK76" s="778"/>
      <c r="CL76" s="778"/>
      <c r="CM76" s="778"/>
      <c r="CN76" s="778"/>
      <c r="CO76" s="778"/>
      <c r="CP76" s="778"/>
      <c r="CQ76" s="778"/>
      <c r="CR76" s="778"/>
      <c r="CS76" s="778"/>
      <c r="CT76" s="778"/>
      <c r="CU76" s="778"/>
      <c r="CV76" s="778"/>
      <c r="CW76" s="778"/>
      <c r="CX76" s="778"/>
      <c r="CY76" s="778"/>
      <c r="CZ76" s="778"/>
      <c r="DA76" s="778"/>
      <c r="DB76" s="780"/>
    </row>
    <row r="77" spans="1:106" s="106" customFormat="1" x14ac:dyDescent="0.25">
      <c r="A77" s="594"/>
      <c r="B77" s="594"/>
      <c r="C77" s="777"/>
      <c r="D77" s="777"/>
      <c r="G77" s="778"/>
      <c r="H77" s="778"/>
      <c r="I77" s="778"/>
      <c r="J77" s="778"/>
      <c r="K77" s="778"/>
      <c r="L77" s="779"/>
      <c r="M77" s="780"/>
      <c r="N77" s="779"/>
      <c r="O77" s="779"/>
      <c r="P77" s="780"/>
      <c r="Q77" s="780"/>
      <c r="R77" s="780"/>
      <c r="S77" s="779"/>
      <c r="T77" s="780"/>
      <c r="U77" s="780"/>
      <c r="V77" s="781"/>
      <c r="W77" s="780"/>
      <c r="X77" s="782"/>
      <c r="Y77" s="780"/>
      <c r="Z77" s="783"/>
      <c r="AA77" s="780"/>
      <c r="AB77" s="780"/>
      <c r="AC77" s="783"/>
      <c r="AD77" s="59"/>
      <c r="AE77" s="780"/>
      <c r="AF77" s="780"/>
      <c r="AI77" s="778"/>
      <c r="AJ77" s="778"/>
      <c r="AK77" s="778"/>
      <c r="AL77" s="778"/>
      <c r="AM77" s="778"/>
      <c r="AN77" s="778"/>
      <c r="AO77" s="778"/>
      <c r="AP77" s="778"/>
      <c r="AQ77" s="778"/>
      <c r="AR77" s="778"/>
      <c r="AS77" s="778"/>
      <c r="AT77" s="778"/>
      <c r="AU77" s="778"/>
      <c r="AV77" s="778"/>
      <c r="AW77" s="778"/>
      <c r="AX77" s="778"/>
      <c r="AY77" s="778"/>
      <c r="AZ77" s="778"/>
      <c r="BA77" s="778"/>
      <c r="BB77" s="778"/>
      <c r="BC77" s="778"/>
      <c r="BD77" s="778"/>
      <c r="BE77" s="778"/>
      <c r="BF77" s="778"/>
      <c r="BG77" s="778"/>
      <c r="BH77" s="778"/>
      <c r="BI77" s="778"/>
      <c r="BJ77" s="778"/>
      <c r="BK77" s="778"/>
      <c r="BL77" s="778"/>
      <c r="BM77" s="778"/>
      <c r="BN77" s="778"/>
      <c r="BO77" s="778"/>
      <c r="BP77" s="778"/>
      <c r="BQ77" s="778"/>
      <c r="BR77" s="778"/>
      <c r="BS77" s="778"/>
      <c r="BT77" s="778"/>
      <c r="BU77" s="778"/>
      <c r="BV77" s="778"/>
      <c r="BW77" s="778"/>
      <c r="BX77" s="778"/>
      <c r="BY77" s="778"/>
      <c r="BZ77" s="778"/>
      <c r="CA77" s="778"/>
      <c r="CB77" s="778"/>
      <c r="CC77" s="778"/>
      <c r="CD77" s="778"/>
      <c r="CE77" s="778"/>
      <c r="CF77" s="778"/>
      <c r="CG77" s="778"/>
      <c r="CH77" s="778"/>
      <c r="CI77" s="778"/>
      <c r="CJ77" s="778"/>
      <c r="CK77" s="778"/>
      <c r="CL77" s="778"/>
      <c r="CM77" s="778"/>
      <c r="CN77" s="778"/>
      <c r="CO77" s="778"/>
      <c r="CP77" s="778"/>
      <c r="CQ77" s="778"/>
      <c r="CR77" s="778"/>
      <c r="CS77" s="778"/>
      <c r="CT77" s="778"/>
      <c r="CU77" s="778"/>
      <c r="CV77" s="778"/>
      <c r="CW77" s="778"/>
      <c r="CX77" s="778"/>
      <c r="CY77" s="778"/>
      <c r="CZ77" s="778"/>
      <c r="DA77" s="778"/>
      <c r="DB77" s="780"/>
    </row>
    <row r="78" spans="1:106" s="106" customFormat="1" x14ac:dyDescent="0.25">
      <c r="A78" s="594"/>
      <c r="B78" s="594"/>
      <c r="C78" s="777"/>
      <c r="D78" s="777"/>
      <c r="G78" s="778"/>
      <c r="H78" s="778"/>
      <c r="I78" s="778"/>
      <c r="J78" s="778"/>
      <c r="K78" s="778"/>
      <c r="L78" s="779"/>
      <c r="M78" s="780"/>
      <c r="N78" s="779"/>
      <c r="O78" s="779"/>
      <c r="P78" s="780"/>
      <c r="Q78" s="780"/>
      <c r="R78" s="780"/>
      <c r="S78" s="779"/>
      <c r="T78" s="780"/>
      <c r="U78" s="780"/>
      <c r="V78" s="781"/>
      <c r="W78" s="780"/>
      <c r="X78" s="782"/>
      <c r="Y78" s="780"/>
      <c r="Z78" s="783"/>
      <c r="AA78" s="780"/>
      <c r="AB78" s="780"/>
      <c r="AC78" s="783"/>
      <c r="AD78" s="59"/>
      <c r="AE78" s="780"/>
      <c r="AF78" s="780"/>
      <c r="AI78" s="778"/>
      <c r="AJ78" s="778"/>
      <c r="AK78" s="778"/>
      <c r="AL78" s="778"/>
      <c r="AM78" s="778"/>
      <c r="AN78" s="778"/>
      <c r="AO78" s="778"/>
      <c r="AP78" s="778"/>
      <c r="AQ78" s="778"/>
      <c r="AR78" s="778"/>
      <c r="AS78" s="778"/>
      <c r="AT78" s="778"/>
      <c r="AU78" s="778"/>
      <c r="AV78" s="778"/>
      <c r="AW78" s="778"/>
      <c r="AX78" s="778"/>
      <c r="AY78" s="778"/>
      <c r="AZ78" s="778"/>
      <c r="BA78" s="778"/>
      <c r="BB78" s="778"/>
      <c r="BC78" s="778"/>
      <c r="BD78" s="778"/>
      <c r="BE78" s="778"/>
      <c r="BF78" s="778"/>
      <c r="BG78" s="778"/>
      <c r="BH78" s="778"/>
      <c r="BI78" s="778"/>
      <c r="BJ78" s="778"/>
      <c r="BK78" s="778"/>
      <c r="BL78" s="778"/>
      <c r="BM78" s="778"/>
      <c r="BN78" s="778"/>
      <c r="BO78" s="778"/>
      <c r="BP78" s="778"/>
      <c r="BQ78" s="778"/>
      <c r="BR78" s="778"/>
      <c r="BS78" s="778"/>
      <c r="BT78" s="778"/>
      <c r="BU78" s="778"/>
      <c r="BV78" s="778"/>
      <c r="BW78" s="778"/>
      <c r="BX78" s="778"/>
      <c r="BY78" s="778"/>
      <c r="BZ78" s="778"/>
      <c r="CA78" s="778"/>
      <c r="CB78" s="778"/>
      <c r="CC78" s="778"/>
      <c r="CD78" s="778"/>
      <c r="CE78" s="778"/>
      <c r="CF78" s="778"/>
      <c r="CG78" s="778"/>
      <c r="CH78" s="778"/>
      <c r="CI78" s="778"/>
      <c r="CJ78" s="778"/>
      <c r="CK78" s="778"/>
      <c r="CL78" s="778"/>
      <c r="CM78" s="778"/>
      <c r="CN78" s="778"/>
      <c r="CO78" s="778"/>
      <c r="CP78" s="778"/>
      <c r="CQ78" s="778"/>
      <c r="CR78" s="778"/>
      <c r="CS78" s="778"/>
      <c r="CT78" s="778"/>
      <c r="CU78" s="778"/>
      <c r="CV78" s="778"/>
      <c r="CW78" s="778"/>
      <c r="CX78" s="778"/>
      <c r="CY78" s="778"/>
      <c r="CZ78" s="778"/>
      <c r="DA78" s="778"/>
      <c r="DB78" s="780"/>
    </row>
    <row r="79" spans="1:106" s="106" customFormat="1" x14ac:dyDescent="0.25">
      <c r="A79" s="594"/>
      <c r="B79" s="594"/>
      <c r="C79" s="777"/>
      <c r="D79" s="777"/>
      <c r="G79" s="778"/>
      <c r="H79" s="778"/>
      <c r="I79" s="778"/>
      <c r="J79" s="778"/>
      <c r="K79" s="778"/>
      <c r="L79" s="779"/>
      <c r="M79" s="780"/>
      <c r="N79" s="779"/>
      <c r="O79" s="779"/>
      <c r="P79" s="780"/>
      <c r="Q79" s="780"/>
      <c r="R79" s="780"/>
      <c r="S79" s="779"/>
      <c r="T79" s="780"/>
      <c r="U79" s="780"/>
      <c r="V79" s="781"/>
      <c r="W79" s="780"/>
      <c r="X79" s="782"/>
      <c r="Y79" s="780"/>
      <c r="Z79" s="783"/>
      <c r="AA79" s="780"/>
      <c r="AB79" s="780"/>
      <c r="AC79" s="783"/>
      <c r="AD79" s="59"/>
      <c r="AE79" s="780"/>
      <c r="AF79" s="780"/>
      <c r="AI79" s="778"/>
      <c r="AJ79" s="778"/>
      <c r="AK79" s="778"/>
      <c r="AL79" s="778"/>
      <c r="AM79" s="778"/>
      <c r="AN79" s="778"/>
      <c r="AO79" s="778"/>
      <c r="AP79" s="778"/>
      <c r="AQ79" s="778"/>
      <c r="AR79" s="778"/>
      <c r="AS79" s="778"/>
      <c r="AT79" s="778"/>
      <c r="AU79" s="778"/>
      <c r="AV79" s="778"/>
      <c r="AW79" s="778"/>
      <c r="AX79" s="778"/>
      <c r="AY79" s="778"/>
      <c r="AZ79" s="778"/>
      <c r="BA79" s="778"/>
      <c r="BB79" s="778"/>
      <c r="BC79" s="778"/>
      <c r="BD79" s="778"/>
      <c r="BE79" s="778"/>
      <c r="BF79" s="778"/>
      <c r="BG79" s="778"/>
      <c r="BH79" s="778"/>
      <c r="BI79" s="778"/>
      <c r="BJ79" s="778"/>
      <c r="BK79" s="778"/>
      <c r="BL79" s="778"/>
      <c r="BM79" s="778"/>
      <c r="BN79" s="778"/>
      <c r="BO79" s="778"/>
      <c r="BP79" s="778"/>
      <c r="BQ79" s="778"/>
      <c r="BR79" s="778"/>
      <c r="BS79" s="778"/>
      <c r="BT79" s="778"/>
      <c r="BU79" s="778"/>
      <c r="BV79" s="778"/>
      <c r="BW79" s="778"/>
      <c r="BX79" s="778"/>
      <c r="BY79" s="778"/>
      <c r="BZ79" s="778"/>
      <c r="CA79" s="778"/>
      <c r="CB79" s="778"/>
      <c r="CC79" s="778"/>
      <c r="CD79" s="778"/>
      <c r="CE79" s="778"/>
      <c r="CF79" s="778"/>
      <c r="CG79" s="778"/>
      <c r="CH79" s="778"/>
      <c r="CI79" s="778"/>
      <c r="CJ79" s="778"/>
      <c r="CK79" s="778"/>
      <c r="CL79" s="778"/>
      <c r="CM79" s="778"/>
      <c r="CN79" s="778"/>
      <c r="CO79" s="778"/>
      <c r="CP79" s="778"/>
      <c r="CQ79" s="778"/>
      <c r="CR79" s="778"/>
      <c r="CS79" s="778"/>
      <c r="CT79" s="778"/>
      <c r="CU79" s="778"/>
      <c r="CV79" s="778"/>
      <c r="CW79" s="778"/>
      <c r="CX79" s="778"/>
      <c r="CY79" s="778"/>
      <c r="CZ79" s="778"/>
      <c r="DA79" s="778"/>
      <c r="DB79" s="780"/>
    </row>
    <row r="80" spans="1:106" s="106" customFormat="1" x14ac:dyDescent="0.25">
      <c r="A80" s="594"/>
      <c r="B80" s="594"/>
      <c r="C80" s="777"/>
      <c r="D80" s="777"/>
      <c r="G80" s="778"/>
      <c r="H80" s="778"/>
      <c r="I80" s="778"/>
      <c r="J80" s="778"/>
      <c r="K80" s="778"/>
      <c r="L80" s="779"/>
      <c r="M80" s="780"/>
      <c r="N80" s="779"/>
      <c r="O80" s="779"/>
      <c r="P80" s="780"/>
      <c r="Q80" s="780"/>
      <c r="R80" s="780"/>
      <c r="S80" s="779"/>
      <c r="T80" s="780"/>
      <c r="U80" s="780"/>
      <c r="V80" s="781"/>
      <c r="W80" s="780"/>
      <c r="X80" s="782"/>
      <c r="Y80" s="780"/>
      <c r="Z80" s="783"/>
      <c r="AA80" s="780"/>
      <c r="AB80" s="780"/>
      <c r="AC80" s="783"/>
      <c r="AD80" s="59"/>
      <c r="AE80" s="780"/>
      <c r="AF80" s="780"/>
      <c r="AI80" s="778"/>
      <c r="AJ80" s="778"/>
      <c r="AK80" s="778"/>
      <c r="AL80" s="778"/>
      <c r="AM80" s="778"/>
      <c r="AN80" s="778"/>
      <c r="AO80" s="778"/>
      <c r="AP80" s="778"/>
      <c r="AQ80" s="778"/>
      <c r="AR80" s="778"/>
      <c r="AS80" s="778"/>
      <c r="AT80" s="778"/>
      <c r="AU80" s="778"/>
      <c r="AV80" s="778"/>
      <c r="AW80" s="778"/>
      <c r="AX80" s="778"/>
      <c r="AY80" s="778"/>
      <c r="AZ80" s="778"/>
      <c r="BA80" s="778"/>
      <c r="BB80" s="778"/>
      <c r="BC80" s="778"/>
      <c r="BD80" s="778"/>
      <c r="BE80" s="778"/>
      <c r="BF80" s="778"/>
      <c r="BG80" s="778"/>
      <c r="BH80" s="778"/>
      <c r="BI80" s="778"/>
      <c r="BJ80" s="778"/>
      <c r="BK80" s="778"/>
      <c r="BL80" s="778"/>
      <c r="BM80" s="778"/>
      <c r="BN80" s="778"/>
      <c r="BO80" s="778"/>
      <c r="BP80" s="778"/>
      <c r="BQ80" s="778"/>
      <c r="BR80" s="778"/>
      <c r="BS80" s="778"/>
      <c r="BT80" s="778"/>
      <c r="BU80" s="778"/>
      <c r="BV80" s="778"/>
      <c r="BW80" s="778"/>
      <c r="BX80" s="778"/>
      <c r="BY80" s="778"/>
      <c r="BZ80" s="778"/>
      <c r="CA80" s="778"/>
      <c r="CB80" s="778"/>
      <c r="CC80" s="778"/>
      <c r="CD80" s="778"/>
      <c r="CE80" s="778"/>
      <c r="CF80" s="778"/>
      <c r="CG80" s="778"/>
      <c r="CH80" s="778"/>
      <c r="CI80" s="778"/>
      <c r="CJ80" s="778"/>
      <c r="CK80" s="778"/>
      <c r="CL80" s="778"/>
      <c r="CM80" s="778"/>
      <c r="CN80" s="778"/>
      <c r="CO80" s="778"/>
      <c r="CP80" s="778"/>
      <c r="CQ80" s="778"/>
      <c r="CR80" s="778"/>
      <c r="CS80" s="778"/>
      <c r="CT80" s="778"/>
      <c r="CU80" s="778"/>
      <c r="CV80" s="778"/>
      <c r="CW80" s="778"/>
      <c r="CX80" s="778"/>
      <c r="CY80" s="778"/>
      <c r="CZ80" s="778"/>
      <c r="DA80" s="778"/>
      <c r="DB80" s="780"/>
    </row>
    <row r="81" spans="1:106" s="106" customFormat="1" x14ac:dyDescent="0.25">
      <c r="A81" s="594"/>
      <c r="B81" s="594"/>
      <c r="C81" s="777"/>
      <c r="D81" s="777"/>
      <c r="G81" s="778"/>
      <c r="H81" s="778"/>
      <c r="I81" s="778"/>
      <c r="J81" s="778"/>
      <c r="K81" s="778"/>
      <c r="L81" s="779"/>
      <c r="M81" s="780"/>
      <c r="N81" s="779"/>
      <c r="O81" s="779"/>
      <c r="P81" s="780"/>
      <c r="Q81" s="780"/>
      <c r="R81" s="780"/>
      <c r="S81" s="779"/>
      <c r="T81" s="780"/>
      <c r="U81" s="780"/>
      <c r="V81" s="781"/>
      <c r="W81" s="780"/>
      <c r="X81" s="782"/>
      <c r="Y81" s="780"/>
      <c r="Z81" s="783"/>
      <c r="AA81" s="780"/>
      <c r="AB81" s="780"/>
      <c r="AC81" s="783"/>
      <c r="AD81" s="59"/>
      <c r="AE81" s="780"/>
      <c r="AF81" s="780"/>
      <c r="AI81" s="778"/>
      <c r="AJ81" s="778"/>
      <c r="AK81" s="778"/>
      <c r="AL81" s="778"/>
      <c r="AM81" s="778"/>
      <c r="AN81" s="778"/>
      <c r="AO81" s="778"/>
      <c r="AP81" s="778"/>
      <c r="AQ81" s="778"/>
      <c r="AR81" s="778"/>
      <c r="AS81" s="778"/>
      <c r="AT81" s="778"/>
      <c r="AU81" s="778"/>
      <c r="AV81" s="778"/>
      <c r="AW81" s="778"/>
      <c r="AX81" s="778"/>
      <c r="AY81" s="778"/>
      <c r="AZ81" s="778"/>
      <c r="BA81" s="778"/>
      <c r="BB81" s="778"/>
      <c r="BC81" s="778"/>
      <c r="BD81" s="778"/>
      <c r="BE81" s="778"/>
      <c r="BF81" s="778"/>
      <c r="BG81" s="778"/>
      <c r="BH81" s="778"/>
      <c r="BI81" s="778"/>
      <c r="BJ81" s="778"/>
      <c r="BK81" s="778"/>
      <c r="BL81" s="778"/>
      <c r="BM81" s="778"/>
      <c r="BN81" s="778"/>
      <c r="BO81" s="778"/>
      <c r="BP81" s="778"/>
      <c r="BQ81" s="778"/>
      <c r="BR81" s="778"/>
      <c r="BS81" s="778"/>
      <c r="BT81" s="778"/>
      <c r="BU81" s="778"/>
      <c r="BV81" s="778"/>
      <c r="BW81" s="778"/>
      <c r="BX81" s="778"/>
      <c r="BY81" s="778"/>
      <c r="BZ81" s="778"/>
      <c r="CA81" s="778"/>
      <c r="CB81" s="778"/>
      <c r="CC81" s="778"/>
      <c r="CD81" s="778"/>
      <c r="CE81" s="778"/>
      <c r="CF81" s="778"/>
      <c r="CG81" s="778"/>
      <c r="CH81" s="778"/>
      <c r="CI81" s="778"/>
      <c r="CJ81" s="778"/>
      <c r="CK81" s="778"/>
      <c r="CL81" s="778"/>
      <c r="CM81" s="778"/>
      <c r="CN81" s="778"/>
      <c r="CO81" s="778"/>
      <c r="CP81" s="778"/>
      <c r="CQ81" s="778"/>
      <c r="CR81" s="778"/>
      <c r="CS81" s="778"/>
      <c r="CT81" s="778"/>
      <c r="CU81" s="778"/>
      <c r="CV81" s="778"/>
      <c r="CW81" s="778"/>
      <c r="CX81" s="778"/>
      <c r="CY81" s="778"/>
      <c r="CZ81" s="778"/>
      <c r="DA81" s="778"/>
      <c r="DB81" s="780"/>
    </row>
    <row r="82" spans="1:106" s="106" customFormat="1" x14ac:dyDescent="0.25">
      <c r="A82" s="594"/>
      <c r="B82" s="594"/>
      <c r="C82" s="777"/>
      <c r="D82" s="777"/>
      <c r="G82" s="778"/>
      <c r="H82" s="778"/>
      <c r="I82" s="778"/>
      <c r="J82" s="778"/>
      <c r="K82" s="778"/>
      <c r="L82" s="779"/>
      <c r="M82" s="780"/>
      <c r="N82" s="779"/>
      <c r="O82" s="779"/>
      <c r="P82" s="780"/>
      <c r="Q82" s="780"/>
      <c r="R82" s="780"/>
      <c r="S82" s="779"/>
      <c r="T82" s="780"/>
      <c r="U82" s="780"/>
      <c r="V82" s="781"/>
      <c r="W82" s="780"/>
      <c r="X82" s="782"/>
      <c r="Y82" s="780"/>
      <c r="Z82" s="783"/>
      <c r="AA82" s="780"/>
      <c r="AB82" s="780"/>
      <c r="AC82" s="783"/>
      <c r="AD82" s="59"/>
      <c r="AE82" s="780"/>
      <c r="AF82" s="780"/>
      <c r="AI82" s="778"/>
      <c r="AJ82" s="778"/>
      <c r="AK82" s="778"/>
      <c r="AL82" s="778"/>
      <c r="AM82" s="778"/>
      <c r="AN82" s="778"/>
      <c r="AO82" s="778"/>
      <c r="AP82" s="778"/>
      <c r="AQ82" s="778"/>
      <c r="AR82" s="778"/>
      <c r="AS82" s="778"/>
      <c r="AT82" s="778"/>
      <c r="AU82" s="778"/>
      <c r="AV82" s="778"/>
      <c r="AW82" s="778"/>
      <c r="AX82" s="778"/>
      <c r="AY82" s="778"/>
      <c r="AZ82" s="778"/>
      <c r="BA82" s="778"/>
      <c r="BB82" s="778"/>
      <c r="BC82" s="778"/>
      <c r="BD82" s="778"/>
      <c r="BE82" s="778"/>
      <c r="BF82" s="778"/>
      <c r="BG82" s="778"/>
      <c r="BH82" s="778"/>
      <c r="BI82" s="778"/>
      <c r="BJ82" s="778"/>
      <c r="BK82" s="778"/>
      <c r="BL82" s="778"/>
      <c r="BM82" s="778"/>
      <c r="BN82" s="778"/>
      <c r="BO82" s="778"/>
      <c r="BP82" s="778"/>
      <c r="BQ82" s="778"/>
      <c r="BR82" s="778"/>
      <c r="BS82" s="778"/>
      <c r="BT82" s="778"/>
      <c r="BU82" s="778"/>
      <c r="BV82" s="778"/>
      <c r="BW82" s="778"/>
      <c r="BX82" s="778"/>
      <c r="BY82" s="778"/>
      <c r="BZ82" s="778"/>
      <c r="CA82" s="778"/>
      <c r="CB82" s="778"/>
      <c r="CC82" s="778"/>
      <c r="CD82" s="778"/>
      <c r="CE82" s="778"/>
      <c r="CF82" s="778"/>
      <c r="CG82" s="778"/>
      <c r="CH82" s="778"/>
      <c r="CI82" s="778"/>
      <c r="CJ82" s="778"/>
      <c r="CK82" s="778"/>
      <c r="CL82" s="778"/>
      <c r="CM82" s="778"/>
      <c r="CN82" s="778"/>
      <c r="CO82" s="778"/>
      <c r="CP82" s="778"/>
      <c r="CQ82" s="778"/>
      <c r="CR82" s="778"/>
      <c r="CS82" s="778"/>
      <c r="CT82" s="778"/>
      <c r="CU82" s="778"/>
      <c r="CV82" s="778"/>
      <c r="CW82" s="778"/>
      <c r="CX82" s="778"/>
      <c r="CY82" s="778"/>
      <c r="CZ82" s="778"/>
      <c r="DA82" s="778"/>
      <c r="DB82" s="780"/>
    </row>
    <row r="83" spans="1:106" s="106" customFormat="1" x14ac:dyDescent="0.25">
      <c r="A83" s="594"/>
      <c r="B83" s="594"/>
      <c r="C83" s="777"/>
      <c r="D83" s="777"/>
      <c r="G83" s="778"/>
      <c r="H83" s="778"/>
      <c r="I83" s="778"/>
      <c r="J83" s="778"/>
      <c r="K83" s="778"/>
      <c r="L83" s="779"/>
      <c r="M83" s="780"/>
      <c r="N83" s="779"/>
      <c r="O83" s="779"/>
      <c r="P83" s="780"/>
      <c r="Q83" s="780"/>
      <c r="R83" s="780"/>
      <c r="S83" s="779"/>
      <c r="T83" s="780"/>
      <c r="U83" s="780"/>
      <c r="V83" s="781"/>
      <c r="W83" s="780"/>
      <c r="X83" s="782"/>
      <c r="Y83" s="780"/>
      <c r="Z83" s="783"/>
      <c r="AA83" s="780"/>
      <c r="AB83" s="780"/>
      <c r="AC83" s="783"/>
      <c r="AD83" s="59"/>
      <c r="AE83" s="780"/>
      <c r="AF83" s="780"/>
      <c r="AI83" s="778"/>
      <c r="AJ83" s="778"/>
      <c r="AK83" s="778"/>
      <c r="AL83" s="778"/>
      <c r="AM83" s="778"/>
      <c r="AN83" s="778"/>
      <c r="AO83" s="778"/>
      <c r="AP83" s="778"/>
      <c r="AQ83" s="778"/>
      <c r="AR83" s="778"/>
      <c r="AS83" s="778"/>
      <c r="AT83" s="778"/>
      <c r="AU83" s="778"/>
      <c r="AV83" s="778"/>
      <c r="AW83" s="778"/>
      <c r="AX83" s="778"/>
      <c r="AY83" s="778"/>
      <c r="AZ83" s="778"/>
      <c r="BA83" s="778"/>
      <c r="BB83" s="778"/>
      <c r="BC83" s="778"/>
      <c r="BD83" s="778"/>
      <c r="BE83" s="778"/>
      <c r="BF83" s="778"/>
      <c r="BG83" s="778"/>
      <c r="BH83" s="778"/>
      <c r="BI83" s="778"/>
      <c r="BJ83" s="778"/>
      <c r="BK83" s="778"/>
      <c r="BL83" s="778"/>
      <c r="BM83" s="778"/>
      <c r="BN83" s="778"/>
      <c r="BO83" s="778"/>
      <c r="BP83" s="778"/>
      <c r="BQ83" s="778"/>
      <c r="BR83" s="778"/>
      <c r="BS83" s="778"/>
      <c r="BT83" s="778"/>
      <c r="BU83" s="778"/>
      <c r="BV83" s="778"/>
      <c r="BW83" s="778"/>
      <c r="BX83" s="778"/>
      <c r="BY83" s="778"/>
      <c r="BZ83" s="778"/>
      <c r="CA83" s="778"/>
      <c r="CB83" s="778"/>
      <c r="CC83" s="778"/>
      <c r="CD83" s="778"/>
      <c r="CE83" s="778"/>
      <c r="CF83" s="778"/>
      <c r="CG83" s="778"/>
      <c r="CH83" s="778"/>
      <c r="CI83" s="778"/>
      <c r="CJ83" s="778"/>
      <c r="CK83" s="778"/>
      <c r="CL83" s="778"/>
      <c r="CM83" s="778"/>
      <c r="CN83" s="778"/>
      <c r="CO83" s="778"/>
      <c r="CP83" s="778"/>
      <c r="CQ83" s="778"/>
      <c r="CR83" s="778"/>
      <c r="CS83" s="778"/>
      <c r="CT83" s="778"/>
      <c r="CU83" s="778"/>
      <c r="CV83" s="778"/>
      <c r="CW83" s="778"/>
      <c r="CX83" s="778"/>
      <c r="CY83" s="778"/>
      <c r="CZ83" s="778"/>
      <c r="DA83" s="778"/>
      <c r="DB83" s="780"/>
    </row>
    <row r="84" spans="1:106" s="106" customFormat="1" x14ac:dyDescent="0.25">
      <c r="A84" s="594"/>
      <c r="B84" s="594"/>
      <c r="C84" s="777"/>
      <c r="D84" s="777"/>
      <c r="G84" s="778"/>
      <c r="H84" s="778"/>
      <c r="I84" s="778"/>
      <c r="J84" s="778"/>
      <c r="K84" s="778"/>
      <c r="L84" s="779"/>
      <c r="M84" s="780"/>
      <c r="N84" s="779"/>
      <c r="O84" s="779"/>
      <c r="P84" s="780"/>
      <c r="Q84" s="780"/>
      <c r="R84" s="780"/>
      <c r="S84" s="779"/>
      <c r="T84" s="780"/>
      <c r="U84" s="780"/>
      <c r="V84" s="781"/>
      <c r="W84" s="780"/>
      <c r="X84" s="782"/>
      <c r="Y84" s="780"/>
      <c r="Z84" s="783"/>
      <c r="AA84" s="780"/>
      <c r="AB84" s="780"/>
      <c r="AC84" s="783"/>
      <c r="AD84" s="59"/>
      <c r="AE84" s="780"/>
      <c r="AF84" s="780"/>
      <c r="AI84" s="778"/>
      <c r="AJ84" s="778"/>
      <c r="AK84" s="778"/>
      <c r="AL84" s="778"/>
      <c r="AM84" s="778"/>
      <c r="AN84" s="778"/>
      <c r="AO84" s="778"/>
      <c r="AP84" s="778"/>
      <c r="AQ84" s="778"/>
      <c r="AR84" s="778"/>
      <c r="AS84" s="778"/>
      <c r="AT84" s="778"/>
      <c r="AU84" s="778"/>
      <c r="AV84" s="778"/>
      <c r="AW84" s="778"/>
      <c r="AX84" s="778"/>
      <c r="AY84" s="778"/>
      <c r="AZ84" s="778"/>
      <c r="BA84" s="778"/>
      <c r="BB84" s="778"/>
      <c r="BC84" s="778"/>
      <c r="BD84" s="778"/>
      <c r="BE84" s="778"/>
      <c r="BF84" s="778"/>
      <c r="BG84" s="778"/>
      <c r="BH84" s="778"/>
      <c r="BI84" s="778"/>
      <c r="BJ84" s="778"/>
      <c r="BK84" s="778"/>
      <c r="BL84" s="778"/>
      <c r="BM84" s="778"/>
      <c r="BN84" s="778"/>
      <c r="BO84" s="778"/>
      <c r="BP84" s="778"/>
      <c r="BQ84" s="778"/>
      <c r="BR84" s="778"/>
      <c r="BS84" s="778"/>
      <c r="BT84" s="778"/>
      <c r="BU84" s="778"/>
      <c r="BV84" s="778"/>
      <c r="BW84" s="778"/>
      <c r="BX84" s="778"/>
      <c r="BY84" s="778"/>
      <c r="BZ84" s="778"/>
      <c r="CA84" s="778"/>
      <c r="CB84" s="778"/>
      <c r="CC84" s="778"/>
      <c r="CD84" s="778"/>
      <c r="CE84" s="778"/>
      <c r="CF84" s="778"/>
      <c r="CG84" s="778"/>
      <c r="CH84" s="778"/>
      <c r="CI84" s="778"/>
      <c r="CJ84" s="778"/>
      <c r="CK84" s="778"/>
      <c r="CL84" s="778"/>
      <c r="CM84" s="778"/>
      <c r="CN84" s="778"/>
      <c r="CO84" s="778"/>
      <c r="CP84" s="778"/>
      <c r="CQ84" s="778"/>
      <c r="CR84" s="778"/>
      <c r="CS84" s="778"/>
      <c r="CT84" s="778"/>
      <c r="CU84" s="778"/>
      <c r="CV84" s="778"/>
      <c r="CW84" s="778"/>
      <c r="CX84" s="778"/>
      <c r="CY84" s="778"/>
      <c r="CZ84" s="778"/>
      <c r="DA84" s="778"/>
      <c r="DB84" s="780"/>
    </row>
    <row r="85" spans="1:106" s="106" customFormat="1" x14ac:dyDescent="0.25">
      <c r="A85" s="594"/>
      <c r="B85" s="594"/>
      <c r="C85" s="777"/>
      <c r="D85" s="777"/>
      <c r="G85" s="778"/>
      <c r="H85" s="778"/>
      <c r="I85" s="778"/>
      <c r="J85" s="778"/>
      <c r="K85" s="778"/>
      <c r="L85" s="779"/>
      <c r="M85" s="780"/>
      <c r="N85" s="779"/>
      <c r="O85" s="779"/>
      <c r="P85" s="780"/>
      <c r="Q85" s="780"/>
      <c r="R85" s="780"/>
      <c r="S85" s="779"/>
      <c r="T85" s="780"/>
      <c r="U85" s="780"/>
      <c r="V85" s="781"/>
      <c r="W85" s="780"/>
      <c r="X85" s="782"/>
      <c r="Y85" s="780"/>
      <c r="Z85" s="783"/>
      <c r="AA85" s="780"/>
      <c r="AB85" s="780"/>
      <c r="AC85" s="783"/>
      <c r="AD85" s="59"/>
      <c r="AE85" s="780"/>
      <c r="AF85" s="780"/>
      <c r="AI85" s="778"/>
      <c r="AJ85" s="778"/>
      <c r="AK85" s="778"/>
      <c r="AL85" s="778"/>
      <c r="AM85" s="778"/>
      <c r="AN85" s="778"/>
      <c r="AO85" s="778"/>
      <c r="AP85" s="778"/>
      <c r="AQ85" s="778"/>
      <c r="AR85" s="778"/>
      <c r="AS85" s="778"/>
      <c r="AT85" s="778"/>
      <c r="AU85" s="778"/>
      <c r="AV85" s="778"/>
      <c r="AW85" s="778"/>
      <c r="AX85" s="778"/>
      <c r="AY85" s="778"/>
      <c r="AZ85" s="778"/>
      <c r="BA85" s="778"/>
      <c r="BB85" s="778"/>
      <c r="BC85" s="778"/>
      <c r="BD85" s="778"/>
      <c r="BE85" s="778"/>
      <c r="BF85" s="778"/>
      <c r="BG85" s="778"/>
      <c r="BH85" s="778"/>
      <c r="BI85" s="778"/>
      <c r="BJ85" s="778"/>
      <c r="BK85" s="778"/>
      <c r="BL85" s="778"/>
      <c r="BM85" s="778"/>
      <c r="BN85" s="778"/>
      <c r="BO85" s="778"/>
      <c r="BP85" s="778"/>
      <c r="BQ85" s="778"/>
      <c r="BR85" s="778"/>
      <c r="BS85" s="778"/>
      <c r="BT85" s="778"/>
      <c r="BU85" s="778"/>
      <c r="BV85" s="778"/>
      <c r="BW85" s="778"/>
      <c r="BX85" s="778"/>
      <c r="BY85" s="778"/>
      <c r="BZ85" s="778"/>
      <c r="CA85" s="778"/>
      <c r="CB85" s="778"/>
      <c r="CC85" s="778"/>
      <c r="CD85" s="778"/>
      <c r="CE85" s="778"/>
      <c r="CF85" s="778"/>
      <c r="CG85" s="778"/>
      <c r="CH85" s="778"/>
      <c r="CI85" s="778"/>
      <c r="CJ85" s="778"/>
      <c r="CK85" s="778"/>
      <c r="CL85" s="778"/>
      <c r="CM85" s="778"/>
      <c r="CN85" s="778"/>
      <c r="CO85" s="778"/>
      <c r="CP85" s="778"/>
      <c r="CQ85" s="778"/>
      <c r="CR85" s="778"/>
      <c r="CS85" s="778"/>
      <c r="CT85" s="778"/>
      <c r="CU85" s="778"/>
      <c r="CV85" s="778"/>
      <c r="CW85" s="778"/>
      <c r="CX85" s="778"/>
      <c r="CY85" s="778"/>
      <c r="CZ85" s="778"/>
      <c r="DA85" s="778"/>
      <c r="DB85" s="780"/>
    </row>
    <row r="86" spans="1:106" s="106" customFormat="1" x14ac:dyDescent="0.25">
      <c r="A86" s="594"/>
      <c r="B86" s="594"/>
      <c r="C86" s="777"/>
      <c r="D86" s="777"/>
      <c r="G86" s="778"/>
      <c r="H86" s="778"/>
      <c r="I86" s="778"/>
      <c r="J86" s="778"/>
      <c r="K86" s="778"/>
      <c r="L86" s="779"/>
      <c r="M86" s="780"/>
      <c r="N86" s="779"/>
      <c r="O86" s="779"/>
      <c r="P86" s="780"/>
      <c r="Q86" s="780"/>
      <c r="R86" s="780"/>
      <c r="S86" s="779"/>
      <c r="T86" s="780"/>
      <c r="U86" s="780"/>
      <c r="V86" s="781"/>
      <c r="W86" s="780"/>
      <c r="X86" s="782"/>
      <c r="Y86" s="780"/>
      <c r="Z86" s="783"/>
      <c r="AA86" s="780"/>
      <c r="AB86" s="780"/>
      <c r="AC86" s="783"/>
      <c r="AD86" s="59"/>
      <c r="AE86" s="780"/>
      <c r="AF86" s="780"/>
      <c r="AI86" s="778"/>
      <c r="AJ86" s="778"/>
      <c r="AK86" s="778"/>
      <c r="AL86" s="778"/>
      <c r="AM86" s="778"/>
      <c r="AN86" s="778"/>
      <c r="AO86" s="778"/>
      <c r="AP86" s="778"/>
      <c r="AQ86" s="778"/>
      <c r="AR86" s="778"/>
      <c r="AS86" s="778"/>
      <c r="AT86" s="778"/>
      <c r="AU86" s="778"/>
      <c r="AV86" s="778"/>
      <c r="AW86" s="778"/>
      <c r="AX86" s="778"/>
      <c r="AY86" s="778"/>
      <c r="AZ86" s="778"/>
      <c r="BA86" s="778"/>
      <c r="BB86" s="778"/>
      <c r="BC86" s="778"/>
      <c r="BD86" s="778"/>
      <c r="BE86" s="778"/>
      <c r="BF86" s="778"/>
      <c r="BG86" s="778"/>
      <c r="BH86" s="778"/>
      <c r="BI86" s="778"/>
      <c r="BJ86" s="778"/>
      <c r="BK86" s="778"/>
      <c r="BL86" s="778"/>
      <c r="BM86" s="778"/>
      <c r="BN86" s="778"/>
      <c r="BO86" s="778"/>
      <c r="BP86" s="778"/>
      <c r="BQ86" s="778"/>
      <c r="BR86" s="778"/>
      <c r="BS86" s="778"/>
      <c r="BT86" s="778"/>
      <c r="BU86" s="778"/>
      <c r="BV86" s="778"/>
      <c r="BW86" s="778"/>
      <c r="BX86" s="778"/>
      <c r="BY86" s="778"/>
      <c r="BZ86" s="778"/>
      <c r="CA86" s="778"/>
      <c r="CB86" s="778"/>
      <c r="CC86" s="778"/>
      <c r="CD86" s="778"/>
      <c r="CE86" s="778"/>
      <c r="CF86" s="778"/>
      <c r="CG86" s="778"/>
      <c r="CH86" s="778"/>
      <c r="CI86" s="778"/>
      <c r="CJ86" s="778"/>
      <c r="CK86" s="778"/>
      <c r="CL86" s="778"/>
      <c r="CM86" s="778"/>
      <c r="CN86" s="778"/>
      <c r="CO86" s="778"/>
      <c r="CP86" s="778"/>
      <c r="CQ86" s="778"/>
      <c r="CR86" s="778"/>
      <c r="CS86" s="778"/>
      <c r="CT86" s="778"/>
      <c r="CU86" s="778"/>
      <c r="CV86" s="778"/>
      <c r="CW86" s="778"/>
      <c r="CX86" s="778"/>
      <c r="CY86" s="778"/>
      <c r="CZ86" s="778"/>
      <c r="DA86" s="778"/>
      <c r="DB86" s="780"/>
    </row>
    <row r="87" spans="1:106" s="106" customFormat="1" x14ac:dyDescent="0.25">
      <c r="A87" s="594"/>
      <c r="B87" s="594"/>
      <c r="C87" s="777"/>
      <c r="D87" s="777"/>
      <c r="G87" s="778"/>
      <c r="H87" s="778"/>
      <c r="I87" s="778"/>
      <c r="J87" s="778"/>
      <c r="K87" s="778"/>
      <c r="L87" s="779"/>
      <c r="M87" s="780"/>
      <c r="N87" s="779"/>
      <c r="O87" s="779"/>
      <c r="P87" s="780"/>
      <c r="Q87" s="780"/>
      <c r="R87" s="780"/>
      <c r="S87" s="779"/>
      <c r="T87" s="780"/>
      <c r="U87" s="780"/>
      <c r="V87" s="781"/>
      <c r="W87" s="780"/>
      <c r="X87" s="782"/>
      <c r="Y87" s="780"/>
      <c r="Z87" s="783"/>
      <c r="AA87" s="780"/>
      <c r="AB87" s="780"/>
      <c r="AC87" s="783"/>
      <c r="AD87" s="59"/>
      <c r="AE87" s="780"/>
      <c r="AF87" s="780"/>
      <c r="AI87" s="778"/>
      <c r="AJ87" s="778"/>
      <c r="AK87" s="778"/>
      <c r="AL87" s="778"/>
      <c r="AM87" s="778"/>
      <c r="AN87" s="778"/>
      <c r="AO87" s="778"/>
      <c r="AP87" s="778"/>
      <c r="AQ87" s="778"/>
      <c r="AR87" s="778"/>
      <c r="AS87" s="778"/>
      <c r="AT87" s="778"/>
      <c r="AU87" s="778"/>
      <c r="AV87" s="778"/>
      <c r="AW87" s="778"/>
      <c r="AX87" s="778"/>
      <c r="AY87" s="778"/>
      <c r="AZ87" s="778"/>
      <c r="BA87" s="778"/>
      <c r="BB87" s="778"/>
      <c r="BC87" s="778"/>
      <c r="BD87" s="778"/>
      <c r="BE87" s="778"/>
      <c r="BF87" s="778"/>
      <c r="BG87" s="778"/>
      <c r="BH87" s="778"/>
      <c r="BI87" s="778"/>
      <c r="BJ87" s="778"/>
      <c r="BK87" s="778"/>
      <c r="BL87" s="778"/>
      <c r="BM87" s="778"/>
      <c r="BN87" s="778"/>
      <c r="BO87" s="778"/>
      <c r="BP87" s="778"/>
      <c r="BQ87" s="778"/>
      <c r="BR87" s="778"/>
      <c r="BS87" s="778"/>
      <c r="BT87" s="778"/>
      <c r="BU87" s="778"/>
      <c r="BV87" s="778"/>
      <c r="BW87" s="778"/>
      <c r="BX87" s="778"/>
      <c r="BY87" s="778"/>
      <c r="BZ87" s="778"/>
      <c r="CA87" s="778"/>
      <c r="CB87" s="778"/>
      <c r="CC87" s="778"/>
      <c r="CD87" s="778"/>
      <c r="CE87" s="778"/>
      <c r="CF87" s="778"/>
      <c r="CG87" s="778"/>
      <c r="CH87" s="778"/>
      <c r="CI87" s="778"/>
      <c r="CJ87" s="778"/>
      <c r="CK87" s="778"/>
      <c r="CL87" s="778"/>
      <c r="CM87" s="778"/>
      <c r="CN87" s="778"/>
      <c r="CO87" s="778"/>
      <c r="CP87" s="778"/>
      <c r="CQ87" s="778"/>
      <c r="CR87" s="778"/>
      <c r="CS87" s="778"/>
      <c r="CT87" s="778"/>
      <c r="CU87" s="778"/>
      <c r="CV87" s="778"/>
      <c r="CW87" s="778"/>
      <c r="CX87" s="778"/>
      <c r="CY87" s="778"/>
      <c r="CZ87" s="778"/>
      <c r="DA87" s="778"/>
      <c r="DB87" s="780"/>
    </row>
    <row r="88" spans="1:106" s="106" customFormat="1" x14ac:dyDescent="0.25">
      <c r="A88" s="594"/>
      <c r="B88" s="594"/>
      <c r="C88" s="777"/>
      <c r="D88" s="777"/>
      <c r="G88" s="778"/>
      <c r="H88" s="778"/>
      <c r="I88" s="778"/>
      <c r="J88" s="778"/>
      <c r="K88" s="778"/>
      <c r="L88" s="779"/>
      <c r="M88" s="780"/>
      <c r="N88" s="779"/>
      <c r="O88" s="779"/>
      <c r="P88" s="780"/>
      <c r="Q88" s="780"/>
      <c r="R88" s="780"/>
      <c r="S88" s="779"/>
      <c r="T88" s="780"/>
      <c r="U88" s="780"/>
      <c r="V88" s="781"/>
      <c r="W88" s="780"/>
      <c r="X88" s="782"/>
      <c r="Y88" s="780"/>
      <c r="Z88" s="783"/>
      <c r="AA88" s="780"/>
      <c r="AB88" s="780"/>
      <c r="AC88" s="783"/>
      <c r="AD88" s="59"/>
      <c r="AE88" s="780"/>
      <c r="AF88" s="780"/>
      <c r="AI88" s="778"/>
      <c r="AJ88" s="778"/>
      <c r="AK88" s="778"/>
      <c r="AL88" s="778"/>
      <c r="AM88" s="778"/>
      <c r="AN88" s="778"/>
      <c r="AO88" s="778"/>
      <c r="AP88" s="778"/>
      <c r="AQ88" s="778"/>
      <c r="AR88" s="778"/>
      <c r="AS88" s="778"/>
      <c r="AT88" s="778"/>
      <c r="AU88" s="778"/>
      <c r="AV88" s="778"/>
      <c r="AW88" s="778"/>
      <c r="AX88" s="778"/>
      <c r="AY88" s="778"/>
      <c r="AZ88" s="778"/>
      <c r="BA88" s="778"/>
      <c r="BB88" s="778"/>
      <c r="BC88" s="778"/>
      <c r="BD88" s="778"/>
      <c r="BE88" s="778"/>
      <c r="BF88" s="778"/>
      <c r="BG88" s="778"/>
      <c r="BH88" s="778"/>
      <c r="BI88" s="778"/>
      <c r="BJ88" s="778"/>
      <c r="BK88" s="778"/>
      <c r="BL88" s="778"/>
      <c r="BM88" s="778"/>
      <c r="BN88" s="778"/>
      <c r="BO88" s="778"/>
      <c r="BP88" s="778"/>
      <c r="BQ88" s="778"/>
      <c r="BR88" s="778"/>
      <c r="BS88" s="778"/>
      <c r="BT88" s="778"/>
      <c r="BU88" s="778"/>
      <c r="BV88" s="778"/>
      <c r="BW88" s="778"/>
      <c r="BX88" s="778"/>
      <c r="BY88" s="778"/>
      <c r="BZ88" s="778"/>
      <c r="CA88" s="778"/>
      <c r="CB88" s="778"/>
      <c r="CC88" s="778"/>
      <c r="CD88" s="778"/>
      <c r="CE88" s="778"/>
      <c r="CF88" s="778"/>
      <c r="CG88" s="778"/>
      <c r="CH88" s="778"/>
      <c r="CI88" s="778"/>
      <c r="CJ88" s="778"/>
      <c r="CK88" s="778"/>
      <c r="CL88" s="778"/>
      <c r="CM88" s="778"/>
      <c r="CN88" s="778"/>
      <c r="CO88" s="778"/>
      <c r="CP88" s="778"/>
      <c r="CQ88" s="778"/>
      <c r="CR88" s="778"/>
      <c r="CS88" s="778"/>
      <c r="CT88" s="778"/>
      <c r="CU88" s="778"/>
      <c r="CV88" s="778"/>
      <c r="CW88" s="778"/>
      <c r="CX88" s="778"/>
      <c r="CY88" s="778"/>
      <c r="CZ88" s="778"/>
      <c r="DA88" s="778"/>
      <c r="DB88" s="780"/>
    </row>
    <row r="89" spans="1:106" s="106" customFormat="1" x14ac:dyDescent="0.25">
      <c r="A89" s="594"/>
      <c r="B89" s="594"/>
      <c r="C89" s="778"/>
      <c r="D89" s="777"/>
      <c r="G89" s="778"/>
      <c r="H89" s="778"/>
      <c r="I89" s="778"/>
      <c r="J89" s="778"/>
      <c r="K89" s="778"/>
      <c r="L89" s="779"/>
      <c r="M89" s="780"/>
      <c r="N89" s="779"/>
      <c r="O89" s="779"/>
      <c r="P89" s="780"/>
      <c r="Q89" s="780"/>
      <c r="R89" s="780"/>
      <c r="S89" s="779"/>
      <c r="T89" s="780"/>
      <c r="U89" s="780"/>
      <c r="V89" s="781"/>
      <c r="W89" s="780"/>
      <c r="X89" s="782"/>
      <c r="Y89" s="780"/>
      <c r="Z89" s="783"/>
      <c r="AA89" s="780"/>
      <c r="AB89" s="780"/>
      <c r="AC89" s="783"/>
      <c r="AD89" s="59"/>
      <c r="AE89" s="780"/>
      <c r="AF89" s="780"/>
      <c r="AI89" s="778"/>
      <c r="AJ89" s="778"/>
      <c r="AK89" s="778"/>
      <c r="AL89" s="778"/>
      <c r="AM89" s="778"/>
      <c r="AN89" s="778"/>
      <c r="AO89" s="778"/>
      <c r="AP89" s="778"/>
      <c r="AQ89" s="778"/>
      <c r="AR89" s="778"/>
      <c r="AS89" s="778"/>
      <c r="AT89" s="778"/>
      <c r="AU89" s="778"/>
      <c r="AV89" s="778"/>
      <c r="AW89" s="778"/>
      <c r="AX89" s="778"/>
      <c r="AY89" s="778"/>
      <c r="AZ89" s="778"/>
      <c r="BA89" s="778"/>
      <c r="BB89" s="778"/>
      <c r="BC89" s="778"/>
      <c r="BD89" s="778"/>
      <c r="BE89" s="778"/>
      <c r="BF89" s="778"/>
      <c r="BG89" s="778"/>
      <c r="BH89" s="778"/>
      <c r="BI89" s="778"/>
      <c r="BJ89" s="778"/>
      <c r="BK89" s="778"/>
      <c r="BL89" s="778"/>
      <c r="BM89" s="778"/>
      <c r="BN89" s="778"/>
      <c r="BO89" s="778"/>
      <c r="BP89" s="778"/>
      <c r="BQ89" s="778"/>
      <c r="BR89" s="778"/>
      <c r="BS89" s="778"/>
      <c r="BT89" s="778"/>
      <c r="BU89" s="778"/>
      <c r="BV89" s="778"/>
      <c r="BW89" s="778"/>
      <c r="BX89" s="778"/>
      <c r="BY89" s="778"/>
      <c r="BZ89" s="778"/>
      <c r="CA89" s="778"/>
      <c r="CB89" s="778"/>
      <c r="CC89" s="778"/>
      <c r="CD89" s="778"/>
      <c r="CE89" s="778"/>
      <c r="CF89" s="778"/>
      <c r="CG89" s="778"/>
      <c r="CH89" s="778"/>
      <c r="CI89" s="778"/>
      <c r="CJ89" s="778"/>
      <c r="CK89" s="778"/>
      <c r="CL89" s="778"/>
      <c r="CM89" s="778"/>
      <c r="CN89" s="778"/>
      <c r="CO89" s="778"/>
      <c r="CP89" s="778"/>
      <c r="CQ89" s="778"/>
      <c r="CR89" s="778"/>
      <c r="CS89" s="778"/>
      <c r="CT89" s="778"/>
      <c r="CU89" s="778"/>
      <c r="CV89" s="778"/>
      <c r="CW89" s="778"/>
      <c r="CX89" s="778"/>
      <c r="CY89" s="778"/>
      <c r="CZ89" s="778"/>
      <c r="DA89" s="778"/>
      <c r="DB89" s="780"/>
    </row>
    <row r="90" spans="1:106" s="106" customFormat="1" x14ac:dyDescent="0.25">
      <c r="A90" s="594"/>
      <c r="B90" s="594"/>
      <c r="C90" s="778"/>
      <c r="D90" s="777"/>
      <c r="G90" s="778"/>
      <c r="H90" s="778"/>
      <c r="I90" s="778"/>
      <c r="J90" s="778"/>
      <c r="K90" s="778"/>
      <c r="L90" s="779"/>
      <c r="M90" s="780"/>
      <c r="N90" s="779"/>
      <c r="O90" s="779"/>
      <c r="P90" s="780"/>
      <c r="Q90" s="780"/>
      <c r="R90" s="780"/>
      <c r="S90" s="779"/>
      <c r="T90" s="780"/>
      <c r="U90" s="780"/>
      <c r="V90" s="781"/>
      <c r="W90" s="780"/>
      <c r="X90" s="782"/>
      <c r="Y90" s="780"/>
      <c r="Z90" s="783"/>
      <c r="AA90" s="780"/>
      <c r="AB90" s="780"/>
      <c r="AC90" s="783"/>
      <c r="AD90" s="59"/>
      <c r="AE90" s="780"/>
      <c r="AF90" s="780"/>
      <c r="AI90" s="778"/>
      <c r="AJ90" s="778"/>
      <c r="AK90" s="778"/>
      <c r="AL90" s="778"/>
      <c r="AM90" s="778"/>
      <c r="AN90" s="778"/>
      <c r="AO90" s="778"/>
      <c r="AP90" s="778"/>
      <c r="AQ90" s="778"/>
      <c r="AR90" s="778"/>
      <c r="AS90" s="778"/>
      <c r="AT90" s="778"/>
      <c r="AU90" s="778"/>
      <c r="AV90" s="778"/>
      <c r="AW90" s="778"/>
      <c r="AX90" s="778"/>
      <c r="AY90" s="778"/>
      <c r="AZ90" s="778"/>
      <c r="BA90" s="778"/>
      <c r="BB90" s="778"/>
      <c r="BC90" s="778"/>
      <c r="BD90" s="778"/>
      <c r="BE90" s="778"/>
      <c r="BF90" s="778"/>
      <c r="BG90" s="778"/>
      <c r="BH90" s="778"/>
      <c r="BI90" s="778"/>
      <c r="BJ90" s="778"/>
      <c r="BK90" s="778"/>
      <c r="BL90" s="778"/>
      <c r="BM90" s="778"/>
      <c r="BN90" s="778"/>
      <c r="BO90" s="778"/>
      <c r="BP90" s="778"/>
      <c r="BQ90" s="778"/>
      <c r="BR90" s="778"/>
      <c r="BS90" s="778"/>
      <c r="BT90" s="778"/>
      <c r="BU90" s="778"/>
      <c r="BV90" s="778"/>
      <c r="BW90" s="778"/>
      <c r="BX90" s="778"/>
      <c r="BY90" s="778"/>
      <c r="BZ90" s="778"/>
      <c r="CA90" s="778"/>
      <c r="CB90" s="778"/>
      <c r="CC90" s="778"/>
      <c r="CD90" s="778"/>
      <c r="CE90" s="778"/>
      <c r="CF90" s="778"/>
      <c r="CG90" s="778"/>
      <c r="CH90" s="778"/>
      <c r="CI90" s="778"/>
      <c r="CJ90" s="778"/>
      <c r="CK90" s="778"/>
      <c r="CL90" s="778"/>
      <c r="CM90" s="778"/>
      <c r="CN90" s="778"/>
      <c r="CO90" s="778"/>
      <c r="CP90" s="778"/>
      <c r="CQ90" s="778"/>
      <c r="CR90" s="778"/>
      <c r="CS90" s="778"/>
      <c r="CT90" s="778"/>
      <c r="CU90" s="778"/>
      <c r="CV90" s="778"/>
      <c r="CW90" s="778"/>
      <c r="CX90" s="778"/>
      <c r="CY90" s="778"/>
      <c r="CZ90" s="778"/>
      <c r="DA90" s="778"/>
      <c r="DB90" s="780"/>
    </row>
    <row r="91" spans="1:106" s="106" customFormat="1" x14ac:dyDescent="0.25">
      <c r="A91" s="594"/>
      <c r="B91" s="594"/>
      <c r="C91" s="778"/>
      <c r="D91" s="777"/>
      <c r="G91" s="778"/>
      <c r="H91" s="778"/>
      <c r="I91" s="778"/>
      <c r="J91" s="778"/>
      <c r="K91" s="778"/>
      <c r="L91" s="779"/>
      <c r="M91" s="780"/>
      <c r="N91" s="779"/>
      <c r="O91" s="779"/>
      <c r="P91" s="780"/>
      <c r="Q91" s="780"/>
      <c r="R91" s="780"/>
      <c r="S91" s="779"/>
      <c r="T91" s="780"/>
      <c r="U91" s="780"/>
      <c r="V91" s="781"/>
      <c r="W91" s="780"/>
      <c r="X91" s="782"/>
      <c r="Y91" s="780"/>
      <c r="Z91" s="783"/>
      <c r="AA91" s="780"/>
      <c r="AB91" s="780"/>
      <c r="AC91" s="783"/>
      <c r="AD91" s="59"/>
      <c r="AE91" s="780"/>
      <c r="AF91" s="780"/>
      <c r="AI91" s="778"/>
      <c r="AJ91" s="778"/>
      <c r="AK91" s="778"/>
      <c r="AL91" s="778"/>
      <c r="AM91" s="778"/>
      <c r="AN91" s="778"/>
      <c r="AO91" s="778"/>
      <c r="AP91" s="778"/>
      <c r="AQ91" s="778"/>
      <c r="AR91" s="778"/>
      <c r="AS91" s="778"/>
      <c r="AT91" s="778"/>
      <c r="AU91" s="778"/>
      <c r="AV91" s="778"/>
      <c r="AW91" s="778"/>
      <c r="AX91" s="778"/>
      <c r="AY91" s="778"/>
      <c r="AZ91" s="778"/>
      <c r="BA91" s="778"/>
      <c r="BB91" s="778"/>
      <c r="BC91" s="778"/>
      <c r="BD91" s="778"/>
      <c r="BE91" s="778"/>
      <c r="BF91" s="778"/>
      <c r="BG91" s="778"/>
      <c r="BH91" s="778"/>
      <c r="BI91" s="778"/>
      <c r="BJ91" s="778"/>
      <c r="BK91" s="778"/>
      <c r="BL91" s="778"/>
      <c r="BM91" s="778"/>
      <c r="BN91" s="778"/>
      <c r="BO91" s="778"/>
      <c r="BP91" s="778"/>
      <c r="BQ91" s="778"/>
      <c r="BR91" s="778"/>
      <c r="BS91" s="778"/>
      <c r="BT91" s="778"/>
      <c r="BU91" s="778"/>
      <c r="BV91" s="778"/>
      <c r="BW91" s="778"/>
      <c r="BX91" s="778"/>
      <c r="BY91" s="778"/>
      <c r="BZ91" s="778"/>
      <c r="CA91" s="778"/>
      <c r="CB91" s="778"/>
      <c r="CC91" s="778"/>
      <c r="CD91" s="778"/>
      <c r="CE91" s="778"/>
      <c r="CF91" s="778"/>
      <c r="CG91" s="778"/>
      <c r="CH91" s="778"/>
      <c r="CI91" s="778"/>
      <c r="CJ91" s="778"/>
      <c r="CK91" s="778"/>
      <c r="CL91" s="778"/>
      <c r="CM91" s="778"/>
      <c r="CN91" s="778"/>
      <c r="CO91" s="778"/>
      <c r="CP91" s="778"/>
      <c r="CQ91" s="778"/>
      <c r="CR91" s="778"/>
      <c r="CS91" s="778"/>
      <c r="CT91" s="778"/>
      <c r="CU91" s="778"/>
      <c r="CV91" s="778"/>
      <c r="CW91" s="778"/>
      <c r="CX91" s="778"/>
      <c r="CY91" s="778"/>
      <c r="CZ91" s="778"/>
      <c r="DA91" s="778"/>
      <c r="DB91" s="780"/>
    </row>
    <row r="92" spans="1:106" s="106" customFormat="1" x14ac:dyDescent="0.25">
      <c r="A92" s="594"/>
      <c r="B92" s="594"/>
      <c r="C92" s="778"/>
      <c r="D92" s="777"/>
      <c r="G92" s="778"/>
      <c r="H92" s="778"/>
      <c r="I92" s="778"/>
      <c r="J92" s="778"/>
      <c r="K92" s="778"/>
      <c r="L92" s="779"/>
      <c r="M92" s="780"/>
      <c r="N92" s="779"/>
      <c r="O92" s="779"/>
      <c r="P92" s="780"/>
      <c r="Q92" s="780"/>
      <c r="R92" s="780"/>
      <c r="S92" s="779"/>
      <c r="T92" s="780"/>
      <c r="U92" s="780"/>
      <c r="V92" s="781"/>
      <c r="W92" s="780"/>
      <c r="X92" s="782"/>
      <c r="Y92" s="780"/>
      <c r="Z92" s="783"/>
      <c r="AA92" s="780"/>
      <c r="AB92" s="780"/>
      <c r="AC92" s="783"/>
      <c r="AD92" s="59"/>
      <c r="AE92" s="780"/>
      <c r="AF92" s="780"/>
      <c r="AI92" s="778"/>
      <c r="AJ92" s="778"/>
      <c r="AK92" s="778"/>
      <c r="AL92" s="778"/>
      <c r="AM92" s="778"/>
      <c r="AN92" s="778"/>
      <c r="AO92" s="778"/>
      <c r="AP92" s="778"/>
      <c r="AQ92" s="778"/>
      <c r="AR92" s="778"/>
      <c r="AS92" s="778"/>
      <c r="AT92" s="778"/>
      <c r="AU92" s="778"/>
      <c r="AV92" s="778"/>
      <c r="AW92" s="778"/>
      <c r="AX92" s="778"/>
      <c r="AY92" s="778"/>
      <c r="AZ92" s="778"/>
      <c r="BA92" s="778"/>
      <c r="BB92" s="778"/>
      <c r="BC92" s="778"/>
      <c r="BD92" s="778"/>
      <c r="BE92" s="778"/>
      <c r="BF92" s="778"/>
      <c r="BG92" s="778"/>
      <c r="BH92" s="778"/>
      <c r="BI92" s="778"/>
      <c r="BJ92" s="778"/>
      <c r="BK92" s="778"/>
      <c r="BL92" s="778"/>
      <c r="BM92" s="778"/>
      <c r="BN92" s="778"/>
      <c r="BO92" s="778"/>
      <c r="BP92" s="778"/>
      <c r="BQ92" s="778"/>
      <c r="BR92" s="778"/>
      <c r="BS92" s="778"/>
      <c r="BT92" s="778"/>
      <c r="BU92" s="778"/>
      <c r="BV92" s="778"/>
      <c r="BW92" s="778"/>
      <c r="BX92" s="778"/>
      <c r="BY92" s="778"/>
      <c r="BZ92" s="778"/>
      <c r="CA92" s="778"/>
      <c r="CB92" s="778"/>
      <c r="CC92" s="778"/>
      <c r="CD92" s="778"/>
      <c r="CE92" s="778"/>
      <c r="CF92" s="778"/>
      <c r="CG92" s="778"/>
      <c r="CH92" s="778"/>
      <c r="CI92" s="778"/>
      <c r="CJ92" s="778"/>
      <c r="CK92" s="778"/>
      <c r="CL92" s="778"/>
      <c r="CM92" s="778"/>
      <c r="CN92" s="778"/>
      <c r="CO92" s="778"/>
      <c r="CP92" s="778"/>
      <c r="CQ92" s="778"/>
      <c r="CR92" s="778"/>
      <c r="CS92" s="778"/>
      <c r="CT92" s="778"/>
      <c r="CU92" s="778"/>
      <c r="CV92" s="778"/>
      <c r="CW92" s="778"/>
      <c r="CX92" s="778"/>
      <c r="CY92" s="778"/>
      <c r="CZ92" s="778"/>
      <c r="DA92" s="778"/>
      <c r="DB92" s="780"/>
    </row>
    <row r="93" spans="1:106" s="106" customFormat="1" x14ac:dyDescent="0.25">
      <c r="A93" s="594"/>
      <c r="B93" s="594"/>
      <c r="C93" s="778"/>
      <c r="D93" s="777"/>
      <c r="G93" s="778"/>
      <c r="H93" s="778"/>
      <c r="I93" s="778"/>
      <c r="J93" s="778"/>
      <c r="K93" s="778"/>
      <c r="L93" s="779"/>
      <c r="M93" s="780"/>
      <c r="N93" s="779"/>
      <c r="O93" s="779"/>
      <c r="P93" s="780"/>
      <c r="Q93" s="780"/>
      <c r="R93" s="780"/>
      <c r="S93" s="779"/>
      <c r="T93" s="780"/>
      <c r="U93" s="780"/>
      <c r="V93" s="781"/>
      <c r="W93" s="780"/>
      <c r="X93" s="782"/>
      <c r="Y93" s="780"/>
      <c r="Z93" s="783"/>
      <c r="AA93" s="780"/>
      <c r="AB93" s="780"/>
      <c r="AC93" s="783"/>
      <c r="AD93" s="59"/>
      <c r="AE93" s="780"/>
      <c r="AF93" s="780"/>
      <c r="AI93" s="778"/>
      <c r="AJ93" s="778"/>
      <c r="AK93" s="778"/>
      <c r="AL93" s="778"/>
      <c r="AM93" s="778"/>
      <c r="AN93" s="778"/>
      <c r="AO93" s="778"/>
      <c r="AP93" s="778"/>
      <c r="AQ93" s="778"/>
      <c r="AR93" s="778"/>
      <c r="AS93" s="778"/>
      <c r="AT93" s="778"/>
      <c r="AU93" s="778"/>
      <c r="AV93" s="778"/>
      <c r="AW93" s="778"/>
      <c r="AX93" s="778"/>
      <c r="AY93" s="778"/>
      <c r="AZ93" s="778"/>
      <c r="BA93" s="778"/>
      <c r="BB93" s="778"/>
      <c r="BC93" s="778"/>
      <c r="BD93" s="778"/>
      <c r="BE93" s="778"/>
      <c r="BF93" s="778"/>
      <c r="BG93" s="778"/>
      <c r="BH93" s="778"/>
      <c r="BI93" s="778"/>
      <c r="BJ93" s="778"/>
      <c r="BK93" s="778"/>
      <c r="BL93" s="778"/>
      <c r="BM93" s="778"/>
      <c r="BN93" s="778"/>
      <c r="BO93" s="778"/>
      <c r="BP93" s="778"/>
      <c r="BQ93" s="778"/>
      <c r="BR93" s="778"/>
      <c r="BS93" s="778"/>
      <c r="BT93" s="778"/>
      <c r="BU93" s="778"/>
      <c r="BV93" s="778"/>
      <c r="BW93" s="778"/>
      <c r="BX93" s="778"/>
      <c r="BY93" s="778"/>
      <c r="BZ93" s="778"/>
      <c r="CA93" s="778"/>
      <c r="CB93" s="778"/>
      <c r="CC93" s="778"/>
      <c r="CD93" s="778"/>
      <c r="CE93" s="778"/>
      <c r="CF93" s="778"/>
      <c r="CG93" s="778"/>
      <c r="CH93" s="778"/>
      <c r="CI93" s="778"/>
      <c r="CJ93" s="778"/>
      <c r="CK93" s="778"/>
      <c r="CL93" s="778"/>
      <c r="CM93" s="778"/>
      <c r="CN93" s="778"/>
      <c r="CO93" s="778"/>
      <c r="CP93" s="778"/>
      <c r="CQ93" s="778"/>
      <c r="CR93" s="778"/>
      <c r="CS93" s="778"/>
      <c r="CT93" s="778"/>
      <c r="CU93" s="778"/>
      <c r="CV93" s="778"/>
      <c r="CW93" s="778"/>
      <c r="CX93" s="778"/>
      <c r="CY93" s="778"/>
      <c r="CZ93" s="778"/>
      <c r="DA93" s="778"/>
      <c r="DB93" s="780"/>
    </row>
    <row r="94" spans="1:106" s="106" customFormat="1" x14ac:dyDescent="0.25">
      <c r="A94" s="594"/>
      <c r="B94" s="594"/>
      <c r="C94" s="778"/>
      <c r="D94" s="777"/>
      <c r="G94" s="778"/>
      <c r="H94" s="778"/>
      <c r="I94" s="778"/>
      <c r="J94" s="778"/>
      <c r="K94" s="778"/>
      <c r="L94" s="779"/>
      <c r="M94" s="780"/>
      <c r="N94" s="779"/>
      <c r="O94" s="779"/>
      <c r="P94" s="780"/>
      <c r="Q94" s="780"/>
      <c r="R94" s="780"/>
      <c r="S94" s="779"/>
      <c r="T94" s="780"/>
      <c r="U94" s="780"/>
      <c r="V94" s="781"/>
      <c r="W94" s="780"/>
      <c r="X94" s="782"/>
      <c r="Y94" s="780"/>
      <c r="Z94" s="783"/>
      <c r="AA94" s="780"/>
      <c r="AB94" s="780"/>
      <c r="AC94" s="783"/>
      <c r="AD94" s="59"/>
      <c r="AE94" s="780"/>
      <c r="AF94" s="780"/>
      <c r="AI94" s="778"/>
      <c r="AJ94" s="778"/>
      <c r="AK94" s="778"/>
      <c r="AL94" s="778"/>
      <c r="AM94" s="778"/>
      <c r="AN94" s="778"/>
      <c r="AO94" s="778"/>
      <c r="AP94" s="778"/>
      <c r="AQ94" s="778"/>
      <c r="AR94" s="778"/>
      <c r="AS94" s="778"/>
      <c r="AT94" s="778"/>
      <c r="AU94" s="778"/>
      <c r="AV94" s="778"/>
      <c r="AW94" s="778"/>
      <c r="AX94" s="778"/>
      <c r="AY94" s="778"/>
      <c r="AZ94" s="778"/>
      <c r="BA94" s="778"/>
      <c r="BB94" s="778"/>
      <c r="BC94" s="778"/>
      <c r="BD94" s="778"/>
      <c r="BE94" s="778"/>
      <c r="BF94" s="778"/>
      <c r="BG94" s="778"/>
      <c r="BH94" s="778"/>
      <c r="BI94" s="778"/>
      <c r="BJ94" s="778"/>
      <c r="BK94" s="778"/>
      <c r="BL94" s="778"/>
      <c r="BM94" s="778"/>
      <c r="BN94" s="778"/>
      <c r="BO94" s="778"/>
      <c r="BP94" s="778"/>
      <c r="BQ94" s="778"/>
      <c r="BR94" s="778"/>
      <c r="BS94" s="778"/>
      <c r="BT94" s="778"/>
      <c r="BU94" s="778"/>
      <c r="BV94" s="778"/>
      <c r="BW94" s="778"/>
      <c r="BX94" s="778"/>
      <c r="BY94" s="778"/>
      <c r="BZ94" s="778"/>
      <c r="CA94" s="778"/>
      <c r="CB94" s="778"/>
      <c r="CC94" s="778"/>
      <c r="CD94" s="778"/>
      <c r="CE94" s="778"/>
      <c r="CF94" s="778"/>
      <c r="CG94" s="778"/>
      <c r="CH94" s="778"/>
      <c r="CI94" s="778"/>
      <c r="CJ94" s="778"/>
      <c r="CK94" s="778"/>
      <c r="CL94" s="778"/>
      <c r="CM94" s="778"/>
      <c r="CN94" s="778"/>
      <c r="CO94" s="778"/>
      <c r="CP94" s="778"/>
      <c r="CQ94" s="778"/>
      <c r="CR94" s="778"/>
      <c r="CS94" s="778"/>
      <c r="CT94" s="778"/>
      <c r="CU94" s="778"/>
      <c r="CV94" s="778"/>
      <c r="CW94" s="778"/>
      <c r="CX94" s="778"/>
      <c r="CY94" s="778"/>
      <c r="CZ94" s="778"/>
      <c r="DA94" s="778"/>
      <c r="DB94" s="780"/>
    </row>
  </sheetData>
  <mergeCells count="34">
    <mergeCell ref="N7:Q7"/>
    <mergeCell ref="X7:AB7"/>
    <mergeCell ref="J2:L2"/>
    <mergeCell ref="N2:Q2"/>
    <mergeCell ref="X2:AB2"/>
    <mergeCell ref="J3:L3"/>
    <mergeCell ref="N3:Q3"/>
    <mergeCell ref="X3:AB3"/>
    <mergeCell ref="J4:L4"/>
    <mergeCell ref="N4:Q4"/>
    <mergeCell ref="X4:AB4"/>
    <mergeCell ref="N6:Q6"/>
    <mergeCell ref="X6:AB6"/>
    <mergeCell ref="BA11:BE11"/>
    <mergeCell ref="N8:Q8"/>
    <mergeCell ref="X8:AB8"/>
    <mergeCell ref="G10:I10"/>
    <mergeCell ref="J10:L10"/>
    <mergeCell ref="AD10:AG10"/>
    <mergeCell ref="AH10:AK10"/>
    <mergeCell ref="AL10:AO10"/>
    <mergeCell ref="U11:V11"/>
    <mergeCell ref="AB11:AC11"/>
    <mergeCell ref="AQ11:AU11"/>
    <mergeCell ref="AV11:AZ11"/>
    <mergeCell ref="CM11:CQ11"/>
    <mergeCell ref="CR11:CV11"/>
    <mergeCell ref="CW11:DA11"/>
    <mergeCell ref="BG11:BK11"/>
    <mergeCell ref="BL11:BP11"/>
    <mergeCell ref="BQ11:BU11"/>
    <mergeCell ref="BW11:CA11"/>
    <mergeCell ref="CB11:CF11"/>
    <mergeCell ref="CG11:CK11"/>
  </mergeCells>
  <conditionalFormatting sqref="L63">
    <cfRule type="iconSet" priority="32">
      <iconSet>
        <cfvo type="percent" val="0"/>
        <cfvo type="percent" val="15"/>
        <cfvo type="percent" val="18"/>
      </iconSet>
    </cfRule>
  </conditionalFormatting>
  <conditionalFormatting sqref="L14">
    <cfRule type="iconSet" priority="29">
      <iconSet>
        <cfvo type="percent" val="0"/>
        <cfvo type="percent" val="18"/>
        <cfvo type="percent" val="18"/>
      </iconSet>
    </cfRule>
  </conditionalFormatting>
  <conditionalFormatting sqref="L18">
    <cfRule type="iconSet" priority="28">
      <iconSet>
        <cfvo type="percent" val="0"/>
        <cfvo type="percent" val="18"/>
        <cfvo type="percent" val="18"/>
      </iconSet>
    </cfRule>
  </conditionalFormatting>
  <conditionalFormatting sqref="L20">
    <cfRule type="iconSet" priority="27">
      <iconSet>
        <cfvo type="percent" val="0"/>
        <cfvo type="percent" val="18"/>
        <cfvo type="percent" val="18"/>
      </iconSet>
    </cfRule>
  </conditionalFormatting>
  <conditionalFormatting sqref="L22">
    <cfRule type="iconSet" priority="26">
      <iconSet>
        <cfvo type="percent" val="0"/>
        <cfvo type="percent" val="18"/>
        <cfvo type="percent" val="18"/>
      </iconSet>
    </cfRule>
  </conditionalFormatting>
  <conditionalFormatting sqref="L23">
    <cfRule type="iconSet" priority="25">
      <iconSet>
        <cfvo type="percent" val="0"/>
        <cfvo type="percent" val="18"/>
        <cfvo type="percent" val="18"/>
      </iconSet>
    </cfRule>
  </conditionalFormatting>
  <conditionalFormatting sqref="L27">
    <cfRule type="iconSet" priority="24">
      <iconSet>
        <cfvo type="percent" val="0"/>
        <cfvo type="percent" val="18"/>
        <cfvo type="percent" val="18"/>
      </iconSet>
    </cfRule>
  </conditionalFormatting>
  <conditionalFormatting sqref="L37:L38 L25:L26 L13 L28 L41:L42">
    <cfRule type="iconSet" priority="33">
      <iconSet>
        <cfvo type="percent" val="0"/>
        <cfvo type="percent" val="18"/>
        <cfvo type="percent" val="18"/>
      </iconSet>
    </cfRule>
  </conditionalFormatting>
  <conditionalFormatting sqref="L35">
    <cfRule type="iconSet" priority="23">
      <iconSet>
        <cfvo type="percent" val="0"/>
        <cfvo type="percent" val="18"/>
        <cfvo type="percent" val="18"/>
      </iconSet>
    </cfRule>
  </conditionalFormatting>
  <conditionalFormatting sqref="L49">
    <cfRule type="iconSet" priority="22">
      <iconSet>
        <cfvo type="percent" val="0"/>
        <cfvo type="percent" val="15"/>
        <cfvo type="percent" val="18"/>
      </iconSet>
    </cfRule>
  </conditionalFormatting>
  <conditionalFormatting sqref="L46 L50:L53 L57:L59 L48">
    <cfRule type="iconSet" priority="34">
      <iconSet>
        <cfvo type="percent" val="0"/>
        <cfvo type="percent" val="15"/>
        <cfvo type="percent" val="18"/>
      </iconSet>
    </cfRule>
  </conditionalFormatting>
  <conditionalFormatting sqref="L66">
    <cfRule type="iconSet" priority="35">
      <iconSet>
        <cfvo type="percent" val="0"/>
        <cfvo type="percent" val="15"/>
        <cfvo type="percent" val="18"/>
      </iconSet>
    </cfRule>
  </conditionalFormatting>
  <conditionalFormatting sqref="L39:L40">
    <cfRule type="iconSet" priority="21">
      <iconSet>
        <cfvo type="percent" val="0"/>
        <cfvo type="percent" val="18"/>
        <cfvo type="percent" val="18"/>
      </iconSet>
    </cfRule>
  </conditionalFormatting>
  <conditionalFormatting sqref="L15">
    <cfRule type="iconSet" priority="20">
      <iconSet>
        <cfvo type="percent" val="0"/>
        <cfvo type="percent" val="18"/>
        <cfvo type="percent" val="18"/>
      </iconSet>
    </cfRule>
  </conditionalFormatting>
  <conditionalFormatting sqref="L17">
    <cfRule type="iconSet" priority="19">
      <iconSet>
        <cfvo type="percent" val="0"/>
        <cfvo type="percent" val="18"/>
        <cfvo type="percent" val="18"/>
      </iconSet>
    </cfRule>
  </conditionalFormatting>
  <conditionalFormatting sqref="L16">
    <cfRule type="iconSet" priority="18">
      <iconSet>
        <cfvo type="percent" val="0"/>
        <cfvo type="percent" val="18"/>
        <cfvo type="percent" val="18"/>
      </iconSet>
    </cfRule>
  </conditionalFormatting>
  <conditionalFormatting sqref="L21">
    <cfRule type="iconSet" priority="17">
      <iconSet>
        <cfvo type="percent" val="0"/>
        <cfvo type="percent" val="18"/>
        <cfvo type="percent" val="18"/>
      </iconSet>
    </cfRule>
  </conditionalFormatting>
  <conditionalFormatting sqref="L29:L34">
    <cfRule type="iconSet" priority="36">
      <iconSet>
        <cfvo type="percent" val="0"/>
        <cfvo type="percent" val="18"/>
        <cfvo type="percent" val="18"/>
      </iconSet>
    </cfRule>
  </conditionalFormatting>
  <conditionalFormatting sqref="L19">
    <cfRule type="iconSet" priority="16">
      <iconSet>
        <cfvo type="percent" val="0"/>
        <cfvo type="percent" val="18"/>
        <cfvo type="percent" val="18"/>
      </iconSet>
    </cfRule>
  </conditionalFormatting>
  <conditionalFormatting sqref="L24">
    <cfRule type="iconSet" priority="15">
      <iconSet>
        <cfvo type="percent" val="0"/>
        <cfvo type="percent" val="18"/>
        <cfvo type="percent" val="18"/>
      </iconSet>
    </cfRule>
  </conditionalFormatting>
  <conditionalFormatting sqref="L60">
    <cfRule type="iconSet" priority="14">
      <iconSet>
        <cfvo type="percent" val="0"/>
        <cfvo type="percent" val="15"/>
        <cfvo type="percent" val="18"/>
      </iconSet>
    </cfRule>
  </conditionalFormatting>
  <conditionalFormatting sqref="L62">
    <cfRule type="iconSet" priority="13">
      <iconSet>
        <cfvo type="percent" val="0"/>
        <cfvo type="percent" val="15"/>
        <cfvo type="percent" val="18"/>
      </iconSet>
    </cfRule>
  </conditionalFormatting>
  <conditionalFormatting sqref="L65">
    <cfRule type="iconSet" priority="12">
      <iconSet>
        <cfvo type="percent" val="0"/>
        <cfvo type="percent" val="15"/>
        <cfvo type="percent" val="18"/>
      </iconSet>
    </cfRule>
  </conditionalFormatting>
  <conditionalFormatting sqref="L54">
    <cfRule type="iconSet" priority="11">
      <iconSet>
        <cfvo type="percent" val="0"/>
        <cfvo type="percent" val="15"/>
        <cfvo type="percent" val="18"/>
      </iconSet>
    </cfRule>
  </conditionalFormatting>
  <conditionalFormatting sqref="L55">
    <cfRule type="iconSet" priority="10">
      <iconSet>
        <cfvo type="percent" val="0"/>
        <cfvo type="percent" val="15"/>
        <cfvo type="percent" val="18"/>
      </iconSet>
    </cfRule>
  </conditionalFormatting>
  <conditionalFormatting sqref="L56">
    <cfRule type="iconSet" priority="9">
      <iconSet>
        <cfvo type="percent" val="0"/>
        <cfvo type="percent" val="15"/>
        <cfvo type="percent" val="18"/>
      </iconSet>
    </cfRule>
  </conditionalFormatting>
  <conditionalFormatting sqref="L44">
    <cfRule type="iconSet" priority="8">
      <iconSet>
        <cfvo type="percent" val="0"/>
        <cfvo type="percent" val="15"/>
        <cfvo type="percent" val="18"/>
      </iconSet>
    </cfRule>
  </conditionalFormatting>
  <conditionalFormatting sqref="L68">
    <cfRule type="iconSet" priority="7">
      <iconSet>
        <cfvo type="percent" val="0"/>
        <cfvo type="percent" val="15"/>
        <cfvo type="percent" val="18"/>
      </iconSet>
    </cfRule>
  </conditionalFormatting>
  <conditionalFormatting sqref="L67">
    <cfRule type="iconSet" priority="38">
      <iconSet>
        <cfvo type="percent" val="0"/>
        <cfvo type="percent" val="15"/>
        <cfvo type="percent" val="18"/>
      </iconSet>
    </cfRule>
  </conditionalFormatting>
  <conditionalFormatting sqref="L47">
    <cfRule type="iconSet" priority="6">
      <iconSet>
        <cfvo type="percent" val="0"/>
        <cfvo type="percent" val="15"/>
        <cfvo type="percent" val="18"/>
      </iconSet>
    </cfRule>
  </conditionalFormatting>
  <conditionalFormatting sqref="L45">
    <cfRule type="iconSet" priority="5">
      <iconSet>
        <cfvo type="percent" val="0"/>
        <cfvo type="percent" val="15"/>
        <cfvo type="percent" val="18"/>
      </iconSet>
    </cfRule>
  </conditionalFormatting>
  <conditionalFormatting sqref="L36">
    <cfRule type="iconSet" priority="4">
      <iconSet>
        <cfvo type="percent" val="0"/>
        <cfvo type="percent" val="15"/>
        <cfvo type="percent" val="18"/>
      </iconSet>
    </cfRule>
  </conditionalFormatting>
  <conditionalFormatting sqref="L43">
    <cfRule type="iconSet" priority="3">
      <iconSet>
        <cfvo type="percent" val="0"/>
        <cfvo type="percent" val="15"/>
        <cfvo type="percent" val="18"/>
      </iconSet>
    </cfRule>
  </conditionalFormatting>
  <conditionalFormatting sqref="L61">
    <cfRule type="iconSet" priority="2">
      <iconSet>
        <cfvo type="percent" val="0"/>
        <cfvo type="percent" val="15"/>
        <cfvo type="percent" val="18"/>
      </iconSet>
    </cfRule>
  </conditionalFormatting>
  <conditionalFormatting sqref="L64">
    <cfRule type="iconSet" priority="1">
      <iconSet>
        <cfvo type="percent" val="0"/>
        <cfvo type="percent" val="15"/>
        <cfvo type="percent" val="18"/>
      </iconSet>
    </cfRule>
  </conditionalFormatting>
  <dataValidations count="8">
    <dataValidation type="list" allowBlank="1" showInputMessage="1" showErrorMessage="1" sqref="E13:E68">
      <formula1>Origine</formula1>
    </dataValidation>
    <dataValidation type="list" allowBlank="1" showInputMessage="1" showErrorMessage="1" sqref="U13:U68">
      <formula1>OuiNon</formula1>
    </dataValidation>
    <dataValidation type="list" allowBlank="1" showInputMessage="1" showErrorMessage="1" sqref="AH57:AH64 AL57:AL64 AH13:AH53 AL13:AL53 AD13:AD68">
      <formula1>civilité</formula1>
    </dataValidation>
    <dataValidation type="list" allowBlank="1" showInputMessage="1" showErrorMessage="1" sqref="F57:F64 F13:F53">
      <formula1>Statut</formula1>
    </dataValidation>
    <dataValidation type="list" errorStyle="warning" showInputMessage="1" showErrorMessage="1" promptTitle="Niveau risque" prompt="Saisir le niveau de risque_x000a_Lettres MAJUSCULES" sqref="Z57:AA63 Z42:AA53">
      <formula1>Risque</formula1>
    </dataValidation>
    <dataValidation type="list" showInputMessage="1" showErrorMessage="1" sqref="Z13:AA41">
      <formula1>Risque</formula1>
    </dataValidation>
    <dataValidation type="list" allowBlank="1" showInputMessage="1" showErrorMessage="1" sqref="Y13:Y41 V13:V68">
      <formula1>Reconduction</formula1>
    </dataValidation>
    <dataValidation type="list" allowBlank="1" showInputMessage="1" showErrorMessage="1" sqref="Z64:AA64 Z54:Z56 Z65:Z68">
      <formula1>Risque</formula1>
    </dataValidation>
  </dataValidations>
  <pageMargins left="0.19685039370078741" right="0.19685039370078741" top="0.55118110236220474" bottom="0.55118110236220474" header="0.11811023622047245" footer="0.11811023622047245"/>
  <pageSetup paperSize="8" scale="68" orientation="landscape" r:id="rId1"/>
  <colBreaks count="1" manualBreakCount="1">
    <brk id="2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DO53"/>
  <sheetViews>
    <sheetView showGridLines="0" zoomScale="85" zoomScaleNormal="8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A53" sqref="A53:XFD68"/>
    </sheetView>
  </sheetViews>
  <sheetFormatPr baseColWidth="10" defaultColWidth="11.42578125" defaultRowHeight="16.5" outlineLevelRow="1" outlineLevelCol="1" x14ac:dyDescent="0.25"/>
  <cols>
    <col min="1" max="2" width="3.140625" style="36" bestFit="1" customWidth="1"/>
    <col min="3" max="3" width="40.7109375" style="16" customWidth="1"/>
    <col min="4" max="4" width="30.28515625" style="16" customWidth="1"/>
    <col min="5" max="5" width="5.7109375" style="15" customWidth="1"/>
    <col min="6" max="6" width="5.7109375" style="16" customWidth="1"/>
    <col min="7" max="7" width="12.7109375" style="16" customWidth="1"/>
    <col min="8" max="8" width="7.7109375" style="16" customWidth="1"/>
    <col min="9" max="9" width="10.7109375" style="16" customWidth="1"/>
    <col min="10" max="10" width="9.7109375" style="16" customWidth="1"/>
    <col min="11" max="11" width="13.42578125" style="16" bestFit="1" customWidth="1"/>
    <col min="12" max="12" width="9.7109375" style="16" customWidth="1"/>
    <col min="13" max="13" width="0.5703125" style="59" customWidth="1"/>
    <col min="14" max="15" width="11.7109375" style="16" customWidth="1"/>
    <col min="16" max="16" width="0.5703125" style="59" customWidth="1"/>
    <col min="17" max="17" width="11.42578125" style="59"/>
    <col min="18" max="18" width="0.5703125" style="59" customWidth="1"/>
    <col min="19" max="19" width="11.42578125" style="15"/>
    <col min="20" max="20" width="0.5703125" style="59" customWidth="1"/>
    <col min="21" max="21" width="5.7109375" style="99" customWidth="1"/>
    <col min="22" max="22" width="11.7109375" style="16" customWidth="1"/>
    <col min="23" max="23" width="0.5703125" style="59" customWidth="1"/>
    <col min="24" max="24" width="12.7109375" style="16" customWidth="1"/>
    <col min="25" max="25" width="0.5703125" style="59" customWidth="1"/>
    <col min="26" max="26" width="11.7109375" style="16" customWidth="1"/>
    <col min="27" max="27" width="0.5703125" style="59" customWidth="1"/>
    <col min="28" max="28" width="9.7109375" style="16" customWidth="1"/>
    <col min="29" max="29" width="0.85546875" style="16" customWidth="1"/>
    <col min="30" max="30" width="14.7109375" style="16" customWidth="1"/>
    <col min="31" max="31" width="0.5703125" style="59" customWidth="1"/>
    <col min="32" max="32" width="5.7109375" style="59" customWidth="1"/>
    <col min="33" max="33" width="15.7109375" style="59" customWidth="1"/>
    <col min="34" max="34" width="20.7109375" style="59" customWidth="1"/>
    <col min="35" max="35" width="25.7109375" style="59" customWidth="1"/>
    <col min="36" max="36" width="5.7109375" style="59" customWidth="1"/>
    <col min="37" max="37" width="15.7109375" style="59" customWidth="1"/>
    <col min="38" max="38" width="20.7109375" style="59" customWidth="1"/>
    <col min="39" max="39" width="25.7109375" style="59" customWidth="1"/>
    <col min="40" max="40" width="5.7109375" style="59" customWidth="1"/>
    <col min="41" max="41" width="15.7109375" style="928" customWidth="1"/>
    <col min="42" max="42" width="11.7109375" style="15" customWidth="1"/>
    <col min="43" max="43" width="20.7109375" style="928" customWidth="1"/>
    <col min="44" max="44" width="5.7109375" style="929" customWidth="1"/>
    <col min="45" max="45" width="28.7109375" style="778" hidden="1" customWidth="1" outlineLevel="1"/>
    <col min="46" max="47" width="11.7109375" style="778" hidden="1" customWidth="1" outlineLevel="1"/>
    <col min="48" max="48" width="15.7109375" style="778" hidden="1" customWidth="1" outlineLevel="1"/>
    <col min="49" max="49" width="55.7109375" style="778" hidden="1" customWidth="1" outlineLevel="1"/>
    <col min="50" max="50" width="28.7109375" style="778" hidden="1" customWidth="1" outlineLevel="1"/>
    <col min="51" max="52" width="11.7109375" style="778" hidden="1" customWidth="1" outlineLevel="1"/>
    <col min="53" max="53" width="15.7109375" style="778" hidden="1" customWidth="1" outlineLevel="1"/>
    <col min="54" max="54" width="55.7109375" style="778" hidden="1" customWidth="1" outlineLevel="1"/>
    <col min="55" max="55" width="28.7109375" style="778" hidden="1" customWidth="1" outlineLevel="1"/>
    <col min="56" max="57" width="11.7109375" style="778" hidden="1" customWidth="1" outlineLevel="1"/>
    <col min="58" max="58" width="15.7109375" style="778" hidden="1" customWidth="1" outlineLevel="1"/>
    <col min="59" max="59" width="55.7109375" style="778" hidden="1" customWidth="1" outlineLevel="1"/>
    <col min="60" max="60" width="28.7109375" style="778" hidden="1" customWidth="1" outlineLevel="1"/>
    <col min="61" max="62" width="11.7109375" style="778" hidden="1" customWidth="1" outlineLevel="1"/>
    <col min="63" max="63" width="15.7109375" style="778" hidden="1" customWidth="1" outlineLevel="1"/>
    <col min="64" max="64" width="55.7109375" style="778" hidden="1" customWidth="1" outlineLevel="1"/>
    <col min="65" max="65" width="28.7109375" style="778" hidden="1" customWidth="1" outlineLevel="1"/>
    <col min="66" max="67" width="11.7109375" style="778" hidden="1" customWidth="1" outlineLevel="1"/>
    <col min="68" max="68" width="15.7109375" style="778" hidden="1" customWidth="1" outlineLevel="1"/>
    <col min="69" max="69" width="55.7109375" style="778" hidden="1" customWidth="1" outlineLevel="1"/>
    <col min="70" max="70" width="28.7109375" style="778" hidden="1" customWidth="1" outlineLevel="1"/>
    <col min="71" max="72" width="11.7109375" style="778" hidden="1" customWidth="1" outlineLevel="1"/>
    <col min="73" max="73" width="15.7109375" style="778" hidden="1" customWidth="1" outlineLevel="1"/>
    <col min="74" max="74" width="55.7109375" style="778" hidden="1" customWidth="1" outlineLevel="1"/>
    <col min="75" max="75" width="28.7109375" style="778" hidden="1" customWidth="1" outlineLevel="1"/>
    <col min="76" max="77" width="11.7109375" style="778" hidden="1" customWidth="1" outlineLevel="1"/>
    <col min="78" max="78" width="15.7109375" style="778" hidden="1" customWidth="1" outlineLevel="1"/>
    <col min="79" max="79" width="55.7109375" style="778" hidden="1" customWidth="1" outlineLevel="1"/>
    <col min="80" max="80" width="28.7109375" style="778" hidden="1" customWidth="1" outlineLevel="1"/>
    <col min="81" max="82" width="11.7109375" style="778" hidden="1" customWidth="1" outlineLevel="1"/>
    <col min="83" max="83" width="15.7109375" style="778" hidden="1" customWidth="1" outlineLevel="1"/>
    <col min="84" max="84" width="55.7109375" style="778" hidden="1" customWidth="1" outlineLevel="1"/>
    <col min="85" max="85" width="28.7109375" style="778" hidden="1" customWidth="1" outlineLevel="1" collapsed="1"/>
    <col min="86" max="87" width="11.7109375" style="778" hidden="1" customWidth="1" outlineLevel="1"/>
    <col min="88" max="88" width="15.7109375" style="778" hidden="1" customWidth="1" outlineLevel="1"/>
    <col min="89" max="89" width="55.7109375" style="778" hidden="1" customWidth="1" outlineLevel="1"/>
    <col min="90" max="90" width="28.7109375" style="778" hidden="1" customWidth="1" outlineLevel="1"/>
    <col min="91" max="92" width="11.7109375" style="778" hidden="1" customWidth="1" outlineLevel="1"/>
    <col min="93" max="93" width="15.7109375" style="778" hidden="1" customWidth="1" outlineLevel="1"/>
    <col min="94" max="94" width="55.7109375" style="778" hidden="1" customWidth="1" outlineLevel="1"/>
    <col min="95" max="95" width="28.7109375" style="778" hidden="1" customWidth="1" outlineLevel="1"/>
    <col min="96" max="97" width="11.7109375" style="778" hidden="1" customWidth="1" outlineLevel="1"/>
    <col min="98" max="98" width="15.7109375" style="778" hidden="1" customWidth="1" outlineLevel="1"/>
    <col min="99" max="99" width="55.7109375" style="778" hidden="1" customWidth="1" outlineLevel="1"/>
    <col min="100" max="100" width="28.7109375" style="778" customWidth="1" collapsed="1"/>
    <col min="101" max="102" width="11.7109375" style="778" customWidth="1"/>
    <col min="103" max="103" width="15.7109375" style="778" customWidth="1"/>
    <col min="104" max="104" width="55.7109375" style="778" customWidth="1"/>
    <col min="105" max="105" width="28.7109375" style="778" customWidth="1"/>
    <col min="106" max="107" width="11.7109375" style="778" customWidth="1"/>
    <col min="108" max="108" width="15.7109375" style="778" customWidth="1"/>
    <col min="109" max="109" width="55.7109375" style="778" customWidth="1"/>
    <col min="110" max="110" width="28.7109375" style="778" customWidth="1"/>
    <col min="111" max="112" width="11.7109375" style="778" customWidth="1"/>
    <col min="113" max="113" width="15.7109375" style="778" customWidth="1"/>
    <col min="114" max="114" width="55.7109375" style="778" customWidth="1"/>
    <col min="115" max="115" width="28.7109375" style="778" customWidth="1"/>
    <col min="116" max="117" width="11.7109375" style="778" customWidth="1"/>
    <col min="118" max="118" width="15.7109375" style="778" customWidth="1"/>
    <col min="119" max="119" width="55.7109375" style="778" customWidth="1"/>
    <col min="120" max="16384" width="11.42578125" style="16"/>
  </cols>
  <sheetData>
    <row r="1" spans="1:119" ht="16.5" customHeight="1" outlineLevel="1" x14ac:dyDescent="0.25">
      <c r="C1" s="18" t="s">
        <v>1034</v>
      </c>
      <c r="D1" s="18"/>
      <c r="E1" s="24"/>
      <c r="F1" s="24"/>
      <c r="G1" s="10">
        <f ca="1">TODAY()</f>
        <v>43183</v>
      </c>
      <c r="H1" s="15"/>
      <c r="J1" s="59"/>
      <c r="K1" s="15"/>
      <c r="M1" s="16"/>
      <c r="N1" s="15"/>
      <c r="O1" s="15"/>
      <c r="P1" s="16"/>
      <c r="R1" s="16"/>
      <c r="T1" s="16"/>
      <c r="U1" s="807"/>
      <c r="V1" s="84"/>
      <c r="W1" s="16"/>
      <c r="X1" s="84"/>
      <c r="Y1" s="16"/>
      <c r="Z1" s="59"/>
      <c r="AA1" s="16"/>
      <c r="AB1" s="59"/>
      <c r="AC1" s="59"/>
      <c r="AD1" s="808"/>
      <c r="AE1" s="16"/>
      <c r="AF1" s="16"/>
      <c r="AG1" s="71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455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</row>
    <row r="2" spans="1:119" ht="15" customHeight="1" outlineLevel="1" x14ac:dyDescent="0.25">
      <c r="C2" s="53" t="s">
        <v>636</v>
      </c>
      <c r="D2" s="53"/>
      <c r="E2" s="25"/>
      <c r="F2" s="25"/>
      <c r="G2" s="809">
        <v>690000</v>
      </c>
      <c r="H2" s="41" t="s">
        <v>518</v>
      </c>
      <c r="I2" s="39">
        <f>SUMIF(F13:F23,"Perdu",G13:G23)+SUMIF(F24:F45,"Perdu",G24:G45)+SUMIF(F41:F45,"Perdu",G41:G45)</f>
        <v>0</v>
      </c>
      <c r="J2" s="1172" t="s">
        <v>528</v>
      </c>
      <c r="K2" s="1173"/>
      <c r="L2" s="1173"/>
      <c r="M2" s="90"/>
      <c r="N2" s="1132" t="s">
        <v>537</v>
      </c>
      <c r="O2" s="1133"/>
      <c r="P2" s="1133"/>
      <c r="Q2" s="1133"/>
      <c r="R2" s="1133"/>
      <c r="S2" s="1174">
        <f>SUMIFS($G$13:$G$23,$E$13:$E$23,"dcn",$F$13:$F$23,"")+SUMIFS($G$24:$G$40,$E$24:$E$40,"dcn",$F$24:$F$40,"")+SUMIFS($G$41:$G$45,$E$41:$E$45,"DCn",$F$41:$F$45,"")</f>
        <v>69952.399999999994</v>
      </c>
      <c r="T2" s="1174"/>
      <c r="U2" s="810"/>
      <c r="V2" s="811">
        <f>SUMIFS($G$13:$G$23,$E$13:$E$23,"di",$F$13:$F$23,"")+SUMIFS($G$24:$G$40,$E$24:$E$40,"di",$F$24:$F$40,"")+SUMIFS(G41:G45,E41:E45,"di",F41:F45,"")</f>
        <v>392260</v>
      </c>
      <c r="W2" s="16"/>
      <c r="X2" s="1121" t="s">
        <v>583</v>
      </c>
      <c r="Y2" s="1122"/>
      <c r="Z2" s="1122"/>
      <c r="AA2" s="1122"/>
      <c r="AB2" s="1122"/>
      <c r="AC2" s="1122"/>
      <c r="AD2" s="812"/>
      <c r="AE2" s="812"/>
      <c r="AF2" s="53"/>
      <c r="AG2" s="75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455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</row>
    <row r="3" spans="1:119" ht="15" customHeight="1" outlineLevel="1" x14ac:dyDescent="0.25">
      <c r="C3" s="53" t="s">
        <v>517</v>
      </c>
      <c r="D3" s="53"/>
      <c r="E3" s="19"/>
      <c r="F3" s="19"/>
      <c r="G3" s="813">
        <v>109</v>
      </c>
      <c r="H3" s="20"/>
      <c r="I3" s="814">
        <f>COUNTA($F$13:$F$23)+COUNTA(F24:F45)+COUNTA(F41:F45)</f>
        <v>0</v>
      </c>
      <c r="J3" s="1168" t="s">
        <v>531</v>
      </c>
      <c r="K3" s="1169"/>
      <c r="L3" s="1169"/>
      <c r="M3" s="390"/>
      <c r="N3" s="1127" t="s">
        <v>531</v>
      </c>
      <c r="O3" s="1127"/>
      <c r="P3" s="1127"/>
      <c r="Q3" s="1127"/>
      <c r="R3" s="1127"/>
      <c r="S3" s="1130">
        <f>COUNTIFS($E$13:$E$23,"DCN",F13:F23,"")+COUNTIFS($E$24:$E$40,"DCN",F24:F40,"")+COUNTIFS($E$41:$E$45,"DCN",F41:F45,"")</f>
        <v>7</v>
      </c>
      <c r="T3" s="1130"/>
      <c r="U3" s="815"/>
      <c r="V3" s="388">
        <f>COUNTIFS($E$13:$E$23,"DI",F13:F23,"")+COUNTIFS($E$24:$E$40,"DI",F24:F40,"")+COUNTIFS($E$41:$E$45,"DI",F41:F45,"")</f>
        <v>16</v>
      </c>
      <c r="X3" s="1166" t="s">
        <v>531</v>
      </c>
      <c r="Y3" s="1167"/>
      <c r="Z3" s="1167"/>
      <c r="AA3" s="1167"/>
      <c r="AB3" s="1167"/>
      <c r="AC3" s="1167"/>
      <c r="AD3" s="816"/>
      <c r="AE3" s="14"/>
      <c r="AF3" s="14"/>
      <c r="AG3" s="79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455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</row>
    <row r="4" spans="1:119" ht="15" customHeight="1" outlineLevel="1" x14ac:dyDescent="0.25">
      <c r="C4" s="53" t="s">
        <v>526</v>
      </c>
      <c r="D4" s="53"/>
      <c r="E4" s="19"/>
      <c r="F4" s="19"/>
      <c r="G4" s="817">
        <f>COUNTA($C$13:$C$23)/$G$3</f>
        <v>0.10091743119266056</v>
      </c>
      <c r="H4" s="20"/>
      <c r="I4" s="818">
        <f>$I$2/$G$2</f>
        <v>0</v>
      </c>
      <c r="J4" s="1168" t="s">
        <v>532</v>
      </c>
      <c r="K4" s="1169"/>
      <c r="L4" s="1169"/>
      <c r="M4" s="390"/>
      <c r="N4" s="1127" t="s">
        <v>586</v>
      </c>
      <c r="O4" s="1127"/>
      <c r="P4" s="1127"/>
      <c r="Q4" s="1127"/>
      <c r="R4" s="1127"/>
      <c r="S4" s="387">
        <f>$S$2/$G$2</f>
        <v>0.10138028985507246</v>
      </c>
      <c r="T4" s="387"/>
      <c r="U4" s="71"/>
      <c r="V4" s="389">
        <f>$V$2/$G$2</f>
        <v>0.56849275362318841</v>
      </c>
      <c r="W4" s="14" t="s">
        <v>586</v>
      </c>
      <c r="X4" s="1166" t="s">
        <v>586</v>
      </c>
      <c r="Y4" s="1167"/>
      <c r="Z4" s="1167"/>
      <c r="AA4" s="1167"/>
      <c r="AB4" s="1167"/>
      <c r="AC4" s="1167"/>
      <c r="AD4" s="816"/>
      <c r="AE4" s="14"/>
      <c r="AF4" s="14"/>
      <c r="AG4" s="7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455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</row>
    <row r="5" spans="1:119" ht="5.25" customHeight="1" outlineLevel="1" x14ac:dyDescent="0.25">
      <c r="A5" s="38"/>
      <c r="B5" s="38"/>
      <c r="C5" s="26"/>
      <c r="D5" s="26"/>
      <c r="E5" s="26"/>
      <c r="F5" s="26"/>
      <c r="H5" s="15"/>
      <c r="M5" s="60"/>
      <c r="N5" s="107"/>
      <c r="O5" s="108"/>
      <c r="P5" s="60"/>
      <c r="Q5" s="108"/>
      <c r="R5" s="60"/>
      <c r="S5" s="16"/>
      <c r="T5" s="60"/>
      <c r="U5" s="71"/>
      <c r="V5" s="15"/>
      <c r="W5" s="60"/>
      <c r="Y5" s="60"/>
      <c r="AA5" s="60"/>
      <c r="AD5" s="71"/>
      <c r="AE5" s="60"/>
      <c r="AF5" s="21"/>
      <c r="AG5" s="77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455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</row>
    <row r="6" spans="1:119" ht="15" customHeight="1" outlineLevel="1" x14ac:dyDescent="0.25">
      <c r="A6" s="38"/>
      <c r="B6" s="38"/>
      <c r="C6" s="26"/>
      <c r="D6" s="26"/>
      <c r="E6" s="26"/>
      <c r="F6" s="26"/>
      <c r="H6" s="15"/>
      <c r="M6" s="60"/>
      <c r="N6" s="1124" t="s">
        <v>582</v>
      </c>
      <c r="O6" s="1125"/>
      <c r="P6" s="1125"/>
      <c r="Q6" s="1125"/>
      <c r="R6" s="1126"/>
      <c r="S6" s="1170">
        <f>SUMIFS($G$13:$G$23,$E$13:$E$23,"AO",$F$13:$F$23,"")+SUMIFS($G$24:$G$40,$E$24:$E$40,"AO",$F$24:$F$40,"")+SUMIFS($G$41:$G$45,$E$41:$E$45,"AO",$F$41:$F$45,"")</f>
        <v>134179</v>
      </c>
      <c r="T6" s="1171"/>
      <c r="U6" s="819"/>
      <c r="V6" s="811">
        <f>SUMIFS($G$13:$G$23,$E$13:$E$23,"REG",$F$13:$F$23,"")+SUMIFS($G$24:$G$40,$E$24:$E$40,"REG",$F$24:$F$40,"")+SUMIFS($G$41:$G$45,$E$41:$E$45,"REG",$F$41:$F$45,"")</f>
        <v>11196</v>
      </c>
      <c r="W6" s="98" t="s">
        <v>584</v>
      </c>
      <c r="X6" s="820"/>
      <c r="Y6" s="98"/>
      <c r="Z6" s="820"/>
      <c r="AA6" s="98"/>
      <c r="AB6" s="820"/>
      <c r="AC6" s="820"/>
      <c r="AD6" s="821"/>
      <c r="AE6" s="98"/>
      <c r="AF6" s="77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455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</row>
    <row r="7" spans="1:119" ht="15" customHeight="1" outlineLevel="1" x14ac:dyDescent="0.25">
      <c r="A7" s="38"/>
      <c r="B7" s="38"/>
      <c r="C7" s="26"/>
      <c r="D7" s="26"/>
      <c r="E7" s="26"/>
      <c r="F7" s="26"/>
      <c r="H7" s="15"/>
      <c r="M7" s="60"/>
      <c r="N7" s="1127" t="s">
        <v>531</v>
      </c>
      <c r="O7" s="1127"/>
      <c r="P7" s="1127"/>
      <c r="Q7" s="1127"/>
      <c r="R7" s="1127"/>
      <c r="S7" s="1130">
        <f>COUNTIFS($E$13:$E$23,"AO",$F$13:$F$23,"")+COUNTIFS($E$24:$E$40,"AO",$F$24:$F$40,"")+COUNTIFS($E$41:$E$45,"AO",$F$41:$F$45,"")</f>
        <v>5</v>
      </c>
      <c r="T7" s="1130"/>
      <c r="U7" s="822"/>
      <c r="V7" s="388">
        <f>COUNTIFS($E$13:$E$23,"REG",$F$13:$F$23,"")+COUNTIFS($E$24:$E$40,"REG",$F$24:$F$40,"")+COUNTIFS($E$41:$E$45,"REG",$F$41:$F$45,"")</f>
        <v>5</v>
      </c>
      <c r="W7" s="60"/>
      <c r="X7" s="1166" t="s">
        <v>531</v>
      </c>
      <c r="Y7" s="1167"/>
      <c r="Z7" s="1167"/>
      <c r="AA7" s="1167"/>
      <c r="AB7" s="1167"/>
      <c r="AC7" s="1167"/>
      <c r="AD7" s="816"/>
      <c r="AE7" s="60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455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</row>
    <row r="8" spans="1:119" ht="15" customHeight="1" outlineLevel="1" x14ac:dyDescent="0.25">
      <c r="A8" s="38"/>
      <c r="B8" s="38"/>
      <c r="C8" s="26"/>
      <c r="D8" s="26"/>
      <c r="E8" s="26"/>
      <c r="F8" s="26"/>
      <c r="H8" s="15"/>
      <c r="M8" s="60"/>
      <c r="N8" s="1127" t="s">
        <v>586</v>
      </c>
      <c r="O8" s="1127"/>
      <c r="P8" s="1127"/>
      <c r="Q8" s="1127"/>
      <c r="R8" s="1127"/>
      <c r="S8" s="1131">
        <f>$S$6/$G$2</f>
        <v>0.19446231884057971</v>
      </c>
      <c r="T8" s="1131"/>
      <c r="U8" s="823"/>
      <c r="V8" s="389">
        <f>$V$6/$G$2</f>
        <v>1.6226086956521737E-2</v>
      </c>
      <c r="W8" s="60"/>
      <c r="X8" s="1166" t="s">
        <v>586</v>
      </c>
      <c r="Y8" s="1167"/>
      <c r="Z8" s="1167"/>
      <c r="AA8" s="1167"/>
      <c r="AB8" s="1167"/>
      <c r="AC8" s="1167"/>
      <c r="AD8" s="12"/>
      <c r="AE8" s="60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455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</row>
    <row r="9" spans="1:119" ht="12.75" customHeight="1" x14ac:dyDescent="0.25">
      <c r="A9" s="38"/>
      <c r="B9" s="38"/>
      <c r="C9" s="26"/>
      <c r="D9" s="26"/>
      <c r="E9" s="26"/>
      <c r="F9" s="26"/>
      <c r="H9" s="15"/>
      <c r="M9" s="60"/>
      <c r="N9" s="15"/>
      <c r="O9" s="15"/>
      <c r="P9" s="60"/>
      <c r="Q9" s="16"/>
      <c r="R9" s="60"/>
      <c r="S9" s="16"/>
      <c r="T9" s="60"/>
      <c r="U9" s="808"/>
      <c r="V9" s="59"/>
      <c r="W9" s="60"/>
      <c r="X9" s="59"/>
      <c r="Y9" s="60"/>
      <c r="Z9" s="15"/>
      <c r="AA9" s="60"/>
      <c r="AB9" s="15"/>
      <c r="AC9" s="15"/>
      <c r="AD9" s="15"/>
      <c r="AE9" s="60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455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</row>
    <row r="10" spans="1:119" ht="15" customHeight="1" thickBot="1" x14ac:dyDescent="0.3">
      <c r="F10" s="15"/>
      <c r="G10" s="1155" t="s">
        <v>523</v>
      </c>
      <c r="H10" s="1156"/>
      <c r="I10" s="1156"/>
      <c r="J10" s="1157">
        <v>43159</v>
      </c>
      <c r="K10" s="1157"/>
      <c r="L10" s="1157"/>
      <c r="N10" s="585"/>
      <c r="O10" s="585"/>
      <c r="Q10" s="585"/>
      <c r="S10" s="585"/>
      <c r="U10" s="586"/>
      <c r="V10" s="586"/>
      <c r="X10" s="824"/>
      <c r="Z10" s="587"/>
      <c r="AB10" s="15"/>
      <c r="AC10" s="15"/>
      <c r="AD10" s="15"/>
      <c r="AF10" s="1164" t="s">
        <v>869</v>
      </c>
      <c r="AG10" s="1164"/>
      <c r="AH10" s="1164"/>
      <c r="AI10" s="1164"/>
      <c r="AJ10" s="1164" t="s">
        <v>870</v>
      </c>
      <c r="AK10" s="1164"/>
      <c r="AL10" s="1164"/>
      <c r="AM10" s="1164"/>
      <c r="AN10" s="1164" t="s">
        <v>871</v>
      </c>
      <c r="AO10" s="1164"/>
      <c r="AP10" s="1164"/>
      <c r="AQ10" s="1164"/>
      <c r="AR10" s="455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</row>
    <row r="11" spans="1:119" ht="36" customHeight="1" thickBot="1" x14ac:dyDescent="0.3">
      <c r="C11" s="385" t="s">
        <v>638</v>
      </c>
      <c r="D11" s="386" t="s">
        <v>637</v>
      </c>
      <c r="E11" s="78" t="s">
        <v>530</v>
      </c>
      <c r="F11" s="78" t="s">
        <v>529</v>
      </c>
      <c r="G11" s="588" t="s">
        <v>0</v>
      </c>
      <c r="H11" s="22" t="s">
        <v>524</v>
      </c>
      <c r="I11" s="588" t="s">
        <v>1</v>
      </c>
      <c r="J11" s="588" t="s">
        <v>2</v>
      </c>
      <c r="K11" s="588" t="s">
        <v>3</v>
      </c>
      <c r="L11" s="589" t="s">
        <v>4</v>
      </c>
      <c r="M11" s="590"/>
      <c r="N11" s="54" t="s">
        <v>520</v>
      </c>
      <c r="O11" s="54" t="s">
        <v>525</v>
      </c>
      <c r="P11" s="825"/>
      <c r="Q11" s="62" t="s">
        <v>587</v>
      </c>
      <c r="R11" s="825"/>
      <c r="S11" s="105" t="s">
        <v>522</v>
      </c>
      <c r="T11" s="825"/>
      <c r="U11" s="1140" t="s">
        <v>588</v>
      </c>
      <c r="V11" s="1141"/>
      <c r="W11" s="825"/>
      <c r="X11" s="826" t="s">
        <v>593</v>
      </c>
      <c r="Y11" s="825"/>
      <c r="Z11" s="54" t="s">
        <v>23</v>
      </c>
      <c r="AA11" s="825"/>
      <c r="AB11" s="1153" t="s">
        <v>594</v>
      </c>
      <c r="AC11" s="1165"/>
      <c r="AD11" s="1154"/>
      <c r="AE11" s="825"/>
      <c r="AF11" s="55" t="s">
        <v>533</v>
      </c>
      <c r="AG11" s="56" t="s">
        <v>535</v>
      </c>
      <c r="AH11" s="56" t="s">
        <v>581</v>
      </c>
      <c r="AI11" s="56" t="s">
        <v>556</v>
      </c>
      <c r="AJ11" s="57" t="s">
        <v>533</v>
      </c>
      <c r="AK11" s="58" t="s">
        <v>535</v>
      </c>
      <c r="AL11" s="58" t="s">
        <v>581</v>
      </c>
      <c r="AM11" s="58" t="s">
        <v>556</v>
      </c>
      <c r="AN11" s="449" t="s">
        <v>533</v>
      </c>
      <c r="AO11" s="450" t="s">
        <v>535</v>
      </c>
      <c r="AP11" s="450" t="s">
        <v>581</v>
      </c>
      <c r="AQ11" s="450" t="s">
        <v>556</v>
      </c>
      <c r="AR11" s="455"/>
      <c r="AS11" s="1148">
        <v>42401</v>
      </c>
      <c r="AT11" s="1149"/>
      <c r="AU11" s="1149"/>
      <c r="AV11" s="1149"/>
      <c r="AW11" s="1150"/>
      <c r="AX11" s="1148">
        <v>42430</v>
      </c>
      <c r="AY11" s="1149"/>
      <c r="AZ11" s="1149"/>
      <c r="BA11" s="1149"/>
      <c r="BB11" s="1150"/>
      <c r="BC11" s="1148">
        <v>42461</v>
      </c>
      <c r="BD11" s="1149"/>
      <c r="BE11" s="1149"/>
      <c r="BF11" s="1149"/>
      <c r="BG11" s="1150"/>
      <c r="BH11" s="1148">
        <v>42491</v>
      </c>
      <c r="BI11" s="1149"/>
      <c r="BJ11" s="1149"/>
      <c r="BK11" s="1149"/>
      <c r="BL11" s="1150"/>
      <c r="BM11" s="1148">
        <v>42522</v>
      </c>
      <c r="BN11" s="1149"/>
      <c r="BO11" s="1149"/>
      <c r="BP11" s="1149"/>
      <c r="BQ11" s="1150"/>
      <c r="BR11" s="1148">
        <v>42552</v>
      </c>
      <c r="BS11" s="1149"/>
      <c r="BT11" s="1149"/>
      <c r="BU11" s="1149"/>
      <c r="BV11" s="1150"/>
      <c r="BW11" s="1148">
        <v>42583</v>
      </c>
      <c r="BX11" s="1149"/>
      <c r="BY11" s="1149"/>
      <c r="BZ11" s="1149"/>
      <c r="CA11" s="1150"/>
      <c r="CB11" s="1148">
        <v>42614</v>
      </c>
      <c r="CC11" s="1149"/>
      <c r="CD11" s="1149"/>
      <c r="CE11" s="1149"/>
      <c r="CF11" s="1150"/>
      <c r="CG11" s="1148">
        <v>42644</v>
      </c>
      <c r="CH11" s="1149"/>
      <c r="CI11" s="1149"/>
      <c r="CJ11" s="1149"/>
      <c r="CK11" s="1150"/>
      <c r="CL11" s="1148">
        <v>42675</v>
      </c>
      <c r="CM11" s="1149"/>
      <c r="CN11" s="1149"/>
      <c r="CO11" s="1149"/>
      <c r="CP11" s="1150"/>
      <c r="CQ11" s="1148">
        <v>42705</v>
      </c>
      <c r="CR11" s="1149"/>
      <c r="CS11" s="1149"/>
      <c r="CT11" s="1149"/>
      <c r="CU11" s="1150"/>
      <c r="CV11" s="1148">
        <v>42736</v>
      </c>
      <c r="CW11" s="1149"/>
      <c r="CX11" s="1149"/>
      <c r="CY11" s="1149"/>
      <c r="CZ11" s="1150"/>
      <c r="DA11" s="1148">
        <v>42767</v>
      </c>
      <c r="DB11" s="1149"/>
      <c r="DC11" s="1149"/>
      <c r="DD11" s="1149"/>
      <c r="DE11" s="1150"/>
      <c r="DF11" s="1148">
        <v>42795</v>
      </c>
      <c r="DG11" s="1149"/>
      <c r="DH11" s="1149"/>
      <c r="DI11" s="1149"/>
      <c r="DJ11" s="1150"/>
      <c r="DK11" s="1148">
        <v>42826</v>
      </c>
      <c r="DL11" s="1149"/>
      <c r="DM11" s="1149"/>
      <c r="DN11" s="1149"/>
      <c r="DO11" s="1150"/>
    </row>
    <row r="12" spans="1:119" ht="5.25" customHeight="1" thickBot="1" x14ac:dyDescent="0.3">
      <c r="C12" s="827"/>
      <c r="D12" s="827"/>
      <c r="E12" s="24"/>
      <c r="F12" s="24"/>
      <c r="G12" s="10"/>
      <c r="H12" s="15"/>
      <c r="N12" s="15"/>
      <c r="Q12" s="15"/>
      <c r="S12" s="16"/>
      <c r="U12" s="59"/>
      <c r="V12" s="59"/>
      <c r="X12" s="59"/>
      <c r="Z12" s="15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455"/>
      <c r="AS12" s="593"/>
      <c r="AT12" s="593"/>
      <c r="AU12" s="593"/>
      <c r="AV12" s="593"/>
      <c r="AW12" s="593"/>
      <c r="AX12" s="593"/>
      <c r="AY12" s="593"/>
      <c r="AZ12" s="593"/>
      <c r="BA12" s="593"/>
      <c r="BB12" s="593"/>
      <c r="BC12" s="593"/>
      <c r="BD12" s="593"/>
      <c r="BE12" s="593"/>
      <c r="BF12" s="593"/>
      <c r="BG12" s="593"/>
      <c r="BH12" s="593"/>
      <c r="BI12" s="593"/>
      <c r="BJ12" s="593"/>
      <c r="BK12" s="593"/>
      <c r="BL12" s="593"/>
      <c r="BM12" s="593"/>
      <c r="BN12" s="593"/>
      <c r="BO12" s="593"/>
      <c r="BP12" s="593"/>
      <c r="BQ12" s="593"/>
      <c r="BR12" s="593"/>
      <c r="BS12" s="593"/>
      <c r="BT12" s="593"/>
      <c r="BU12" s="593"/>
      <c r="BV12" s="593"/>
      <c r="BW12" s="593"/>
      <c r="BX12" s="593"/>
      <c r="BY12" s="593"/>
      <c r="BZ12" s="593"/>
      <c r="CA12" s="593"/>
      <c r="CB12" s="593"/>
      <c r="CC12" s="593"/>
      <c r="CD12" s="593"/>
      <c r="CE12" s="593"/>
      <c r="CF12" s="593"/>
      <c r="CG12" s="593"/>
      <c r="CH12" s="593"/>
      <c r="CI12" s="593"/>
      <c r="CJ12" s="593"/>
      <c r="CK12" s="593"/>
      <c r="CL12" s="593"/>
      <c r="CM12" s="593"/>
      <c r="CN12" s="593"/>
      <c r="CO12" s="593"/>
      <c r="CP12" s="593"/>
      <c r="CQ12" s="593"/>
      <c r="CR12" s="593"/>
      <c r="CS12" s="593"/>
      <c r="CT12" s="593"/>
      <c r="CU12" s="593"/>
      <c r="CV12" s="593"/>
      <c r="CW12" s="593"/>
      <c r="CX12" s="593"/>
      <c r="CY12" s="593"/>
      <c r="CZ12" s="593"/>
      <c r="DA12" s="593"/>
      <c r="DB12" s="593"/>
      <c r="DC12" s="593"/>
      <c r="DD12" s="593"/>
      <c r="DE12" s="593"/>
      <c r="DF12" s="593"/>
      <c r="DG12" s="593"/>
      <c r="DH12" s="593"/>
      <c r="DI12" s="593"/>
      <c r="DJ12" s="593"/>
      <c r="DK12" s="593"/>
      <c r="DL12" s="593"/>
      <c r="DM12" s="593"/>
      <c r="DN12" s="593"/>
      <c r="DO12" s="593"/>
    </row>
    <row r="13" spans="1:119" s="14" customFormat="1" ht="18" customHeight="1" thickBot="1" x14ac:dyDescent="0.3">
      <c r="A13" s="36">
        <v>1</v>
      </c>
      <c r="B13" s="36">
        <v>1</v>
      </c>
      <c r="C13" s="1070" t="s">
        <v>1239</v>
      </c>
      <c r="D13" s="1071" t="s">
        <v>1246</v>
      </c>
      <c r="E13" s="828" t="s">
        <v>580</v>
      </c>
      <c r="F13" s="829"/>
      <c r="G13" s="478">
        <v>144076</v>
      </c>
      <c r="H13" s="830">
        <f t="shared" ref="H13:H29" si="0">G13/$G$2</f>
        <v>0.20880579710144928</v>
      </c>
      <c r="I13" s="478">
        <v>97424</v>
      </c>
      <c r="J13" s="478">
        <v>13953</v>
      </c>
      <c r="K13" s="480">
        <f t="shared" ref="K13:K52" si="1">G13-I13-J13</f>
        <v>32699</v>
      </c>
      <c r="L13" s="68">
        <f t="shared" ref="L13:L52" si="2">K13/G13</f>
        <v>0.22695660623559788</v>
      </c>
      <c r="M13" s="831"/>
      <c r="N13" s="832">
        <v>31868</v>
      </c>
      <c r="O13" s="142">
        <f ca="1">($G$1-N13)/30.33/12</f>
        <v>31.088581162765141</v>
      </c>
      <c r="Q13" s="833">
        <v>42369</v>
      </c>
      <c r="S13" s="834">
        <f ca="1">(X13-$G$1)/30.33</f>
        <v>1.2199142762940984</v>
      </c>
      <c r="U13" s="835" t="s">
        <v>591</v>
      </c>
      <c r="V13" s="66">
        <v>28</v>
      </c>
      <c r="X13" s="308">
        <f>IF(OR(U13="",U13="N"),Q13,EDATE(Q13,V13))</f>
        <v>43220</v>
      </c>
      <c r="Z13" s="835" t="s">
        <v>552</v>
      </c>
      <c r="AB13" s="836" t="s">
        <v>1035</v>
      </c>
      <c r="AC13" s="837"/>
      <c r="AD13" s="838"/>
      <c r="AF13" s="839" t="s">
        <v>536</v>
      </c>
      <c r="AG13" s="839" t="s">
        <v>1036</v>
      </c>
      <c r="AH13" s="839" t="s">
        <v>1037</v>
      </c>
      <c r="AI13" s="839" t="s">
        <v>1038</v>
      </c>
      <c r="AJ13" s="835"/>
      <c r="AK13" s="835"/>
      <c r="AL13" s="835"/>
      <c r="AM13" s="835"/>
      <c r="AN13" s="835"/>
      <c r="AO13" s="840"/>
      <c r="AP13" s="841"/>
      <c r="AQ13" s="840"/>
      <c r="AR13" s="842"/>
      <c r="AS13" s="597"/>
      <c r="AT13" s="598"/>
      <c r="AU13" s="843"/>
      <c r="AV13" s="598"/>
      <c r="AW13" s="599"/>
      <c r="AX13" s="597"/>
      <c r="AY13" s="598"/>
      <c r="AZ13" s="843"/>
      <c r="BA13" s="598"/>
      <c r="BB13" s="599"/>
      <c r="BC13" s="597"/>
      <c r="BD13" s="598"/>
      <c r="BE13" s="843"/>
      <c r="BF13" s="598"/>
      <c r="BG13" s="599"/>
      <c r="BH13" s="597"/>
      <c r="BI13" s="598"/>
      <c r="BJ13" s="843"/>
      <c r="BK13" s="598"/>
      <c r="BL13" s="599"/>
      <c r="BM13" s="597"/>
      <c r="BN13" s="598"/>
      <c r="BO13" s="843"/>
      <c r="BP13" s="598"/>
      <c r="BQ13" s="599"/>
      <c r="BR13" s="597"/>
      <c r="BS13" s="598"/>
      <c r="BT13" s="843"/>
      <c r="BU13" s="598"/>
      <c r="BV13" s="599"/>
      <c r="BW13" s="597"/>
      <c r="BX13" s="598"/>
      <c r="BY13" s="843"/>
      <c r="BZ13" s="598"/>
      <c r="CA13" s="599"/>
      <c r="CB13" s="597"/>
      <c r="CC13" s="598"/>
      <c r="CD13" s="843"/>
      <c r="CE13" s="598"/>
      <c r="CF13" s="599"/>
      <c r="CG13" s="597"/>
      <c r="CH13" s="598"/>
      <c r="CI13" s="843"/>
      <c r="CJ13" s="598"/>
      <c r="CK13" s="599"/>
      <c r="CL13" s="597"/>
      <c r="CM13" s="598"/>
      <c r="CN13" s="843"/>
      <c r="CO13" s="598"/>
      <c r="CP13" s="599"/>
      <c r="CQ13" s="597"/>
      <c r="CR13" s="598"/>
      <c r="CS13" s="843"/>
      <c r="CT13" s="598"/>
      <c r="CU13" s="599"/>
      <c r="CV13" s="597"/>
      <c r="CW13" s="598"/>
      <c r="CX13" s="843"/>
      <c r="CY13" s="598"/>
      <c r="CZ13" s="599"/>
      <c r="DA13" s="597"/>
      <c r="DB13" s="598"/>
      <c r="DC13" s="843"/>
      <c r="DD13" s="598"/>
      <c r="DE13" s="599"/>
      <c r="DF13" s="597"/>
      <c r="DG13" s="598"/>
      <c r="DH13" s="598"/>
      <c r="DI13" s="598"/>
      <c r="DJ13" s="599"/>
      <c r="DK13" s="597"/>
      <c r="DL13" s="598"/>
      <c r="DM13" s="598"/>
      <c r="DN13" s="598"/>
      <c r="DO13" s="599"/>
    </row>
    <row r="14" spans="1:119" s="14" customFormat="1" ht="18" customHeight="1" x14ac:dyDescent="0.25">
      <c r="A14" s="36">
        <f>A13+1</f>
        <v>2</v>
      </c>
      <c r="B14" s="36">
        <f>B13+1</f>
        <v>2</v>
      </c>
      <c r="C14" s="601" t="s">
        <v>1240</v>
      </c>
      <c r="D14" s="602" t="s">
        <v>1247</v>
      </c>
      <c r="E14" s="844" t="s">
        <v>580</v>
      </c>
      <c r="F14" s="845"/>
      <c r="G14" s="846">
        <v>118705</v>
      </c>
      <c r="H14" s="847">
        <f t="shared" si="0"/>
        <v>0.17203623188405798</v>
      </c>
      <c r="I14" s="502">
        <v>84817</v>
      </c>
      <c r="J14" s="502">
        <v>21309</v>
      </c>
      <c r="K14" s="112">
        <f t="shared" si="1"/>
        <v>12579</v>
      </c>
      <c r="L14" s="69">
        <f t="shared" si="2"/>
        <v>0.10596857756623562</v>
      </c>
      <c r="M14" s="831"/>
      <c r="N14" s="848">
        <v>40725</v>
      </c>
      <c r="O14" s="143">
        <f ca="1">($G$1-N14)/30.33/12</f>
        <v>6.75348939443895</v>
      </c>
      <c r="Q14" s="4">
        <v>43343</v>
      </c>
      <c r="S14" s="849">
        <f ca="1">(X14-$G$1)/30.33</f>
        <v>5.275304978569074</v>
      </c>
      <c r="U14" s="850" t="s">
        <v>592</v>
      </c>
      <c r="V14" s="67"/>
      <c r="X14" s="309">
        <f>IF(OR(U14="",U14="N"),Q14,EDATE(Q14,V14))</f>
        <v>43343</v>
      </c>
      <c r="Z14" s="2" t="s">
        <v>551</v>
      </c>
      <c r="AB14" s="836" t="s">
        <v>1039</v>
      </c>
      <c r="AC14" s="837"/>
      <c r="AD14" s="838"/>
      <c r="AF14" s="34" t="s">
        <v>534</v>
      </c>
      <c r="AG14" s="34" t="s">
        <v>1040</v>
      </c>
      <c r="AH14" s="34" t="s">
        <v>1041</v>
      </c>
      <c r="AI14" s="34" t="s">
        <v>1042</v>
      </c>
      <c r="AJ14" s="3" t="s">
        <v>536</v>
      </c>
      <c r="AK14" s="3" t="s">
        <v>1043</v>
      </c>
      <c r="AL14" s="3" t="s">
        <v>1044</v>
      </c>
      <c r="AM14" s="2" t="s">
        <v>1045</v>
      </c>
      <c r="AN14" s="3"/>
      <c r="AO14" s="851"/>
      <c r="AP14" s="852"/>
      <c r="AQ14" s="851"/>
      <c r="AR14" s="842"/>
      <c r="AS14" s="688"/>
      <c r="AT14" s="689"/>
      <c r="AU14" s="692"/>
      <c r="AV14" s="689"/>
      <c r="AW14" s="690"/>
      <c r="AX14" s="688"/>
      <c r="AY14" s="689"/>
      <c r="AZ14" s="692"/>
      <c r="BA14" s="689"/>
      <c r="BB14" s="690"/>
      <c r="BC14" s="688"/>
      <c r="BD14" s="689"/>
      <c r="BE14" s="692"/>
      <c r="BF14" s="689"/>
      <c r="BG14" s="690"/>
      <c r="BH14" s="688"/>
      <c r="BI14" s="689"/>
      <c r="BJ14" s="692"/>
      <c r="BK14" s="689"/>
      <c r="BL14" s="690"/>
      <c r="BM14" s="688"/>
      <c r="BN14" s="689"/>
      <c r="BO14" s="692"/>
      <c r="BP14" s="689"/>
      <c r="BQ14" s="690"/>
      <c r="BR14" s="688"/>
      <c r="BS14" s="689"/>
      <c r="BT14" s="692"/>
      <c r="BU14" s="689"/>
      <c r="BV14" s="690"/>
      <c r="BW14" s="688"/>
      <c r="BX14" s="689"/>
      <c r="BY14" s="692"/>
      <c r="BZ14" s="689"/>
      <c r="CA14" s="690"/>
      <c r="CB14" s="688"/>
      <c r="CC14" s="689"/>
      <c r="CD14" s="692"/>
      <c r="CE14" s="689"/>
      <c r="CF14" s="690"/>
      <c r="CG14" s="688"/>
      <c r="CH14" s="689"/>
      <c r="CI14" s="692"/>
      <c r="CJ14" s="689"/>
      <c r="CK14" s="690"/>
      <c r="CL14" s="688"/>
      <c r="CM14" s="689"/>
      <c r="CN14" s="692"/>
      <c r="CO14" s="689"/>
      <c r="CP14" s="690"/>
      <c r="CQ14" s="688"/>
      <c r="CR14" s="689"/>
      <c r="CS14" s="692"/>
      <c r="CT14" s="689"/>
      <c r="CU14" s="690"/>
      <c r="CV14" s="688"/>
      <c r="CW14" s="689"/>
      <c r="CX14" s="692"/>
      <c r="CY14" s="689"/>
      <c r="CZ14" s="690"/>
      <c r="DA14" s="688"/>
      <c r="DB14" s="689"/>
      <c r="DC14" s="692"/>
      <c r="DD14" s="689"/>
      <c r="DE14" s="690"/>
      <c r="DF14" s="688"/>
      <c r="DG14" s="689"/>
      <c r="DH14" s="689"/>
      <c r="DI14" s="689"/>
      <c r="DJ14" s="690"/>
      <c r="DK14" s="688"/>
      <c r="DL14" s="689"/>
      <c r="DM14" s="689"/>
      <c r="DN14" s="689"/>
      <c r="DO14" s="690"/>
    </row>
    <row r="15" spans="1:119" s="14" customFormat="1" ht="18" customHeight="1" x14ac:dyDescent="0.25">
      <c r="A15" s="36">
        <f>A14+1</f>
        <v>3</v>
      </c>
      <c r="B15" s="36">
        <f t="shared" ref="B15:B52" si="3">B14+1</f>
        <v>3</v>
      </c>
      <c r="C15" s="601" t="s">
        <v>1241</v>
      </c>
      <c r="D15" s="602" t="s">
        <v>1248</v>
      </c>
      <c r="E15" s="844" t="s">
        <v>548</v>
      </c>
      <c r="F15" s="845"/>
      <c r="G15" s="846">
        <v>98800</v>
      </c>
      <c r="H15" s="847">
        <f t="shared" si="0"/>
        <v>0.14318840579710146</v>
      </c>
      <c r="I15" s="502">
        <v>91230</v>
      </c>
      <c r="J15" s="502">
        <v>3260</v>
      </c>
      <c r="K15" s="112">
        <f t="shared" si="1"/>
        <v>4310</v>
      </c>
      <c r="L15" s="69">
        <f t="shared" si="2"/>
        <v>4.3623481781376518E-2</v>
      </c>
      <c r="M15" s="831"/>
      <c r="N15" s="848">
        <v>42736</v>
      </c>
      <c r="O15" s="143">
        <f ca="1">($G$1-N15)/30.33/12</f>
        <v>1.2281569403231125</v>
      </c>
      <c r="P15" s="248"/>
      <c r="Q15" s="4">
        <v>43830</v>
      </c>
      <c r="S15" s="849">
        <f ca="1">(X15-$G$1)/30.33</f>
        <v>21.332014507088694</v>
      </c>
      <c r="U15" s="850"/>
      <c r="V15" s="67"/>
      <c r="X15" s="309">
        <f>IF(OR(U15="",U15="N"),Q15,EDATE(Q15,V15))</f>
        <v>43830</v>
      </c>
      <c r="Z15" s="2" t="s">
        <v>551</v>
      </c>
      <c r="AB15" s="853" t="s">
        <v>1046</v>
      </c>
      <c r="AC15" s="854"/>
      <c r="AD15" s="855"/>
      <c r="AF15" s="34" t="s">
        <v>534</v>
      </c>
      <c r="AG15" s="34"/>
      <c r="AH15" s="856" t="s">
        <v>1047</v>
      </c>
      <c r="AI15" s="34" t="s">
        <v>1048</v>
      </c>
      <c r="AJ15" s="3"/>
      <c r="AK15" s="3"/>
      <c r="AL15" s="3"/>
      <c r="AM15" s="3"/>
      <c r="AN15" s="3"/>
      <c r="AO15" s="851"/>
      <c r="AP15" s="852"/>
      <c r="AQ15" s="851"/>
      <c r="AR15" s="842"/>
      <c r="AS15" s="688"/>
      <c r="AT15" s="689"/>
      <c r="AU15" s="692"/>
      <c r="AV15" s="689"/>
      <c r="AW15" s="690"/>
      <c r="AX15" s="688"/>
      <c r="AY15" s="689"/>
      <c r="AZ15" s="692"/>
      <c r="BA15" s="689"/>
      <c r="BB15" s="690"/>
      <c r="BC15" s="688"/>
      <c r="BD15" s="689"/>
      <c r="BE15" s="692"/>
      <c r="BF15" s="689"/>
      <c r="BG15" s="690"/>
      <c r="BH15" s="688"/>
      <c r="BI15" s="689"/>
      <c r="BJ15" s="692"/>
      <c r="BK15" s="689"/>
      <c r="BL15" s="690"/>
      <c r="BM15" s="688"/>
      <c r="BN15" s="689"/>
      <c r="BO15" s="692"/>
      <c r="BP15" s="689"/>
      <c r="BQ15" s="690"/>
      <c r="BR15" s="688"/>
      <c r="BS15" s="689"/>
      <c r="BT15" s="692"/>
      <c r="BU15" s="689"/>
      <c r="BV15" s="690"/>
      <c r="BW15" s="688"/>
      <c r="BX15" s="689"/>
      <c r="BY15" s="692"/>
      <c r="BZ15" s="689"/>
      <c r="CA15" s="690"/>
      <c r="CB15" s="688"/>
      <c r="CC15" s="689"/>
      <c r="CD15" s="692"/>
      <c r="CE15" s="689"/>
      <c r="CF15" s="690"/>
      <c r="CG15" s="688"/>
      <c r="CH15" s="689"/>
      <c r="CI15" s="692"/>
      <c r="CJ15" s="689"/>
      <c r="CK15" s="690"/>
      <c r="CL15" s="688"/>
      <c r="CM15" s="689"/>
      <c r="CN15" s="692"/>
      <c r="CO15" s="689"/>
      <c r="CP15" s="690"/>
      <c r="CQ15" s="688"/>
      <c r="CR15" s="689"/>
      <c r="CS15" s="692"/>
      <c r="CT15" s="689"/>
      <c r="CU15" s="690"/>
      <c r="CV15" s="688"/>
      <c r="CW15" s="689"/>
      <c r="CX15" s="692"/>
      <c r="CY15" s="689"/>
      <c r="CZ15" s="690"/>
      <c r="DA15" s="688"/>
      <c r="DB15" s="689"/>
      <c r="DC15" s="692"/>
      <c r="DD15" s="689"/>
      <c r="DE15" s="690"/>
      <c r="DF15" s="688"/>
      <c r="DG15" s="689"/>
      <c r="DH15" s="689"/>
      <c r="DI15" s="689"/>
      <c r="DJ15" s="690"/>
      <c r="DK15" s="688"/>
      <c r="DL15" s="689"/>
      <c r="DM15" s="689"/>
      <c r="DN15" s="689"/>
      <c r="DO15" s="690"/>
    </row>
    <row r="16" spans="1:119" s="14" customFormat="1" ht="18" customHeight="1" thickBot="1" x14ac:dyDescent="0.3">
      <c r="A16" s="36">
        <f t="shared" ref="A16:A52" si="4">A15+1</f>
        <v>4</v>
      </c>
      <c r="B16" s="36">
        <f t="shared" si="3"/>
        <v>4</v>
      </c>
      <c r="C16" s="601" t="s">
        <v>1242</v>
      </c>
      <c r="D16" s="602"/>
      <c r="E16" s="857" t="s">
        <v>521</v>
      </c>
      <c r="F16" s="858"/>
      <c r="G16" s="846">
        <v>33135</v>
      </c>
      <c r="H16" s="847">
        <f t="shared" si="0"/>
        <v>4.8021739130434782E-2</v>
      </c>
      <c r="I16" s="502">
        <v>25000</v>
      </c>
      <c r="J16" s="502">
        <v>3500</v>
      </c>
      <c r="K16" s="112">
        <f t="shared" si="1"/>
        <v>4635</v>
      </c>
      <c r="L16" s="69">
        <f t="shared" si="2"/>
        <v>0.13988229968311452</v>
      </c>
      <c r="M16" s="831"/>
      <c r="N16" s="848">
        <v>42522</v>
      </c>
      <c r="O16" s="143">
        <f t="shared" ref="O16:O52" ca="1" si="5">($G$1-N16)/30.33/12</f>
        <v>1.8161336410594571</v>
      </c>
      <c r="Q16" s="4">
        <v>43616</v>
      </c>
      <c r="S16" s="849">
        <f ca="1">(X16-$G$1)/30.33</f>
        <v>14.276294098252556</v>
      </c>
      <c r="U16" s="850" t="s">
        <v>592</v>
      </c>
      <c r="V16" s="67"/>
      <c r="X16" s="309">
        <f>IF(OR(U16="",U16="N"),Q16,EDATE(Q16,V16))</f>
        <v>43616</v>
      </c>
      <c r="Z16" s="2" t="s">
        <v>519</v>
      </c>
      <c r="AB16" s="853" t="s">
        <v>1049</v>
      </c>
      <c r="AC16" s="854"/>
      <c r="AD16" s="855"/>
      <c r="AF16" s="34" t="s">
        <v>536</v>
      </c>
      <c r="AG16" s="34"/>
      <c r="AH16" s="34" t="s">
        <v>1050</v>
      </c>
      <c r="AI16" s="34" t="s">
        <v>1051</v>
      </c>
      <c r="AJ16" s="3"/>
      <c r="AK16" s="3" t="s">
        <v>1052</v>
      </c>
      <c r="AL16" s="3" t="s">
        <v>1053</v>
      </c>
      <c r="AM16" s="3" t="s">
        <v>1054</v>
      </c>
      <c r="AN16" s="3"/>
      <c r="AO16" s="851"/>
      <c r="AP16" s="852"/>
      <c r="AQ16" s="851"/>
      <c r="AR16" s="842"/>
      <c r="AS16" s="688"/>
      <c r="AT16" s="689"/>
      <c r="AU16" s="692"/>
      <c r="AV16" s="689"/>
      <c r="AW16" s="690"/>
      <c r="AX16" s="688"/>
      <c r="AY16" s="689"/>
      <c r="AZ16" s="692"/>
      <c r="BA16" s="689"/>
      <c r="BB16" s="690"/>
      <c r="BC16" s="688" t="s">
        <v>57</v>
      </c>
      <c r="BD16" s="689"/>
      <c r="BE16" s="692" t="s">
        <v>482</v>
      </c>
      <c r="BF16" s="689" t="s">
        <v>483</v>
      </c>
      <c r="BG16" s="690" t="s">
        <v>481</v>
      </c>
      <c r="BH16" s="688"/>
      <c r="BI16" s="689"/>
      <c r="BJ16" s="692"/>
      <c r="BK16" s="689"/>
      <c r="BL16" s="690"/>
      <c r="BM16" s="688"/>
      <c r="BN16" s="689"/>
      <c r="BO16" s="692"/>
      <c r="BP16" s="689"/>
      <c r="BQ16" s="690"/>
      <c r="BR16" s="688"/>
      <c r="BS16" s="689"/>
      <c r="BT16" s="692"/>
      <c r="BU16" s="689"/>
      <c r="BV16" s="690"/>
      <c r="BW16" s="688"/>
      <c r="BX16" s="689"/>
      <c r="BY16" s="692"/>
      <c r="BZ16" s="689"/>
      <c r="CA16" s="690"/>
      <c r="CB16" s="688"/>
      <c r="CC16" s="689"/>
      <c r="CD16" s="692"/>
      <c r="CE16" s="689"/>
      <c r="CF16" s="690"/>
      <c r="CG16" s="688"/>
      <c r="CH16" s="689"/>
      <c r="CI16" s="692"/>
      <c r="CJ16" s="689"/>
      <c r="CK16" s="690"/>
      <c r="CL16" s="688"/>
      <c r="CM16" s="689"/>
      <c r="CN16" s="692"/>
      <c r="CO16" s="689"/>
      <c r="CP16" s="690"/>
      <c r="CQ16" s="688"/>
      <c r="CR16" s="689"/>
      <c r="CS16" s="692"/>
      <c r="CT16" s="689"/>
      <c r="CU16" s="690"/>
      <c r="CV16" s="688" t="s">
        <v>1055</v>
      </c>
      <c r="CW16" s="689"/>
      <c r="CX16" s="692">
        <v>42753</v>
      </c>
      <c r="CY16" s="689" t="s">
        <v>1056</v>
      </c>
      <c r="CZ16" s="690"/>
      <c r="DA16" s="688" t="s">
        <v>1057</v>
      </c>
      <c r="DB16" s="689"/>
      <c r="DC16" s="692">
        <v>42775</v>
      </c>
      <c r="DD16" s="689" t="s">
        <v>1058</v>
      </c>
      <c r="DE16" s="690" t="s">
        <v>1059</v>
      </c>
      <c r="DF16" s="688"/>
      <c r="DG16" s="689"/>
      <c r="DH16" s="689"/>
      <c r="DI16" s="689"/>
      <c r="DJ16" s="690"/>
      <c r="DK16" s="688"/>
      <c r="DL16" s="689"/>
      <c r="DM16" s="689"/>
      <c r="DN16" s="689"/>
      <c r="DO16" s="690"/>
    </row>
    <row r="17" spans="1:119" s="14" customFormat="1" ht="18" customHeight="1" x14ac:dyDescent="0.25">
      <c r="A17" s="36">
        <f t="shared" si="4"/>
        <v>5</v>
      </c>
      <c r="B17" s="36">
        <f t="shared" si="3"/>
        <v>5</v>
      </c>
      <c r="C17" s="601" t="s">
        <v>1243</v>
      </c>
      <c r="D17" s="602"/>
      <c r="E17" s="844" t="s">
        <v>548</v>
      </c>
      <c r="F17" s="845"/>
      <c r="G17" s="846">
        <v>30000</v>
      </c>
      <c r="H17" s="847">
        <f t="shared" si="0"/>
        <v>4.3478260869565216E-2</v>
      </c>
      <c r="I17" s="502">
        <v>20000</v>
      </c>
      <c r="J17" s="502">
        <v>1000</v>
      </c>
      <c r="K17" s="112">
        <f t="shared" si="1"/>
        <v>9000</v>
      </c>
      <c r="L17" s="69">
        <f t="shared" si="2"/>
        <v>0.3</v>
      </c>
      <c r="M17" s="831"/>
      <c r="N17" s="848">
        <v>43133</v>
      </c>
      <c r="O17" s="143">
        <f t="shared" ca="1" si="5"/>
        <v>0.13737773381690296</v>
      </c>
      <c r="Q17" s="4">
        <v>44255</v>
      </c>
      <c r="S17" s="849">
        <f ca="1">(X17-$G$1)/30.33</f>
        <v>35.344543356412792</v>
      </c>
      <c r="U17" s="850"/>
      <c r="V17" s="67"/>
      <c r="X17" s="309">
        <f>IF(OR(U17="",U17="N"),Q17,EDATE(Q17,V17))</f>
        <v>44255</v>
      </c>
      <c r="Z17" s="2" t="s">
        <v>135</v>
      </c>
      <c r="AB17" s="836" t="s">
        <v>1035</v>
      </c>
      <c r="AC17" s="860"/>
      <c r="AD17" s="861"/>
      <c r="AF17" s="34" t="s">
        <v>536</v>
      </c>
      <c r="AG17" s="34" t="s">
        <v>974</v>
      </c>
      <c r="AH17" s="34" t="s">
        <v>833</v>
      </c>
      <c r="AI17" s="34" t="s">
        <v>1042</v>
      </c>
      <c r="AJ17" s="3" t="s">
        <v>536</v>
      </c>
      <c r="AK17" s="3" t="s">
        <v>1060</v>
      </c>
      <c r="AL17" s="3" t="s">
        <v>1061</v>
      </c>
      <c r="AM17" s="3" t="s">
        <v>1062</v>
      </c>
      <c r="AN17" s="3"/>
      <c r="AO17" s="34"/>
      <c r="AP17" s="2"/>
      <c r="AQ17" s="34"/>
      <c r="AR17" s="862"/>
      <c r="AS17" s="668"/>
      <c r="AT17" s="669"/>
      <c r="AU17" s="672"/>
      <c r="AV17" s="669"/>
      <c r="AW17" s="670"/>
      <c r="AX17" s="668"/>
      <c r="AY17" s="669"/>
      <c r="AZ17" s="672"/>
      <c r="BA17" s="669"/>
      <c r="BB17" s="670"/>
      <c r="BC17" s="668"/>
      <c r="BD17" s="669"/>
      <c r="BE17" s="672"/>
      <c r="BF17" s="669"/>
      <c r="BG17" s="670"/>
      <c r="BH17" s="668"/>
      <c r="BI17" s="669"/>
      <c r="BJ17" s="672"/>
      <c r="BK17" s="669"/>
      <c r="BL17" s="670"/>
      <c r="BM17" s="668"/>
      <c r="BN17" s="669"/>
      <c r="BO17" s="672"/>
      <c r="BP17" s="669"/>
      <c r="BQ17" s="670"/>
      <c r="BR17" s="668"/>
      <c r="BS17" s="669"/>
      <c r="BT17" s="672"/>
      <c r="BU17" s="669"/>
      <c r="BV17" s="670"/>
      <c r="BW17" s="668"/>
      <c r="BX17" s="669"/>
      <c r="BY17" s="672"/>
      <c r="BZ17" s="669"/>
      <c r="CA17" s="670"/>
      <c r="CB17" s="668"/>
      <c r="CC17" s="669"/>
      <c r="CD17" s="672"/>
      <c r="CE17" s="669"/>
      <c r="CF17" s="670"/>
      <c r="CG17" s="668"/>
      <c r="CH17" s="669"/>
      <c r="CI17" s="672"/>
      <c r="CJ17" s="669"/>
      <c r="CK17" s="670"/>
      <c r="CL17" s="668"/>
      <c r="CM17" s="669"/>
      <c r="CN17" s="672"/>
      <c r="CO17" s="669"/>
      <c r="CP17" s="670"/>
      <c r="CQ17" s="668"/>
      <c r="CR17" s="669"/>
      <c r="CS17" s="672"/>
      <c r="CT17" s="669"/>
      <c r="CU17" s="670"/>
      <c r="CV17" s="668"/>
      <c r="CW17" s="669"/>
      <c r="CX17" s="672"/>
      <c r="CY17" s="669"/>
      <c r="CZ17" s="670"/>
      <c r="DA17" s="668"/>
      <c r="DB17" s="669"/>
      <c r="DC17" s="672"/>
      <c r="DD17" s="669"/>
      <c r="DE17" s="670"/>
      <c r="DF17" s="668"/>
      <c r="DG17" s="669"/>
      <c r="DH17" s="669"/>
      <c r="DI17" s="669"/>
      <c r="DJ17" s="670"/>
      <c r="DK17" s="668"/>
      <c r="DL17" s="669"/>
      <c r="DM17" s="669"/>
      <c r="DN17" s="669"/>
      <c r="DO17" s="670"/>
    </row>
    <row r="18" spans="1:119" s="14" customFormat="1" ht="18" customHeight="1" x14ac:dyDescent="0.25">
      <c r="A18" s="36">
        <f t="shared" si="4"/>
        <v>6</v>
      </c>
      <c r="B18" s="36">
        <f t="shared" si="3"/>
        <v>6</v>
      </c>
      <c r="C18" s="636" t="s">
        <v>1244</v>
      </c>
      <c r="D18" s="637"/>
      <c r="E18" s="844" t="s">
        <v>580</v>
      </c>
      <c r="F18" s="845"/>
      <c r="G18" s="846">
        <v>26239</v>
      </c>
      <c r="H18" s="847">
        <f t="shared" si="0"/>
        <v>3.8027536231884061E-2</v>
      </c>
      <c r="I18" s="502">
        <v>19284.5</v>
      </c>
      <c r="J18" s="502">
        <v>1194.7</v>
      </c>
      <c r="K18" s="112">
        <f t="shared" si="1"/>
        <v>5759.8</v>
      </c>
      <c r="L18" s="69">
        <f t="shared" si="2"/>
        <v>0.21951293875528793</v>
      </c>
      <c r="M18" s="831"/>
      <c r="N18" s="848">
        <v>36312</v>
      </c>
      <c r="O18" s="143">
        <f t="shared" ca="1" si="5"/>
        <v>18.878448181118806</v>
      </c>
      <c r="Q18" s="4">
        <v>42855</v>
      </c>
      <c r="S18" s="849">
        <f t="shared" ref="S18:S23" ca="1" si="6">(X18-$G$1)/30.33</f>
        <v>1.2199142762940984</v>
      </c>
      <c r="U18" s="850" t="s">
        <v>591</v>
      </c>
      <c r="V18" s="67">
        <v>12</v>
      </c>
      <c r="X18" s="309">
        <f t="shared" ref="X18:X24" si="7">IF(OR(U18="",U18="N"),Q18,EDATE(Q18,V18))</f>
        <v>43220</v>
      </c>
      <c r="Z18" s="2" t="s">
        <v>519</v>
      </c>
      <c r="AB18" s="853" t="s">
        <v>1063</v>
      </c>
      <c r="AC18" s="854"/>
      <c r="AD18" s="855"/>
      <c r="AF18" s="34" t="s">
        <v>534</v>
      </c>
      <c r="AG18" s="34" t="s">
        <v>1064</v>
      </c>
      <c r="AH18" s="34" t="s">
        <v>1065</v>
      </c>
      <c r="AI18" s="863" t="s">
        <v>58</v>
      </c>
      <c r="AJ18" s="3"/>
      <c r="AK18" s="3"/>
      <c r="AL18" s="3"/>
      <c r="AM18" s="3"/>
      <c r="AN18" s="3"/>
      <c r="AO18" s="851"/>
      <c r="AP18" s="852"/>
      <c r="AQ18" s="851"/>
      <c r="AR18" s="842"/>
      <c r="AS18" s="688"/>
      <c r="AT18" s="689"/>
      <c r="AU18" s="692"/>
      <c r="AV18" s="689"/>
      <c r="AW18" s="690"/>
      <c r="AX18" s="688"/>
      <c r="AY18" s="689"/>
      <c r="AZ18" s="692"/>
      <c r="BA18" s="689"/>
      <c r="BB18" s="690"/>
      <c r="BC18" s="688"/>
      <c r="BD18" s="689"/>
      <c r="BE18" s="692"/>
      <c r="BF18" s="689"/>
      <c r="BG18" s="690"/>
      <c r="BH18" s="688"/>
      <c r="BI18" s="689"/>
      <c r="BJ18" s="692"/>
      <c r="BK18" s="689"/>
      <c r="BL18" s="690"/>
      <c r="BM18" s="688"/>
      <c r="BN18" s="689"/>
      <c r="BO18" s="692"/>
      <c r="BP18" s="689"/>
      <c r="BQ18" s="690"/>
      <c r="BR18" s="688"/>
      <c r="BS18" s="689"/>
      <c r="BT18" s="692"/>
      <c r="BU18" s="689"/>
      <c r="BV18" s="690"/>
      <c r="BW18" s="688"/>
      <c r="BX18" s="689"/>
      <c r="BY18" s="692"/>
      <c r="BZ18" s="689"/>
      <c r="CA18" s="690"/>
      <c r="CB18" s="688"/>
      <c r="CC18" s="689"/>
      <c r="CD18" s="692"/>
      <c r="CE18" s="689"/>
      <c r="CF18" s="690"/>
      <c r="CG18" s="688"/>
      <c r="CH18" s="689"/>
      <c r="CI18" s="692"/>
      <c r="CJ18" s="689"/>
      <c r="CK18" s="690"/>
      <c r="CL18" s="688"/>
      <c r="CM18" s="689"/>
      <c r="CN18" s="692"/>
      <c r="CO18" s="689"/>
      <c r="CP18" s="690"/>
      <c r="CQ18" s="688"/>
      <c r="CR18" s="689"/>
      <c r="CS18" s="692"/>
      <c r="CT18" s="689"/>
      <c r="CU18" s="690"/>
      <c r="CV18" s="688"/>
      <c r="CW18" s="689"/>
      <c r="CX18" s="692"/>
      <c r="CY18" s="689"/>
      <c r="CZ18" s="690"/>
      <c r="DA18" s="688"/>
      <c r="DB18" s="689"/>
      <c r="DC18" s="692"/>
      <c r="DD18" s="689"/>
      <c r="DE18" s="690"/>
      <c r="DF18" s="688"/>
      <c r="DG18" s="689"/>
      <c r="DH18" s="689"/>
      <c r="DI18" s="689"/>
      <c r="DJ18" s="690"/>
      <c r="DK18" s="688"/>
      <c r="DL18" s="689"/>
      <c r="DM18" s="689"/>
      <c r="DN18" s="689"/>
      <c r="DO18" s="690"/>
    </row>
    <row r="19" spans="1:119" s="14" customFormat="1" ht="18" customHeight="1" x14ac:dyDescent="0.25">
      <c r="A19" s="36">
        <f t="shared" si="4"/>
        <v>7</v>
      </c>
      <c r="B19" s="36">
        <f t="shared" si="3"/>
        <v>7</v>
      </c>
      <c r="C19" s="636" t="s">
        <v>1245</v>
      </c>
      <c r="D19" s="637"/>
      <c r="E19" s="857" t="s">
        <v>580</v>
      </c>
      <c r="F19" s="858"/>
      <c r="G19" s="502">
        <v>21324</v>
      </c>
      <c r="H19" s="847">
        <f t="shared" si="0"/>
        <v>3.0904347826086958E-2</v>
      </c>
      <c r="I19" s="502">
        <v>12458.1</v>
      </c>
      <c r="J19" s="502">
        <v>4111.3999999999996</v>
      </c>
      <c r="K19" s="112">
        <f t="shared" si="1"/>
        <v>4754.5</v>
      </c>
      <c r="L19" s="69">
        <f t="shared" si="2"/>
        <v>0.22296473457137497</v>
      </c>
      <c r="M19" s="831"/>
      <c r="N19" s="931">
        <v>42675</v>
      </c>
      <c r="O19" s="143">
        <f t="shared" ca="1" si="5"/>
        <v>1.3957577755797341</v>
      </c>
      <c r="Q19" s="932">
        <v>43768</v>
      </c>
      <c r="S19" s="849">
        <f t="shared" ca="1" si="6"/>
        <v>19.287833827893177</v>
      </c>
      <c r="U19" s="866"/>
      <c r="V19" s="67"/>
      <c r="X19" s="309">
        <f t="shared" si="7"/>
        <v>43768</v>
      </c>
      <c r="Z19" s="866" t="s">
        <v>519</v>
      </c>
      <c r="AB19" s="853" t="s">
        <v>1063</v>
      </c>
      <c r="AC19" s="854"/>
      <c r="AD19" s="855"/>
      <c r="AF19" s="863" t="s">
        <v>536</v>
      </c>
      <c r="AG19" s="34"/>
      <c r="AH19" s="863" t="s">
        <v>1066</v>
      </c>
      <c r="AI19" s="863" t="s">
        <v>1067</v>
      </c>
      <c r="AJ19" s="866"/>
      <c r="AK19" s="866"/>
      <c r="AL19" s="866"/>
      <c r="AM19" s="866"/>
      <c r="AN19" s="866"/>
      <c r="AO19" s="851"/>
      <c r="AP19" s="852"/>
      <c r="AQ19" s="851"/>
      <c r="AR19" s="842"/>
      <c r="AS19" s="668"/>
      <c r="AT19" s="669"/>
      <c r="AU19" s="672"/>
      <c r="AV19" s="669"/>
      <c r="AW19" s="670"/>
      <c r="AX19" s="668"/>
      <c r="AY19" s="669"/>
      <c r="AZ19" s="672"/>
      <c r="BA19" s="669"/>
      <c r="BB19" s="670"/>
      <c r="BC19" s="668"/>
      <c r="BD19" s="669"/>
      <c r="BE19" s="672"/>
      <c r="BF19" s="669"/>
      <c r="BG19" s="670"/>
      <c r="BH19" s="668"/>
      <c r="BI19" s="669"/>
      <c r="BJ19" s="672"/>
      <c r="BK19" s="669"/>
      <c r="BL19" s="670"/>
      <c r="BM19" s="668"/>
      <c r="BN19" s="669"/>
      <c r="BO19" s="672"/>
      <c r="BP19" s="669"/>
      <c r="BQ19" s="670"/>
      <c r="BR19" s="668"/>
      <c r="BS19" s="669"/>
      <c r="BT19" s="672"/>
      <c r="BU19" s="669"/>
      <c r="BV19" s="670"/>
      <c r="BW19" s="668"/>
      <c r="BX19" s="669"/>
      <c r="BY19" s="672"/>
      <c r="BZ19" s="669"/>
      <c r="CA19" s="670"/>
      <c r="CB19" s="668"/>
      <c r="CC19" s="669"/>
      <c r="CD19" s="672"/>
      <c r="CE19" s="669"/>
      <c r="CF19" s="670"/>
      <c r="CG19" s="668"/>
      <c r="CH19" s="669"/>
      <c r="CI19" s="672"/>
      <c r="CJ19" s="669"/>
      <c r="CK19" s="670"/>
      <c r="CL19" s="668"/>
      <c r="CM19" s="669"/>
      <c r="CN19" s="672"/>
      <c r="CO19" s="669"/>
      <c r="CP19" s="670"/>
      <c r="CQ19" s="668"/>
      <c r="CR19" s="669"/>
      <c r="CS19" s="672"/>
      <c r="CT19" s="669"/>
      <c r="CU19" s="670"/>
      <c r="CV19" s="668"/>
      <c r="CW19" s="669"/>
      <c r="CX19" s="672"/>
      <c r="CY19" s="669"/>
      <c r="CZ19" s="670"/>
      <c r="DA19" s="668"/>
      <c r="DB19" s="669"/>
      <c r="DC19" s="672"/>
      <c r="DD19" s="669"/>
      <c r="DE19" s="670"/>
      <c r="DF19" s="668"/>
      <c r="DG19" s="669"/>
      <c r="DH19" s="669"/>
      <c r="DI19" s="669"/>
      <c r="DJ19" s="670"/>
      <c r="DK19" s="668"/>
      <c r="DL19" s="669"/>
      <c r="DM19" s="669"/>
      <c r="DN19" s="669"/>
      <c r="DO19" s="670"/>
    </row>
    <row r="20" spans="1:119" s="14" customFormat="1" ht="18" customHeight="1" x14ac:dyDescent="0.25">
      <c r="A20" s="36">
        <f t="shared" si="4"/>
        <v>8</v>
      </c>
      <c r="B20" s="36">
        <f t="shared" si="3"/>
        <v>8</v>
      </c>
      <c r="C20" s="636" t="s">
        <v>1249</v>
      </c>
      <c r="D20" s="637"/>
      <c r="E20" s="857" t="s">
        <v>521</v>
      </c>
      <c r="F20" s="858"/>
      <c r="G20" s="502">
        <v>19090</v>
      </c>
      <c r="H20" s="847">
        <f t="shared" si="0"/>
        <v>2.7666666666666666E-2</v>
      </c>
      <c r="I20" s="502">
        <v>13228</v>
      </c>
      <c r="J20" s="502">
        <v>1700.5</v>
      </c>
      <c r="K20" s="112">
        <f t="shared" si="1"/>
        <v>4161.5</v>
      </c>
      <c r="L20" s="69">
        <f t="shared" si="2"/>
        <v>0.21799371398638032</v>
      </c>
      <c r="M20" s="831"/>
      <c r="N20" s="848">
        <v>42278</v>
      </c>
      <c r="O20" s="143">
        <f t="shared" ca="1" si="5"/>
        <v>2.4865369820859438</v>
      </c>
      <c r="Q20" s="4">
        <v>43281</v>
      </c>
      <c r="S20" s="849">
        <f t="shared" ca="1" si="6"/>
        <v>3.2311242993735578</v>
      </c>
      <c r="U20" s="850" t="s">
        <v>592</v>
      </c>
      <c r="V20" s="67"/>
      <c r="X20" s="309">
        <f t="shared" si="7"/>
        <v>43281</v>
      </c>
      <c r="Z20" s="2" t="s">
        <v>551</v>
      </c>
      <c r="AB20" s="853" t="s">
        <v>1068</v>
      </c>
      <c r="AC20" s="854"/>
      <c r="AD20" s="855"/>
      <c r="AF20" s="34" t="s">
        <v>536</v>
      </c>
      <c r="AG20" s="34"/>
      <c r="AH20" s="34" t="s">
        <v>1069</v>
      </c>
      <c r="AI20" s="34"/>
      <c r="AJ20" s="3"/>
      <c r="AK20" s="3"/>
      <c r="AL20" s="3"/>
      <c r="AM20" s="3"/>
      <c r="AN20" s="3"/>
      <c r="AO20" s="34"/>
      <c r="AP20" s="2"/>
      <c r="AQ20" s="34"/>
      <c r="AR20" s="862"/>
      <c r="AS20" s="668"/>
      <c r="AT20" s="669"/>
      <c r="AU20" s="672"/>
      <c r="AV20" s="669"/>
      <c r="AW20" s="670"/>
      <c r="AX20" s="668"/>
      <c r="AY20" s="669"/>
      <c r="AZ20" s="672"/>
      <c r="BA20" s="669"/>
      <c r="BB20" s="670"/>
      <c r="BC20" s="668"/>
      <c r="BD20" s="669"/>
      <c r="BE20" s="672"/>
      <c r="BF20" s="669"/>
      <c r="BG20" s="670"/>
      <c r="BH20" s="668"/>
      <c r="BI20" s="669"/>
      <c r="BJ20" s="672"/>
      <c r="BK20" s="669"/>
      <c r="BL20" s="670"/>
      <c r="BM20" s="668"/>
      <c r="BN20" s="669"/>
      <c r="BO20" s="672"/>
      <c r="BP20" s="669"/>
      <c r="BQ20" s="670"/>
      <c r="BR20" s="668"/>
      <c r="BS20" s="669"/>
      <c r="BT20" s="672"/>
      <c r="BU20" s="669"/>
      <c r="BV20" s="670"/>
      <c r="BW20" s="668"/>
      <c r="BX20" s="669"/>
      <c r="BY20" s="672"/>
      <c r="BZ20" s="669"/>
      <c r="CA20" s="670"/>
      <c r="CB20" s="668"/>
      <c r="CC20" s="669"/>
      <c r="CD20" s="672"/>
      <c r="CE20" s="669"/>
      <c r="CF20" s="670"/>
      <c r="CG20" s="668"/>
      <c r="CH20" s="669"/>
      <c r="CI20" s="672"/>
      <c r="CJ20" s="669"/>
      <c r="CK20" s="670"/>
      <c r="CL20" s="668"/>
      <c r="CM20" s="669"/>
      <c r="CN20" s="672"/>
      <c r="CO20" s="669"/>
      <c r="CP20" s="670"/>
      <c r="CQ20" s="668"/>
      <c r="CR20" s="669"/>
      <c r="CS20" s="672"/>
      <c r="CT20" s="669"/>
      <c r="CU20" s="670"/>
      <c r="CV20" s="668"/>
      <c r="CW20" s="669"/>
      <c r="CX20" s="672"/>
      <c r="CY20" s="669"/>
      <c r="CZ20" s="670"/>
      <c r="DA20" s="668"/>
      <c r="DB20" s="669"/>
      <c r="DC20" s="672"/>
      <c r="DD20" s="669"/>
      <c r="DE20" s="670"/>
      <c r="DF20" s="668"/>
      <c r="DG20" s="669"/>
      <c r="DH20" s="669"/>
      <c r="DI20" s="669"/>
      <c r="DJ20" s="670"/>
      <c r="DK20" s="668"/>
      <c r="DL20" s="669"/>
      <c r="DM20" s="669"/>
      <c r="DN20" s="669"/>
      <c r="DO20" s="670"/>
    </row>
    <row r="21" spans="1:119" s="14" customFormat="1" ht="18" customHeight="1" x14ac:dyDescent="0.25">
      <c r="A21" s="36">
        <f t="shared" si="4"/>
        <v>9</v>
      </c>
      <c r="B21" s="36">
        <f t="shared" si="3"/>
        <v>9</v>
      </c>
      <c r="C21" s="636" t="s">
        <v>1250</v>
      </c>
      <c r="D21" s="637"/>
      <c r="E21" s="857" t="s">
        <v>580</v>
      </c>
      <c r="F21" s="858"/>
      <c r="G21" s="502">
        <v>16881</v>
      </c>
      <c r="H21" s="847">
        <f t="shared" si="0"/>
        <v>2.4465217391304347E-2</v>
      </c>
      <c r="I21" s="502">
        <v>5768.4</v>
      </c>
      <c r="J21" s="502">
        <v>1818.2</v>
      </c>
      <c r="K21" s="112">
        <f t="shared" si="1"/>
        <v>9294.4</v>
      </c>
      <c r="L21" s="69">
        <f t="shared" si="2"/>
        <v>0.55058349623837444</v>
      </c>
      <c r="M21" s="831"/>
      <c r="N21" s="848">
        <v>41275</v>
      </c>
      <c r="O21" s="143">
        <f t="shared" ca="1" si="5"/>
        <v>5.2423343224530177</v>
      </c>
      <c r="Q21" s="865">
        <v>43465</v>
      </c>
      <c r="S21" s="849">
        <f t="shared" ca="1" si="6"/>
        <v>9.2977250247279919</v>
      </c>
      <c r="U21" s="866" t="s">
        <v>592</v>
      </c>
      <c r="V21" s="67"/>
      <c r="X21" s="309">
        <f t="shared" si="7"/>
        <v>43465</v>
      </c>
      <c r="Z21" s="866" t="s">
        <v>519</v>
      </c>
      <c r="AB21" s="853" t="s">
        <v>1070</v>
      </c>
      <c r="AC21" s="854"/>
      <c r="AD21" s="855"/>
      <c r="AF21" s="863" t="s">
        <v>536</v>
      </c>
      <c r="AG21" s="34" t="s">
        <v>1071</v>
      </c>
      <c r="AH21" s="863" t="s">
        <v>1072</v>
      </c>
      <c r="AI21" s="863" t="s">
        <v>58</v>
      </c>
      <c r="AJ21" s="866"/>
      <c r="AK21" s="866"/>
      <c r="AL21" s="866"/>
      <c r="AM21" s="866"/>
      <c r="AN21" s="866"/>
      <c r="AO21" s="851"/>
      <c r="AP21" s="852"/>
      <c r="AQ21" s="851"/>
      <c r="AR21" s="842"/>
      <c r="AS21" s="655"/>
      <c r="AT21" s="656"/>
      <c r="AU21" s="659"/>
      <c r="AV21" s="656"/>
      <c r="AW21" s="657"/>
      <c r="AX21" s="655" t="s">
        <v>476</v>
      </c>
      <c r="AY21" s="656"/>
      <c r="AZ21" s="659" t="s">
        <v>93</v>
      </c>
      <c r="BA21" s="656" t="s">
        <v>478</v>
      </c>
      <c r="BB21" s="657" t="s">
        <v>479</v>
      </c>
      <c r="BC21" s="655" t="s">
        <v>476</v>
      </c>
      <c r="BD21" s="656"/>
      <c r="BE21" s="659" t="s">
        <v>266</v>
      </c>
      <c r="BF21" s="656" t="s">
        <v>478</v>
      </c>
      <c r="BG21" s="657" t="s">
        <v>479</v>
      </c>
      <c r="BH21" s="655" t="s">
        <v>476</v>
      </c>
      <c r="BI21" s="656"/>
      <c r="BJ21" s="659" t="s">
        <v>69</v>
      </c>
      <c r="BK21" s="656" t="s">
        <v>478</v>
      </c>
      <c r="BL21" s="657" t="s">
        <v>479</v>
      </c>
      <c r="BM21" s="655"/>
      <c r="BN21" s="656"/>
      <c r="BO21" s="659"/>
      <c r="BP21" s="656"/>
      <c r="BQ21" s="657"/>
      <c r="BR21" s="655" t="s">
        <v>476</v>
      </c>
      <c r="BS21" s="656"/>
      <c r="BT21" s="659" t="s">
        <v>64</v>
      </c>
      <c r="BU21" s="656" t="s">
        <v>478</v>
      </c>
      <c r="BV21" s="657" t="s">
        <v>479</v>
      </c>
      <c r="BW21" s="655"/>
      <c r="BX21" s="656"/>
      <c r="BY21" s="659"/>
      <c r="BZ21" s="656"/>
      <c r="CA21" s="657"/>
      <c r="CB21" s="655"/>
      <c r="CC21" s="656"/>
      <c r="CD21" s="659"/>
      <c r="CE21" s="656"/>
      <c r="CF21" s="657"/>
      <c r="CG21" s="655"/>
      <c r="CH21" s="656"/>
      <c r="CI21" s="659"/>
      <c r="CJ21" s="656"/>
      <c r="CK21" s="657"/>
      <c r="CL21" s="655"/>
      <c r="CM21" s="656"/>
      <c r="CN21" s="659"/>
      <c r="CO21" s="656"/>
      <c r="CP21" s="657"/>
      <c r="CQ21" s="655"/>
      <c r="CR21" s="656"/>
      <c r="CS21" s="659"/>
      <c r="CT21" s="656"/>
      <c r="CU21" s="657"/>
      <c r="CV21" s="655"/>
      <c r="CW21" s="656"/>
      <c r="CX21" s="659"/>
      <c r="CY21" s="656"/>
      <c r="CZ21" s="657"/>
      <c r="DA21" s="655"/>
      <c r="DB21" s="656"/>
      <c r="DC21" s="659"/>
      <c r="DD21" s="656"/>
      <c r="DE21" s="657"/>
      <c r="DF21" s="655"/>
      <c r="DG21" s="656"/>
      <c r="DH21" s="659"/>
      <c r="DI21" s="656"/>
      <c r="DJ21" s="657"/>
      <c r="DK21" s="655"/>
      <c r="DL21" s="656"/>
      <c r="DM21" s="659"/>
      <c r="DN21" s="656"/>
      <c r="DO21" s="657"/>
    </row>
    <row r="22" spans="1:119" s="14" customFormat="1" ht="18" customHeight="1" x14ac:dyDescent="0.25">
      <c r="A22" s="36">
        <f t="shared" si="4"/>
        <v>10</v>
      </c>
      <c r="B22" s="36">
        <f t="shared" si="3"/>
        <v>10</v>
      </c>
      <c r="C22" s="664" t="s">
        <v>1251</v>
      </c>
      <c r="D22" s="665"/>
      <c r="E22" s="844" t="s">
        <v>580</v>
      </c>
      <c r="F22" s="845"/>
      <c r="G22" s="846">
        <v>15300</v>
      </c>
      <c r="H22" s="847">
        <f t="shared" si="0"/>
        <v>2.2173913043478259E-2</v>
      </c>
      <c r="I22" s="502">
        <v>12600</v>
      </c>
      <c r="J22" s="502">
        <v>1000</v>
      </c>
      <c r="K22" s="112">
        <f t="shared" si="1"/>
        <v>1700</v>
      </c>
      <c r="L22" s="69">
        <f t="shared" si="2"/>
        <v>0.1111111111111111</v>
      </c>
      <c r="M22" s="831"/>
      <c r="N22" s="848">
        <v>41821</v>
      </c>
      <c r="O22" s="143">
        <f t="shared" ca="1" si="5"/>
        <v>3.7421694691724365</v>
      </c>
      <c r="Q22" s="4">
        <v>43100</v>
      </c>
      <c r="S22" s="849">
        <f t="shared" ca="1" si="6"/>
        <v>9.2977250247279919</v>
      </c>
      <c r="U22" s="850" t="s">
        <v>591</v>
      </c>
      <c r="V22" s="67">
        <v>12</v>
      </c>
      <c r="X22" s="309">
        <f t="shared" si="7"/>
        <v>43465</v>
      </c>
      <c r="Z22" s="2" t="s">
        <v>519</v>
      </c>
      <c r="AB22" s="853" t="s">
        <v>1070</v>
      </c>
      <c r="AC22" s="854"/>
      <c r="AD22" s="855"/>
      <c r="AF22" s="34" t="s">
        <v>536</v>
      </c>
      <c r="AG22" s="34"/>
      <c r="AH22" s="34" t="s">
        <v>1075</v>
      </c>
      <c r="AI22" s="863" t="s">
        <v>58</v>
      </c>
      <c r="AJ22" s="3"/>
      <c r="AK22" s="3"/>
      <c r="AL22" s="3"/>
      <c r="AM22" s="3"/>
      <c r="AN22" s="3"/>
      <c r="AO22" s="851"/>
      <c r="AP22" s="852"/>
      <c r="AQ22" s="851"/>
      <c r="AR22" s="862"/>
      <c r="AS22" s="655"/>
      <c r="AT22" s="656"/>
      <c r="AU22" s="659"/>
      <c r="AV22" s="656"/>
      <c r="AW22" s="657"/>
      <c r="AX22" s="655"/>
      <c r="AY22" s="656"/>
      <c r="AZ22" s="659"/>
      <c r="BA22" s="656"/>
      <c r="BB22" s="657"/>
      <c r="BC22" s="655"/>
      <c r="BD22" s="656"/>
      <c r="BE22" s="659"/>
      <c r="BF22" s="656"/>
      <c r="BG22" s="657"/>
      <c r="BH22" s="655"/>
      <c r="BI22" s="656"/>
      <c r="BJ22" s="659"/>
      <c r="BK22" s="656"/>
      <c r="BL22" s="657"/>
      <c r="BM22" s="655"/>
      <c r="BN22" s="656"/>
      <c r="BO22" s="659"/>
      <c r="BP22" s="656"/>
      <c r="BQ22" s="657"/>
      <c r="BR22" s="655"/>
      <c r="BS22" s="656"/>
      <c r="BT22" s="659"/>
      <c r="BU22" s="656"/>
      <c r="BV22" s="657"/>
      <c r="BW22" s="655"/>
      <c r="BX22" s="656"/>
      <c r="BY22" s="659"/>
      <c r="BZ22" s="656"/>
      <c r="CA22" s="657"/>
      <c r="CB22" s="655"/>
      <c r="CC22" s="656"/>
      <c r="CD22" s="659"/>
      <c r="CE22" s="656"/>
      <c r="CF22" s="657"/>
      <c r="CG22" s="655"/>
      <c r="CH22" s="656"/>
      <c r="CI22" s="659"/>
      <c r="CJ22" s="656"/>
      <c r="CK22" s="657"/>
      <c r="CL22" s="655"/>
      <c r="CM22" s="656"/>
      <c r="CN22" s="659"/>
      <c r="CO22" s="656"/>
      <c r="CP22" s="657"/>
      <c r="CQ22" s="655"/>
      <c r="CR22" s="656"/>
      <c r="CS22" s="659"/>
      <c r="CT22" s="656"/>
      <c r="CU22" s="657"/>
      <c r="CV22" s="655"/>
      <c r="CW22" s="656"/>
      <c r="CX22" s="659"/>
      <c r="CY22" s="656"/>
      <c r="CZ22" s="657"/>
      <c r="DA22" s="655"/>
      <c r="DB22" s="656"/>
      <c r="DC22" s="659"/>
      <c r="DD22" s="656"/>
      <c r="DE22" s="657"/>
      <c r="DF22" s="655"/>
      <c r="DG22" s="656"/>
      <c r="DH22" s="656"/>
      <c r="DI22" s="656"/>
      <c r="DJ22" s="657"/>
      <c r="DK22" s="655"/>
      <c r="DL22" s="656"/>
      <c r="DM22" s="656"/>
      <c r="DN22" s="656"/>
      <c r="DO22" s="657"/>
    </row>
    <row r="23" spans="1:119" s="14" customFormat="1" ht="18" customHeight="1" x14ac:dyDescent="0.25">
      <c r="A23" s="36">
        <f t="shared" si="4"/>
        <v>11</v>
      </c>
      <c r="B23" s="36">
        <f t="shared" si="3"/>
        <v>11</v>
      </c>
      <c r="C23" s="675" t="s">
        <v>1252</v>
      </c>
      <c r="D23" s="676"/>
      <c r="E23" s="857" t="s">
        <v>580</v>
      </c>
      <c r="F23" s="858"/>
      <c r="G23" s="502">
        <v>13170</v>
      </c>
      <c r="H23" s="847">
        <f t="shared" si="0"/>
        <v>1.908695652173913E-2</v>
      </c>
      <c r="I23" s="502">
        <v>6834.8</v>
      </c>
      <c r="J23" s="502">
        <v>3007.2</v>
      </c>
      <c r="K23" s="112">
        <f t="shared" si="1"/>
        <v>3328</v>
      </c>
      <c r="L23" s="69">
        <f t="shared" si="2"/>
        <v>0.25269552012148822</v>
      </c>
      <c r="M23" s="831"/>
      <c r="N23" s="848">
        <v>35801</v>
      </c>
      <c r="O23" s="143">
        <f t="shared" ca="1" si="5"/>
        <v>20.282448620727553</v>
      </c>
      <c r="Q23" s="865">
        <v>43554</v>
      </c>
      <c r="S23" s="849">
        <f t="shared" ca="1" si="6"/>
        <v>12.23211341905704</v>
      </c>
      <c r="U23" s="866" t="s">
        <v>592</v>
      </c>
      <c r="V23" s="67"/>
      <c r="X23" s="309">
        <f t="shared" si="7"/>
        <v>43554</v>
      </c>
      <c r="Z23" s="866" t="s">
        <v>135</v>
      </c>
      <c r="AB23" s="853" t="s">
        <v>1070</v>
      </c>
      <c r="AC23" s="854"/>
      <c r="AD23" s="855"/>
      <c r="AF23" s="863" t="s">
        <v>536</v>
      </c>
      <c r="AG23" s="34" t="s">
        <v>1073</v>
      </c>
      <c r="AH23" s="863" t="s">
        <v>1074</v>
      </c>
      <c r="AI23" s="863" t="s">
        <v>58</v>
      </c>
      <c r="AJ23" s="866"/>
      <c r="AK23" s="866"/>
      <c r="AL23" s="866"/>
      <c r="AM23" s="866"/>
      <c r="AN23" s="866"/>
      <c r="AO23" s="34"/>
      <c r="AP23" s="2"/>
      <c r="AQ23" s="34"/>
      <c r="AR23" s="842"/>
      <c r="AS23" s="655"/>
      <c r="AT23" s="656"/>
      <c r="AU23" s="659"/>
      <c r="AV23" s="656"/>
      <c r="AW23" s="657"/>
      <c r="AX23" s="655"/>
      <c r="AY23" s="656"/>
      <c r="AZ23" s="659"/>
      <c r="BA23" s="656"/>
      <c r="BB23" s="657"/>
      <c r="BC23" s="655" t="s">
        <v>476</v>
      </c>
      <c r="BD23" s="656"/>
      <c r="BE23" s="659" t="s">
        <v>274</v>
      </c>
      <c r="BF23" s="656" t="s">
        <v>480</v>
      </c>
      <c r="BG23" s="657"/>
      <c r="BH23" s="655"/>
      <c r="BI23" s="656"/>
      <c r="BJ23" s="659"/>
      <c r="BK23" s="656"/>
      <c r="BL23" s="657"/>
      <c r="BM23" s="655"/>
      <c r="BN23" s="656"/>
      <c r="BO23" s="659"/>
      <c r="BP23" s="656"/>
      <c r="BQ23" s="657"/>
      <c r="BR23" s="655"/>
      <c r="BS23" s="656"/>
      <c r="BT23" s="659"/>
      <c r="BU23" s="656"/>
      <c r="BV23" s="657"/>
      <c r="BW23" s="655"/>
      <c r="BX23" s="656"/>
      <c r="BY23" s="659"/>
      <c r="BZ23" s="656"/>
      <c r="CA23" s="657"/>
      <c r="CB23" s="655"/>
      <c r="CC23" s="656"/>
      <c r="CD23" s="659"/>
      <c r="CE23" s="656"/>
      <c r="CF23" s="657"/>
      <c r="CG23" s="655"/>
      <c r="CH23" s="656"/>
      <c r="CI23" s="659"/>
      <c r="CJ23" s="656"/>
      <c r="CK23" s="657"/>
      <c r="CL23" s="655"/>
      <c r="CM23" s="656"/>
      <c r="CN23" s="659"/>
      <c r="CO23" s="656"/>
      <c r="CP23" s="657"/>
      <c r="CQ23" s="655"/>
      <c r="CR23" s="656"/>
      <c r="CS23" s="659"/>
      <c r="CT23" s="656"/>
      <c r="CU23" s="657"/>
      <c r="CV23" s="655"/>
      <c r="CW23" s="656"/>
      <c r="CX23" s="659"/>
      <c r="CY23" s="656"/>
      <c r="CZ23" s="657"/>
      <c r="DA23" s="655"/>
      <c r="DB23" s="656"/>
      <c r="DC23" s="659"/>
      <c r="DD23" s="656"/>
      <c r="DE23" s="657"/>
      <c r="DF23" s="655"/>
      <c r="DG23" s="656"/>
      <c r="DH23" s="656"/>
      <c r="DI23" s="656"/>
      <c r="DJ23" s="657"/>
      <c r="DK23" s="655"/>
      <c r="DL23" s="656"/>
      <c r="DM23" s="656"/>
      <c r="DN23" s="656"/>
      <c r="DO23" s="657"/>
    </row>
    <row r="24" spans="1:119" s="14" customFormat="1" ht="18" customHeight="1" x14ac:dyDescent="0.25">
      <c r="A24" s="36">
        <f t="shared" si="4"/>
        <v>12</v>
      </c>
      <c r="B24" s="36">
        <f t="shared" si="3"/>
        <v>12</v>
      </c>
      <c r="C24" s="636" t="s">
        <v>1253</v>
      </c>
      <c r="D24" s="637"/>
      <c r="E24" s="867" t="s">
        <v>580</v>
      </c>
      <c r="F24" s="868"/>
      <c r="G24" s="502">
        <v>9120</v>
      </c>
      <c r="H24" s="847">
        <f t="shared" si="0"/>
        <v>1.3217391304347827E-2</v>
      </c>
      <c r="I24" s="502">
        <v>6780</v>
      </c>
      <c r="J24" s="502">
        <v>213</v>
      </c>
      <c r="K24" s="112">
        <f t="shared" si="1"/>
        <v>2127</v>
      </c>
      <c r="L24" s="69">
        <f t="shared" si="2"/>
        <v>0.23322368421052631</v>
      </c>
      <c r="M24" s="869"/>
      <c r="N24" s="848">
        <v>41821</v>
      </c>
      <c r="O24" s="143">
        <f t="shared" ca="1" si="5"/>
        <v>3.7421694691724365</v>
      </c>
      <c r="P24" s="16"/>
      <c r="Q24" s="4">
        <v>43100</v>
      </c>
      <c r="R24" s="16"/>
      <c r="S24" s="849">
        <v>12</v>
      </c>
      <c r="T24" s="16"/>
      <c r="U24" s="850" t="s">
        <v>591</v>
      </c>
      <c r="V24" s="67">
        <v>12</v>
      </c>
      <c r="W24" s="16"/>
      <c r="X24" s="309">
        <f t="shared" si="7"/>
        <v>43465</v>
      </c>
      <c r="Y24" s="16"/>
      <c r="Z24" s="870" t="s">
        <v>135</v>
      </c>
      <c r="AA24" s="16"/>
      <c r="AB24" s="853" t="s">
        <v>1070</v>
      </c>
      <c r="AC24" s="854"/>
      <c r="AD24" s="855"/>
      <c r="AE24" s="16"/>
      <c r="AF24" s="871"/>
      <c r="AG24" s="34"/>
      <c r="AH24" s="873"/>
      <c r="AI24" s="873"/>
      <c r="AJ24" s="871"/>
      <c r="AK24" s="871"/>
      <c r="AL24" s="873"/>
      <c r="AM24" s="873"/>
      <c r="AN24" s="871"/>
      <c r="AO24" s="872"/>
      <c r="AP24" s="870"/>
      <c r="AQ24" s="872"/>
      <c r="AR24" s="842"/>
      <c r="AS24" s="668"/>
      <c r="AT24" s="669"/>
      <c r="AU24" s="672"/>
      <c r="AV24" s="669"/>
      <c r="AW24" s="670"/>
      <c r="AX24" s="668"/>
      <c r="AY24" s="669"/>
      <c r="AZ24" s="672"/>
      <c r="BA24" s="669"/>
      <c r="BB24" s="670"/>
      <c r="BC24" s="668"/>
      <c r="BD24" s="669"/>
      <c r="BE24" s="672"/>
      <c r="BF24" s="669"/>
      <c r="BG24" s="670"/>
      <c r="BH24" s="668"/>
      <c r="BI24" s="669"/>
      <c r="BJ24" s="672"/>
      <c r="BK24" s="669"/>
      <c r="BL24" s="670"/>
      <c r="BM24" s="668"/>
      <c r="BN24" s="669"/>
      <c r="BO24" s="672"/>
      <c r="BP24" s="669"/>
      <c r="BQ24" s="670"/>
      <c r="BR24" s="668" t="s">
        <v>12</v>
      </c>
      <c r="BS24" s="669"/>
      <c r="BT24" s="672" t="s">
        <v>275</v>
      </c>
      <c r="BU24" s="669" t="s">
        <v>485</v>
      </c>
      <c r="BV24" s="670" t="s">
        <v>486</v>
      </c>
      <c r="BW24" s="668"/>
      <c r="BX24" s="669"/>
      <c r="BY24" s="672"/>
      <c r="BZ24" s="669"/>
      <c r="CA24" s="670"/>
      <c r="CB24" s="668"/>
      <c r="CC24" s="669"/>
      <c r="CD24" s="672"/>
      <c r="CE24" s="669"/>
      <c r="CF24" s="670"/>
      <c r="CG24" s="668"/>
      <c r="CH24" s="669"/>
      <c r="CI24" s="672"/>
      <c r="CJ24" s="669"/>
      <c r="CK24" s="670"/>
      <c r="CL24" s="668"/>
      <c r="CM24" s="669"/>
      <c r="CN24" s="672"/>
      <c r="CO24" s="669"/>
      <c r="CP24" s="670"/>
      <c r="CQ24" s="668"/>
      <c r="CR24" s="669"/>
      <c r="CS24" s="672"/>
      <c r="CT24" s="669"/>
      <c r="CU24" s="670"/>
      <c r="CV24" s="668"/>
      <c r="CW24" s="669"/>
      <c r="CX24" s="672"/>
      <c r="CY24" s="669"/>
      <c r="CZ24" s="670"/>
      <c r="DA24" s="668"/>
      <c r="DB24" s="669"/>
      <c r="DC24" s="672"/>
      <c r="DD24" s="669"/>
      <c r="DE24" s="670"/>
      <c r="DF24" s="668"/>
      <c r="DG24" s="669"/>
      <c r="DH24" s="669"/>
      <c r="DI24" s="669"/>
      <c r="DJ24" s="670"/>
      <c r="DK24" s="668"/>
      <c r="DL24" s="669"/>
      <c r="DM24" s="669"/>
      <c r="DN24" s="669"/>
      <c r="DO24" s="670"/>
    </row>
    <row r="25" spans="1:119" ht="18" customHeight="1" x14ac:dyDescent="0.25">
      <c r="A25" s="36">
        <f t="shared" si="4"/>
        <v>13</v>
      </c>
      <c r="B25" s="36">
        <f t="shared" si="3"/>
        <v>13</v>
      </c>
      <c r="C25" s="696" t="s">
        <v>1254</v>
      </c>
      <c r="D25" s="697" t="s">
        <v>1255</v>
      </c>
      <c r="E25" s="857" t="s">
        <v>521</v>
      </c>
      <c r="F25" s="858"/>
      <c r="G25" s="502">
        <v>9085</v>
      </c>
      <c r="H25" s="847">
        <f t="shared" si="0"/>
        <v>1.3166666666666667E-2</v>
      </c>
      <c r="I25" s="502">
        <v>6461</v>
      </c>
      <c r="J25" s="502">
        <v>1120</v>
      </c>
      <c r="K25" s="112">
        <f t="shared" si="1"/>
        <v>1504</v>
      </c>
      <c r="L25" s="69">
        <f t="shared" si="2"/>
        <v>0.1655476059438635</v>
      </c>
      <c r="M25" s="831"/>
      <c r="N25" s="864">
        <v>40330</v>
      </c>
      <c r="O25" s="143">
        <f t="shared" ca="1" si="5"/>
        <v>7.8387734915924829</v>
      </c>
      <c r="P25" s="14"/>
      <c r="Q25" s="865">
        <v>43100</v>
      </c>
      <c r="R25" s="14"/>
      <c r="S25" s="849">
        <v>12</v>
      </c>
      <c r="T25" s="14"/>
      <c r="U25" s="866" t="s">
        <v>591</v>
      </c>
      <c r="V25" s="67">
        <v>12</v>
      </c>
      <c r="W25" s="14"/>
      <c r="X25" s="309">
        <f>IF(OR(U25="",U25="N"),Q25,EDATE(Q25,V25))</f>
        <v>43465</v>
      </c>
      <c r="Y25" s="14"/>
      <c r="Z25" s="866" t="s">
        <v>551</v>
      </c>
      <c r="AA25" s="14"/>
      <c r="AB25" s="853" t="s">
        <v>1076</v>
      </c>
      <c r="AC25" s="854"/>
      <c r="AD25" s="855"/>
      <c r="AE25" s="14"/>
      <c r="AF25" s="863" t="s">
        <v>536</v>
      </c>
      <c r="AG25" s="863"/>
      <c r="AH25" s="863" t="s">
        <v>1053</v>
      </c>
      <c r="AI25" s="863" t="s">
        <v>1083</v>
      </c>
      <c r="AJ25" s="866" t="s">
        <v>534</v>
      </c>
      <c r="AK25" s="866"/>
      <c r="AL25" s="866" t="s">
        <v>1084</v>
      </c>
      <c r="AM25" s="866" t="s">
        <v>1062</v>
      </c>
      <c r="AN25" s="866"/>
      <c r="AO25" s="851"/>
      <c r="AP25" s="852"/>
      <c r="AQ25" s="851"/>
      <c r="AR25" s="874"/>
      <c r="AS25" s="655"/>
      <c r="AT25" s="656"/>
      <c r="AU25" s="656"/>
      <c r="AV25" s="656"/>
      <c r="AW25" s="657"/>
      <c r="AX25" s="655"/>
      <c r="AY25" s="656"/>
      <c r="AZ25" s="656"/>
      <c r="BA25" s="656"/>
      <c r="BB25" s="657"/>
      <c r="BC25" s="655"/>
      <c r="BD25" s="656"/>
      <c r="BE25" s="656"/>
      <c r="BF25" s="656"/>
      <c r="BG25" s="657"/>
      <c r="BH25" s="655"/>
      <c r="BI25" s="656"/>
      <c r="BJ25" s="656"/>
      <c r="BK25" s="656"/>
      <c r="BL25" s="657"/>
      <c r="BM25" s="655"/>
      <c r="BN25" s="656"/>
      <c r="BO25" s="656"/>
      <c r="BP25" s="656"/>
      <c r="BQ25" s="657"/>
      <c r="BR25" s="655"/>
      <c r="BS25" s="656"/>
      <c r="BT25" s="656"/>
      <c r="BU25" s="656"/>
      <c r="BV25" s="657"/>
      <c r="BW25" s="655"/>
      <c r="BX25" s="656"/>
      <c r="BY25" s="656"/>
      <c r="BZ25" s="656"/>
      <c r="CA25" s="657"/>
      <c r="CB25" s="655"/>
      <c r="CC25" s="656"/>
      <c r="CD25" s="656"/>
      <c r="CE25" s="656"/>
      <c r="CF25" s="657"/>
      <c r="CG25" s="655"/>
      <c r="CH25" s="656"/>
      <c r="CI25" s="656"/>
      <c r="CJ25" s="656"/>
      <c r="CK25" s="657"/>
      <c r="CL25" s="655"/>
      <c r="CM25" s="656"/>
      <c r="CN25" s="656"/>
      <c r="CO25" s="656"/>
      <c r="CP25" s="657"/>
      <c r="CQ25" s="655"/>
      <c r="CR25" s="656"/>
      <c r="CS25" s="656"/>
      <c r="CT25" s="656"/>
      <c r="CU25" s="657"/>
      <c r="CV25" s="655"/>
      <c r="CW25" s="656"/>
      <c r="CX25" s="656"/>
      <c r="CY25" s="656"/>
      <c r="CZ25" s="657"/>
      <c r="DA25" s="655"/>
      <c r="DB25" s="656"/>
      <c r="DC25" s="656"/>
      <c r="DD25" s="656"/>
      <c r="DE25" s="657"/>
      <c r="DF25" s="655"/>
      <c r="DG25" s="656"/>
      <c r="DH25" s="656"/>
      <c r="DI25" s="656"/>
      <c r="DJ25" s="657"/>
      <c r="DK25" s="655"/>
      <c r="DL25" s="656"/>
      <c r="DM25" s="656"/>
      <c r="DN25" s="656"/>
      <c r="DO25" s="657"/>
    </row>
    <row r="26" spans="1:119" ht="18" customHeight="1" x14ac:dyDescent="0.25">
      <c r="A26" s="36">
        <f t="shared" si="4"/>
        <v>14</v>
      </c>
      <c r="B26" s="36">
        <f t="shared" si="3"/>
        <v>14</v>
      </c>
      <c r="C26" s="708" t="s">
        <v>1256</v>
      </c>
      <c r="D26" s="709"/>
      <c r="E26" s="867" t="s">
        <v>580</v>
      </c>
      <c r="F26" s="868"/>
      <c r="G26" s="502">
        <v>8636</v>
      </c>
      <c r="H26" s="847">
        <f t="shared" si="0"/>
        <v>1.2515942028985507E-2</v>
      </c>
      <c r="I26" s="502">
        <v>4825</v>
      </c>
      <c r="J26" s="502">
        <v>248.9</v>
      </c>
      <c r="K26" s="112">
        <f t="shared" si="1"/>
        <v>3562.1</v>
      </c>
      <c r="L26" s="69">
        <f t="shared" si="2"/>
        <v>0.41247105141269103</v>
      </c>
      <c r="M26" s="869"/>
      <c r="N26" s="864">
        <v>39965</v>
      </c>
      <c r="O26" s="143">
        <f t="shared" ca="1" si="5"/>
        <v>8.8416309484558742</v>
      </c>
      <c r="P26" s="16"/>
      <c r="Q26" s="865">
        <v>42369</v>
      </c>
      <c r="R26" s="16"/>
      <c r="S26" s="849">
        <f ca="1">(X26-$G$1)/30.33</f>
        <v>1.2199142762940984</v>
      </c>
      <c r="T26" s="16"/>
      <c r="U26" s="866" t="s">
        <v>591</v>
      </c>
      <c r="V26" s="67">
        <v>28</v>
      </c>
      <c r="W26" s="16"/>
      <c r="X26" s="309">
        <f>IF(OR(U26="",U26="N"),Q26,EDATE(Q26,V26))</f>
        <v>43220</v>
      </c>
      <c r="Y26" s="16"/>
      <c r="Z26" s="870" t="s">
        <v>551</v>
      </c>
      <c r="AA26" s="16"/>
      <c r="AB26" s="853" t="s">
        <v>1035</v>
      </c>
      <c r="AC26" s="854"/>
      <c r="AD26" s="855"/>
      <c r="AE26" s="16"/>
      <c r="AF26" s="863" t="s">
        <v>536</v>
      </c>
      <c r="AG26" s="871"/>
      <c r="AH26" s="872" t="s">
        <v>1077</v>
      </c>
      <c r="AI26" s="863" t="s">
        <v>58</v>
      </c>
      <c r="AJ26" s="871"/>
      <c r="AK26" s="871"/>
      <c r="AL26" s="873"/>
      <c r="AM26" s="873"/>
      <c r="AN26" s="871"/>
      <c r="AO26" s="872"/>
      <c r="AP26" s="870"/>
      <c r="AQ26" s="872"/>
      <c r="AR26" s="874"/>
      <c r="AS26" s="655"/>
      <c r="AT26" s="656"/>
      <c r="AU26" s="656"/>
      <c r="AV26" s="656"/>
      <c r="AW26" s="657"/>
      <c r="AX26" s="655"/>
      <c r="AY26" s="656"/>
      <c r="AZ26" s="656"/>
      <c r="BA26" s="656"/>
      <c r="BB26" s="657"/>
      <c r="BC26" s="655"/>
      <c r="BD26" s="656"/>
      <c r="BE26" s="656"/>
      <c r="BF26" s="656"/>
      <c r="BG26" s="657"/>
      <c r="BH26" s="655"/>
      <c r="BI26" s="656"/>
      <c r="BJ26" s="656"/>
      <c r="BK26" s="656"/>
      <c r="BL26" s="657"/>
      <c r="BM26" s="655"/>
      <c r="BN26" s="656"/>
      <c r="BO26" s="656"/>
      <c r="BP26" s="656"/>
      <c r="BQ26" s="657"/>
      <c r="BR26" s="655"/>
      <c r="BS26" s="656"/>
      <c r="BT26" s="656"/>
      <c r="BU26" s="656"/>
      <c r="BV26" s="657"/>
      <c r="BW26" s="655"/>
      <c r="BX26" s="656"/>
      <c r="BY26" s="656"/>
      <c r="BZ26" s="656"/>
      <c r="CA26" s="657"/>
      <c r="CB26" s="655"/>
      <c r="CC26" s="656"/>
      <c r="CD26" s="656"/>
      <c r="CE26" s="656"/>
      <c r="CF26" s="657"/>
      <c r="CG26" s="655"/>
      <c r="CH26" s="656"/>
      <c r="CI26" s="656"/>
      <c r="CJ26" s="656"/>
      <c r="CK26" s="657"/>
      <c r="CL26" s="655"/>
      <c r="CM26" s="656"/>
      <c r="CN26" s="656"/>
      <c r="CO26" s="656"/>
      <c r="CP26" s="657"/>
      <c r="CQ26" s="655"/>
      <c r="CR26" s="656"/>
      <c r="CS26" s="656"/>
      <c r="CT26" s="656"/>
      <c r="CU26" s="657"/>
      <c r="CV26" s="655"/>
      <c r="CW26" s="656"/>
      <c r="CX26" s="656"/>
      <c r="CY26" s="656"/>
      <c r="CZ26" s="657"/>
      <c r="DA26" s="655"/>
      <c r="DB26" s="656"/>
      <c r="DC26" s="656"/>
      <c r="DD26" s="656"/>
      <c r="DE26" s="657"/>
      <c r="DF26" s="655"/>
      <c r="DG26" s="656"/>
      <c r="DH26" s="656"/>
      <c r="DI26" s="656"/>
      <c r="DJ26" s="657"/>
      <c r="DK26" s="655"/>
      <c r="DL26" s="656"/>
      <c r="DM26" s="656"/>
      <c r="DN26" s="656"/>
      <c r="DO26" s="657"/>
    </row>
    <row r="27" spans="1:119" ht="18" customHeight="1" x14ac:dyDescent="0.25">
      <c r="A27" s="36">
        <f t="shared" si="4"/>
        <v>15</v>
      </c>
      <c r="B27" s="36">
        <f t="shared" si="3"/>
        <v>15</v>
      </c>
      <c r="C27" s="708" t="s">
        <v>1257</v>
      </c>
      <c r="D27" s="709"/>
      <c r="E27" s="867" t="s">
        <v>580</v>
      </c>
      <c r="F27" s="868"/>
      <c r="G27" s="502">
        <v>4933</v>
      </c>
      <c r="H27" s="847">
        <f t="shared" si="0"/>
        <v>7.1492753623188408E-3</v>
      </c>
      <c r="I27" s="502">
        <v>3024.5</v>
      </c>
      <c r="J27" s="502">
        <v>103.2</v>
      </c>
      <c r="K27" s="112">
        <f t="shared" si="1"/>
        <v>1805.3</v>
      </c>
      <c r="L27" s="69">
        <f t="shared" si="2"/>
        <v>0.36596391648084331</v>
      </c>
      <c r="M27" s="869"/>
      <c r="N27" s="875">
        <v>38777</v>
      </c>
      <c r="O27" s="143">
        <f t="shared" ca="1" si="5"/>
        <v>12.105725903945489</v>
      </c>
      <c r="P27" s="16"/>
      <c r="Q27" s="4">
        <v>42979</v>
      </c>
      <c r="R27" s="16"/>
      <c r="S27" s="849">
        <f ca="1">(X27-$G$1)/30.33</f>
        <v>5.3082756346851303</v>
      </c>
      <c r="T27" s="16"/>
      <c r="U27" s="850" t="s">
        <v>591</v>
      </c>
      <c r="V27" s="67">
        <v>12</v>
      </c>
      <c r="W27" s="16"/>
      <c r="X27" s="309">
        <f>IF(OR(U27="",U27="N"),Q27,EDATE(Q27,V27))</f>
        <v>43344</v>
      </c>
      <c r="Y27" s="16"/>
      <c r="Z27" s="870" t="s">
        <v>135</v>
      </c>
      <c r="AA27" s="16"/>
      <c r="AB27" s="853" t="s">
        <v>1063</v>
      </c>
      <c r="AC27" s="854"/>
      <c r="AD27" s="855"/>
      <c r="AE27" s="16"/>
      <c r="AF27" s="873" t="s">
        <v>536</v>
      </c>
      <c r="AG27" s="873" t="s">
        <v>1078</v>
      </c>
      <c r="AH27" s="873" t="s">
        <v>1079</v>
      </c>
      <c r="AI27" s="873" t="s">
        <v>1080</v>
      </c>
      <c r="AJ27" s="873"/>
      <c r="AK27" s="873"/>
      <c r="AL27" s="873"/>
      <c r="AM27" s="873"/>
      <c r="AN27" s="873"/>
      <c r="AO27" s="872"/>
      <c r="AP27" s="870"/>
      <c r="AQ27" s="872"/>
      <c r="AR27" s="874"/>
      <c r="AS27" s="655"/>
      <c r="AT27" s="656"/>
      <c r="AU27" s="656"/>
      <c r="AV27" s="656"/>
      <c r="AW27" s="657"/>
      <c r="AX27" s="655"/>
      <c r="AY27" s="656"/>
      <c r="AZ27" s="656"/>
      <c r="BA27" s="656"/>
      <c r="BB27" s="657"/>
      <c r="BC27" s="655"/>
      <c r="BD27" s="656"/>
      <c r="BE27" s="656"/>
      <c r="BF27" s="656"/>
      <c r="BG27" s="657"/>
      <c r="BH27" s="655"/>
      <c r="BI27" s="656"/>
      <c r="BJ27" s="656"/>
      <c r="BK27" s="656"/>
      <c r="BL27" s="657"/>
      <c r="BM27" s="655"/>
      <c r="BN27" s="656"/>
      <c r="BO27" s="656"/>
      <c r="BP27" s="656"/>
      <c r="BQ27" s="657"/>
      <c r="BR27" s="655"/>
      <c r="BS27" s="656"/>
      <c r="BT27" s="656"/>
      <c r="BU27" s="656"/>
      <c r="BV27" s="657"/>
      <c r="BW27" s="655"/>
      <c r="BX27" s="656"/>
      <c r="BY27" s="656"/>
      <c r="BZ27" s="656"/>
      <c r="CA27" s="657"/>
      <c r="CB27" s="655"/>
      <c r="CC27" s="656"/>
      <c r="CD27" s="656"/>
      <c r="CE27" s="656"/>
      <c r="CF27" s="657"/>
      <c r="CG27" s="655"/>
      <c r="CH27" s="656"/>
      <c r="CI27" s="656"/>
      <c r="CJ27" s="656"/>
      <c r="CK27" s="657"/>
      <c r="CL27" s="655"/>
      <c r="CM27" s="656"/>
      <c r="CN27" s="656"/>
      <c r="CO27" s="656"/>
      <c r="CP27" s="657"/>
      <c r="CQ27" s="655"/>
      <c r="CR27" s="656"/>
      <c r="CS27" s="656"/>
      <c r="CT27" s="656"/>
      <c r="CU27" s="657"/>
      <c r="CV27" s="655"/>
      <c r="CW27" s="656"/>
      <c r="CX27" s="656"/>
      <c r="CY27" s="656"/>
      <c r="CZ27" s="657"/>
      <c r="DA27" s="655"/>
      <c r="DB27" s="656"/>
      <c r="DC27" s="656"/>
      <c r="DD27" s="656"/>
      <c r="DE27" s="657"/>
      <c r="DF27" s="655"/>
      <c r="DG27" s="656"/>
      <c r="DH27" s="656"/>
      <c r="DI27" s="656"/>
      <c r="DJ27" s="657"/>
      <c r="DK27" s="655"/>
      <c r="DL27" s="656"/>
      <c r="DM27" s="656"/>
      <c r="DN27" s="656"/>
      <c r="DO27" s="657"/>
    </row>
    <row r="28" spans="1:119" ht="18" customHeight="1" x14ac:dyDescent="0.25">
      <c r="A28" s="36">
        <f t="shared" si="4"/>
        <v>16</v>
      </c>
      <c r="B28" s="36">
        <f t="shared" si="3"/>
        <v>16</v>
      </c>
      <c r="C28" s="636" t="s">
        <v>1258</v>
      </c>
      <c r="D28" s="637"/>
      <c r="E28" s="867" t="s">
        <v>580</v>
      </c>
      <c r="F28" s="868"/>
      <c r="G28" s="502">
        <v>4552</v>
      </c>
      <c r="H28" s="847">
        <f t="shared" si="0"/>
        <v>6.5971014492753619E-3</v>
      </c>
      <c r="I28" s="502">
        <v>2089</v>
      </c>
      <c r="J28" s="502">
        <v>202</v>
      </c>
      <c r="K28" s="112">
        <f t="shared" si="1"/>
        <v>2261</v>
      </c>
      <c r="L28" s="69">
        <f t="shared" si="2"/>
        <v>0.49670474516695956</v>
      </c>
      <c r="M28" s="869"/>
      <c r="N28" s="864">
        <v>38018</v>
      </c>
      <c r="O28" s="143">
        <f t="shared" ca="1" si="5"/>
        <v>14.191119903286078</v>
      </c>
      <c r="P28" s="16"/>
      <c r="Q28" s="4">
        <v>43131</v>
      </c>
      <c r="R28" s="16"/>
      <c r="S28" s="849">
        <f ca="1">(X28-$G$1)/30.33</f>
        <v>-1.714474118034949</v>
      </c>
      <c r="T28" s="16"/>
      <c r="U28" s="850" t="s">
        <v>591</v>
      </c>
      <c r="V28" s="67"/>
      <c r="W28" s="16"/>
      <c r="X28" s="309">
        <f>IF(OR(U28="",U28="N"),Q28,EDATE(Q28,V28))</f>
        <v>43131</v>
      </c>
      <c r="Y28" s="16"/>
      <c r="Z28" s="870" t="s">
        <v>551</v>
      </c>
      <c r="AA28" s="16"/>
      <c r="AB28" s="853" t="s">
        <v>1035</v>
      </c>
      <c r="AC28" s="854"/>
      <c r="AD28" s="855"/>
      <c r="AE28" s="16"/>
      <c r="AF28" s="871"/>
      <c r="AG28" s="871"/>
      <c r="AH28" s="873"/>
      <c r="AI28" s="873"/>
      <c r="AJ28" s="871"/>
      <c r="AK28" s="871"/>
      <c r="AL28" s="873"/>
      <c r="AM28" s="873"/>
      <c r="AN28" s="871"/>
      <c r="AO28" s="872"/>
      <c r="AP28" s="870"/>
      <c r="AQ28" s="872"/>
      <c r="AR28" s="874"/>
      <c r="AS28" s="655"/>
      <c r="AT28" s="656"/>
      <c r="AU28" s="656"/>
      <c r="AV28" s="656"/>
      <c r="AW28" s="657"/>
      <c r="AX28" s="655"/>
      <c r="AY28" s="656"/>
      <c r="AZ28" s="656"/>
      <c r="BA28" s="656"/>
      <c r="BB28" s="657"/>
      <c r="BC28" s="655"/>
      <c r="BD28" s="656"/>
      <c r="BE28" s="656"/>
      <c r="BF28" s="656"/>
      <c r="BG28" s="657"/>
      <c r="BH28" s="655"/>
      <c r="BI28" s="656"/>
      <c r="BJ28" s="656"/>
      <c r="BK28" s="656"/>
      <c r="BL28" s="657"/>
      <c r="BM28" s="655"/>
      <c r="BN28" s="656"/>
      <c r="BO28" s="656"/>
      <c r="BP28" s="656"/>
      <c r="BQ28" s="657"/>
      <c r="BR28" s="655"/>
      <c r="BS28" s="656"/>
      <c r="BT28" s="656"/>
      <c r="BU28" s="656"/>
      <c r="BV28" s="657"/>
      <c r="BW28" s="655"/>
      <c r="BX28" s="656"/>
      <c r="BY28" s="656"/>
      <c r="BZ28" s="656"/>
      <c r="CA28" s="657"/>
      <c r="CB28" s="655"/>
      <c r="CC28" s="656"/>
      <c r="CD28" s="656"/>
      <c r="CE28" s="656"/>
      <c r="CF28" s="657"/>
      <c r="CG28" s="655"/>
      <c r="CH28" s="656"/>
      <c r="CI28" s="656"/>
      <c r="CJ28" s="656"/>
      <c r="CK28" s="657"/>
      <c r="CL28" s="655"/>
      <c r="CM28" s="656"/>
      <c r="CN28" s="656"/>
      <c r="CO28" s="656"/>
      <c r="CP28" s="657"/>
      <c r="CQ28" s="655"/>
      <c r="CR28" s="656"/>
      <c r="CS28" s="656"/>
      <c r="CT28" s="656"/>
      <c r="CU28" s="657"/>
      <c r="CV28" s="655"/>
      <c r="CW28" s="656"/>
      <c r="CX28" s="656"/>
      <c r="CY28" s="656"/>
      <c r="CZ28" s="657"/>
      <c r="DA28" s="655"/>
      <c r="DB28" s="656"/>
      <c r="DC28" s="656"/>
      <c r="DD28" s="656"/>
      <c r="DE28" s="657"/>
      <c r="DF28" s="655"/>
      <c r="DG28" s="656"/>
      <c r="DH28" s="656"/>
      <c r="DI28" s="656"/>
      <c r="DJ28" s="657"/>
      <c r="DK28" s="655"/>
      <c r="DL28" s="656"/>
      <c r="DM28" s="656"/>
      <c r="DN28" s="656"/>
      <c r="DO28" s="657"/>
    </row>
    <row r="29" spans="1:119" ht="18" customHeight="1" x14ac:dyDescent="0.25">
      <c r="A29" s="36">
        <f t="shared" si="4"/>
        <v>17</v>
      </c>
      <c r="B29" s="36">
        <f t="shared" si="3"/>
        <v>17</v>
      </c>
      <c r="C29" s="636" t="s">
        <v>1259</v>
      </c>
      <c r="D29" s="637"/>
      <c r="E29" s="867" t="s">
        <v>547</v>
      </c>
      <c r="F29" s="868"/>
      <c r="G29" s="502">
        <v>3738</v>
      </c>
      <c r="H29" s="847">
        <f t="shared" si="0"/>
        <v>5.4173913043478262E-3</v>
      </c>
      <c r="I29" s="502">
        <v>3019.5</v>
      </c>
      <c r="J29" s="502">
        <v>284.2</v>
      </c>
      <c r="K29" s="112">
        <f t="shared" si="1"/>
        <v>434.3</v>
      </c>
      <c r="L29" s="69">
        <f t="shared" si="2"/>
        <v>0.11618512573568754</v>
      </c>
      <c r="M29" s="869"/>
      <c r="N29" s="875">
        <v>40179</v>
      </c>
      <c r="O29" s="143">
        <f t="shared" ca="1" si="5"/>
        <v>8.2536542477195294</v>
      </c>
      <c r="P29" s="16"/>
      <c r="Q29" s="4">
        <v>43862</v>
      </c>
      <c r="R29" s="16"/>
      <c r="S29" s="849">
        <f ca="1">(X29-$G$1)/30.33</f>
        <v>22.387075502802507</v>
      </c>
      <c r="T29" s="16"/>
      <c r="U29" s="850" t="s">
        <v>592</v>
      </c>
      <c r="V29" s="67"/>
      <c r="W29" s="16"/>
      <c r="X29" s="309">
        <f>IF(OR(U29="",U29="N"),Q29,EDATE(Q29,V29))</f>
        <v>43862</v>
      </c>
      <c r="Y29" s="16"/>
      <c r="Z29" s="870" t="s">
        <v>135</v>
      </c>
      <c r="AA29" s="16"/>
      <c r="AB29" s="853" t="s">
        <v>1081</v>
      </c>
      <c r="AC29" s="854"/>
      <c r="AD29" s="855"/>
      <c r="AE29" s="16"/>
      <c r="AF29" s="873" t="s">
        <v>536</v>
      </c>
      <c r="AG29" s="873"/>
      <c r="AH29" s="873" t="s">
        <v>1085</v>
      </c>
      <c r="AI29" s="873" t="s">
        <v>1086</v>
      </c>
      <c r="AJ29" s="873"/>
      <c r="AK29" s="873"/>
      <c r="AL29" s="873"/>
      <c r="AM29" s="873"/>
      <c r="AN29" s="873"/>
      <c r="AO29" s="872"/>
      <c r="AP29" s="870"/>
      <c r="AQ29" s="872"/>
      <c r="AR29" s="874"/>
      <c r="AS29" s="655"/>
      <c r="AT29" s="656"/>
      <c r="AU29" s="656"/>
      <c r="AV29" s="656"/>
      <c r="AW29" s="657"/>
      <c r="AX29" s="655"/>
      <c r="AY29" s="656"/>
      <c r="AZ29" s="656"/>
      <c r="BA29" s="656"/>
      <c r="BB29" s="657"/>
      <c r="BC29" s="655"/>
      <c r="BD29" s="656"/>
      <c r="BE29" s="656"/>
      <c r="BF29" s="656"/>
      <c r="BG29" s="657"/>
      <c r="BH29" s="655"/>
      <c r="BI29" s="656"/>
      <c r="BJ29" s="656"/>
      <c r="BK29" s="656"/>
      <c r="BL29" s="657"/>
      <c r="BM29" s="655"/>
      <c r="BN29" s="656"/>
      <c r="BO29" s="656"/>
      <c r="BP29" s="656"/>
      <c r="BQ29" s="657"/>
      <c r="BR29" s="655"/>
      <c r="BS29" s="656"/>
      <c r="BT29" s="656"/>
      <c r="BU29" s="656"/>
      <c r="BV29" s="657"/>
      <c r="BW29" s="655"/>
      <c r="BX29" s="656"/>
      <c r="BY29" s="656"/>
      <c r="BZ29" s="656"/>
      <c r="CA29" s="657"/>
      <c r="CB29" s="655"/>
      <c r="CC29" s="656"/>
      <c r="CD29" s="656"/>
      <c r="CE29" s="656"/>
      <c r="CF29" s="657"/>
      <c r="CG29" s="655"/>
      <c r="CH29" s="656"/>
      <c r="CI29" s="656"/>
      <c r="CJ29" s="656"/>
      <c r="CK29" s="657"/>
      <c r="CL29" s="655"/>
      <c r="CM29" s="656"/>
      <c r="CN29" s="656"/>
      <c r="CO29" s="656"/>
      <c r="CP29" s="657"/>
      <c r="CQ29" s="655"/>
      <c r="CR29" s="656"/>
      <c r="CS29" s="656"/>
      <c r="CT29" s="656"/>
      <c r="CU29" s="657"/>
      <c r="CV29" s="655"/>
      <c r="CW29" s="656"/>
      <c r="CX29" s="656"/>
      <c r="CY29" s="656"/>
      <c r="CZ29" s="657"/>
      <c r="DA29" s="655"/>
      <c r="DB29" s="656"/>
      <c r="DC29" s="656"/>
      <c r="DD29" s="656"/>
      <c r="DE29" s="657"/>
      <c r="DF29" s="655"/>
      <c r="DG29" s="656"/>
      <c r="DH29" s="656"/>
      <c r="DI29" s="656"/>
      <c r="DJ29" s="657"/>
      <c r="DK29" s="655"/>
      <c r="DL29" s="656"/>
      <c r="DM29" s="656"/>
      <c r="DN29" s="656"/>
      <c r="DO29" s="657"/>
    </row>
    <row r="30" spans="1:119" ht="18" customHeight="1" x14ac:dyDescent="0.25">
      <c r="A30" s="36">
        <f t="shared" si="4"/>
        <v>18</v>
      </c>
      <c r="B30" s="36">
        <f t="shared" si="3"/>
        <v>18</v>
      </c>
      <c r="C30" s="636" t="s">
        <v>1260</v>
      </c>
      <c r="D30" s="637"/>
      <c r="E30" s="867" t="s">
        <v>521</v>
      </c>
      <c r="F30" s="845"/>
      <c r="G30" s="846">
        <v>2780</v>
      </c>
      <c r="H30" s="847"/>
      <c r="I30" s="502">
        <v>1385</v>
      </c>
      <c r="J30" s="502">
        <v>377</v>
      </c>
      <c r="K30" s="112">
        <f t="shared" si="1"/>
        <v>1018</v>
      </c>
      <c r="L30" s="69">
        <f t="shared" si="2"/>
        <v>0.36618705035971222</v>
      </c>
      <c r="M30" s="869"/>
      <c r="N30" s="875"/>
      <c r="O30" s="143">
        <f t="shared" ca="1" si="5"/>
        <v>118.64765358830641</v>
      </c>
      <c r="P30" s="16"/>
      <c r="Q30" s="4">
        <v>43101</v>
      </c>
      <c r="R30" s="16"/>
      <c r="S30" s="849">
        <v>12</v>
      </c>
      <c r="T30" s="16"/>
      <c r="U30" s="850" t="s">
        <v>591</v>
      </c>
      <c r="V30" s="67">
        <v>12</v>
      </c>
      <c r="W30" s="16"/>
      <c r="X30" s="309">
        <f t="shared" ref="X30:X42" si="8">IF(OR(U30="",U30="N"),Q30,EDATE(Q30,V30))</f>
        <v>43466</v>
      </c>
      <c r="Y30" s="16"/>
      <c r="Z30" s="894" t="s">
        <v>519</v>
      </c>
      <c r="AA30" s="16"/>
      <c r="AB30" s="853"/>
      <c r="AC30" s="854"/>
      <c r="AD30" s="855"/>
      <c r="AE30" s="16"/>
      <c r="AF30" s="873" t="s">
        <v>536</v>
      </c>
      <c r="AG30" s="873"/>
      <c r="AH30" s="873" t="s">
        <v>1087</v>
      </c>
      <c r="AI30" s="873" t="s">
        <v>1059</v>
      </c>
      <c r="AJ30" s="873"/>
      <c r="AK30" s="873"/>
      <c r="AL30" s="873"/>
      <c r="AM30" s="873"/>
      <c r="AN30" s="873"/>
      <c r="AO30" s="872"/>
      <c r="AP30" s="870"/>
      <c r="AQ30" s="872"/>
      <c r="AR30" s="874"/>
      <c r="AS30" s="741"/>
      <c r="AT30" s="741"/>
      <c r="AU30" s="741"/>
      <c r="AV30" s="741"/>
      <c r="AW30" s="741"/>
      <c r="AX30" s="741"/>
      <c r="AY30" s="741"/>
      <c r="AZ30" s="741"/>
      <c r="BA30" s="741"/>
      <c r="BB30" s="741"/>
      <c r="BC30" s="741"/>
      <c r="BD30" s="741"/>
      <c r="BE30" s="741"/>
      <c r="BF30" s="741"/>
      <c r="BG30" s="741"/>
      <c r="BH30" s="741"/>
      <c r="BI30" s="741"/>
      <c r="BJ30" s="741"/>
      <c r="BK30" s="741"/>
      <c r="BL30" s="741"/>
      <c r="BM30" s="741"/>
      <c r="BN30" s="741"/>
      <c r="BO30" s="741"/>
      <c r="BP30" s="741"/>
      <c r="BQ30" s="741"/>
      <c r="BR30" s="741"/>
      <c r="BS30" s="741"/>
      <c r="BT30" s="741"/>
      <c r="BU30" s="741"/>
      <c r="BV30" s="741"/>
      <c r="BW30" s="741"/>
      <c r="BX30" s="741"/>
      <c r="BY30" s="741"/>
      <c r="BZ30" s="741"/>
      <c r="CA30" s="741"/>
      <c r="CB30" s="741"/>
      <c r="CC30" s="741"/>
      <c r="CD30" s="741"/>
      <c r="CE30" s="741"/>
      <c r="CF30" s="741"/>
      <c r="CG30" s="741"/>
      <c r="CH30" s="741"/>
      <c r="CI30" s="741"/>
      <c r="CJ30" s="741"/>
      <c r="CK30" s="741"/>
      <c r="CL30" s="741"/>
      <c r="CM30" s="741"/>
      <c r="CN30" s="741"/>
      <c r="CO30" s="741"/>
      <c r="CP30" s="741"/>
      <c r="CQ30" s="741"/>
      <c r="CR30" s="741"/>
      <c r="CS30" s="741"/>
      <c r="CT30" s="741"/>
      <c r="CU30" s="877"/>
      <c r="CV30" s="878"/>
      <c r="CW30" s="879"/>
      <c r="CX30" s="879"/>
      <c r="CY30" s="879"/>
      <c r="CZ30" s="880"/>
      <c r="DA30" s="878"/>
      <c r="DB30" s="879"/>
      <c r="DC30" s="879"/>
      <c r="DD30" s="879"/>
      <c r="DE30" s="880"/>
      <c r="DF30" s="878"/>
      <c r="DG30" s="879"/>
      <c r="DH30" s="879"/>
      <c r="DI30" s="879"/>
      <c r="DJ30" s="880"/>
      <c r="DK30" s="878"/>
      <c r="DL30" s="879"/>
      <c r="DM30" s="879"/>
      <c r="DN30" s="879"/>
      <c r="DO30" s="880"/>
    </row>
    <row r="31" spans="1:119" ht="18" customHeight="1" x14ac:dyDescent="0.25">
      <c r="A31" s="36">
        <f t="shared" si="4"/>
        <v>19</v>
      </c>
      <c r="B31" s="36">
        <f t="shared" si="3"/>
        <v>19</v>
      </c>
      <c r="C31" s="636" t="s">
        <v>1261</v>
      </c>
      <c r="D31" s="637"/>
      <c r="E31" s="867" t="s">
        <v>580</v>
      </c>
      <c r="F31" s="858"/>
      <c r="G31" s="502">
        <v>2281</v>
      </c>
      <c r="H31" s="847">
        <f t="shared" ref="H31:H52" si="9">G31/$G$2</f>
        <v>3.3057971014492753E-3</v>
      </c>
      <c r="I31" s="502">
        <v>1461.4</v>
      </c>
      <c r="J31" s="502">
        <v>0</v>
      </c>
      <c r="K31" s="112">
        <f t="shared" si="1"/>
        <v>819.59999999999991</v>
      </c>
      <c r="L31" s="69">
        <f t="shared" si="2"/>
        <v>0.35931608943445853</v>
      </c>
      <c r="M31" s="869"/>
      <c r="N31" s="876">
        <v>41201</v>
      </c>
      <c r="O31" s="143">
        <f t="shared" ca="1" si="5"/>
        <v>5.4456533685020334</v>
      </c>
      <c r="P31" s="16"/>
      <c r="Q31" s="4">
        <v>43009</v>
      </c>
      <c r="R31" s="16"/>
      <c r="S31" s="849">
        <f t="shared" ref="S31:S41" ca="1" si="10">(X31-$G$1)/30.33</f>
        <v>6.2973953181668323</v>
      </c>
      <c r="T31" s="16"/>
      <c r="U31" s="850" t="s">
        <v>591</v>
      </c>
      <c r="V31" s="67">
        <v>12</v>
      </c>
      <c r="W31" s="16"/>
      <c r="X31" s="309">
        <f t="shared" si="8"/>
        <v>43374</v>
      </c>
      <c r="Y31" s="16"/>
      <c r="Z31" s="870" t="s">
        <v>519</v>
      </c>
      <c r="AA31" s="16"/>
      <c r="AB31" s="853" t="s">
        <v>1063</v>
      </c>
      <c r="AC31" s="854"/>
      <c r="AD31" s="855"/>
      <c r="AE31" s="16"/>
      <c r="AF31" s="873" t="s">
        <v>534</v>
      </c>
      <c r="AG31" s="873"/>
      <c r="AH31" s="873" t="s">
        <v>1088</v>
      </c>
      <c r="AI31" s="863" t="s">
        <v>58</v>
      </c>
      <c r="AJ31" s="873"/>
      <c r="AK31" s="873"/>
      <c r="AL31" s="873"/>
      <c r="AM31" s="873"/>
      <c r="AN31" s="873"/>
      <c r="AO31" s="872"/>
      <c r="AP31" s="870"/>
      <c r="AQ31" s="872"/>
      <c r="AR31" s="874"/>
      <c r="AS31" s="741"/>
      <c r="AT31" s="741"/>
      <c r="AU31" s="741"/>
      <c r="AV31" s="741"/>
      <c r="AW31" s="741"/>
      <c r="AX31" s="741"/>
      <c r="AY31" s="741"/>
      <c r="AZ31" s="741"/>
      <c r="BA31" s="741"/>
      <c r="BB31" s="741"/>
      <c r="BC31" s="741"/>
      <c r="BD31" s="741"/>
      <c r="BE31" s="741"/>
      <c r="BF31" s="741"/>
      <c r="BG31" s="741"/>
      <c r="BH31" s="741"/>
      <c r="BI31" s="741"/>
      <c r="BJ31" s="741"/>
      <c r="BK31" s="741"/>
      <c r="BL31" s="741"/>
      <c r="BM31" s="741"/>
      <c r="BN31" s="741"/>
      <c r="BO31" s="741"/>
      <c r="BP31" s="741"/>
      <c r="BQ31" s="741"/>
      <c r="BR31" s="741"/>
      <c r="BS31" s="741"/>
      <c r="BT31" s="741"/>
      <c r="BU31" s="741"/>
      <c r="BV31" s="741"/>
      <c r="BW31" s="741"/>
      <c r="BX31" s="741"/>
      <c r="BY31" s="741"/>
      <c r="BZ31" s="741"/>
      <c r="CA31" s="741"/>
      <c r="CB31" s="741"/>
      <c r="CC31" s="741"/>
      <c r="CD31" s="741"/>
      <c r="CE31" s="741"/>
      <c r="CF31" s="741"/>
      <c r="CG31" s="741"/>
      <c r="CH31" s="741"/>
      <c r="CI31" s="741"/>
      <c r="CJ31" s="741"/>
      <c r="CK31" s="741"/>
      <c r="CL31" s="741"/>
      <c r="CM31" s="741"/>
      <c r="CN31" s="741"/>
      <c r="CO31" s="741"/>
      <c r="CP31" s="741"/>
      <c r="CQ31" s="741"/>
      <c r="CR31" s="741"/>
      <c r="CS31" s="741"/>
      <c r="CT31" s="741"/>
      <c r="CU31" s="877"/>
      <c r="CV31" s="878"/>
      <c r="CW31" s="879"/>
      <c r="CX31" s="879"/>
      <c r="CY31" s="879"/>
      <c r="CZ31" s="880"/>
      <c r="DA31" s="878"/>
      <c r="DB31" s="879"/>
      <c r="DC31" s="879"/>
      <c r="DD31" s="879"/>
      <c r="DE31" s="880"/>
      <c r="DF31" s="878"/>
      <c r="DG31" s="879"/>
      <c r="DH31" s="879"/>
      <c r="DI31" s="879"/>
      <c r="DJ31" s="880"/>
      <c r="DK31" s="878"/>
      <c r="DL31" s="879"/>
      <c r="DM31" s="879"/>
      <c r="DN31" s="879"/>
      <c r="DO31" s="880"/>
    </row>
    <row r="32" spans="1:119" ht="18" customHeight="1" x14ac:dyDescent="0.25">
      <c r="A32" s="36">
        <f t="shared" si="4"/>
        <v>20</v>
      </c>
      <c r="B32" s="36">
        <f t="shared" si="3"/>
        <v>20</v>
      </c>
      <c r="C32" s="636" t="s">
        <v>1262</v>
      </c>
      <c r="D32" s="637"/>
      <c r="E32" s="867" t="s">
        <v>521</v>
      </c>
      <c r="F32" s="858"/>
      <c r="G32" s="502">
        <v>2238</v>
      </c>
      <c r="H32" s="847">
        <f t="shared" si="9"/>
        <v>3.2434782608695653E-3</v>
      </c>
      <c r="I32" s="502">
        <v>1494</v>
      </c>
      <c r="J32" s="502">
        <v>0</v>
      </c>
      <c r="K32" s="112">
        <f t="shared" si="1"/>
        <v>744</v>
      </c>
      <c r="L32" s="69">
        <f t="shared" si="2"/>
        <v>0.33243967828418231</v>
      </c>
      <c r="M32" s="869"/>
      <c r="N32" s="875"/>
      <c r="O32" s="143">
        <f t="shared" ca="1" si="5"/>
        <v>118.64765358830641</v>
      </c>
      <c r="P32" s="16"/>
      <c r="Q32" s="4">
        <v>43131</v>
      </c>
      <c r="R32" s="16"/>
      <c r="S32" s="849">
        <f t="shared" ca="1" si="10"/>
        <v>34.421364985163208</v>
      </c>
      <c r="T32" s="16"/>
      <c r="U32" s="850" t="s">
        <v>591</v>
      </c>
      <c r="V32" s="67">
        <v>36</v>
      </c>
      <c r="W32" s="16"/>
      <c r="X32" s="309">
        <f t="shared" si="8"/>
        <v>44227</v>
      </c>
      <c r="Y32" s="16"/>
      <c r="Z32" s="870" t="s">
        <v>519</v>
      </c>
      <c r="AA32" s="16"/>
      <c r="AB32" s="853"/>
      <c r="AC32" s="854"/>
      <c r="AD32" s="855"/>
      <c r="AE32" s="16"/>
      <c r="AF32" s="873"/>
      <c r="AG32" s="873"/>
      <c r="AH32" s="873"/>
      <c r="AI32" s="873"/>
      <c r="AJ32" s="873"/>
      <c r="AK32" s="873"/>
      <c r="AL32" s="873"/>
      <c r="AM32" s="873"/>
      <c r="AN32" s="873"/>
      <c r="AO32" s="872"/>
      <c r="AP32" s="870"/>
      <c r="AQ32" s="872"/>
      <c r="AR32" s="874"/>
      <c r="AS32" s="741"/>
      <c r="AT32" s="741"/>
      <c r="AU32" s="741"/>
      <c r="AV32" s="741"/>
      <c r="AW32" s="741"/>
      <c r="AX32" s="741"/>
      <c r="AY32" s="741"/>
      <c r="AZ32" s="741"/>
      <c r="BA32" s="741"/>
      <c r="BB32" s="741"/>
      <c r="BC32" s="741"/>
      <c r="BD32" s="741"/>
      <c r="BE32" s="741"/>
      <c r="BF32" s="741"/>
      <c r="BG32" s="741"/>
      <c r="BH32" s="741"/>
      <c r="BI32" s="741"/>
      <c r="BJ32" s="741"/>
      <c r="BK32" s="741"/>
      <c r="BL32" s="741"/>
      <c r="BM32" s="741"/>
      <c r="BN32" s="741"/>
      <c r="BO32" s="741"/>
      <c r="BP32" s="741"/>
      <c r="BQ32" s="741"/>
      <c r="BR32" s="741"/>
      <c r="BS32" s="741"/>
      <c r="BT32" s="741"/>
      <c r="BU32" s="741"/>
      <c r="BV32" s="741"/>
      <c r="BW32" s="741"/>
      <c r="BX32" s="741"/>
      <c r="BY32" s="741"/>
      <c r="BZ32" s="741"/>
      <c r="CA32" s="741"/>
      <c r="CB32" s="741"/>
      <c r="CC32" s="741"/>
      <c r="CD32" s="741"/>
      <c r="CE32" s="741"/>
      <c r="CF32" s="741"/>
      <c r="CG32" s="741"/>
      <c r="CH32" s="741"/>
      <c r="CI32" s="741"/>
      <c r="CJ32" s="741"/>
      <c r="CK32" s="741"/>
      <c r="CL32" s="741"/>
      <c r="CM32" s="741"/>
      <c r="CN32" s="741"/>
      <c r="CO32" s="741"/>
      <c r="CP32" s="741"/>
      <c r="CQ32" s="741"/>
      <c r="CR32" s="741"/>
      <c r="CS32" s="741"/>
      <c r="CT32" s="741"/>
      <c r="CU32" s="877"/>
      <c r="CV32" s="878"/>
      <c r="CW32" s="879"/>
      <c r="CX32" s="879"/>
      <c r="CY32" s="879"/>
      <c r="CZ32" s="880"/>
      <c r="DA32" s="878"/>
      <c r="DB32" s="879"/>
      <c r="DC32" s="879"/>
      <c r="DD32" s="879"/>
      <c r="DE32" s="880"/>
      <c r="DF32" s="878"/>
      <c r="DG32" s="879"/>
      <c r="DH32" s="879"/>
      <c r="DI32" s="879"/>
      <c r="DJ32" s="880"/>
      <c r="DK32" s="878"/>
      <c r="DL32" s="879"/>
      <c r="DM32" s="879"/>
      <c r="DN32" s="879"/>
      <c r="DO32" s="880"/>
    </row>
    <row r="33" spans="1:119" ht="18" customHeight="1" x14ac:dyDescent="0.25">
      <c r="A33" s="36">
        <f t="shared" si="4"/>
        <v>21</v>
      </c>
      <c r="B33" s="36">
        <f t="shared" si="3"/>
        <v>21</v>
      </c>
      <c r="C33" s="636" t="s">
        <v>1263</v>
      </c>
      <c r="D33" s="637"/>
      <c r="E33" s="881" t="s">
        <v>547</v>
      </c>
      <c r="F33" s="882"/>
      <c r="G33" s="883">
        <v>2154</v>
      </c>
      <c r="H33" s="847">
        <f t="shared" si="9"/>
        <v>3.1217391304347824E-3</v>
      </c>
      <c r="I33" s="883">
        <v>1178.4000000000001</v>
      </c>
      <c r="J33" s="883">
        <v>0</v>
      </c>
      <c r="K33" s="112">
        <f t="shared" si="1"/>
        <v>975.59999999999991</v>
      </c>
      <c r="L33" s="69">
        <f t="shared" si="2"/>
        <v>0.45292479108635092</v>
      </c>
      <c r="M33" s="869"/>
      <c r="N33" s="884">
        <v>36557</v>
      </c>
      <c r="O33" s="143">
        <f t="shared" ca="1" si="5"/>
        <v>18.20529728541598</v>
      </c>
      <c r="P33" s="16"/>
      <c r="Q33" s="885">
        <v>43131</v>
      </c>
      <c r="R33" s="16"/>
      <c r="S33" s="849">
        <f t="shared" ca="1" si="10"/>
        <v>-1.714474118034949</v>
      </c>
      <c r="T33" s="16"/>
      <c r="U33" s="886" t="s">
        <v>591</v>
      </c>
      <c r="V33" s="616"/>
      <c r="W33" s="16"/>
      <c r="X33" s="309">
        <f t="shared" si="8"/>
        <v>43131</v>
      </c>
      <c r="Y33" s="16"/>
      <c r="Z33" s="887" t="s">
        <v>519</v>
      </c>
      <c r="AA33" s="16"/>
      <c r="AB33" s="853" t="s">
        <v>1081</v>
      </c>
      <c r="AC33" s="854"/>
      <c r="AD33" s="855"/>
      <c r="AE33" s="16"/>
      <c r="AF33" s="888"/>
      <c r="AG33" s="888"/>
      <c r="AH33" s="873"/>
      <c r="AI33" s="888"/>
      <c r="AJ33" s="888"/>
      <c r="AK33" s="888"/>
      <c r="AL33" s="888"/>
      <c r="AM33" s="888"/>
      <c r="AN33" s="888"/>
      <c r="AO33" s="889"/>
      <c r="AP33" s="887"/>
      <c r="AQ33" s="889"/>
      <c r="AR33" s="874"/>
      <c r="AS33" s="741"/>
      <c r="AT33" s="741"/>
      <c r="AU33" s="741"/>
      <c r="AV33" s="741"/>
      <c r="AW33" s="741"/>
      <c r="AX33" s="741"/>
      <c r="AY33" s="741"/>
      <c r="AZ33" s="741"/>
      <c r="BA33" s="741"/>
      <c r="BB33" s="741"/>
      <c r="BC33" s="741"/>
      <c r="BD33" s="741"/>
      <c r="BE33" s="741"/>
      <c r="BF33" s="741"/>
      <c r="BG33" s="741"/>
      <c r="BH33" s="741"/>
      <c r="BI33" s="741"/>
      <c r="BJ33" s="741"/>
      <c r="BK33" s="741"/>
      <c r="BL33" s="741"/>
      <c r="BM33" s="741"/>
      <c r="BN33" s="741"/>
      <c r="BO33" s="741"/>
      <c r="BP33" s="741"/>
      <c r="BQ33" s="741"/>
      <c r="BR33" s="741"/>
      <c r="BS33" s="741"/>
      <c r="BT33" s="741"/>
      <c r="BU33" s="741"/>
      <c r="BV33" s="741"/>
      <c r="BW33" s="741"/>
      <c r="BX33" s="741"/>
      <c r="BY33" s="741"/>
      <c r="BZ33" s="741"/>
      <c r="CA33" s="741"/>
      <c r="CB33" s="741"/>
      <c r="CC33" s="741"/>
      <c r="CD33" s="741"/>
      <c r="CE33" s="741"/>
      <c r="CF33" s="741"/>
      <c r="CG33" s="741"/>
      <c r="CH33" s="741"/>
      <c r="CI33" s="741"/>
      <c r="CJ33" s="741"/>
      <c r="CK33" s="741"/>
      <c r="CL33" s="741"/>
      <c r="CM33" s="741"/>
      <c r="CN33" s="741"/>
      <c r="CO33" s="741"/>
      <c r="CP33" s="741"/>
      <c r="CQ33" s="741"/>
      <c r="CR33" s="741"/>
      <c r="CS33" s="741"/>
      <c r="CT33" s="741"/>
      <c r="CU33" s="877"/>
      <c r="CV33" s="890"/>
      <c r="CW33" s="261"/>
      <c r="CX33" s="261"/>
      <c r="CY33" s="261"/>
      <c r="CZ33" s="891"/>
      <c r="DA33" s="890"/>
      <c r="DB33" s="261"/>
      <c r="DC33" s="261"/>
      <c r="DD33" s="261"/>
      <c r="DE33" s="891"/>
      <c r="DF33" s="890"/>
      <c r="DG33" s="261"/>
      <c r="DH33" s="261"/>
      <c r="DI33" s="261"/>
      <c r="DJ33" s="891"/>
      <c r="DK33" s="890"/>
      <c r="DL33" s="261"/>
      <c r="DM33" s="261"/>
      <c r="DN33" s="261"/>
      <c r="DO33" s="891"/>
    </row>
    <row r="34" spans="1:119" ht="18" customHeight="1" x14ac:dyDescent="0.25">
      <c r="A34" s="36">
        <f t="shared" si="4"/>
        <v>22</v>
      </c>
      <c r="B34" s="36">
        <f t="shared" si="3"/>
        <v>22</v>
      </c>
      <c r="C34" s="636" t="s">
        <v>1264</v>
      </c>
      <c r="D34" s="637"/>
      <c r="E34" s="867" t="s">
        <v>548</v>
      </c>
      <c r="F34" s="858"/>
      <c r="G34" s="502">
        <v>2104</v>
      </c>
      <c r="H34" s="847">
        <f t="shared" si="9"/>
        <v>3.0492753623188405E-3</v>
      </c>
      <c r="I34" s="502">
        <v>897.1</v>
      </c>
      <c r="J34" s="502">
        <v>242.5</v>
      </c>
      <c r="K34" s="112">
        <f t="shared" si="1"/>
        <v>964.40000000000009</v>
      </c>
      <c r="L34" s="69">
        <f t="shared" si="2"/>
        <v>0.45836501901140686</v>
      </c>
      <c r="M34" s="869"/>
      <c r="N34" s="876">
        <v>41821</v>
      </c>
      <c r="O34" s="143">
        <f t="shared" ca="1" si="5"/>
        <v>3.7421694691724365</v>
      </c>
      <c r="P34" s="16"/>
      <c r="Q34" s="4">
        <v>43281</v>
      </c>
      <c r="R34" s="16"/>
      <c r="S34" s="849">
        <f t="shared" ca="1" si="10"/>
        <v>3.2311242993735578</v>
      </c>
      <c r="T34" s="16"/>
      <c r="U34" s="850"/>
      <c r="V34" s="67"/>
      <c r="W34" s="16"/>
      <c r="X34" s="309">
        <f t="shared" si="8"/>
        <v>43281</v>
      </c>
      <c r="Y34" s="16"/>
      <c r="Z34" s="870" t="s">
        <v>519</v>
      </c>
      <c r="AA34" s="16"/>
      <c r="AB34" s="853"/>
      <c r="AC34" s="854"/>
      <c r="AD34" s="855"/>
      <c r="AE34" s="16"/>
      <c r="AF34" s="873"/>
      <c r="AG34" s="873"/>
      <c r="AH34" s="873"/>
      <c r="AI34" s="873"/>
      <c r="AJ34" s="873"/>
      <c r="AK34" s="873"/>
      <c r="AL34" s="873"/>
      <c r="AM34" s="873"/>
      <c r="AN34" s="873"/>
      <c r="AO34" s="872"/>
      <c r="AP34" s="870"/>
      <c r="AQ34" s="872"/>
      <c r="AR34" s="874"/>
      <c r="AS34" s="741"/>
      <c r="AT34" s="741"/>
      <c r="AU34" s="741"/>
      <c r="AV34" s="741"/>
      <c r="AW34" s="741"/>
      <c r="AX34" s="741"/>
      <c r="AY34" s="741"/>
      <c r="AZ34" s="741"/>
      <c r="BA34" s="741"/>
      <c r="BB34" s="741"/>
      <c r="BC34" s="741"/>
      <c r="BD34" s="741"/>
      <c r="BE34" s="741"/>
      <c r="BF34" s="741"/>
      <c r="BG34" s="741"/>
      <c r="BH34" s="741"/>
      <c r="BI34" s="741"/>
      <c r="BJ34" s="741"/>
      <c r="BK34" s="741"/>
      <c r="BL34" s="741"/>
      <c r="BM34" s="741"/>
      <c r="BN34" s="741"/>
      <c r="BO34" s="741"/>
      <c r="BP34" s="741"/>
      <c r="BQ34" s="741"/>
      <c r="BR34" s="741"/>
      <c r="BS34" s="741"/>
      <c r="BT34" s="741"/>
      <c r="BU34" s="741"/>
      <c r="BV34" s="741"/>
      <c r="BW34" s="741"/>
      <c r="BX34" s="741"/>
      <c r="BY34" s="741"/>
      <c r="BZ34" s="741"/>
      <c r="CA34" s="741"/>
      <c r="CB34" s="741"/>
      <c r="CC34" s="741"/>
      <c r="CD34" s="741"/>
      <c r="CE34" s="741"/>
      <c r="CF34" s="741"/>
      <c r="CG34" s="741"/>
      <c r="CH34" s="741"/>
      <c r="CI34" s="741"/>
      <c r="CJ34" s="741"/>
      <c r="CK34" s="741"/>
      <c r="CL34" s="741"/>
      <c r="CM34" s="741"/>
      <c r="CN34" s="741"/>
      <c r="CO34" s="741"/>
      <c r="CP34" s="741"/>
      <c r="CQ34" s="741"/>
      <c r="CR34" s="741"/>
      <c r="CS34" s="741"/>
      <c r="CT34" s="741"/>
      <c r="CU34" s="877"/>
      <c r="CV34" s="878"/>
      <c r="CW34" s="879"/>
      <c r="CX34" s="879"/>
      <c r="CY34" s="879"/>
      <c r="CZ34" s="880"/>
      <c r="DA34" s="878"/>
      <c r="DB34" s="879"/>
      <c r="DC34" s="879"/>
      <c r="DD34" s="879"/>
      <c r="DE34" s="880"/>
      <c r="DF34" s="878"/>
      <c r="DG34" s="879"/>
      <c r="DH34" s="879"/>
      <c r="DI34" s="879"/>
      <c r="DJ34" s="880"/>
      <c r="DK34" s="878"/>
      <c r="DL34" s="879"/>
      <c r="DM34" s="879"/>
      <c r="DN34" s="879"/>
      <c r="DO34" s="880"/>
    </row>
    <row r="35" spans="1:119" ht="18" customHeight="1" x14ac:dyDescent="0.25">
      <c r="A35" s="36">
        <f t="shared" si="4"/>
        <v>23</v>
      </c>
      <c r="B35" s="36">
        <f t="shared" si="3"/>
        <v>23</v>
      </c>
      <c r="C35" s="696" t="s">
        <v>1265</v>
      </c>
      <c r="D35" s="697"/>
      <c r="E35" s="867" t="s">
        <v>521</v>
      </c>
      <c r="F35" s="858"/>
      <c r="G35" s="502">
        <v>2005.4</v>
      </c>
      <c r="H35" s="847">
        <f t="shared" si="9"/>
        <v>2.9063768115942029E-3</v>
      </c>
      <c r="I35" s="502">
        <v>1270</v>
      </c>
      <c r="J35" s="502">
        <v>296</v>
      </c>
      <c r="K35" s="112">
        <f t="shared" si="1"/>
        <v>439.40000000000009</v>
      </c>
      <c r="L35" s="69">
        <f t="shared" si="2"/>
        <v>0.21910840730028924</v>
      </c>
      <c r="M35" s="869"/>
      <c r="N35" s="876">
        <v>41518</v>
      </c>
      <c r="O35" s="143">
        <f t="shared" ca="1" si="5"/>
        <v>4.5746785361028683</v>
      </c>
      <c r="P35" s="16"/>
      <c r="Q35" s="4">
        <v>42978</v>
      </c>
      <c r="R35" s="16"/>
      <c r="S35" s="849">
        <f t="shared" ca="1" si="10"/>
        <v>5.275304978569074</v>
      </c>
      <c r="T35" s="16"/>
      <c r="U35" s="850" t="s">
        <v>591</v>
      </c>
      <c r="V35" s="67">
        <v>12</v>
      </c>
      <c r="W35" s="16"/>
      <c r="X35" s="309">
        <f t="shared" si="8"/>
        <v>43343</v>
      </c>
      <c r="Y35" s="16"/>
      <c r="Z35" s="870" t="s">
        <v>135</v>
      </c>
      <c r="AA35" s="16"/>
      <c r="AB35" s="853" t="s">
        <v>1063</v>
      </c>
      <c r="AC35" s="854"/>
      <c r="AD35" s="855"/>
      <c r="AE35" s="16"/>
      <c r="AF35" s="873" t="s">
        <v>534</v>
      </c>
      <c r="AG35" s="873"/>
      <c r="AH35" s="873" t="s">
        <v>1089</v>
      </c>
      <c r="AI35" s="873" t="s">
        <v>1059</v>
      </c>
      <c r="AJ35" s="873"/>
      <c r="AK35" s="873"/>
      <c r="AL35" s="873"/>
      <c r="AM35" s="873"/>
      <c r="AN35" s="873"/>
      <c r="AO35" s="872"/>
      <c r="AP35" s="870"/>
      <c r="AQ35" s="872"/>
      <c r="AR35" s="874"/>
      <c r="AS35" s="741"/>
      <c r="AT35" s="741"/>
      <c r="AU35" s="741"/>
      <c r="AV35" s="741"/>
      <c r="AW35" s="741"/>
      <c r="AX35" s="741"/>
      <c r="AY35" s="741"/>
      <c r="AZ35" s="741"/>
      <c r="BA35" s="741"/>
      <c r="BB35" s="741"/>
      <c r="BC35" s="741"/>
      <c r="BD35" s="741"/>
      <c r="BE35" s="741"/>
      <c r="BF35" s="741"/>
      <c r="BG35" s="741"/>
      <c r="BH35" s="741"/>
      <c r="BI35" s="741"/>
      <c r="BJ35" s="741"/>
      <c r="BK35" s="741"/>
      <c r="BL35" s="741"/>
      <c r="BM35" s="741"/>
      <c r="BN35" s="741"/>
      <c r="BO35" s="741"/>
      <c r="BP35" s="741"/>
      <c r="BQ35" s="741"/>
      <c r="BR35" s="741"/>
      <c r="BS35" s="741"/>
      <c r="BT35" s="741"/>
      <c r="BU35" s="741"/>
      <c r="BV35" s="741"/>
      <c r="BW35" s="741"/>
      <c r="BX35" s="741"/>
      <c r="BY35" s="741"/>
      <c r="BZ35" s="741"/>
      <c r="CA35" s="741"/>
      <c r="CB35" s="741"/>
      <c r="CC35" s="741"/>
      <c r="CD35" s="741"/>
      <c r="CE35" s="741"/>
      <c r="CF35" s="741"/>
      <c r="CG35" s="741"/>
      <c r="CH35" s="741"/>
      <c r="CI35" s="741"/>
      <c r="CJ35" s="741"/>
      <c r="CK35" s="741"/>
      <c r="CL35" s="741"/>
      <c r="CM35" s="741"/>
      <c r="CN35" s="741"/>
      <c r="CO35" s="741"/>
      <c r="CP35" s="741"/>
      <c r="CQ35" s="741"/>
      <c r="CR35" s="741"/>
      <c r="CS35" s="741"/>
      <c r="CT35" s="741"/>
      <c r="CU35" s="877"/>
      <c r="CV35" s="878"/>
      <c r="CW35" s="879"/>
      <c r="CX35" s="879"/>
      <c r="CY35" s="879"/>
      <c r="CZ35" s="880"/>
      <c r="DA35" s="878"/>
      <c r="DB35" s="879"/>
      <c r="DC35" s="879"/>
      <c r="DD35" s="879"/>
      <c r="DE35" s="880"/>
      <c r="DF35" s="878"/>
      <c r="DG35" s="879"/>
      <c r="DH35" s="879"/>
      <c r="DI35" s="879"/>
      <c r="DJ35" s="880"/>
      <c r="DK35" s="878"/>
      <c r="DL35" s="879"/>
      <c r="DM35" s="879"/>
      <c r="DN35" s="879"/>
      <c r="DO35" s="880"/>
    </row>
    <row r="36" spans="1:119" ht="18" customHeight="1" x14ac:dyDescent="0.25">
      <c r="A36" s="36">
        <f t="shared" si="4"/>
        <v>24</v>
      </c>
      <c r="B36" s="36">
        <f t="shared" si="3"/>
        <v>24</v>
      </c>
      <c r="C36" s="675" t="s">
        <v>1266</v>
      </c>
      <c r="D36" s="676"/>
      <c r="E36" s="867" t="s">
        <v>547</v>
      </c>
      <c r="F36" s="868"/>
      <c r="G36" s="502">
        <v>1904</v>
      </c>
      <c r="H36" s="847">
        <f t="shared" si="9"/>
        <v>2.7594202898550725E-3</v>
      </c>
      <c r="I36" s="502">
        <v>1119.7</v>
      </c>
      <c r="J36" s="502">
        <v>0</v>
      </c>
      <c r="K36" s="112">
        <f t="shared" si="1"/>
        <v>784.3</v>
      </c>
      <c r="L36" s="69">
        <f t="shared" si="2"/>
        <v>0.41192226890756301</v>
      </c>
      <c r="M36" s="869"/>
      <c r="N36" s="875">
        <v>41760</v>
      </c>
      <c r="O36" s="143">
        <f t="shared" ca="1" si="5"/>
        <v>3.9097703044290584</v>
      </c>
      <c r="P36" s="16"/>
      <c r="Q36" s="4">
        <v>43100</v>
      </c>
      <c r="R36" s="16"/>
      <c r="S36" s="849">
        <f t="shared" ca="1" si="10"/>
        <v>9.2977250247279919</v>
      </c>
      <c r="T36" s="16"/>
      <c r="U36" s="850" t="s">
        <v>591</v>
      </c>
      <c r="V36" s="67">
        <v>12</v>
      </c>
      <c r="W36" s="16"/>
      <c r="X36" s="309">
        <f t="shared" si="8"/>
        <v>43465</v>
      </c>
      <c r="Y36" s="16"/>
      <c r="Z36" s="870" t="s">
        <v>551</v>
      </c>
      <c r="AA36" s="16"/>
      <c r="AB36" s="853" t="s">
        <v>1076</v>
      </c>
      <c r="AC36" s="854"/>
      <c r="AD36" s="855"/>
      <c r="AE36" s="16"/>
      <c r="AF36" s="873" t="s">
        <v>536</v>
      </c>
      <c r="AG36" s="873"/>
      <c r="AH36" s="873" t="s">
        <v>1090</v>
      </c>
      <c r="AI36" s="873" t="s">
        <v>1091</v>
      </c>
      <c r="AJ36" s="873"/>
      <c r="AK36" s="873"/>
      <c r="AL36" s="873"/>
      <c r="AM36" s="873"/>
      <c r="AN36" s="873"/>
      <c r="AO36" s="872"/>
      <c r="AP36" s="870"/>
      <c r="AQ36" s="872"/>
      <c r="AR36" s="874"/>
      <c r="AS36" s="741"/>
      <c r="AT36" s="741"/>
      <c r="AU36" s="741"/>
      <c r="AV36" s="741"/>
      <c r="AW36" s="741"/>
      <c r="AX36" s="741"/>
      <c r="AY36" s="741"/>
      <c r="AZ36" s="741"/>
      <c r="BA36" s="741"/>
      <c r="BB36" s="741"/>
      <c r="BC36" s="741"/>
      <c r="BD36" s="741"/>
      <c r="BE36" s="741"/>
      <c r="BF36" s="741"/>
      <c r="BG36" s="741"/>
      <c r="BH36" s="741"/>
      <c r="BI36" s="741"/>
      <c r="BJ36" s="741"/>
      <c r="BK36" s="741"/>
      <c r="BL36" s="741"/>
      <c r="BM36" s="741"/>
      <c r="BN36" s="741"/>
      <c r="BO36" s="741"/>
      <c r="BP36" s="741"/>
      <c r="BQ36" s="741"/>
      <c r="BR36" s="741"/>
      <c r="BS36" s="741"/>
      <c r="BT36" s="741"/>
      <c r="BU36" s="741"/>
      <c r="BV36" s="741"/>
      <c r="BW36" s="741"/>
      <c r="BX36" s="741"/>
      <c r="BY36" s="741"/>
      <c r="BZ36" s="741"/>
      <c r="CA36" s="741"/>
      <c r="CB36" s="741"/>
      <c r="CC36" s="741"/>
      <c r="CD36" s="741"/>
      <c r="CE36" s="741"/>
      <c r="CF36" s="741"/>
      <c r="CG36" s="741"/>
      <c r="CH36" s="741"/>
      <c r="CI36" s="741"/>
      <c r="CJ36" s="741"/>
      <c r="CK36" s="741"/>
      <c r="CL36" s="741"/>
      <c r="CM36" s="741"/>
      <c r="CN36" s="741"/>
      <c r="CO36" s="741"/>
      <c r="CP36" s="741"/>
      <c r="CQ36" s="741"/>
      <c r="CR36" s="741"/>
      <c r="CS36" s="741"/>
      <c r="CT36" s="741"/>
      <c r="CU36" s="877"/>
      <c r="CV36" s="878"/>
      <c r="CW36" s="879"/>
      <c r="CX36" s="879"/>
      <c r="CY36" s="879"/>
      <c r="CZ36" s="880"/>
      <c r="DA36" s="878"/>
      <c r="DB36" s="879"/>
      <c r="DC36" s="879"/>
      <c r="DD36" s="879"/>
      <c r="DE36" s="880"/>
      <c r="DF36" s="878"/>
      <c r="DG36" s="879"/>
      <c r="DH36" s="879"/>
      <c r="DI36" s="879"/>
      <c r="DJ36" s="880"/>
      <c r="DK36" s="878"/>
      <c r="DL36" s="879"/>
      <c r="DM36" s="879"/>
      <c r="DN36" s="879"/>
      <c r="DO36" s="880"/>
    </row>
    <row r="37" spans="1:119" ht="18" customHeight="1" x14ac:dyDescent="0.25">
      <c r="A37" s="36">
        <f t="shared" si="4"/>
        <v>25</v>
      </c>
      <c r="B37" s="36">
        <f t="shared" si="3"/>
        <v>25</v>
      </c>
      <c r="C37" s="708" t="s">
        <v>1267</v>
      </c>
      <c r="D37" s="709"/>
      <c r="E37" s="867" t="s">
        <v>580</v>
      </c>
      <c r="F37" s="858"/>
      <c r="G37" s="502">
        <v>1869</v>
      </c>
      <c r="H37" s="847">
        <f t="shared" si="9"/>
        <v>2.7086956521739131E-3</v>
      </c>
      <c r="I37" s="502">
        <v>1032.4000000000001</v>
      </c>
      <c r="J37" s="502">
        <v>0</v>
      </c>
      <c r="K37" s="112">
        <f t="shared" si="1"/>
        <v>836.59999999999991</v>
      </c>
      <c r="L37" s="69">
        <f t="shared" si="2"/>
        <v>0.44761904761904758</v>
      </c>
      <c r="M37" s="869"/>
      <c r="N37" s="875">
        <v>40688</v>
      </c>
      <c r="O37" s="143">
        <f t="shared" ca="1" si="5"/>
        <v>6.8551489174634588</v>
      </c>
      <c r="P37" s="16"/>
      <c r="Q37" s="4">
        <v>42855</v>
      </c>
      <c r="R37" s="16"/>
      <c r="S37" s="849">
        <f t="shared" ca="1" si="10"/>
        <v>1.2199142762940984</v>
      </c>
      <c r="T37" s="16"/>
      <c r="U37" s="850" t="s">
        <v>591</v>
      </c>
      <c r="V37" s="67">
        <v>12</v>
      </c>
      <c r="W37" s="16"/>
      <c r="X37" s="309">
        <f t="shared" si="8"/>
        <v>43220</v>
      </c>
      <c r="Y37" s="16"/>
      <c r="Z37" s="894" t="s">
        <v>519</v>
      </c>
      <c r="AA37" s="16"/>
      <c r="AB37" s="853" t="s">
        <v>1063</v>
      </c>
      <c r="AC37" s="854"/>
      <c r="AD37" s="855"/>
      <c r="AE37" s="16"/>
      <c r="AF37" s="873"/>
      <c r="AG37" s="873"/>
      <c r="AH37" s="873"/>
      <c r="AI37" s="873"/>
      <c r="AJ37" s="873"/>
      <c r="AK37" s="873"/>
      <c r="AL37" s="873"/>
      <c r="AM37" s="873"/>
      <c r="AN37" s="873"/>
      <c r="AO37" s="872"/>
      <c r="AP37" s="870"/>
      <c r="AQ37" s="872"/>
      <c r="AR37" s="874"/>
      <c r="AS37" s="879"/>
      <c r="AT37" s="879"/>
      <c r="AU37" s="892"/>
      <c r="AV37" s="879"/>
      <c r="AW37" s="879"/>
      <c r="AX37" s="879"/>
      <c r="AY37" s="879"/>
      <c r="AZ37" s="892"/>
      <c r="BA37" s="879"/>
      <c r="BB37" s="879"/>
      <c r="BC37" s="879"/>
      <c r="BD37" s="879"/>
      <c r="BE37" s="892"/>
      <c r="BF37" s="879"/>
      <c r="BG37" s="879"/>
      <c r="BH37" s="879"/>
      <c r="BI37" s="879"/>
      <c r="BJ37" s="892"/>
      <c r="BK37" s="879"/>
      <c r="BL37" s="879"/>
      <c r="BM37" s="879"/>
      <c r="BN37" s="879"/>
      <c r="BO37" s="892"/>
      <c r="BP37" s="879"/>
      <c r="BQ37" s="879"/>
      <c r="BR37" s="879"/>
      <c r="BS37" s="879"/>
      <c r="BT37" s="892"/>
      <c r="BU37" s="879"/>
      <c r="BV37" s="879"/>
      <c r="BW37" s="879"/>
      <c r="BX37" s="879"/>
      <c r="BY37" s="892"/>
      <c r="BZ37" s="879"/>
      <c r="CA37" s="879"/>
      <c r="CB37" s="879"/>
      <c r="CC37" s="879"/>
      <c r="CD37" s="892"/>
      <c r="CE37" s="879"/>
      <c r="CF37" s="879"/>
      <c r="CG37" s="879"/>
      <c r="CH37" s="879"/>
      <c r="CI37" s="892"/>
      <c r="CJ37" s="879"/>
      <c r="CK37" s="879"/>
      <c r="CL37" s="879"/>
      <c r="CM37" s="879"/>
      <c r="CN37" s="892"/>
      <c r="CO37" s="879"/>
      <c r="CP37" s="879"/>
      <c r="CQ37" s="879"/>
      <c r="CR37" s="879"/>
      <c r="CS37" s="892"/>
      <c r="CT37" s="879"/>
      <c r="CU37" s="893"/>
      <c r="CV37" s="878"/>
      <c r="CW37" s="879"/>
      <c r="CX37" s="879"/>
      <c r="CY37" s="879"/>
      <c r="CZ37" s="880"/>
      <c r="DA37" s="878"/>
      <c r="DB37" s="879"/>
      <c r="DC37" s="879"/>
      <c r="DD37" s="879"/>
      <c r="DE37" s="880"/>
      <c r="DF37" s="878"/>
      <c r="DG37" s="879"/>
      <c r="DH37" s="879"/>
      <c r="DI37" s="879"/>
      <c r="DJ37" s="880"/>
      <c r="DK37" s="878"/>
      <c r="DL37" s="879"/>
      <c r="DM37" s="879"/>
      <c r="DN37" s="879"/>
      <c r="DO37" s="880"/>
    </row>
    <row r="38" spans="1:119" ht="18" customHeight="1" x14ac:dyDescent="0.25">
      <c r="A38" s="36">
        <f t="shared" si="4"/>
        <v>26</v>
      </c>
      <c r="B38" s="36">
        <f t="shared" si="3"/>
        <v>26</v>
      </c>
      <c r="C38" s="636" t="s">
        <v>1268</v>
      </c>
      <c r="D38" s="637"/>
      <c r="E38" s="844" t="s">
        <v>580</v>
      </c>
      <c r="F38" s="845"/>
      <c r="G38" s="846">
        <v>1864</v>
      </c>
      <c r="H38" s="847">
        <f t="shared" si="9"/>
        <v>2.7014492753623187E-3</v>
      </c>
      <c r="I38" s="502">
        <v>1306.2</v>
      </c>
      <c r="J38" s="502">
        <v>513.79999999999995</v>
      </c>
      <c r="K38" s="112">
        <f t="shared" si="1"/>
        <v>44</v>
      </c>
      <c r="L38" s="69">
        <f t="shared" si="2"/>
        <v>2.3605150214592276E-2</v>
      </c>
      <c r="M38" s="831"/>
      <c r="N38" s="864"/>
      <c r="O38" s="143">
        <f t="shared" ca="1" si="5"/>
        <v>118.64765358830641</v>
      </c>
      <c r="P38" s="14"/>
      <c r="Q38" s="4">
        <v>43191</v>
      </c>
      <c r="R38" s="14"/>
      <c r="S38" s="849">
        <f t="shared" ca="1" si="10"/>
        <v>0.26376524892845371</v>
      </c>
      <c r="T38" s="14"/>
      <c r="U38" s="850" t="s">
        <v>591</v>
      </c>
      <c r="V38" s="67"/>
      <c r="W38" s="14"/>
      <c r="X38" s="309">
        <f t="shared" si="8"/>
        <v>43191</v>
      </c>
      <c r="Y38" s="14"/>
      <c r="Z38" s="2" t="s">
        <v>552</v>
      </c>
      <c r="AA38" s="14"/>
      <c r="AB38" s="853"/>
      <c r="AC38" s="854"/>
      <c r="AD38" s="855"/>
      <c r="AE38" s="14"/>
      <c r="AF38" s="3" t="s">
        <v>536</v>
      </c>
      <c r="AG38" s="3"/>
      <c r="AH38" s="873" t="s">
        <v>1092</v>
      </c>
      <c r="AI38" s="2" t="s">
        <v>1093</v>
      </c>
      <c r="AJ38" s="3"/>
      <c r="AK38" s="3"/>
      <c r="AL38" s="3"/>
      <c r="AM38" s="3"/>
      <c r="AN38" s="873"/>
      <c r="AO38" s="872"/>
      <c r="AP38" s="870"/>
      <c r="AQ38" s="872"/>
      <c r="AR38" s="874"/>
      <c r="AS38" s="655"/>
      <c r="AT38" s="656"/>
      <c r="AU38" s="659"/>
      <c r="AV38" s="656"/>
      <c r="AW38" s="657"/>
      <c r="AX38" s="655"/>
      <c r="AY38" s="656"/>
      <c r="AZ38" s="659"/>
      <c r="BA38" s="656"/>
      <c r="BB38" s="657"/>
      <c r="BC38" s="655"/>
      <c r="BD38" s="656"/>
      <c r="BE38" s="659"/>
      <c r="BF38" s="656"/>
      <c r="BG38" s="657"/>
      <c r="BH38" s="655"/>
      <c r="BI38" s="656"/>
      <c r="BJ38" s="659"/>
      <c r="BK38" s="656"/>
      <c r="BL38" s="657"/>
      <c r="BM38" s="655"/>
      <c r="BN38" s="656"/>
      <c r="BO38" s="659"/>
      <c r="BP38" s="656"/>
      <c r="BQ38" s="657"/>
      <c r="BR38" s="655"/>
      <c r="BS38" s="656"/>
      <c r="BT38" s="659"/>
      <c r="BU38" s="656"/>
      <c r="BV38" s="657"/>
      <c r="BW38" s="655"/>
      <c r="BX38" s="656"/>
      <c r="BY38" s="659"/>
      <c r="BZ38" s="656"/>
      <c r="CA38" s="657"/>
      <c r="CB38" s="655"/>
      <c r="CC38" s="656"/>
      <c r="CD38" s="659"/>
      <c r="CE38" s="656"/>
      <c r="CF38" s="657"/>
      <c r="CG38" s="655"/>
      <c r="CH38" s="656"/>
      <c r="CI38" s="659"/>
      <c r="CJ38" s="656"/>
      <c r="CK38" s="657"/>
      <c r="CL38" s="655"/>
      <c r="CM38" s="656"/>
      <c r="CN38" s="659"/>
      <c r="CO38" s="656"/>
      <c r="CP38" s="657"/>
      <c r="CQ38" s="655"/>
      <c r="CR38" s="656"/>
      <c r="CS38" s="659"/>
      <c r="CT38" s="656"/>
      <c r="CU38" s="657"/>
      <c r="CV38" s="655"/>
      <c r="CW38" s="656"/>
      <c r="CX38" s="659"/>
      <c r="CY38" s="656"/>
      <c r="CZ38" s="657"/>
      <c r="DA38" s="655"/>
      <c r="DB38" s="656"/>
      <c r="DC38" s="659"/>
      <c r="DD38" s="656"/>
      <c r="DE38" s="657"/>
      <c r="DF38" s="655"/>
      <c r="DG38" s="656"/>
      <c r="DH38" s="659"/>
      <c r="DI38" s="656"/>
      <c r="DJ38" s="657"/>
      <c r="DK38" s="655"/>
      <c r="DL38" s="656"/>
      <c r="DM38" s="659"/>
      <c r="DN38" s="656"/>
      <c r="DO38" s="657"/>
    </row>
    <row r="39" spans="1:119" ht="18" customHeight="1" x14ac:dyDescent="0.25">
      <c r="A39" s="36">
        <f t="shared" si="4"/>
        <v>27</v>
      </c>
      <c r="B39" s="36">
        <f t="shared" si="3"/>
        <v>27</v>
      </c>
      <c r="C39" s="636" t="s">
        <v>1269</v>
      </c>
      <c r="D39" s="637"/>
      <c r="E39" s="933" t="s">
        <v>580</v>
      </c>
      <c r="F39" s="910"/>
      <c r="G39" s="897">
        <v>1741</v>
      </c>
      <c r="H39" s="847">
        <f t="shared" si="9"/>
        <v>2.5231884057971016E-3</v>
      </c>
      <c r="I39" s="897">
        <v>1247.5999999999999</v>
      </c>
      <c r="J39" s="897">
        <v>17.3</v>
      </c>
      <c r="K39" s="112">
        <f t="shared" si="1"/>
        <v>476.10000000000008</v>
      </c>
      <c r="L39" s="69">
        <f t="shared" si="2"/>
        <v>0.2734635267087881</v>
      </c>
      <c r="M39" s="831"/>
      <c r="N39" s="864"/>
      <c r="O39" s="143">
        <f t="shared" ca="1" si="5"/>
        <v>118.64765358830641</v>
      </c>
      <c r="P39" s="14"/>
      <c r="Q39" s="934"/>
      <c r="R39" s="14"/>
      <c r="S39" s="849">
        <f t="shared" ca="1" si="10"/>
        <v>-1423.7718430596769</v>
      </c>
      <c r="T39" s="14"/>
      <c r="U39" s="935"/>
      <c r="V39" s="899"/>
      <c r="W39" s="14"/>
      <c r="X39" s="900">
        <f t="shared" si="8"/>
        <v>0</v>
      </c>
      <c r="Y39" s="14"/>
      <c r="Z39" s="935" t="s">
        <v>551</v>
      </c>
      <c r="AA39" s="14"/>
      <c r="AB39" s="853"/>
      <c r="AC39" s="854"/>
      <c r="AD39" s="855"/>
      <c r="AE39" s="14"/>
      <c r="AF39" s="935" t="s">
        <v>534</v>
      </c>
      <c r="AG39" s="935"/>
      <c r="AH39" s="873" t="s">
        <v>1094</v>
      </c>
      <c r="AI39" s="935"/>
      <c r="AJ39" s="935"/>
      <c r="AK39" s="935"/>
      <c r="AL39" s="935"/>
      <c r="AM39" s="935"/>
      <c r="AN39" s="375"/>
      <c r="AO39" s="936"/>
      <c r="AP39" s="937"/>
      <c r="AQ39" s="936"/>
      <c r="AR39" s="874"/>
      <c r="AS39" s="904"/>
      <c r="AT39" s="904"/>
      <c r="AU39" s="905"/>
      <c r="AV39" s="904"/>
      <c r="AW39" s="904"/>
      <c r="AX39" s="904"/>
      <c r="AY39" s="904"/>
      <c r="AZ39" s="905"/>
      <c r="BA39" s="904"/>
      <c r="BB39" s="904"/>
      <c r="BC39" s="904"/>
      <c r="BD39" s="904"/>
      <c r="BE39" s="905"/>
      <c r="BF39" s="904"/>
      <c r="BG39" s="904"/>
      <c r="BH39" s="904"/>
      <c r="BI39" s="904"/>
      <c r="BJ39" s="905"/>
      <c r="BK39" s="904"/>
      <c r="BL39" s="904"/>
      <c r="BM39" s="904"/>
      <c r="BN39" s="904"/>
      <c r="BO39" s="905"/>
      <c r="BP39" s="904"/>
      <c r="BQ39" s="904"/>
      <c r="BR39" s="904"/>
      <c r="BS39" s="904"/>
      <c r="BT39" s="905"/>
      <c r="BU39" s="904"/>
      <c r="BV39" s="904"/>
      <c r="BW39" s="904"/>
      <c r="BX39" s="904"/>
      <c r="BY39" s="905"/>
      <c r="BZ39" s="904"/>
      <c r="CA39" s="904"/>
      <c r="CB39" s="904"/>
      <c r="CC39" s="904"/>
      <c r="CD39" s="905"/>
      <c r="CE39" s="904"/>
      <c r="CF39" s="904"/>
      <c r="CG39" s="904"/>
      <c r="CH39" s="904"/>
      <c r="CI39" s="905"/>
      <c r="CJ39" s="904"/>
      <c r="CK39" s="904"/>
      <c r="CL39" s="904"/>
      <c r="CM39" s="904"/>
      <c r="CN39" s="905"/>
      <c r="CO39" s="904"/>
      <c r="CP39" s="904"/>
      <c r="CQ39" s="904"/>
      <c r="CR39" s="904"/>
      <c r="CS39" s="905"/>
      <c r="CT39" s="904"/>
      <c r="CU39" s="906"/>
      <c r="CV39" s="907"/>
      <c r="CW39" s="904"/>
      <c r="CX39" s="905"/>
      <c r="CY39" s="904"/>
      <c r="CZ39" s="908"/>
      <c r="DA39" s="907"/>
      <c r="DB39" s="904"/>
      <c r="DC39" s="905"/>
      <c r="DD39" s="904"/>
      <c r="DE39" s="908"/>
      <c r="DF39" s="907"/>
      <c r="DG39" s="904"/>
      <c r="DH39" s="905"/>
      <c r="DI39" s="904"/>
      <c r="DJ39" s="908"/>
      <c r="DK39" s="907"/>
      <c r="DL39" s="904"/>
      <c r="DM39" s="905"/>
      <c r="DN39" s="904"/>
      <c r="DO39" s="908"/>
    </row>
    <row r="40" spans="1:119" s="14" customFormat="1" ht="18" customHeight="1" x14ac:dyDescent="0.25">
      <c r="A40" s="36">
        <f t="shared" si="4"/>
        <v>28</v>
      </c>
      <c r="B40" s="36">
        <f t="shared" si="3"/>
        <v>28</v>
      </c>
      <c r="C40" s="636" t="s">
        <v>1270</v>
      </c>
      <c r="D40" s="637"/>
      <c r="E40" s="867" t="s">
        <v>548</v>
      </c>
      <c r="F40" s="858"/>
      <c r="G40" s="502">
        <v>1738</v>
      </c>
      <c r="H40" s="847">
        <f t="shared" si="9"/>
        <v>2.518840579710145E-3</v>
      </c>
      <c r="I40" s="502">
        <v>1031.4000000000001</v>
      </c>
      <c r="J40" s="502">
        <v>181.8</v>
      </c>
      <c r="K40" s="112">
        <f t="shared" si="1"/>
        <v>524.79999999999995</v>
      </c>
      <c r="L40" s="69">
        <f t="shared" si="2"/>
        <v>0.30195627157652472</v>
      </c>
      <c r="M40" s="869"/>
      <c r="N40" s="864"/>
      <c r="O40" s="143">
        <f t="shared" ca="1" si="5"/>
        <v>118.64765358830641</v>
      </c>
      <c r="P40" s="16"/>
      <c r="Q40" s="4"/>
      <c r="R40" s="16"/>
      <c r="S40" s="849">
        <f t="shared" ca="1" si="10"/>
        <v>-1423.7718430596769</v>
      </c>
      <c r="T40" s="16"/>
      <c r="U40" s="850"/>
      <c r="V40" s="67"/>
      <c r="W40" s="16"/>
      <c r="X40" s="309">
        <f t="shared" si="8"/>
        <v>0</v>
      </c>
      <c r="Y40" s="16"/>
      <c r="Z40" s="894" t="s">
        <v>519</v>
      </c>
      <c r="AA40" s="16"/>
      <c r="AB40" s="853"/>
      <c r="AC40" s="854"/>
      <c r="AD40" s="855"/>
      <c r="AE40" s="16"/>
      <c r="AF40" s="873"/>
      <c r="AG40" s="873"/>
      <c r="AH40" s="873"/>
      <c r="AI40" s="873"/>
      <c r="AJ40" s="873"/>
      <c r="AK40" s="873"/>
      <c r="AL40" s="873"/>
      <c r="AM40" s="873"/>
      <c r="AN40" s="866"/>
      <c r="AO40" s="851"/>
      <c r="AP40" s="852"/>
      <c r="AQ40" s="851"/>
      <c r="AR40" s="842"/>
      <c r="AS40" s="688"/>
      <c r="AT40" s="689"/>
      <c r="AU40" s="692"/>
      <c r="AV40" s="689"/>
      <c r="AW40" s="690"/>
      <c r="AX40" s="688"/>
      <c r="AY40" s="689"/>
      <c r="AZ40" s="692"/>
      <c r="BA40" s="689"/>
      <c r="BB40" s="690"/>
      <c r="BC40" s="688"/>
      <c r="BD40" s="689"/>
      <c r="BE40" s="692"/>
      <c r="BF40" s="689"/>
      <c r="BG40" s="690"/>
      <c r="BH40" s="688"/>
      <c r="BI40" s="689"/>
      <c r="BJ40" s="692"/>
      <c r="BK40" s="689"/>
      <c r="BL40" s="690"/>
      <c r="BM40" s="688"/>
      <c r="BN40" s="689"/>
      <c r="BO40" s="692"/>
      <c r="BP40" s="689"/>
      <c r="BQ40" s="690"/>
      <c r="BR40" s="688"/>
      <c r="BS40" s="689"/>
      <c r="BT40" s="692"/>
      <c r="BU40" s="689"/>
      <c r="BV40" s="690"/>
      <c r="BW40" s="688"/>
      <c r="BX40" s="689"/>
      <c r="BY40" s="692"/>
      <c r="BZ40" s="689"/>
      <c r="CA40" s="690"/>
      <c r="CB40" s="688"/>
      <c r="CC40" s="689"/>
      <c r="CD40" s="692"/>
      <c r="CE40" s="689"/>
      <c r="CF40" s="690"/>
      <c r="CG40" s="688"/>
      <c r="CH40" s="689"/>
      <c r="CI40" s="692"/>
      <c r="CJ40" s="689"/>
      <c r="CK40" s="690"/>
      <c r="CL40" s="688"/>
      <c r="CM40" s="689"/>
      <c r="CN40" s="692"/>
      <c r="CO40" s="689"/>
      <c r="CP40" s="690"/>
      <c r="CQ40" s="688"/>
      <c r="CR40" s="689"/>
      <c r="CS40" s="692"/>
      <c r="CT40" s="689"/>
      <c r="CU40" s="690"/>
      <c r="CV40" s="688"/>
      <c r="CW40" s="689"/>
      <c r="CX40" s="692"/>
      <c r="CY40" s="689"/>
      <c r="CZ40" s="690"/>
      <c r="DA40" s="688"/>
      <c r="DB40" s="689"/>
      <c r="DC40" s="692"/>
      <c r="DD40" s="689"/>
      <c r="DE40" s="690"/>
      <c r="DF40" s="688"/>
      <c r="DG40" s="689"/>
      <c r="DH40" s="689"/>
      <c r="DI40" s="689"/>
      <c r="DJ40" s="690"/>
      <c r="DK40" s="688"/>
      <c r="DL40" s="689"/>
      <c r="DM40" s="689"/>
      <c r="DN40" s="689"/>
      <c r="DO40" s="690"/>
    </row>
    <row r="41" spans="1:119" s="14" customFormat="1" ht="18" customHeight="1" x14ac:dyDescent="0.25">
      <c r="A41" s="36">
        <f t="shared" si="4"/>
        <v>29</v>
      </c>
      <c r="B41" s="36">
        <f t="shared" si="3"/>
        <v>29</v>
      </c>
      <c r="C41" s="636" t="s">
        <v>1271</v>
      </c>
      <c r="D41" s="637"/>
      <c r="E41" s="867" t="s">
        <v>547</v>
      </c>
      <c r="F41" s="858"/>
      <c r="G41" s="502">
        <v>1700</v>
      </c>
      <c r="H41" s="847">
        <f t="shared" si="9"/>
        <v>2.4637681159420288E-3</v>
      </c>
      <c r="I41" s="502">
        <v>900</v>
      </c>
      <c r="J41" s="502">
        <v>181.4</v>
      </c>
      <c r="K41" s="112">
        <f t="shared" si="1"/>
        <v>618.6</v>
      </c>
      <c r="L41" s="69">
        <f t="shared" si="2"/>
        <v>0.36388235294117649</v>
      </c>
      <c r="M41" s="869"/>
      <c r="N41" s="876">
        <v>39204</v>
      </c>
      <c r="O41" s="143">
        <f t="shared" ca="1" si="5"/>
        <v>10.932520057149139</v>
      </c>
      <c r="P41" s="16"/>
      <c r="Q41" s="4">
        <v>42886</v>
      </c>
      <c r="R41" s="16"/>
      <c r="S41" s="849">
        <f t="shared" ca="1" si="10"/>
        <v>2.2420046158918563</v>
      </c>
      <c r="T41" s="16"/>
      <c r="U41" s="850" t="s">
        <v>591</v>
      </c>
      <c r="V41" s="67">
        <v>12</v>
      </c>
      <c r="W41" s="16"/>
      <c r="X41" s="309">
        <f t="shared" si="8"/>
        <v>43251</v>
      </c>
      <c r="Y41" s="16"/>
      <c r="Z41" s="870" t="s">
        <v>519</v>
      </c>
      <c r="AA41" s="16"/>
      <c r="AB41" s="853" t="s">
        <v>1070</v>
      </c>
      <c r="AC41" s="854"/>
      <c r="AD41" s="855"/>
      <c r="AE41" s="16"/>
      <c r="AF41" s="873"/>
      <c r="AG41" s="873"/>
      <c r="AH41" s="873"/>
      <c r="AI41" s="873"/>
      <c r="AJ41" s="873"/>
      <c r="AK41" s="873"/>
      <c r="AL41" s="873"/>
      <c r="AM41" s="873"/>
      <c r="AN41" s="873"/>
      <c r="AO41" s="872"/>
      <c r="AP41" s="870"/>
      <c r="AQ41" s="872"/>
      <c r="AR41" s="842"/>
      <c r="AS41" s="668"/>
      <c r="AT41" s="669"/>
      <c r="AU41" s="672"/>
      <c r="AV41" s="669"/>
      <c r="AW41" s="670"/>
      <c r="AX41" s="668"/>
      <c r="AY41" s="669"/>
      <c r="AZ41" s="672"/>
      <c r="BA41" s="669"/>
      <c r="BB41" s="670"/>
      <c r="BC41" s="668"/>
      <c r="BD41" s="669"/>
      <c r="BE41" s="672"/>
      <c r="BF41" s="669"/>
      <c r="BG41" s="670"/>
      <c r="BH41" s="668"/>
      <c r="BI41" s="669"/>
      <c r="BJ41" s="672"/>
      <c r="BK41" s="669"/>
      <c r="BL41" s="670"/>
      <c r="BM41" s="668"/>
      <c r="BN41" s="669"/>
      <c r="BO41" s="672"/>
      <c r="BP41" s="669"/>
      <c r="BQ41" s="670"/>
      <c r="BR41" s="668"/>
      <c r="BS41" s="669"/>
      <c r="BT41" s="672"/>
      <c r="BU41" s="669"/>
      <c r="BV41" s="670"/>
      <c r="BW41" s="668"/>
      <c r="BX41" s="669"/>
      <c r="BY41" s="672"/>
      <c r="BZ41" s="669"/>
      <c r="CA41" s="670"/>
      <c r="CB41" s="668"/>
      <c r="CC41" s="669"/>
      <c r="CD41" s="672"/>
      <c r="CE41" s="669"/>
      <c r="CF41" s="670"/>
      <c r="CG41" s="668"/>
      <c r="CH41" s="669"/>
      <c r="CI41" s="672"/>
      <c r="CJ41" s="669"/>
      <c r="CK41" s="670"/>
      <c r="CL41" s="668"/>
      <c r="CM41" s="669"/>
      <c r="CN41" s="672"/>
      <c r="CO41" s="669"/>
      <c r="CP41" s="670"/>
      <c r="CQ41" s="668"/>
      <c r="CR41" s="669"/>
      <c r="CS41" s="672"/>
      <c r="CT41" s="669"/>
      <c r="CU41" s="670"/>
      <c r="CV41" s="668"/>
      <c r="CW41" s="669"/>
      <c r="CX41" s="672"/>
      <c r="CY41" s="669"/>
      <c r="CZ41" s="670"/>
      <c r="DA41" s="668"/>
      <c r="DB41" s="669"/>
      <c r="DC41" s="672"/>
      <c r="DD41" s="669"/>
      <c r="DE41" s="670"/>
      <c r="DF41" s="668"/>
      <c r="DG41" s="669"/>
      <c r="DH41" s="669"/>
      <c r="DI41" s="669"/>
      <c r="DJ41" s="670"/>
      <c r="DK41" s="668"/>
      <c r="DL41" s="669"/>
      <c r="DM41" s="669"/>
      <c r="DN41" s="669"/>
      <c r="DO41" s="670"/>
    </row>
    <row r="42" spans="1:119" ht="18" customHeight="1" x14ac:dyDescent="0.25">
      <c r="A42" s="36">
        <f t="shared" si="4"/>
        <v>30</v>
      </c>
      <c r="B42" s="36">
        <f t="shared" si="3"/>
        <v>30</v>
      </c>
      <c r="C42" s="636" t="s">
        <v>1272</v>
      </c>
      <c r="D42" s="637"/>
      <c r="E42" s="909" t="s">
        <v>547</v>
      </c>
      <c r="F42" s="910"/>
      <c r="G42" s="897">
        <v>1700</v>
      </c>
      <c r="H42" s="847">
        <f t="shared" si="9"/>
        <v>2.4637681159420288E-3</v>
      </c>
      <c r="I42" s="897">
        <v>900</v>
      </c>
      <c r="J42" s="897">
        <v>181.4</v>
      </c>
      <c r="K42" s="112">
        <f t="shared" si="1"/>
        <v>618.6</v>
      </c>
      <c r="L42" s="69">
        <f t="shared" si="2"/>
        <v>0.36388235294117649</v>
      </c>
      <c r="M42" s="869"/>
      <c r="N42" s="876">
        <v>39205</v>
      </c>
      <c r="O42" s="143">
        <f t="shared" ca="1" si="5"/>
        <v>10.929772502472801</v>
      </c>
      <c r="P42" s="16"/>
      <c r="Q42" s="374">
        <v>42886</v>
      </c>
      <c r="R42" s="16"/>
      <c r="S42" s="849"/>
      <c r="T42" s="16"/>
      <c r="U42" s="898" t="s">
        <v>591</v>
      </c>
      <c r="V42" s="899">
        <v>12</v>
      </c>
      <c r="W42" s="16"/>
      <c r="X42" s="309">
        <f t="shared" si="8"/>
        <v>43251</v>
      </c>
      <c r="Y42" s="16"/>
      <c r="Z42" s="903" t="s">
        <v>519</v>
      </c>
      <c r="AA42" s="16"/>
      <c r="AB42" s="859"/>
      <c r="AC42" s="860"/>
      <c r="AD42" s="861"/>
      <c r="AE42" s="16"/>
      <c r="AF42" s="901"/>
      <c r="AG42" s="901"/>
      <c r="AH42" s="873"/>
      <c r="AI42" s="901"/>
      <c r="AJ42" s="901"/>
      <c r="AK42" s="901"/>
      <c r="AL42" s="901"/>
      <c r="AM42" s="901"/>
      <c r="AN42" s="901"/>
      <c r="AO42" s="902"/>
      <c r="AP42" s="903"/>
      <c r="AQ42" s="902"/>
      <c r="AR42" s="874"/>
      <c r="AS42" s="904"/>
      <c r="AT42" s="904"/>
      <c r="AU42" s="905"/>
      <c r="AV42" s="904"/>
      <c r="AW42" s="904"/>
      <c r="AX42" s="904"/>
      <c r="AY42" s="904"/>
      <c r="AZ42" s="905"/>
      <c r="BA42" s="904"/>
      <c r="BB42" s="904"/>
      <c r="BC42" s="904"/>
      <c r="BD42" s="904"/>
      <c r="BE42" s="905"/>
      <c r="BF42" s="904"/>
      <c r="BG42" s="904"/>
      <c r="BH42" s="904"/>
      <c r="BI42" s="904"/>
      <c r="BJ42" s="905"/>
      <c r="BK42" s="904"/>
      <c r="BL42" s="904"/>
      <c r="BM42" s="904"/>
      <c r="BN42" s="904"/>
      <c r="BO42" s="905"/>
      <c r="BP42" s="904"/>
      <c r="BQ42" s="904"/>
      <c r="BR42" s="904"/>
      <c r="BS42" s="904"/>
      <c r="BT42" s="905"/>
      <c r="BU42" s="904"/>
      <c r="BV42" s="904"/>
      <c r="BW42" s="904"/>
      <c r="BX42" s="904"/>
      <c r="BY42" s="905"/>
      <c r="BZ42" s="904"/>
      <c r="CA42" s="904"/>
      <c r="CB42" s="904"/>
      <c r="CC42" s="904"/>
      <c r="CD42" s="905"/>
      <c r="CE42" s="904"/>
      <c r="CF42" s="904"/>
      <c r="CG42" s="904"/>
      <c r="CH42" s="904"/>
      <c r="CI42" s="905"/>
      <c r="CJ42" s="904"/>
      <c r="CK42" s="904"/>
      <c r="CL42" s="904"/>
      <c r="CM42" s="904"/>
      <c r="CN42" s="905"/>
      <c r="CO42" s="904"/>
      <c r="CP42" s="904"/>
      <c r="CQ42" s="904"/>
      <c r="CR42" s="904"/>
      <c r="CS42" s="905"/>
      <c r="CT42" s="904"/>
      <c r="CU42" s="906"/>
      <c r="CV42" s="907"/>
      <c r="CW42" s="904"/>
      <c r="CX42" s="905"/>
      <c r="CY42" s="904"/>
      <c r="CZ42" s="908"/>
      <c r="DA42" s="907"/>
      <c r="DB42" s="904"/>
      <c r="DC42" s="905"/>
      <c r="DD42" s="904"/>
      <c r="DE42" s="908"/>
      <c r="DF42" s="907"/>
      <c r="DG42" s="904"/>
      <c r="DH42" s="905"/>
      <c r="DI42" s="904"/>
      <c r="DJ42" s="908"/>
      <c r="DK42" s="907"/>
      <c r="DL42" s="904"/>
      <c r="DM42" s="905"/>
      <c r="DN42" s="904"/>
      <c r="DO42" s="908"/>
    </row>
    <row r="43" spans="1:119" ht="18" customHeight="1" x14ac:dyDescent="0.25">
      <c r="A43" s="36">
        <f t="shared" si="4"/>
        <v>31</v>
      </c>
      <c r="B43" s="36">
        <f t="shared" si="3"/>
        <v>31</v>
      </c>
      <c r="C43" s="675" t="s">
        <v>231</v>
      </c>
      <c r="D43" s="676"/>
      <c r="E43" s="909" t="s">
        <v>521</v>
      </c>
      <c r="F43" s="910"/>
      <c r="G43" s="897">
        <v>1619</v>
      </c>
      <c r="H43" s="847">
        <f t="shared" si="9"/>
        <v>2.3463768115942027E-3</v>
      </c>
      <c r="I43" s="897">
        <v>976.1</v>
      </c>
      <c r="J43" s="897">
        <v>0</v>
      </c>
      <c r="K43" s="112">
        <f t="shared" si="1"/>
        <v>642.9</v>
      </c>
      <c r="L43" s="69">
        <f t="shared" si="2"/>
        <v>0.3970969734403953</v>
      </c>
      <c r="M43" s="869"/>
      <c r="N43" s="864"/>
      <c r="O43" s="143">
        <f t="shared" ca="1" si="5"/>
        <v>118.64765358830641</v>
      </c>
      <c r="P43" s="16"/>
      <c r="Q43" s="374"/>
      <c r="R43" s="16"/>
      <c r="S43" s="849">
        <f ca="1">(X43-$G$1)/30.33</f>
        <v>-1423.7718430596769</v>
      </c>
      <c r="T43" s="16"/>
      <c r="U43" s="898"/>
      <c r="V43" s="899"/>
      <c r="W43" s="16"/>
      <c r="X43" s="900">
        <f>IF(OR(U43="",U43="N"),Q43,EDATE(Q43,V43))</f>
        <v>0</v>
      </c>
      <c r="Y43" s="16"/>
      <c r="Z43" s="911" t="s">
        <v>519</v>
      </c>
      <c r="AA43" s="16"/>
      <c r="AB43" s="853"/>
      <c r="AC43" s="854"/>
      <c r="AD43" s="855"/>
      <c r="AE43" s="16"/>
      <c r="AF43" s="901"/>
      <c r="AG43" s="901"/>
      <c r="AH43" s="873"/>
      <c r="AI43" s="901"/>
      <c r="AJ43" s="901"/>
      <c r="AK43" s="901"/>
      <c r="AL43" s="901"/>
      <c r="AM43" s="901"/>
      <c r="AN43" s="901"/>
      <c r="AO43" s="902"/>
      <c r="AP43" s="903"/>
      <c r="AQ43" s="902"/>
      <c r="AR43" s="874"/>
      <c r="AS43" s="904"/>
      <c r="AT43" s="904"/>
      <c r="AU43" s="905"/>
      <c r="AV43" s="904"/>
      <c r="AW43" s="904"/>
      <c r="AX43" s="904"/>
      <c r="AY43" s="904"/>
      <c r="AZ43" s="905"/>
      <c r="BA43" s="904"/>
      <c r="BB43" s="904"/>
      <c r="BC43" s="904"/>
      <c r="BD43" s="904"/>
      <c r="BE43" s="905"/>
      <c r="BF43" s="904"/>
      <c r="BG43" s="904"/>
      <c r="BH43" s="904"/>
      <c r="BI43" s="904"/>
      <c r="BJ43" s="905"/>
      <c r="BK43" s="904"/>
      <c r="BL43" s="904"/>
      <c r="BM43" s="904"/>
      <c r="BN43" s="904"/>
      <c r="BO43" s="905"/>
      <c r="BP43" s="904"/>
      <c r="BQ43" s="904"/>
      <c r="BR43" s="904"/>
      <c r="BS43" s="904"/>
      <c r="BT43" s="905"/>
      <c r="BU43" s="904"/>
      <c r="BV43" s="904"/>
      <c r="BW43" s="904"/>
      <c r="BX43" s="904"/>
      <c r="BY43" s="905"/>
      <c r="BZ43" s="904"/>
      <c r="CA43" s="904"/>
      <c r="CB43" s="904"/>
      <c r="CC43" s="904"/>
      <c r="CD43" s="905"/>
      <c r="CE43" s="904"/>
      <c r="CF43" s="904"/>
      <c r="CG43" s="904"/>
      <c r="CH43" s="904"/>
      <c r="CI43" s="905"/>
      <c r="CJ43" s="904"/>
      <c r="CK43" s="904"/>
      <c r="CL43" s="904"/>
      <c r="CM43" s="904"/>
      <c r="CN43" s="905"/>
      <c r="CO43" s="904"/>
      <c r="CP43" s="904"/>
      <c r="CQ43" s="904"/>
      <c r="CR43" s="904"/>
      <c r="CS43" s="905"/>
      <c r="CT43" s="904"/>
      <c r="CU43" s="906"/>
      <c r="CV43" s="907"/>
      <c r="CW43" s="904"/>
      <c r="CX43" s="905"/>
      <c r="CY43" s="904"/>
      <c r="CZ43" s="908"/>
      <c r="DA43" s="907"/>
      <c r="DB43" s="904"/>
      <c r="DC43" s="905"/>
      <c r="DD43" s="904"/>
      <c r="DE43" s="908"/>
      <c r="DF43" s="907"/>
      <c r="DG43" s="904"/>
      <c r="DH43" s="905"/>
      <c r="DI43" s="904"/>
      <c r="DJ43" s="908"/>
      <c r="DK43" s="907"/>
      <c r="DL43" s="904"/>
      <c r="DM43" s="905"/>
      <c r="DN43" s="904"/>
      <c r="DO43" s="908"/>
    </row>
    <row r="44" spans="1:119" ht="18" customHeight="1" x14ac:dyDescent="0.25">
      <c r="A44" s="36">
        <f t="shared" si="4"/>
        <v>32</v>
      </c>
      <c r="B44" s="36">
        <f t="shared" si="3"/>
        <v>32</v>
      </c>
      <c r="C44" s="636" t="s">
        <v>1273</v>
      </c>
      <c r="D44" s="637"/>
      <c r="E44" s="909" t="s">
        <v>580</v>
      </c>
      <c r="F44" s="910"/>
      <c r="G44" s="897">
        <v>1569</v>
      </c>
      <c r="H44" s="847">
        <f t="shared" si="9"/>
        <v>2.2739130434782607E-3</v>
      </c>
      <c r="I44" s="897">
        <v>965.9</v>
      </c>
      <c r="J44" s="897">
        <v>14.3</v>
      </c>
      <c r="K44" s="112">
        <f t="shared" si="1"/>
        <v>588.80000000000007</v>
      </c>
      <c r="L44" s="69">
        <f t="shared" si="2"/>
        <v>0.37527087316762275</v>
      </c>
      <c r="M44" s="869"/>
      <c r="N44" s="864"/>
      <c r="O44" s="143">
        <f t="shared" ca="1" si="5"/>
        <v>118.64765358830641</v>
      </c>
      <c r="P44" s="16"/>
      <c r="Q44" s="374"/>
      <c r="R44" s="16"/>
      <c r="S44" s="849">
        <f ca="1">(X44-$G$1)/30.33</f>
        <v>-1423.7718430596769</v>
      </c>
      <c r="T44" s="16"/>
      <c r="U44" s="898"/>
      <c r="V44" s="899"/>
      <c r="W44" s="16"/>
      <c r="X44" s="900">
        <f>IF(OR(U44="",U44="N"),Q44,EDATE(Q44,V44))</f>
        <v>0</v>
      </c>
      <c r="Y44" s="16"/>
      <c r="Z44" s="911" t="s">
        <v>519</v>
      </c>
      <c r="AA44" s="16"/>
      <c r="AB44" s="853"/>
      <c r="AC44" s="854"/>
      <c r="AD44" s="855"/>
      <c r="AE44" s="16"/>
      <c r="AF44" s="901" t="s">
        <v>534</v>
      </c>
      <c r="AG44" s="901"/>
      <c r="AH44" s="873" t="s">
        <v>1082</v>
      </c>
      <c r="AI44" s="901"/>
      <c r="AJ44" s="901"/>
      <c r="AK44" s="901"/>
      <c r="AL44" s="901"/>
      <c r="AM44" s="901"/>
      <c r="AN44" s="901"/>
      <c r="AO44" s="902"/>
      <c r="AP44" s="903"/>
      <c r="AQ44" s="902"/>
      <c r="AR44" s="874"/>
      <c r="AS44" s="904"/>
      <c r="AT44" s="904"/>
      <c r="AU44" s="905"/>
      <c r="AV44" s="904"/>
      <c r="AW44" s="904"/>
      <c r="AX44" s="904"/>
      <c r="AY44" s="904"/>
      <c r="AZ44" s="905"/>
      <c r="BA44" s="904"/>
      <c r="BB44" s="904"/>
      <c r="BC44" s="904"/>
      <c r="BD44" s="904"/>
      <c r="BE44" s="905"/>
      <c r="BF44" s="904"/>
      <c r="BG44" s="904"/>
      <c r="BH44" s="904"/>
      <c r="BI44" s="904"/>
      <c r="BJ44" s="905"/>
      <c r="BK44" s="904"/>
      <c r="BL44" s="904"/>
      <c r="BM44" s="904"/>
      <c r="BN44" s="904"/>
      <c r="BO44" s="905"/>
      <c r="BP44" s="904"/>
      <c r="BQ44" s="904"/>
      <c r="BR44" s="904"/>
      <c r="BS44" s="904"/>
      <c r="BT44" s="905"/>
      <c r="BU44" s="904"/>
      <c r="BV44" s="904"/>
      <c r="BW44" s="904"/>
      <c r="BX44" s="904"/>
      <c r="BY44" s="905"/>
      <c r="BZ44" s="904"/>
      <c r="CA44" s="904"/>
      <c r="CB44" s="904"/>
      <c r="CC44" s="904"/>
      <c r="CD44" s="905"/>
      <c r="CE44" s="904"/>
      <c r="CF44" s="904"/>
      <c r="CG44" s="904"/>
      <c r="CH44" s="904"/>
      <c r="CI44" s="905"/>
      <c r="CJ44" s="904"/>
      <c r="CK44" s="904"/>
      <c r="CL44" s="904"/>
      <c r="CM44" s="904"/>
      <c r="CN44" s="905"/>
      <c r="CO44" s="904"/>
      <c r="CP44" s="904"/>
      <c r="CQ44" s="904"/>
      <c r="CR44" s="904"/>
      <c r="CS44" s="905"/>
      <c r="CT44" s="904"/>
      <c r="CU44" s="906"/>
      <c r="CV44" s="907"/>
      <c r="CW44" s="904"/>
      <c r="CX44" s="905"/>
      <c r="CY44" s="904"/>
      <c r="CZ44" s="908"/>
      <c r="DA44" s="907"/>
      <c r="DB44" s="904"/>
      <c r="DC44" s="905"/>
      <c r="DD44" s="904"/>
      <c r="DE44" s="908"/>
      <c r="DF44" s="907"/>
      <c r="DG44" s="904"/>
      <c r="DH44" s="905"/>
      <c r="DI44" s="904"/>
      <c r="DJ44" s="908"/>
      <c r="DK44" s="907"/>
      <c r="DL44" s="904"/>
      <c r="DM44" s="905"/>
      <c r="DN44" s="904"/>
      <c r="DO44" s="908"/>
    </row>
    <row r="45" spans="1:119" ht="18" customHeight="1" x14ac:dyDescent="0.25">
      <c r="A45" s="36">
        <f t="shared" si="4"/>
        <v>33</v>
      </c>
      <c r="B45" s="36">
        <f t="shared" si="3"/>
        <v>33</v>
      </c>
      <c r="C45" s="675" t="s">
        <v>1274</v>
      </c>
      <c r="D45" s="676"/>
      <c r="E45" s="909" t="s">
        <v>548</v>
      </c>
      <c r="F45" s="910"/>
      <c r="G45" s="502">
        <v>1537</v>
      </c>
      <c r="H45" s="847">
        <f t="shared" si="9"/>
        <v>2.227536231884058E-3</v>
      </c>
      <c r="I45" s="502">
        <v>1089</v>
      </c>
      <c r="J45" s="502">
        <v>0</v>
      </c>
      <c r="K45" s="112">
        <f t="shared" si="1"/>
        <v>448</v>
      </c>
      <c r="L45" s="69">
        <f t="shared" si="2"/>
        <v>0.29147690305790502</v>
      </c>
      <c r="M45" s="869"/>
      <c r="N45" s="864"/>
      <c r="O45" s="143">
        <f t="shared" ca="1" si="5"/>
        <v>118.64765358830641</v>
      </c>
      <c r="P45" s="16"/>
      <c r="Q45" s="374"/>
      <c r="R45" s="16"/>
      <c r="S45" s="849">
        <f ca="1">(X45-$G$1)/30.33</f>
        <v>-1423.7718430596769</v>
      </c>
      <c r="T45" s="16"/>
      <c r="U45" s="898"/>
      <c r="V45" s="899"/>
      <c r="W45" s="16"/>
      <c r="X45" s="900">
        <f>IF(OR(U45="",U45="N"),Q45,EDATE(Q45,V45))</f>
        <v>0</v>
      </c>
      <c r="Y45" s="16"/>
      <c r="Z45" s="911" t="s">
        <v>519</v>
      </c>
      <c r="AA45" s="16"/>
      <c r="AB45" s="853"/>
      <c r="AC45" s="854"/>
      <c r="AD45" s="855"/>
      <c r="AE45" s="16"/>
      <c r="AF45" s="901" t="s">
        <v>534</v>
      </c>
      <c r="AG45" s="901"/>
      <c r="AH45" s="873" t="s">
        <v>1095</v>
      </c>
      <c r="AI45" s="901"/>
      <c r="AJ45" s="901"/>
      <c r="AK45" s="901"/>
      <c r="AL45" s="901"/>
      <c r="AM45" s="901"/>
      <c r="AN45" s="901"/>
      <c r="AO45" s="902"/>
      <c r="AP45" s="903"/>
      <c r="AQ45" s="902"/>
      <c r="AR45" s="874"/>
      <c r="AS45" s="904"/>
      <c r="AT45" s="904"/>
      <c r="AU45" s="905"/>
      <c r="AV45" s="904"/>
      <c r="AW45" s="904"/>
      <c r="AX45" s="904"/>
      <c r="AY45" s="904"/>
      <c r="AZ45" s="905"/>
      <c r="BA45" s="904"/>
      <c r="BB45" s="904"/>
      <c r="BC45" s="904"/>
      <c r="BD45" s="904"/>
      <c r="BE45" s="905"/>
      <c r="BF45" s="904"/>
      <c r="BG45" s="904"/>
      <c r="BH45" s="904"/>
      <c r="BI45" s="904"/>
      <c r="BJ45" s="905"/>
      <c r="BK45" s="904"/>
      <c r="BL45" s="904"/>
      <c r="BM45" s="904"/>
      <c r="BN45" s="904"/>
      <c r="BO45" s="905"/>
      <c r="BP45" s="904"/>
      <c r="BQ45" s="904"/>
      <c r="BR45" s="904"/>
      <c r="BS45" s="904"/>
      <c r="BT45" s="905"/>
      <c r="BU45" s="904"/>
      <c r="BV45" s="904"/>
      <c r="BW45" s="904"/>
      <c r="BX45" s="904"/>
      <c r="BY45" s="905"/>
      <c r="BZ45" s="904"/>
      <c r="CA45" s="904"/>
      <c r="CB45" s="904"/>
      <c r="CC45" s="904"/>
      <c r="CD45" s="905"/>
      <c r="CE45" s="904"/>
      <c r="CF45" s="904"/>
      <c r="CG45" s="904"/>
      <c r="CH45" s="904"/>
      <c r="CI45" s="905"/>
      <c r="CJ45" s="904"/>
      <c r="CK45" s="904"/>
      <c r="CL45" s="904"/>
      <c r="CM45" s="904"/>
      <c r="CN45" s="905"/>
      <c r="CO45" s="904"/>
      <c r="CP45" s="904"/>
      <c r="CQ45" s="904"/>
      <c r="CR45" s="904"/>
      <c r="CS45" s="905"/>
      <c r="CT45" s="904"/>
      <c r="CU45" s="906"/>
      <c r="CV45" s="907"/>
      <c r="CW45" s="904"/>
      <c r="CX45" s="905"/>
      <c r="CY45" s="904"/>
      <c r="CZ45" s="908"/>
      <c r="DA45" s="907"/>
      <c r="DB45" s="904"/>
      <c r="DC45" s="905"/>
      <c r="DD45" s="904"/>
      <c r="DE45" s="908"/>
      <c r="DF45" s="907"/>
      <c r="DG45" s="904"/>
      <c r="DH45" s="905"/>
      <c r="DI45" s="904"/>
      <c r="DJ45" s="908"/>
      <c r="DK45" s="907"/>
      <c r="DL45" s="904"/>
      <c r="DM45" s="905"/>
      <c r="DN45" s="904"/>
      <c r="DO45" s="908"/>
    </row>
    <row r="46" spans="1:119" s="14" customFormat="1" ht="18" customHeight="1" x14ac:dyDescent="0.25">
      <c r="A46" s="36">
        <f t="shared" si="4"/>
        <v>34</v>
      </c>
      <c r="B46" s="36">
        <f t="shared" si="3"/>
        <v>34</v>
      </c>
      <c r="C46" s="636" t="s">
        <v>1275</v>
      </c>
      <c r="D46" s="637"/>
      <c r="E46" s="909" t="s">
        <v>547</v>
      </c>
      <c r="F46" s="845"/>
      <c r="G46" s="846">
        <v>1529.31</v>
      </c>
      <c r="H46" s="847">
        <f t="shared" si="9"/>
        <v>2.2163913043478259E-3</v>
      </c>
      <c r="I46" s="502">
        <v>829</v>
      </c>
      <c r="J46" s="502">
        <v>22</v>
      </c>
      <c r="K46" s="112">
        <f t="shared" si="1"/>
        <v>678.31</v>
      </c>
      <c r="L46" s="69">
        <f t="shared" si="2"/>
        <v>0.44353989707776709</v>
      </c>
      <c r="M46" s="831"/>
      <c r="N46" s="864"/>
      <c r="O46" s="143">
        <f t="shared" ca="1" si="5"/>
        <v>118.64765358830641</v>
      </c>
      <c r="Q46" s="4"/>
      <c r="S46" s="849"/>
      <c r="U46" s="850"/>
      <c r="V46" s="67"/>
      <c r="X46" s="900">
        <f t="shared" ref="X46:X52" si="11">IF(OR(U46="",U46="N"),Q46,EDATE(Q46,V46))</f>
        <v>0</v>
      </c>
      <c r="Z46" s="911" t="s">
        <v>519</v>
      </c>
      <c r="AB46" s="853"/>
      <c r="AC46" s="854"/>
      <c r="AD46" s="855"/>
      <c r="AF46" s="3" t="s">
        <v>1096</v>
      </c>
      <c r="AG46" s="3"/>
      <c r="AH46" s="873" t="s">
        <v>1097</v>
      </c>
      <c r="AI46" s="2"/>
      <c r="AJ46" s="3"/>
      <c r="AK46" s="3"/>
      <c r="AL46" s="3"/>
      <c r="AM46" s="3"/>
      <c r="AN46" s="3"/>
      <c r="AO46" s="851"/>
      <c r="AP46" s="852"/>
      <c r="AQ46" s="851"/>
      <c r="AR46" s="842"/>
      <c r="AS46" s="688"/>
      <c r="AT46" s="689"/>
      <c r="AU46" s="692"/>
      <c r="AV46" s="689"/>
      <c r="AW46" s="690"/>
      <c r="AX46" s="688"/>
      <c r="AY46" s="689"/>
      <c r="AZ46" s="692"/>
      <c r="BA46" s="689"/>
      <c r="BB46" s="690"/>
      <c r="BC46" s="688"/>
      <c r="BD46" s="689"/>
      <c r="BE46" s="692"/>
      <c r="BF46" s="689"/>
      <c r="BG46" s="690"/>
      <c r="BH46" s="688"/>
      <c r="BI46" s="689"/>
      <c r="BJ46" s="692"/>
      <c r="BK46" s="689"/>
      <c r="BL46" s="690"/>
      <c r="BM46" s="688"/>
      <c r="BN46" s="689"/>
      <c r="BO46" s="692"/>
      <c r="BP46" s="689"/>
      <c r="BQ46" s="690"/>
      <c r="BR46" s="688"/>
      <c r="BS46" s="689"/>
      <c r="BT46" s="692"/>
      <c r="BU46" s="689"/>
      <c r="BV46" s="690"/>
      <c r="BW46" s="688"/>
      <c r="BX46" s="689"/>
      <c r="BY46" s="692"/>
      <c r="BZ46" s="689"/>
      <c r="CA46" s="690"/>
      <c r="CB46" s="688"/>
      <c r="CC46" s="689"/>
      <c r="CD46" s="692"/>
      <c r="CE46" s="689"/>
      <c r="CF46" s="690"/>
      <c r="CG46" s="688"/>
      <c r="CH46" s="689"/>
      <c r="CI46" s="692"/>
      <c r="CJ46" s="689"/>
      <c r="CK46" s="690"/>
      <c r="CL46" s="688"/>
      <c r="CM46" s="689"/>
      <c r="CN46" s="692"/>
      <c r="CO46" s="689"/>
      <c r="CP46" s="690"/>
      <c r="CQ46" s="688"/>
      <c r="CR46" s="689"/>
      <c r="CS46" s="692"/>
      <c r="CT46" s="689"/>
      <c r="CU46" s="690"/>
      <c r="CV46" s="688"/>
      <c r="CW46" s="689"/>
      <c r="CX46" s="692"/>
      <c r="CY46" s="689"/>
      <c r="CZ46" s="690"/>
      <c r="DA46" s="688"/>
      <c r="DB46" s="689"/>
      <c r="DC46" s="692"/>
      <c r="DD46" s="689"/>
      <c r="DE46" s="690"/>
      <c r="DF46" s="688"/>
      <c r="DG46" s="689"/>
      <c r="DH46" s="689"/>
      <c r="DI46" s="689"/>
      <c r="DJ46" s="690"/>
      <c r="DK46" s="688"/>
      <c r="DL46" s="689"/>
      <c r="DM46" s="689"/>
      <c r="DN46" s="689"/>
      <c r="DO46" s="690"/>
    </row>
    <row r="47" spans="1:119" ht="18" customHeight="1" x14ac:dyDescent="0.25">
      <c r="A47" s="36">
        <f t="shared" si="4"/>
        <v>35</v>
      </c>
      <c r="B47" s="36">
        <f t="shared" si="3"/>
        <v>35</v>
      </c>
      <c r="C47" s="675" t="s">
        <v>1276</v>
      </c>
      <c r="D47" s="676"/>
      <c r="E47" s="909" t="s">
        <v>580</v>
      </c>
      <c r="F47" s="910"/>
      <c r="G47" s="897">
        <v>1492</v>
      </c>
      <c r="H47" s="847">
        <f t="shared" si="9"/>
        <v>2.1623188405797103E-3</v>
      </c>
      <c r="I47" s="897">
        <v>671.8</v>
      </c>
      <c r="J47" s="897">
        <v>37</v>
      </c>
      <c r="K47" s="112">
        <f t="shared" si="1"/>
        <v>783.2</v>
      </c>
      <c r="L47" s="69">
        <f t="shared" si="2"/>
        <v>0.52493297587131371</v>
      </c>
      <c r="M47" s="869"/>
      <c r="N47" s="864"/>
      <c r="O47" s="143">
        <f t="shared" ca="1" si="5"/>
        <v>118.64765358830641</v>
      </c>
      <c r="P47" s="16"/>
      <c r="Q47" s="374"/>
      <c r="R47" s="16"/>
      <c r="S47" s="849">
        <f ca="1">(X47-$G$1)/30.33</f>
        <v>-1423.7718430596769</v>
      </c>
      <c r="T47" s="16"/>
      <c r="U47" s="898"/>
      <c r="V47" s="899"/>
      <c r="W47" s="16"/>
      <c r="X47" s="900">
        <f t="shared" si="11"/>
        <v>0</v>
      </c>
      <c r="Y47" s="16"/>
      <c r="Z47" s="911" t="s">
        <v>519</v>
      </c>
      <c r="AA47" s="16"/>
      <c r="AB47" s="853"/>
      <c r="AC47" s="854"/>
      <c r="AD47" s="855"/>
      <c r="AE47" s="16"/>
      <c r="AF47" s="901"/>
      <c r="AG47" s="901"/>
      <c r="AH47" s="873"/>
      <c r="AI47" s="901"/>
      <c r="AJ47" s="901"/>
      <c r="AK47" s="901"/>
      <c r="AL47" s="901"/>
      <c r="AM47" s="901"/>
      <c r="AN47" s="901"/>
      <c r="AO47" s="902"/>
      <c r="AP47" s="903"/>
      <c r="AQ47" s="902"/>
      <c r="AR47" s="874"/>
      <c r="AS47" s="904"/>
      <c r="AT47" s="904"/>
      <c r="AU47" s="905"/>
      <c r="AV47" s="904"/>
      <c r="AW47" s="904"/>
      <c r="AX47" s="904"/>
      <c r="AY47" s="904"/>
      <c r="AZ47" s="905"/>
      <c r="BA47" s="904"/>
      <c r="BB47" s="904"/>
      <c r="BC47" s="904"/>
      <c r="BD47" s="904"/>
      <c r="BE47" s="905"/>
      <c r="BF47" s="904"/>
      <c r="BG47" s="904"/>
      <c r="BH47" s="904"/>
      <c r="BI47" s="904"/>
      <c r="BJ47" s="905"/>
      <c r="BK47" s="904"/>
      <c r="BL47" s="904"/>
      <c r="BM47" s="904"/>
      <c r="BN47" s="904"/>
      <c r="BO47" s="905"/>
      <c r="BP47" s="904"/>
      <c r="BQ47" s="904"/>
      <c r="BR47" s="904"/>
      <c r="BS47" s="904"/>
      <c r="BT47" s="905"/>
      <c r="BU47" s="904"/>
      <c r="BV47" s="904"/>
      <c r="BW47" s="904"/>
      <c r="BX47" s="904"/>
      <c r="BY47" s="905"/>
      <c r="BZ47" s="904"/>
      <c r="CA47" s="904"/>
      <c r="CB47" s="904"/>
      <c r="CC47" s="904"/>
      <c r="CD47" s="905"/>
      <c r="CE47" s="904"/>
      <c r="CF47" s="904"/>
      <c r="CG47" s="904"/>
      <c r="CH47" s="904"/>
      <c r="CI47" s="905"/>
      <c r="CJ47" s="904"/>
      <c r="CK47" s="904"/>
      <c r="CL47" s="904"/>
      <c r="CM47" s="904"/>
      <c r="CN47" s="905"/>
      <c r="CO47" s="904"/>
      <c r="CP47" s="904"/>
      <c r="CQ47" s="904"/>
      <c r="CR47" s="904"/>
      <c r="CS47" s="905"/>
      <c r="CT47" s="904"/>
      <c r="CU47" s="906"/>
      <c r="CV47" s="907"/>
      <c r="CW47" s="904"/>
      <c r="CX47" s="905"/>
      <c r="CY47" s="904"/>
      <c r="CZ47" s="908"/>
      <c r="DA47" s="907"/>
      <c r="DB47" s="904"/>
      <c r="DC47" s="905"/>
      <c r="DD47" s="904"/>
      <c r="DE47" s="908"/>
      <c r="DF47" s="907"/>
      <c r="DG47" s="904"/>
      <c r="DH47" s="905"/>
      <c r="DI47" s="904"/>
      <c r="DJ47" s="908"/>
      <c r="DK47" s="907"/>
      <c r="DL47" s="904"/>
      <c r="DM47" s="905"/>
      <c r="DN47" s="904"/>
      <c r="DO47" s="908"/>
    </row>
    <row r="48" spans="1:119" s="14" customFormat="1" ht="18" customHeight="1" x14ac:dyDescent="0.25">
      <c r="A48" s="36">
        <f t="shared" si="4"/>
        <v>36</v>
      </c>
      <c r="B48" s="36">
        <f t="shared" si="3"/>
        <v>36</v>
      </c>
      <c r="C48" s="636" t="s">
        <v>1277</v>
      </c>
      <c r="D48" s="637"/>
      <c r="E48" s="909" t="s">
        <v>547</v>
      </c>
      <c r="F48" s="858"/>
      <c r="G48" s="502">
        <v>1383.49</v>
      </c>
      <c r="H48" s="847">
        <f t="shared" si="9"/>
        <v>2.005057971014493E-3</v>
      </c>
      <c r="I48" s="502">
        <v>773</v>
      </c>
      <c r="J48" s="502">
        <v>52</v>
      </c>
      <c r="K48" s="112">
        <f t="shared" si="1"/>
        <v>558.49</v>
      </c>
      <c r="L48" s="69">
        <f t="shared" si="2"/>
        <v>0.40368199264179722</v>
      </c>
      <c r="M48" s="869"/>
      <c r="N48" s="864"/>
      <c r="O48" s="143">
        <f t="shared" ca="1" si="5"/>
        <v>118.64765358830641</v>
      </c>
      <c r="P48" s="16"/>
      <c r="Q48" s="4"/>
      <c r="R48" s="16"/>
      <c r="S48" s="849"/>
      <c r="T48" s="16"/>
      <c r="U48" s="850"/>
      <c r="V48" s="67"/>
      <c r="W48" s="16"/>
      <c r="X48" s="900">
        <f t="shared" si="11"/>
        <v>0</v>
      </c>
      <c r="Y48" s="16"/>
      <c r="Z48" s="911" t="s">
        <v>519</v>
      </c>
      <c r="AA48" s="16"/>
      <c r="AB48" s="853"/>
      <c r="AC48" s="854"/>
      <c r="AD48" s="855"/>
      <c r="AE48" s="16"/>
      <c r="AF48" s="873"/>
      <c r="AG48" s="873"/>
      <c r="AH48" s="873"/>
      <c r="AI48" s="873"/>
      <c r="AJ48" s="873"/>
      <c r="AK48" s="873"/>
      <c r="AL48" s="873"/>
      <c r="AM48" s="873"/>
      <c r="AN48" s="873"/>
      <c r="AO48" s="872"/>
      <c r="AP48" s="870"/>
      <c r="AQ48" s="872"/>
      <c r="AR48" s="842"/>
      <c r="AS48" s="688"/>
      <c r="AT48" s="689"/>
      <c r="AU48" s="692"/>
      <c r="AV48" s="689"/>
      <c r="AW48" s="690"/>
      <c r="AX48" s="688"/>
      <c r="AY48" s="689"/>
      <c r="AZ48" s="692"/>
      <c r="BA48" s="689"/>
      <c r="BB48" s="690"/>
      <c r="BC48" s="688"/>
      <c r="BD48" s="689"/>
      <c r="BE48" s="692"/>
      <c r="BF48" s="689"/>
      <c r="BG48" s="690"/>
      <c r="BH48" s="688"/>
      <c r="BI48" s="689"/>
      <c r="BJ48" s="692"/>
      <c r="BK48" s="689"/>
      <c r="BL48" s="690"/>
      <c r="BM48" s="688"/>
      <c r="BN48" s="689"/>
      <c r="BO48" s="692"/>
      <c r="BP48" s="689"/>
      <c r="BQ48" s="690"/>
      <c r="BR48" s="688"/>
      <c r="BS48" s="689"/>
      <c r="BT48" s="692"/>
      <c r="BU48" s="689"/>
      <c r="BV48" s="690"/>
      <c r="BW48" s="688"/>
      <c r="BX48" s="689"/>
      <c r="BY48" s="692"/>
      <c r="BZ48" s="689"/>
      <c r="CA48" s="690"/>
      <c r="CB48" s="688"/>
      <c r="CC48" s="689"/>
      <c r="CD48" s="692"/>
      <c r="CE48" s="689"/>
      <c r="CF48" s="690"/>
      <c r="CG48" s="688"/>
      <c r="CH48" s="689"/>
      <c r="CI48" s="692"/>
      <c r="CJ48" s="689"/>
      <c r="CK48" s="690"/>
      <c r="CL48" s="688"/>
      <c r="CM48" s="689"/>
      <c r="CN48" s="692"/>
      <c r="CO48" s="689"/>
      <c r="CP48" s="690"/>
      <c r="CQ48" s="688"/>
      <c r="CR48" s="689"/>
      <c r="CS48" s="692"/>
      <c r="CT48" s="689"/>
      <c r="CU48" s="690"/>
      <c r="CV48" s="688"/>
      <c r="CW48" s="689"/>
      <c r="CX48" s="692"/>
      <c r="CY48" s="689"/>
      <c r="CZ48" s="690"/>
      <c r="DA48" s="688"/>
      <c r="DB48" s="689"/>
      <c r="DC48" s="692"/>
      <c r="DD48" s="689"/>
      <c r="DE48" s="690"/>
      <c r="DF48" s="688"/>
      <c r="DG48" s="689"/>
      <c r="DH48" s="689"/>
      <c r="DI48" s="689"/>
      <c r="DJ48" s="690"/>
      <c r="DK48" s="688"/>
      <c r="DL48" s="689"/>
      <c r="DM48" s="689"/>
      <c r="DN48" s="689"/>
      <c r="DO48" s="690"/>
    </row>
    <row r="49" spans="1:119" ht="18" customHeight="1" x14ac:dyDescent="0.25">
      <c r="A49" s="36">
        <f t="shared" si="4"/>
        <v>37</v>
      </c>
      <c r="B49" s="36">
        <f t="shared" si="3"/>
        <v>37</v>
      </c>
      <c r="C49" s="636" t="s">
        <v>1278</v>
      </c>
      <c r="D49" s="637"/>
      <c r="E49" s="909" t="s">
        <v>521</v>
      </c>
      <c r="F49" s="895"/>
      <c r="G49" s="896">
        <v>1369.78</v>
      </c>
      <c r="H49" s="847">
        <f t="shared" si="9"/>
        <v>1.9851884057971014E-3</v>
      </c>
      <c r="I49" s="897">
        <v>907</v>
      </c>
      <c r="J49" s="897">
        <v>130</v>
      </c>
      <c r="K49" s="112">
        <f t="shared" si="1"/>
        <v>332.78</v>
      </c>
      <c r="L49" s="69">
        <f t="shared" si="2"/>
        <v>0.24294412241381827</v>
      </c>
      <c r="M49" s="831"/>
      <c r="N49" s="864">
        <v>42622</v>
      </c>
      <c r="O49" s="143">
        <f t="shared" ca="1" si="5"/>
        <v>1.5413781734256513</v>
      </c>
      <c r="P49" s="14"/>
      <c r="Q49" s="374"/>
      <c r="R49" s="14"/>
      <c r="S49" s="849"/>
      <c r="T49" s="14"/>
      <c r="U49" s="898"/>
      <c r="V49" s="899"/>
      <c r="W49" s="14"/>
      <c r="X49" s="900">
        <f t="shared" si="11"/>
        <v>0</v>
      </c>
      <c r="Y49" s="14"/>
      <c r="Z49" s="911" t="s">
        <v>551</v>
      </c>
      <c r="AA49" s="14"/>
      <c r="AB49" s="853"/>
      <c r="AC49" s="854"/>
      <c r="AD49" s="855"/>
      <c r="AE49" s="14"/>
      <c r="AF49" s="375"/>
      <c r="AG49" s="375"/>
      <c r="AH49" s="375"/>
      <c r="AI49" s="378"/>
      <c r="AJ49" s="375"/>
      <c r="AK49" s="375"/>
      <c r="AL49" s="375"/>
      <c r="AM49" s="375"/>
      <c r="AN49" s="375"/>
      <c r="AO49" s="936"/>
      <c r="AP49" s="937"/>
      <c r="AQ49" s="936"/>
      <c r="AR49" s="874"/>
      <c r="AS49" s="904"/>
      <c r="AT49" s="904"/>
      <c r="AU49" s="905"/>
      <c r="AV49" s="904"/>
      <c r="AW49" s="904"/>
      <c r="AX49" s="904"/>
      <c r="AY49" s="904"/>
      <c r="AZ49" s="905"/>
      <c r="BA49" s="904"/>
      <c r="BB49" s="904"/>
      <c r="BC49" s="904"/>
      <c r="BD49" s="904"/>
      <c r="BE49" s="905"/>
      <c r="BF49" s="904"/>
      <c r="BG49" s="904"/>
      <c r="BH49" s="904"/>
      <c r="BI49" s="904"/>
      <c r="BJ49" s="905"/>
      <c r="BK49" s="904"/>
      <c r="BL49" s="904"/>
      <c r="BM49" s="904"/>
      <c r="BN49" s="904"/>
      <c r="BO49" s="905"/>
      <c r="BP49" s="904"/>
      <c r="BQ49" s="904"/>
      <c r="BR49" s="904"/>
      <c r="BS49" s="904"/>
      <c r="BT49" s="905"/>
      <c r="BU49" s="904"/>
      <c r="BV49" s="904"/>
      <c r="BW49" s="904"/>
      <c r="BX49" s="904"/>
      <c r="BY49" s="905"/>
      <c r="BZ49" s="904"/>
      <c r="CA49" s="904"/>
      <c r="CB49" s="904"/>
      <c r="CC49" s="904"/>
      <c r="CD49" s="905"/>
      <c r="CE49" s="904"/>
      <c r="CF49" s="904"/>
      <c r="CG49" s="904"/>
      <c r="CH49" s="904"/>
      <c r="CI49" s="905"/>
      <c r="CJ49" s="904"/>
      <c r="CK49" s="904"/>
      <c r="CL49" s="904"/>
      <c r="CM49" s="904"/>
      <c r="CN49" s="905"/>
      <c r="CO49" s="904"/>
      <c r="CP49" s="904"/>
      <c r="CQ49" s="904"/>
      <c r="CR49" s="904"/>
      <c r="CS49" s="905"/>
      <c r="CT49" s="904"/>
      <c r="CU49" s="906"/>
      <c r="CV49" s="907"/>
      <c r="CW49" s="904"/>
      <c r="CX49" s="905"/>
      <c r="CY49" s="904"/>
      <c r="CZ49" s="908"/>
      <c r="DA49" s="907"/>
      <c r="DB49" s="904"/>
      <c r="DC49" s="905"/>
      <c r="DD49" s="904"/>
      <c r="DE49" s="908"/>
      <c r="DF49" s="907"/>
      <c r="DG49" s="904"/>
      <c r="DH49" s="905"/>
      <c r="DI49" s="904"/>
      <c r="DJ49" s="908"/>
      <c r="DK49" s="907"/>
      <c r="DL49" s="904"/>
      <c r="DM49" s="905"/>
      <c r="DN49" s="904"/>
      <c r="DO49" s="908"/>
    </row>
    <row r="50" spans="1:119" s="14" customFormat="1" ht="18" customHeight="1" x14ac:dyDescent="0.25">
      <c r="A50" s="36">
        <f t="shared" si="4"/>
        <v>38</v>
      </c>
      <c r="B50" s="36">
        <f t="shared" si="3"/>
        <v>38</v>
      </c>
      <c r="C50" s="664" t="s">
        <v>1279</v>
      </c>
      <c r="D50" s="665"/>
      <c r="E50" s="909" t="s">
        <v>521</v>
      </c>
      <c r="F50" s="858"/>
      <c r="G50" s="502">
        <v>1359.29</v>
      </c>
      <c r="H50" s="847">
        <f t="shared" si="9"/>
        <v>1.9699855072463769E-3</v>
      </c>
      <c r="I50" s="502">
        <v>752</v>
      </c>
      <c r="J50" s="502">
        <v>0</v>
      </c>
      <c r="K50" s="112">
        <f t="shared" si="1"/>
        <v>607.29</v>
      </c>
      <c r="L50" s="69">
        <f t="shared" si="2"/>
        <v>0.44677000492904384</v>
      </c>
      <c r="M50" s="869"/>
      <c r="N50" s="864"/>
      <c r="O50" s="143">
        <f t="shared" ca="1" si="5"/>
        <v>118.64765358830641</v>
      </c>
      <c r="P50" s="16"/>
      <c r="Q50" s="4"/>
      <c r="R50" s="16"/>
      <c r="S50" s="849"/>
      <c r="T50" s="16"/>
      <c r="U50" s="850"/>
      <c r="V50" s="67"/>
      <c r="W50" s="16"/>
      <c r="X50" s="900">
        <f t="shared" si="11"/>
        <v>0</v>
      </c>
      <c r="Y50" s="16"/>
      <c r="Z50" s="911" t="s">
        <v>519</v>
      </c>
      <c r="AA50" s="16"/>
      <c r="AB50" s="853"/>
      <c r="AC50" s="854"/>
      <c r="AD50" s="855"/>
      <c r="AE50" s="16"/>
      <c r="AF50" s="873"/>
      <c r="AG50" s="873"/>
      <c r="AH50" s="873"/>
      <c r="AI50" s="873"/>
      <c r="AJ50" s="873"/>
      <c r="AK50" s="873"/>
      <c r="AL50" s="873"/>
      <c r="AM50" s="873"/>
      <c r="AN50" s="873"/>
      <c r="AO50" s="872"/>
      <c r="AP50" s="870"/>
      <c r="AQ50" s="872"/>
      <c r="AR50" s="842"/>
      <c r="AS50" s="688"/>
      <c r="AT50" s="689"/>
      <c r="AU50" s="692"/>
      <c r="AV50" s="689"/>
      <c r="AW50" s="690"/>
      <c r="AX50" s="688"/>
      <c r="AY50" s="689"/>
      <c r="AZ50" s="692"/>
      <c r="BA50" s="689"/>
      <c r="BB50" s="690"/>
      <c r="BC50" s="688"/>
      <c r="BD50" s="689"/>
      <c r="BE50" s="692"/>
      <c r="BF50" s="689"/>
      <c r="BG50" s="690"/>
      <c r="BH50" s="688"/>
      <c r="BI50" s="689"/>
      <c r="BJ50" s="692"/>
      <c r="BK50" s="689"/>
      <c r="BL50" s="690"/>
      <c r="BM50" s="688"/>
      <c r="BN50" s="689"/>
      <c r="BO50" s="692"/>
      <c r="BP50" s="689"/>
      <c r="BQ50" s="690"/>
      <c r="BR50" s="688"/>
      <c r="BS50" s="689"/>
      <c r="BT50" s="692"/>
      <c r="BU50" s="689"/>
      <c r="BV50" s="690"/>
      <c r="BW50" s="688"/>
      <c r="BX50" s="689"/>
      <c r="BY50" s="692"/>
      <c r="BZ50" s="689"/>
      <c r="CA50" s="690"/>
      <c r="CB50" s="688"/>
      <c r="CC50" s="689"/>
      <c r="CD50" s="692"/>
      <c r="CE50" s="689"/>
      <c r="CF50" s="690"/>
      <c r="CG50" s="688"/>
      <c r="CH50" s="689"/>
      <c r="CI50" s="692"/>
      <c r="CJ50" s="689"/>
      <c r="CK50" s="690"/>
      <c r="CL50" s="688"/>
      <c r="CM50" s="689"/>
      <c r="CN50" s="692"/>
      <c r="CO50" s="689"/>
      <c r="CP50" s="690"/>
      <c r="CQ50" s="688"/>
      <c r="CR50" s="689"/>
      <c r="CS50" s="692"/>
      <c r="CT50" s="689"/>
      <c r="CU50" s="690"/>
      <c r="CV50" s="688"/>
      <c r="CW50" s="689"/>
      <c r="CX50" s="692"/>
      <c r="CY50" s="689"/>
      <c r="CZ50" s="690"/>
      <c r="DA50" s="688"/>
      <c r="DB50" s="689"/>
      <c r="DC50" s="692"/>
      <c r="DD50" s="689"/>
      <c r="DE50" s="690"/>
      <c r="DF50" s="688"/>
      <c r="DG50" s="689"/>
      <c r="DH50" s="689"/>
      <c r="DI50" s="689"/>
      <c r="DJ50" s="690"/>
      <c r="DK50" s="688"/>
      <c r="DL50" s="689"/>
      <c r="DM50" s="689"/>
      <c r="DN50" s="689"/>
      <c r="DO50" s="690"/>
    </row>
    <row r="51" spans="1:119" ht="18" customHeight="1" x14ac:dyDescent="0.25">
      <c r="A51" s="36">
        <f t="shared" si="4"/>
        <v>39</v>
      </c>
      <c r="B51" s="36">
        <f t="shared" si="3"/>
        <v>39</v>
      </c>
      <c r="C51" s="675" t="s">
        <v>1280</v>
      </c>
      <c r="D51" s="676"/>
      <c r="E51" s="909" t="s">
        <v>547</v>
      </c>
      <c r="F51" s="895"/>
      <c r="G51" s="896">
        <v>1305.83</v>
      </c>
      <c r="H51" s="847">
        <f t="shared" si="9"/>
        <v>1.8925072463768114E-3</v>
      </c>
      <c r="I51" s="897">
        <v>839</v>
      </c>
      <c r="J51" s="897"/>
      <c r="K51" s="112">
        <f t="shared" si="1"/>
        <v>466.82999999999993</v>
      </c>
      <c r="L51" s="69">
        <f t="shared" si="2"/>
        <v>0.35749676450992851</v>
      </c>
      <c r="M51" s="831"/>
      <c r="N51" s="864">
        <v>42461</v>
      </c>
      <c r="O51" s="143">
        <f t="shared" ca="1" si="5"/>
        <v>1.9837344763160789</v>
      </c>
      <c r="P51" s="14"/>
      <c r="Q51" s="374"/>
      <c r="R51" s="14"/>
      <c r="S51" s="849"/>
      <c r="T51" s="14"/>
      <c r="U51" s="898"/>
      <c r="V51" s="899"/>
      <c r="W51" s="14"/>
      <c r="X51" s="900">
        <f t="shared" si="11"/>
        <v>0</v>
      </c>
      <c r="Y51" s="14"/>
      <c r="Z51" s="911" t="s">
        <v>519</v>
      </c>
      <c r="AA51" s="14"/>
      <c r="AB51" s="853"/>
      <c r="AC51" s="854"/>
      <c r="AD51" s="855"/>
      <c r="AE51" s="14"/>
      <c r="AF51" s="375"/>
      <c r="AG51" s="375"/>
      <c r="AH51" s="375"/>
      <c r="AI51" s="378"/>
      <c r="AJ51" s="375"/>
      <c r="AK51" s="375"/>
      <c r="AL51" s="375"/>
      <c r="AM51" s="375"/>
      <c r="AN51" s="375"/>
      <c r="AO51" s="936"/>
      <c r="AP51" s="937"/>
      <c r="AQ51" s="936"/>
      <c r="AR51" s="874"/>
      <c r="AS51" s="904"/>
      <c r="AT51" s="904"/>
      <c r="AU51" s="905"/>
      <c r="AV51" s="904"/>
      <c r="AW51" s="904"/>
      <c r="AX51" s="904"/>
      <c r="AY51" s="904"/>
      <c r="AZ51" s="905"/>
      <c r="BA51" s="904"/>
      <c r="BB51" s="904"/>
      <c r="BC51" s="904"/>
      <c r="BD51" s="904"/>
      <c r="BE51" s="905"/>
      <c r="BF51" s="904"/>
      <c r="BG51" s="904"/>
      <c r="BH51" s="904"/>
      <c r="BI51" s="904"/>
      <c r="BJ51" s="905"/>
      <c r="BK51" s="904"/>
      <c r="BL51" s="904"/>
      <c r="BM51" s="904"/>
      <c r="BN51" s="904"/>
      <c r="BO51" s="905"/>
      <c r="BP51" s="904"/>
      <c r="BQ51" s="904"/>
      <c r="BR51" s="904"/>
      <c r="BS51" s="904"/>
      <c r="BT51" s="905"/>
      <c r="BU51" s="904"/>
      <c r="BV51" s="904"/>
      <c r="BW51" s="904"/>
      <c r="BX51" s="904"/>
      <c r="BY51" s="905"/>
      <c r="BZ51" s="904"/>
      <c r="CA51" s="904"/>
      <c r="CB51" s="904"/>
      <c r="CC51" s="904"/>
      <c r="CD51" s="905"/>
      <c r="CE51" s="904"/>
      <c r="CF51" s="904"/>
      <c r="CG51" s="904"/>
      <c r="CH51" s="904"/>
      <c r="CI51" s="905"/>
      <c r="CJ51" s="904"/>
      <c r="CK51" s="904"/>
      <c r="CL51" s="904"/>
      <c r="CM51" s="904"/>
      <c r="CN51" s="905"/>
      <c r="CO51" s="904"/>
      <c r="CP51" s="904"/>
      <c r="CQ51" s="904"/>
      <c r="CR51" s="904"/>
      <c r="CS51" s="905"/>
      <c r="CT51" s="904"/>
      <c r="CU51" s="906"/>
      <c r="CV51" s="907"/>
      <c r="CW51" s="904"/>
      <c r="CX51" s="905"/>
      <c r="CY51" s="904"/>
      <c r="CZ51" s="908"/>
      <c r="DA51" s="907"/>
      <c r="DB51" s="904"/>
      <c r="DC51" s="905"/>
      <c r="DD51" s="904"/>
      <c r="DE51" s="908"/>
      <c r="DF51" s="907"/>
      <c r="DG51" s="904"/>
      <c r="DH51" s="905"/>
      <c r="DI51" s="904"/>
      <c r="DJ51" s="908"/>
      <c r="DK51" s="907"/>
      <c r="DL51" s="904"/>
      <c r="DM51" s="905"/>
      <c r="DN51" s="904"/>
      <c r="DO51" s="908"/>
    </row>
    <row r="52" spans="1:119" s="14" customFormat="1" ht="18" customHeight="1" thickBot="1" x14ac:dyDescent="0.3">
      <c r="A52" s="36">
        <f t="shared" si="4"/>
        <v>40</v>
      </c>
      <c r="B52" s="36">
        <f t="shared" si="3"/>
        <v>40</v>
      </c>
      <c r="C52" s="675" t="s">
        <v>1291</v>
      </c>
      <c r="D52" s="676"/>
      <c r="E52" s="912" t="s">
        <v>547</v>
      </c>
      <c r="F52" s="912"/>
      <c r="G52" s="555">
        <v>1183</v>
      </c>
      <c r="H52" s="913">
        <f t="shared" si="9"/>
        <v>1.7144927536231883E-3</v>
      </c>
      <c r="I52" s="555">
        <v>593</v>
      </c>
      <c r="J52" s="555"/>
      <c r="K52" s="914">
        <f t="shared" si="1"/>
        <v>590</v>
      </c>
      <c r="L52" s="70">
        <f t="shared" si="2"/>
        <v>0.49873203719357567</v>
      </c>
      <c r="M52" s="831"/>
      <c r="N52" s="915"/>
      <c r="O52" s="557">
        <f t="shared" ca="1" si="5"/>
        <v>118.64765358830641</v>
      </c>
      <c r="Q52" s="916"/>
      <c r="S52" s="917"/>
      <c r="U52" s="918"/>
      <c r="V52" s="766"/>
      <c r="X52" s="310">
        <f t="shared" si="11"/>
        <v>0</v>
      </c>
      <c r="Z52" s="918" t="s">
        <v>519</v>
      </c>
      <c r="AB52" s="919"/>
      <c r="AC52" s="920"/>
      <c r="AD52" s="921"/>
      <c r="AF52" s="918"/>
      <c r="AG52" s="918"/>
      <c r="AH52" s="918"/>
      <c r="AI52" s="918"/>
      <c r="AJ52" s="918"/>
      <c r="AK52" s="918"/>
      <c r="AL52" s="918"/>
      <c r="AM52" s="918"/>
      <c r="AN52" s="918"/>
      <c r="AO52" s="922"/>
      <c r="AP52" s="923"/>
      <c r="AQ52" s="922"/>
      <c r="AR52" s="842"/>
      <c r="AS52" s="924"/>
      <c r="AT52" s="925"/>
      <c r="AU52" s="926"/>
      <c r="AV52" s="925"/>
      <c r="AW52" s="927"/>
      <c r="AX52" s="924"/>
      <c r="AY52" s="925"/>
      <c r="AZ52" s="926"/>
      <c r="BA52" s="925"/>
      <c r="BB52" s="927"/>
      <c r="BC52" s="924"/>
      <c r="BD52" s="925"/>
      <c r="BE52" s="926"/>
      <c r="BF52" s="925"/>
      <c r="BG52" s="927"/>
      <c r="BH52" s="924"/>
      <c r="BI52" s="925"/>
      <c r="BJ52" s="926"/>
      <c r="BK52" s="925"/>
      <c r="BL52" s="927"/>
      <c r="BM52" s="924"/>
      <c r="BN52" s="925"/>
      <c r="BO52" s="926"/>
      <c r="BP52" s="925"/>
      <c r="BQ52" s="927"/>
      <c r="BR52" s="924"/>
      <c r="BS52" s="925"/>
      <c r="BT52" s="926"/>
      <c r="BU52" s="925"/>
      <c r="BV52" s="927"/>
      <c r="BW52" s="924"/>
      <c r="BX52" s="925"/>
      <c r="BY52" s="926"/>
      <c r="BZ52" s="925"/>
      <c r="CA52" s="927"/>
      <c r="CB52" s="924"/>
      <c r="CC52" s="925"/>
      <c r="CD52" s="926"/>
      <c r="CE52" s="925"/>
      <c r="CF52" s="927"/>
      <c r="CG52" s="924"/>
      <c r="CH52" s="925"/>
      <c r="CI52" s="926"/>
      <c r="CJ52" s="925"/>
      <c r="CK52" s="927"/>
      <c r="CL52" s="924"/>
      <c r="CM52" s="925"/>
      <c r="CN52" s="926"/>
      <c r="CO52" s="925"/>
      <c r="CP52" s="927"/>
      <c r="CQ52" s="924"/>
      <c r="CR52" s="925"/>
      <c r="CS52" s="926"/>
      <c r="CT52" s="925"/>
      <c r="CU52" s="927"/>
      <c r="CV52" s="924"/>
      <c r="CW52" s="925"/>
      <c r="CX52" s="926"/>
      <c r="CY52" s="925"/>
      <c r="CZ52" s="927"/>
      <c r="DA52" s="924"/>
      <c r="DB52" s="925"/>
      <c r="DC52" s="926"/>
      <c r="DD52" s="925"/>
      <c r="DE52" s="927"/>
      <c r="DF52" s="924"/>
      <c r="DG52" s="925"/>
      <c r="DH52" s="926"/>
      <c r="DI52" s="925"/>
      <c r="DJ52" s="927"/>
      <c r="DK52" s="924"/>
      <c r="DL52" s="925"/>
      <c r="DM52" s="926"/>
      <c r="DN52" s="925"/>
      <c r="DO52" s="927"/>
    </row>
    <row r="53" spans="1:119" x14ac:dyDescent="0.25">
      <c r="C53" s="325"/>
      <c r="D53" s="325"/>
    </row>
  </sheetData>
  <sheetProtection selectLockedCells="1"/>
  <mergeCells count="41">
    <mergeCell ref="N7:R7"/>
    <mergeCell ref="S7:T7"/>
    <mergeCell ref="X7:AC7"/>
    <mergeCell ref="J2:L2"/>
    <mergeCell ref="N2:R2"/>
    <mergeCell ref="S2:T2"/>
    <mergeCell ref="X2:AC2"/>
    <mergeCell ref="J3:L3"/>
    <mergeCell ref="N3:R3"/>
    <mergeCell ref="S3:T3"/>
    <mergeCell ref="X3:AC3"/>
    <mergeCell ref="J4:L4"/>
    <mergeCell ref="N4:R4"/>
    <mergeCell ref="X4:AC4"/>
    <mergeCell ref="N6:R6"/>
    <mergeCell ref="S6:T6"/>
    <mergeCell ref="N8:R8"/>
    <mergeCell ref="S8:T8"/>
    <mergeCell ref="X8:AC8"/>
    <mergeCell ref="G10:I10"/>
    <mergeCell ref="J10:L10"/>
    <mergeCell ref="CB11:CF11"/>
    <mergeCell ref="AJ10:AM10"/>
    <mergeCell ref="AN10:AQ10"/>
    <mergeCell ref="U11:V11"/>
    <mergeCell ref="AB11:AD11"/>
    <mergeCell ref="AS11:AW11"/>
    <mergeCell ref="AX11:BB11"/>
    <mergeCell ref="AF10:AI10"/>
    <mergeCell ref="BC11:BG11"/>
    <mergeCell ref="BH11:BL11"/>
    <mergeCell ref="BM11:BQ11"/>
    <mergeCell ref="BR11:BV11"/>
    <mergeCell ref="BW11:CA11"/>
    <mergeCell ref="DK11:DO11"/>
    <mergeCell ref="CG11:CK11"/>
    <mergeCell ref="CL11:CP11"/>
    <mergeCell ref="CQ11:CU11"/>
    <mergeCell ref="CV11:CZ11"/>
    <mergeCell ref="DA11:DE11"/>
    <mergeCell ref="DF11:DJ11"/>
  </mergeCells>
  <conditionalFormatting sqref="L13">
    <cfRule type="iconSet" priority="4">
      <iconSet>
        <cfvo type="percent" val="0"/>
        <cfvo type="percent" val="9"/>
        <cfvo type="percent" val="20"/>
      </iconSet>
    </cfRule>
  </conditionalFormatting>
  <conditionalFormatting sqref="L13">
    <cfRule type="iconSet" priority="3">
      <iconSet>
        <cfvo type="percent" val="0"/>
        <cfvo type="percent" val="9"/>
        <cfvo type="percent" val="20"/>
      </iconSet>
    </cfRule>
  </conditionalFormatting>
  <conditionalFormatting sqref="L13">
    <cfRule type="iconSet" priority="2">
      <iconSet>
        <cfvo type="percent" val="0"/>
        <cfvo type="percent" val="9"/>
        <cfvo type="percent" val="20"/>
      </iconSet>
    </cfRule>
  </conditionalFormatting>
  <conditionalFormatting sqref="L52">
    <cfRule type="iconSet" priority="1">
      <iconSet>
        <cfvo type="percent" val="0"/>
        <cfvo type="percent" val="15"/>
        <cfvo type="percent" val="18"/>
      </iconSet>
    </cfRule>
  </conditionalFormatting>
  <conditionalFormatting sqref="L14:L51">
    <cfRule type="iconSet" priority="5">
      <iconSet>
        <cfvo type="percent" val="0"/>
        <cfvo type="percent" val="9"/>
        <cfvo type="percent" val="20"/>
      </iconSet>
    </cfRule>
  </conditionalFormatting>
  <dataValidations count="6">
    <dataValidation type="list" allowBlank="1" showInputMessage="1" showErrorMessage="1" sqref="V13:V25 V27:V45">
      <formula1>Reconduction</formula1>
    </dataValidation>
    <dataValidation type="list" allowBlank="1" showInputMessage="1" showErrorMessage="1" sqref="F13:F25 F27:F45">
      <formula1>Statut</formula1>
    </dataValidation>
    <dataValidation type="list" allowBlank="1" showInputMessage="1" showErrorMessage="1" sqref="Z13:Z25 Z27:Z52">
      <formula1>Risque</formula1>
    </dataValidation>
    <dataValidation type="list" allowBlank="1" showInputMessage="1" showErrorMessage="1" sqref="U13:U25 U27:U45">
      <formula1>OuiNon</formula1>
    </dataValidation>
    <dataValidation type="list" allowBlank="1" showInputMessage="1" showErrorMessage="1" sqref="E13:E25 E27:E52">
      <formula1>Origine</formula1>
    </dataValidation>
    <dataValidation type="list" allowBlank="1" showInputMessage="1" showErrorMessage="1" sqref="AB39:AB45 AB32:AB37 AB38:AD38 AJ13:AJ25 AB13:AB25 AJ27:AJ45 AB26:AD31 AF27:AF45 AC17:AD24 AF13:AF25">
      <formula1>civilité</formula1>
    </dataValidation>
  </dataValidations>
  <pageMargins left="0.19685039370078741" right="0.19685039370078741" top="0.55118110236220474" bottom="0.55118110236220474" header="0.11811023622047245" footer="0.11811023622047245"/>
  <pageSetup paperSize="8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Q52"/>
  <sheetViews>
    <sheetView showGridLines="0" zoomScale="87" zoomScaleNormal="87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A53" sqref="A53:XFD71"/>
    </sheetView>
  </sheetViews>
  <sheetFormatPr baseColWidth="10" defaultColWidth="11.42578125" defaultRowHeight="16.5" outlineLevelRow="1" x14ac:dyDescent="0.25"/>
  <cols>
    <col min="1" max="1" width="3.140625" style="36" bestFit="1" customWidth="1"/>
    <col min="2" max="2" width="2.7109375" style="36" bestFit="1" customWidth="1"/>
    <col min="3" max="4" width="35.7109375" style="1010" customWidth="1"/>
    <col min="5" max="6" width="5.7109375" style="1009" customWidth="1"/>
    <col min="7" max="7" width="12.7109375" style="1010" customWidth="1"/>
    <col min="8" max="8" width="7.7109375" style="1009" customWidth="1"/>
    <col min="9" max="9" width="11.7109375" style="1010" customWidth="1"/>
    <col min="10" max="12" width="9.7109375" style="1010" customWidth="1"/>
    <col min="13" max="13" width="0.5703125" style="59" customWidth="1"/>
    <col min="14" max="14" width="11.7109375" style="1009" customWidth="1"/>
    <col min="15" max="15" width="9.7109375" style="1009" customWidth="1"/>
    <col min="16" max="16" width="0.5703125" style="1011" customWidth="1"/>
    <col min="17" max="17" width="11.7109375" style="1010" customWidth="1"/>
    <col min="18" max="18" width="0.5703125" style="1012" customWidth="1"/>
    <col min="19" max="19" width="9.7109375" style="1010" customWidth="1"/>
    <col min="20" max="20" width="0.5703125" style="1013" customWidth="1"/>
    <col min="21" max="21" width="5.7109375" style="1013" customWidth="1"/>
    <col min="22" max="22" width="10.7109375" style="1013" customWidth="1"/>
    <col min="23" max="23" width="0.5703125" style="1013" customWidth="1"/>
    <col min="24" max="24" width="10.7109375" style="1013" customWidth="1"/>
    <col min="25" max="25" width="0.5703125" style="1009" customWidth="1"/>
    <col min="26" max="26" width="11.7109375" style="1009" customWidth="1"/>
    <col min="27" max="27" width="0.5703125" style="59" customWidth="1"/>
    <col min="28" max="28" width="9.7109375" style="1009" customWidth="1"/>
    <col min="29" max="29" width="0.5703125" style="59" customWidth="1"/>
    <col min="30" max="30" width="14.7109375" style="1010" customWidth="1"/>
    <col min="31" max="31" width="0.5703125" style="59" customWidth="1"/>
    <col min="32" max="32" width="5.7109375" style="1010" customWidth="1"/>
    <col min="33" max="33" width="15.7109375" style="1010" customWidth="1"/>
    <col min="34" max="34" width="20.7109375" style="1010" customWidth="1"/>
    <col min="35" max="35" width="25.7109375" style="1010" customWidth="1"/>
    <col min="36" max="36" width="5.7109375" style="1010" customWidth="1"/>
    <col min="37" max="37" width="15.7109375" style="1010" customWidth="1"/>
    <col min="38" max="38" width="20.7109375" style="1010" customWidth="1"/>
    <col min="39" max="39" width="25.7109375" style="1010" customWidth="1"/>
    <col min="40" max="40" width="5.7109375" style="1010" customWidth="1"/>
    <col min="41" max="41" width="15.7109375" style="1010" customWidth="1"/>
    <col min="42" max="42" width="20.7109375" style="1010" customWidth="1"/>
    <col min="43" max="43" width="25.7109375" style="1010" customWidth="1"/>
    <col min="44" max="16384" width="11.42578125" style="1010"/>
  </cols>
  <sheetData>
    <row r="1" spans="1:43" s="16" customFormat="1" ht="16.5" customHeight="1" outlineLevel="1" x14ac:dyDescent="0.25">
      <c r="A1" s="36"/>
      <c r="B1" s="36"/>
      <c r="C1" s="18" t="s">
        <v>1098</v>
      </c>
      <c r="D1" s="18"/>
      <c r="E1" s="24"/>
      <c r="F1" s="24"/>
      <c r="G1" s="10">
        <f ca="1">TODAY()</f>
        <v>43183</v>
      </c>
      <c r="H1" s="15"/>
      <c r="J1" s="59"/>
      <c r="K1" s="15"/>
      <c r="N1" s="15"/>
      <c r="O1" s="15"/>
      <c r="P1" s="84"/>
      <c r="Q1" s="59"/>
      <c r="R1" s="59"/>
      <c r="S1" s="15"/>
      <c r="T1" s="84"/>
      <c r="U1" s="84"/>
      <c r="V1" s="84"/>
      <c r="W1" s="84"/>
      <c r="X1" s="84"/>
      <c r="Y1" s="86"/>
      <c r="Z1" s="59"/>
      <c r="AB1" s="59"/>
      <c r="AG1" s="71"/>
    </row>
    <row r="2" spans="1:43" s="16" customFormat="1" ht="15" customHeight="1" outlineLevel="1" x14ac:dyDescent="0.25">
      <c r="A2" s="36"/>
      <c r="B2" s="36"/>
      <c r="C2" s="53" t="s">
        <v>664</v>
      </c>
      <c r="D2" s="53"/>
      <c r="E2" s="25"/>
      <c r="F2" s="25"/>
      <c r="G2" s="72">
        <v>478154</v>
      </c>
      <c r="H2" s="41" t="s">
        <v>518</v>
      </c>
      <c r="I2" s="39">
        <f>SUMIF(F13:F24,"Perdu",G13:G24)+SUMIF(F27:F43,"Perdu",G27:G43)+SUMIF(F44:F48,"Perdu",G44:G48)</f>
        <v>110594.38</v>
      </c>
      <c r="J2" s="1172" t="s">
        <v>528</v>
      </c>
      <c r="K2" s="1173"/>
      <c r="L2" s="1173"/>
      <c r="M2" s="90"/>
      <c r="N2" s="1132" t="s">
        <v>537</v>
      </c>
      <c r="O2" s="1133"/>
      <c r="P2" s="1133"/>
      <c r="Q2" s="1133"/>
      <c r="R2" s="1129">
        <f>SUMIFS($G$13:$G$24,$E$13:$E$24,"dcn",$F$13:$F$24,"")+SUMIFS($G$27:$G$43,$E$27:$E$43,"dcn",$F$27:$F$43,"")+SUMIFS($G$44:$G$48,$E$44:$E$48,"DCn",$F$44:$F$48,"")</f>
        <v>155555</v>
      </c>
      <c r="S2" s="1129"/>
      <c r="T2" s="1129"/>
      <c r="U2" s="103"/>
      <c r="V2" s="104">
        <f>SUMIFS($G$13:$G$24,$E$13:$E$24,"di",$F$13:$F$24,"")+SUMIFS($G$27:$G$43,$E$27:$E$43,"di",$F$27:$F$43,"")+SUMIFS(G44:G48,E44:E48,"di",F44:F48,"")</f>
        <v>90990</v>
      </c>
      <c r="W2" s="1121" t="s">
        <v>583</v>
      </c>
      <c r="X2" s="1122"/>
      <c r="Y2" s="1122"/>
      <c r="Z2" s="1122"/>
      <c r="AA2" s="1122"/>
      <c r="AB2" s="1122"/>
      <c r="AC2" s="98"/>
      <c r="AD2" s="98"/>
      <c r="AE2" s="98"/>
      <c r="AF2" s="53"/>
      <c r="AG2" s="75"/>
    </row>
    <row r="3" spans="1:43" s="16" customFormat="1" ht="15" customHeight="1" outlineLevel="1" x14ac:dyDescent="0.25">
      <c r="A3" s="36"/>
      <c r="B3" s="36"/>
      <c r="C3" s="53" t="s">
        <v>517</v>
      </c>
      <c r="D3" s="53"/>
      <c r="E3" s="19"/>
      <c r="F3" s="19"/>
      <c r="G3" s="73">
        <v>133</v>
      </c>
      <c r="H3" s="20"/>
      <c r="I3" s="82">
        <f>COUNTA($F$13:$F$24)+COUNTA($F$27:$F$43)+COUNTA($F$44:$F$48)</f>
        <v>9</v>
      </c>
      <c r="J3" s="1168" t="s">
        <v>531</v>
      </c>
      <c r="K3" s="1169"/>
      <c r="L3" s="1169"/>
      <c r="M3" s="390"/>
      <c r="N3" s="1127" t="s">
        <v>531</v>
      </c>
      <c r="O3" s="1127"/>
      <c r="P3" s="1127"/>
      <c r="Q3" s="1127"/>
      <c r="R3" s="1130">
        <f>COUNTIFS($E$13:$E$24,"DCN",F13:F24,"")+COUNTIFS($E$27:$E$43,"DCN",F27:F43,"")+COUNTIFS($E$44:$E$48,"DCN",F44:F48,"")</f>
        <v>12</v>
      </c>
      <c r="S3" s="1130"/>
      <c r="T3" s="1130"/>
      <c r="U3" s="13"/>
      <c r="V3" s="388">
        <f>COUNTIFS($E$13:$E$24,"DI",F13:F24,"")+COUNTIFS($E$27:$E$43,"DI",F27:F43,"")+COUNTIFS($E$44:$E$48,"DI",F44:F48,"")</f>
        <v>6</v>
      </c>
      <c r="W3" s="1123" t="s">
        <v>531</v>
      </c>
      <c r="X3" s="1123"/>
      <c r="Y3" s="1123"/>
      <c r="Z3" s="1123"/>
      <c r="AA3" s="1123"/>
      <c r="AB3" s="1123"/>
      <c r="AD3" s="12"/>
      <c r="AE3" s="14"/>
      <c r="AF3" s="14"/>
      <c r="AG3" s="79"/>
    </row>
    <row r="4" spans="1:43" s="16" customFormat="1" ht="15" customHeight="1" outlineLevel="1" x14ac:dyDescent="0.25">
      <c r="A4" s="36"/>
      <c r="B4" s="36"/>
      <c r="C4" s="53" t="s">
        <v>526</v>
      </c>
      <c r="D4" s="53"/>
      <c r="E4" s="19"/>
      <c r="F4" s="19"/>
      <c r="G4" s="74">
        <f>COUNTA($C$13:$C$24)/$G$3</f>
        <v>9.0225563909774431E-2</v>
      </c>
      <c r="H4" s="20"/>
      <c r="I4" s="40">
        <f>$I$2/$G$2</f>
        <v>0.23129447834797995</v>
      </c>
      <c r="J4" s="1168" t="s">
        <v>532</v>
      </c>
      <c r="K4" s="1169"/>
      <c r="L4" s="1169"/>
      <c r="M4" s="390"/>
      <c r="N4" s="1127" t="s">
        <v>586</v>
      </c>
      <c r="O4" s="1127"/>
      <c r="P4" s="1127"/>
      <c r="Q4" s="1127"/>
      <c r="R4" s="1131">
        <f>$R$2/$G$2</f>
        <v>0.32532405877604287</v>
      </c>
      <c r="S4" s="1131"/>
      <c r="T4" s="1131"/>
      <c r="U4" s="13"/>
      <c r="V4" s="389">
        <f>$V$2/$G$2</f>
        <v>0.19029434031713632</v>
      </c>
      <c r="W4" s="1123" t="s">
        <v>586</v>
      </c>
      <c r="X4" s="1123"/>
      <c r="Y4" s="1123"/>
      <c r="Z4" s="1123"/>
      <c r="AA4" s="1123"/>
      <c r="AB4" s="1123"/>
      <c r="AE4" s="14"/>
      <c r="AF4" s="14"/>
      <c r="AG4" s="76"/>
    </row>
    <row r="5" spans="1:43" s="16" customFormat="1" ht="5.25" customHeight="1" outlineLevel="1" x14ac:dyDescent="0.25">
      <c r="A5" s="38"/>
      <c r="B5" s="38"/>
      <c r="C5" s="26"/>
      <c r="D5" s="26"/>
      <c r="E5" s="26"/>
      <c r="F5" s="26"/>
      <c r="H5" s="15"/>
      <c r="M5" s="60"/>
      <c r="N5" s="107"/>
      <c r="O5" s="108"/>
      <c r="P5" s="107"/>
      <c r="Q5" s="108"/>
      <c r="R5" s="80"/>
      <c r="T5" s="59"/>
      <c r="U5" s="59"/>
      <c r="V5" s="15"/>
      <c r="W5" s="59"/>
      <c r="Y5" s="15"/>
      <c r="AA5" s="60"/>
      <c r="AC5" s="60"/>
      <c r="AD5" s="21"/>
      <c r="AE5" s="60"/>
      <c r="AF5" s="21"/>
      <c r="AG5" s="77"/>
      <c r="AH5" s="21"/>
      <c r="AI5" s="21"/>
      <c r="AJ5" s="21"/>
      <c r="AK5" s="21"/>
      <c r="AL5" s="21"/>
      <c r="AM5" s="21"/>
      <c r="AN5" s="21"/>
      <c r="AO5" s="21"/>
      <c r="AP5" s="21"/>
      <c r="AQ5" s="21"/>
    </row>
    <row r="6" spans="1:43" s="16" customFormat="1" ht="15" customHeight="1" outlineLevel="1" x14ac:dyDescent="0.25">
      <c r="A6" s="38"/>
      <c r="B6" s="38"/>
      <c r="C6" s="26"/>
      <c r="D6" s="26"/>
      <c r="E6" s="26"/>
      <c r="F6" s="26"/>
      <c r="H6" s="15"/>
      <c r="M6" s="60"/>
      <c r="N6" s="1124" t="s">
        <v>582</v>
      </c>
      <c r="O6" s="1125"/>
      <c r="P6" s="1125"/>
      <c r="Q6" s="1126"/>
      <c r="R6" s="1128">
        <f>SUMIFS($G$13:$G$24,$E$13:$E$24,"AO",$F$13:$F$24,"")+SUMIFS($G$27:$G$43,$E$27:$E$43,"AO",$F$27:$F$43,"")+SUMIFS($G$44:$G$48,$E$44:$E$48,"AO",$F$44:$F$48,"")</f>
        <v>76910</v>
      </c>
      <c r="S6" s="1129"/>
      <c r="T6" s="1196"/>
      <c r="U6" s="97"/>
      <c r="V6" s="104">
        <f>SUMIFS($G$13:$G$24,$E$13:$E$24,"REG",$F$13:$F$24,"")+SUMIFS($G$27:$G$43,$E$27:$E$43,"REG",$F$27:$F$43,"")+SUMIFS($G$44:$G$48,$E$44:$E$48,"REG",$F$44:$F$48,"")</f>
        <v>3037</v>
      </c>
      <c r="W6" s="1136" t="s">
        <v>584</v>
      </c>
      <c r="X6" s="1137"/>
      <c r="Y6" s="1137"/>
      <c r="Z6" s="1137"/>
      <c r="AA6" s="1137"/>
      <c r="AB6" s="1137"/>
      <c r="AC6" s="98"/>
      <c r="AD6" s="98"/>
      <c r="AE6" s="98"/>
      <c r="AF6" s="77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3" s="16" customFormat="1" ht="15" customHeight="1" outlineLevel="1" x14ac:dyDescent="0.25">
      <c r="A7" s="38"/>
      <c r="B7" s="38"/>
      <c r="C7" s="26"/>
      <c r="D7" s="26"/>
      <c r="E7" s="26"/>
      <c r="F7" s="26"/>
      <c r="H7" s="15"/>
      <c r="M7" s="60"/>
      <c r="N7" s="1127" t="s">
        <v>531</v>
      </c>
      <c r="O7" s="1127"/>
      <c r="P7" s="1127"/>
      <c r="Q7" s="1127"/>
      <c r="R7" s="1130">
        <f>COUNTIFS($E$13:$E$24,"AO",$F$13:$F$24,"")+COUNTIFS($E$27:$E$43,"AO",$F$27:$F$43,"")+COUNTIFS($E$44:$E$48,"AO",$F$44:$F$48,"")</f>
        <v>6</v>
      </c>
      <c r="S7" s="1130"/>
      <c r="T7" s="1130"/>
      <c r="U7" s="13"/>
      <c r="V7" s="388">
        <f>COUNTIFS($E$13:$E$24,"REG",$F$13:$F$24,"")+COUNTIFS($E$27:$E$43,"REG",$F$27:$F$43,"")+COUNTIFS($E$44:$E$48,"REG",$F$44:$F$48,"")</f>
        <v>1</v>
      </c>
      <c r="W7" s="87"/>
      <c r="X7" s="1123" t="s">
        <v>531</v>
      </c>
      <c r="Y7" s="1123"/>
      <c r="Z7" s="1123"/>
      <c r="AA7" s="1123"/>
      <c r="AB7" s="1123"/>
      <c r="AC7" s="1123"/>
      <c r="AD7" s="12"/>
      <c r="AE7" s="60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</row>
    <row r="8" spans="1:43" s="16" customFormat="1" ht="15" customHeight="1" outlineLevel="1" x14ac:dyDescent="0.25">
      <c r="A8" s="38"/>
      <c r="B8" s="38"/>
      <c r="C8" s="26"/>
      <c r="D8" s="26"/>
      <c r="E8" s="26"/>
      <c r="F8" s="26"/>
      <c r="H8" s="15"/>
      <c r="M8" s="60"/>
      <c r="N8" s="1127" t="s">
        <v>586</v>
      </c>
      <c r="O8" s="1127"/>
      <c r="P8" s="1127"/>
      <c r="Q8" s="1127"/>
      <c r="R8" s="1131">
        <f>$R$6/$G$2</f>
        <v>0.16084776034499346</v>
      </c>
      <c r="S8" s="1131"/>
      <c r="T8" s="1131"/>
      <c r="U8" s="13"/>
      <c r="V8" s="389">
        <f>$V$6/$G$2</f>
        <v>6.3515101829117815E-3</v>
      </c>
      <c r="W8" s="87"/>
      <c r="X8" s="1123" t="s">
        <v>586</v>
      </c>
      <c r="Y8" s="1123"/>
      <c r="Z8" s="1123"/>
      <c r="AA8" s="1123"/>
      <c r="AB8" s="1123"/>
      <c r="AC8" s="1123"/>
      <c r="AE8" s="60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</row>
    <row r="9" spans="1:43" s="16" customFormat="1" ht="12.75" customHeight="1" x14ac:dyDescent="0.25">
      <c r="A9" s="38"/>
      <c r="B9" s="38"/>
      <c r="C9" s="26"/>
      <c r="D9" s="26"/>
      <c r="E9" s="26"/>
      <c r="F9" s="26"/>
      <c r="H9" s="15"/>
      <c r="M9" s="60"/>
      <c r="N9" s="15"/>
      <c r="O9" s="15"/>
      <c r="P9" s="84"/>
      <c r="R9" s="80"/>
      <c r="T9" s="59"/>
      <c r="U9" s="59"/>
      <c r="V9" s="59"/>
      <c r="W9" s="59"/>
      <c r="X9" s="59"/>
      <c r="Y9" s="15"/>
      <c r="Z9" s="15"/>
      <c r="AA9" s="60"/>
      <c r="AB9" s="15"/>
      <c r="AC9" s="60"/>
      <c r="AD9" s="21"/>
      <c r="AE9" s="60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</row>
    <row r="10" spans="1:43" s="16" customFormat="1" ht="15" customHeight="1" x14ac:dyDescent="0.25">
      <c r="A10" s="36"/>
      <c r="B10" s="36"/>
      <c r="E10" s="15"/>
      <c r="F10" s="15"/>
      <c r="G10" s="1155" t="s">
        <v>523</v>
      </c>
      <c r="H10" s="1156"/>
      <c r="I10" s="1156"/>
      <c r="J10" s="1157">
        <v>43008</v>
      </c>
      <c r="K10" s="1157"/>
      <c r="L10" s="1157"/>
      <c r="M10" s="59"/>
      <c r="N10" s="585"/>
      <c r="O10" s="585"/>
      <c r="P10" s="586"/>
      <c r="Q10" s="585"/>
      <c r="R10" s="586"/>
      <c r="S10" s="585"/>
      <c r="T10" s="586"/>
      <c r="U10" s="586"/>
      <c r="V10" s="586"/>
      <c r="W10" s="586"/>
      <c r="X10" s="586"/>
      <c r="Y10" s="587"/>
      <c r="Z10" s="587"/>
      <c r="AA10" s="59"/>
      <c r="AB10" s="15"/>
      <c r="AC10" s="59"/>
      <c r="AE10" s="59"/>
      <c r="AF10" s="1164" t="s">
        <v>869</v>
      </c>
      <c r="AG10" s="1164"/>
      <c r="AH10" s="1164"/>
      <c r="AI10" s="1164"/>
      <c r="AJ10" s="1164" t="s">
        <v>870</v>
      </c>
      <c r="AK10" s="1164"/>
      <c r="AL10" s="1164"/>
      <c r="AM10" s="1164"/>
      <c r="AN10" s="1164" t="s">
        <v>871</v>
      </c>
      <c r="AO10" s="1164"/>
      <c r="AP10" s="1164"/>
      <c r="AQ10" s="1164"/>
    </row>
    <row r="11" spans="1:43" s="16" customFormat="1" ht="36" customHeight="1" x14ac:dyDescent="0.25">
      <c r="A11" s="36"/>
      <c r="B11" s="36"/>
      <c r="C11" s="385" t="s">
        <v>638</v>
      </c>
      <c r="D11" s="386" t="s">
        <v>637</v>
      </c>
      <c r="E11" s="78" t="s">
        <v>530</v>
      </c>
      <c r="F11" s="78" t="s">
        <v>529</v>
      </c>
      <c r="G11" s="588" t="s">
        <v>0</v>
      </c>
      <c r="H11" s="22" t="s">
        <v>524</v>
      </c>
      <c r="I11" s="588" t="s">
        <v>1</v>
      </c>
      <c r="J11" s="588" t="s">
        <v>2</v>
      </c>
      <c r="K11" s="588" t="s">
        <v>3</v>
      </c>
      <c r="L11" s="589" t="s">
        <v>4</v>
      </c>
      <c r="M11" s="590"/>
      <c r="N11" s="54" t="s">
        <v>520</v>
      </c>
      <c r="O11" s="54" t="s">
        <v>525</v>
      </c>
      <c r="P11" s="81"/>
      <c r="Q11" s="62" t="s">
        <v>587</v>
      </c>
      <c r="R11" s="80"/>
      <c r="S11" s="105" t="s">
        <v>522</v>
      </c>
      <c r="T11" s="591"/>
      <c r="U11" s="1140" t="s">
        <v>588</v>
      </c>
      <c r="V11" s="1141"/>
      <c r="W11" s="81"/>
      <c r="X11" s="62" t="s">
        <v>593</v>
      </c>
      <c r="Y11" s="455"/>
      <c r="Z11" s="54" t="s">
        <v>23</v>
      </c>
      <c r="AA11" s="85"/>
      <c r="AB11" s="1153" t="s">
        <v>594</v>
      </c>
      <c r="AC11" s="1165"/>
      <c r="AD11" s="1154"/>
      <c r="AE11" s="590"/>
      <c r="AF11" s="55" t="s">
        <v>533</v>
      </c>
      <c r="AG11" s="56" t="s">
        <v>535</v>
      </c>
      <c r="AH11" s="56" t="s">
        <v>581</v>
      </c>
      <c r="AI11" s="56" t="s">
        <v>556</v>
      </c>
      <c r="AJ11" s="57" t="s">
        <v>533</v>
      </c>
      <c r="AK11" s="58" t="s">
        <v>535</v>
      </c>
      <c r="AL11" s="58" t="s">
        <v>581</v>
      </c>
      <c r="AM11" s="58" t="s">
        <v>556</v>
      </c>
      <c r="AN11" s="449" t="s">
        <v>533</v>
      </c>
      <c r="AO11" s="450" t="s">
        <v>535</v>
      </c>
      <c r="AP11" s="450" t="s">
        <v>581</v>
      </c>
      <c r="AQ11" s="450" t="s">
        <v>556</v>
      </c>
    </row>
    <row r="12" spans="1:43" s="16" customFormat="1" ht="5.25" customHeight="1" thickBot="1" x14ac:dyDescent="0.3">
      <c r="A12" s="36"/>
      <c r="B12" s="36"/>
      <c r="C12" s="827"/>
      <c r="D12" s="827"/>
      <c r="E12" s="24"/>
      <c r="F12" s="24"/>
      <c r="G12" s="10"/>
      <c r="H12" s="15"/>
      <c r="M12" s="59"/>
      <c r="N12" s="15"/>
      <c r="P12" s="59"/>
      <c r="Q12" s="15"/>
      <c r="R12" s="80"/>
      <c r="T12" s="59"/>
      <c r="U12" s="59"/>
      <c r="V12" s="59"/>
      <c r="W12" s="59"/>
      <c r="X12" s="59"/>
      <c r="Z12" s="15"/>
      <c r="AA12" s="59"/>
      <c r="AC12" s="59"/>
      <c r="AE12" s="59"/>
    </row>
    <row r="13" spans="1:43" s="440" customFormat="1" ht="18" customHeight="1" x14ac:dyDescent="0.25">
      <c r="A13" s="36">
        <v>1</v>
      </c>
      <c r="B13" s="36">
        <v>1</v>
      </c>
      <c r="C13" s="1070" t="s">
        <v>1239</v>
      </c>
      <c r="D13" s="1071" t="s">
        <v>1246</v>
      </c>
      <c r="E13" s="938" t="s">
        <v>521</v>
      </c>
      <c r="F13" s="939"/>
      <c r="G13" s="940">
        <v>49940</v>
      </c>
      <c r="H13" s="941">
        <f t="shared" ref="H13:H23" si="0">G13/$G$2</f>
        <v>0.10444333833869422</v>
      </c>
      <c r="I13" s="940">
        <v>36471.1</v>
      </c>
      <c r="J13" s="940">
        <v>8166.7</v>
      </c>
      <c r="K13" s="942">
        <v>5302.4</v>
      </c>
      <c r="L13" s="68">
        <f t="shared" ref="L13:L23" si="1">K13/G13</f>
        <v>0.1061754104925911</v>
      </c>
      <c r="M13" s="749"/>
      <c r="N13" s="30">
        <v>42522</v>
      </c>
      <c r="O13" s="142">
        <f ca="1">($G$1-N13)/30.33/12</f>
        <v>1.8161336410594571</v>
      </c>
      <c r="P13" s="943"/>
      <c r="Q13" s="944">
        <v>43616</v>
      </c>
      <c r="R13" s="943"/>
      <c r="S13" s="945">
        <f t="shared" ref="S13:S23" ca="1" si="2">(X13-$G$1)/30.33</f>
        <v>14.276294098252556</v>
      </c>
      <c r="T13" s="943"/>
      <c r="U13" s="145"/>
      <c r="V13" s="66"/>
      <c r="W13" s="943"/>
      <c r="X13" s="91">
        <f t="shared" ref="X13:X43" si="3">IF(OR(U13="",U13="N"),Q13,EDATE(Q13,V13))</f>
        <v>43616</v>
      </c>
      <c r="Y13" s="943"/>
      <c r="Z13" s="1" t="s">
        <v>1099</v>
      </c>
      <c r="AA13" s="943"/>
      <c r="AB13" s="1193" t="s">
        <v>560</v>
      </c>
      <c r="AC13" s="1194"/>
      <c r="AD13" s="1195"/>
      <c r="AE13" s="749"/>
      <c r="AF13" s="31" t="s">
        <v>536</v>
      </c>
      <c r="AG13" s="31"/>
      <c r="AH13" s="946" t="s">
        <v>1100</v>
      </c>
      <c r="AI13" s="946"/>
      <c r="AJ13" s="31" t="s">
        <v>536</v>
      </c>
      <c r="AK13" s="31"/>
      <c r="AL13" s="946" t="s">
        <v>1101</v>
      </c>
      <c r="AM13" s="946"/>
      <c r="AN13" s="31" t="s">
        <v>536</v>
      </c>
      <c r="AO13" s="31"/>
      <c r="AP13" s="946" t="s">
        <v>1101</v>
      </c>
      <c r="AQ13" s="946"/>
    </row>
    <row r="14" spans="1:43" s="440" customFormat="1" ht="18" customHeight="1" x14ac:dyDescent="0.25">
      <c r="A14" s="36">
        <v>2</v>
      </c>
      <c r="B14" s="36">
        <v>2</v>
      </c>
      <c r="C14" s="601" t="s">
        <v>1240</v>
      </c>
      <c r="D14" s="602" t="s">
        <v>1247</v>
      </c>
      <c r="E14" s="947" t="s">
        <v>521</v>
      </c>
      <c r="F14" s="948" t="s">
        <v>527</v>
      </c>
      <c r="G14" s="949">
        <v>40986</v>
      </c>
      <c r="H14" s="950">
        <f t="shared" si="0"/>
        <v>8.5717153887659631E-2</v>
      </c>
      <c r="I14" s="951">
        <v>49902.3</v>
      </c>
      <c r="J14" s="951">
        <v>8210.2000000000007</v>
      </c>
      <c r="K14" s="952">
        <v>7384.1</v>
      </c>
      <c r="L14" s="69">
        <f t="shared" si="1"/>
        <v>0.18016151856731569</v>
      </c>
      <c r="M14" s="718"/>
      <c r="N14" s="32">
        <v>35796</v>
      </c>
      <c r="O14" s="143">
        <f t="shared" ref="O14:O23" ca="1" si="4">($G$1-N14)/30.33/12</f>
        <v>20.296186394109245</v>
      </c>
      <c r="P14" s="943"/>
      <c r="Q14" s="953">
        <v>43099</v>
      </c>
      <c r="R14" s="943"/>
      <c r="S14" s="954">
        <f t="shared" ca="1" si="2"/>
        <v>-2.7695351137487636</v>
      </c>
      <c r="T14" s="943"/>
      <c r="U14" s="146"/>
      <c r="V14" s="67"/>
      <c r="W14" s="943"/>
      <c r="X14" s="92">
        <f t="shared" si="3"/>
        <v>43099</v>
      </c>
      <c r="Y14" s="943"/>
      <c r="Z14" s="485" t="s">
        <v>1102</v>
      </c>
      <c r="AA14" s="943"/>
      <c r="AB14" s="1190" t="s">
        <v>562</v>
      </c>
      <c r="AC14" s="1191"/>
      <c r="AD14" s="1192"/>
      <c r="AE14" s="718"/>
      <c r="AF14" s="34" t="s">
        <v>536</v>
      </c>
      <c r="AG14" s="33"/>
      <c r="AH14" s="33" t="s">
        <v>1103</v>
      </c>
      <c r="AI14" s="33"/>
      <c r="AJ14" s="33"/>
      <c r="AK14" s="33"/>
      <c r="AL14" s="33"/>
      <c r="AM14" s="33"/>
      <c r="AN14" s="33"/>
      <c r="AO14" s="33"/>
      <c r="AP14" s="33"/>
      <c r="AQ14" s="33"/>
    </row>
    <row r="15" spans="1:43" s="440" customFormat="1" ht="18" customHeight="1" x14ac:dyDescent="0.25">
      <c r="A15" s="36">
        <v>3</v>
      </c>
      <c r="B15" s="36">
        <v>3</v>
      </c>
      <c r="C15" s="601" t="s">
        <v>1241</v>
      </c>
      <c r="D15" s="602" t="s">
        <v>1248</v>
      </c>
      <c r="E15" s="947" t="s">
        <v>580</v>
      </c>
      <c r="F15" s="948"/>
      <c r="G15" s="949">
        <v>38346</v>
      </c>
      <c r="H15" s="950">
        <f t="shared" si="0"/>
        <v>8.0195920142882834E-2</v>
      </c>
      <c r="I15" s="949">
        <v>27525.9</v>
      </c>
      <c r="J15" s="949">
        <v>7200.2</v>
      </c>
      <c r="K15" s="955">
        <v>3620.2</v>
      </c>
      <c r="L15" s="69">
        <f t="shared" si="1"/>
        <v>9.4408804047358255E-2</v>
      </c>
      <c r="M15" s="718"/>
      <c r="N15" s="32">
        <v>37288</v>
      </c>
      <c r="O15" s="143">
        <f t="shared" ca="1" si="4"/>
        <v>16.19683481701286</v>
      </c>
      <c r="P15" s="943"/>
      <c r="Q15" s="953">
        <v>42735</v>
      </c>
      <c r="R15" s="943"/>
      <c r="S15" s="954">
        <f t="shared" ca="1" si="2"/>
        <v>9.2977250247279919</v>
      </c>
      <c r="T15" s="943"/>
      <c r="U15" s="146" t="s">
        <v>591</v>
      </c>
      <c r="V15" s="67">
        <v>24</v>
      </c>
      <c r="W15" s="943"/>
      <c r="X15" s="92">
        <f t="shared" si="3"/>
        <v>43465</v>
      </c>
      <c r="Y15" s="943"/>
      <c r="Z15" s="485" t="s">
        <v>1099</v>
      </c>
      <c r="AA15" s="943"/>
      <c r="AB15" s="1190" t="s">
        <v>562</v>
      </c>
      <c r="AC15" s="1191"/>
      <c r="AD15" s="1192"/>
      <c r="AE15" s="718"/>
      <c r="AF15" s="34" t="s">
        <v>536</v>
      </c>
      <c r="AG15" s="33"/>
      <c r="AH15" s="3" t="s">
        <v>1104</v>
      </c>
      <c r="AI15" s="3"/>
      <c r="AJ15" s="33"/>
      <c r="AK15" s="33"/>
      <c r="AL15" s="3"/>
      <c r="AM15" s="3"/>
      <c r="AN15" s="33"/>
      <c r="AO15" s="33"/>
      <c r="AP15" s="3"/>
      <c r="AQ15" s="3"/>
    </row>
    <row r="16" spans="1:43" s="440" customFormat="1" ht="18" customHeight="1" x14ac:dyDescent="0.25">
      <c r="A16" s="36">
        <v>4</v>
      </c>
      <c r="B16" s="36">
        <v>4</v>
      </c>
      <c r="C16" s="601" t="s">
        <v>1242</v>
      </c>
      <c r="D16" s="602"/>
      <c r="E16" s="956" t="s">
        <v>521</v>
      </c>
      <c r="F16" s="948" t="s">
        <v>527</v>
      </c>
      <c r="G16" s="951">
        <v>13966.38</v>
      </c>
      <c r="H16" s="950">
        <f t="shared" si="0"/>
        <v>2.9208957783475615E-2</v>
      </c>
      <c r="I16" s="949"/>
      <c r="J16" s="949"/>
      <c r="K16" s="955"/>
      <c r="L16" s="69">
        <f t="shared" si="1"/>
        <v>0</v>
      </c>
      <c r="M16" s="718"/>
      <c r="N16" s="32">
        <v>42005</v>
      </c>
      <c r="O16" s="143">
        <f t="shared" ca="1" si="4"/>
        <v>3.2366194087262339</v>
      </c>
      <c r="P16" s="943"/>
      <c r="Q16" s="4">
        <v>43100</v>
      </c>
      <c r="R16" s="943"/>
      <c r="S16" s="954">
        <f t="shared" ca="1" si="2"/>
        <v>-2.7365644576327068</v>
      </c>
      <c r="T16" s="943"/>
      <c r="U16" s="146"/>
      <c r="V16" s="67">
        <v>12</v>
      </c>
      <c r="W16" s="943"/>
      <c r="X16" s="92">
        <f t="shared" si="3"/>
        <v>43100</v>
      </c>
      <c r="Y16" s="943"/>
      <c r="Z16" s="2" t="s">
        <v>1099</v>
      </c>
      <c r="AA16" s="943"/>
      <c r="AB16" s="1190" t="s">
        <v>563</v>
      </c>
      <c r="AC16" s="1191"/>
      <c r="AD16" s="1192"/>
      <c r="AE16" s="718"/>
      <c r="AF16" s="34" t="s">
        <v>534</v>
      </c>
      <c r="AG16" s="33"/>
      <c r="AH16" s="3" t="s">
        <v>1105</v>
      </c>
      <c r="AI16" s="3"/>
      <c r="AJ16" s="33"/>
      <c r="AK16" s="33"/>
      <c r="AL16" s="3"/>
      <c r="AM16" s="3"/>
      <c r="AN16" s="33"/>
      <c r="AO16" s="33"/>
      <c r="AP16" s="3"/>
      <c r="AQ16" s="3"/>
    </row>
    <row r="17" spans="1:43" s="440" customFormat="1" ht="18" customHeight="1" x14ac:dyDescent="0.25">
      <c r="A17" s="36">
        <v>5</v>
      </c>
      <c r="B17" s="36">
        <v>5</v>
      </c>
      <c r="C17" s="601" t="s">
        <v>1243</v>
      </c>
      <c r="D17" s="602"/>
      <c r="E17" s="956" t="s">
        <v>521</v>
      </c>
      <c r="F17" s="948"/>
      <c r="G17" s="951">
        <v>22240</v>
      </c>
      <c r="H17" s="950">
        <f t="shared" si="0"/>
        <v>4.6512211546907482E-2</v>
      </c>
      <c r="I17" s="949">
        <v>15697</v>
      </c>
      <c r="J17" s="949">
        <v>1605</v>
      </c>
      <c r="K17" s="955">
        <v>4937</v>
      </c>
      <c r="L17" s="69">
        <f t="shared" si="1"/>
        <v>0.22198741007194245</v>
      </c>
      <c r="M17" s="718"/>
      <c r="N17" s="32">
        <v>42736</v>
      </c>
      <c r="O17" s="143">
        <f t="shared" ca="1" si="4"/>
        <v>1.2281569403231125</v>
      </c>
      <c r="P17" s="943"/>
      <c r="Q17" s="4">
        <v>43830</v>
      </c>
      <c r="R17" s="943"/>
      <c r="S17" s="954">
        <f t="shared" ca="1" si="2"/>
        <v>21.332014507088694</v>
      </c>
      <c r="T17" s="943"/>
      <c r="U17" s="146"/>
      <c r="V17" s="67"/>
      <c r="W17" s="943"/>
      <c r="X17" s="92">
        <f t="shared" si="3"/>
        <v>43830</v>
      </c>
      <c r="Y17" s="943"/>
      <c r="Z17" s="2" t="s">
        <v>135</v>
      </c>
      <c r="AA17" s="943"/>
      <c r="AB17" s="1190" t="s">
        <v>579</v>
      </c>
      <c r="AC17" s="1191"/>
      <c r="AD17" s="1192"/>
      <c r="AE17" s="718"/>
      <c r="AF17" s="34" t="s">
        <v>534</v>
      </c>
      <c r="AG17" s="33"/>
      <c r="AH17" s="3" t="s">
        <v>1105</v>
      </c>
      <c r="AI17" s="3"/>
      <c r="AJ17" s="33"/>
      <c r="AK17" s="33"/>
      <c r="AL17" s="3"/>
      <c r="AM17" s="3"/>
      <c r="AN17" s="33"/>
      <c r="AO17" s="33"/>
      <c r="AP17" s="3"/>
      <c r="AQ17" s="3"/>
    </row>
    <row r="18" spans="1:43" s="440" customFormat="1" ht="18" customHeight="1" x14ac:dyDescent="0.25">
      <c r="A18" s="36">
        <v>6</v>
      </c>
      <c r="B18" s="36">
        <v>6</v>
      </c>
      <c r="C18" s="636" t="s">
        <v>1244</v>
      </c>
      <c r="D18" s="637"/>
      <c r="E18" s="947" t="s">
        <v>580</v>
      </c>
      <c r="F18" s="948"/>
      <c r="G18" s="949">
        <v>28003</v>
      </c>
      <c r="H18" s="950">
        <f t="shared" si="0"/>
        <v>5.856481384658499E-2</v>
      </c>
      <c r="I18" s="949">
        <v>21431.5</v>
      </c>
      <c r="J18" s="949">
        <v>1516.2</v>
      </c>
      <c r="K18" s="955">
        <v>5236.8</v>
      </c>
      <c r="L18" s="69">
        <f t="shared" si="1"/>
        <v>0.18700853479984289</v>
      </c>
      <c r="M18" s="749"/>
      <c r="N18" s="32">
        <v>42217</v>
      </c>
      <c r="O18" s="143">
        <f t="shared" ca="1" si="4"/>
        <v>2.6541378173425652</v>
      </c>
      <c r="P18" s="943"/>
      <c r="Q18" s="4">
        <v>43465</v>
      </c>
      <c r="R18" s="943"/>
      <c r="S18" s="954">
        <f t="shared" ca="1" si="2"/>
        <v>9.2977250247279919</v>
      </c>
      <c r="T18" s="943"/>
      <c r="U18" s="146" t="s">
        <v>592</v>
      </c>
      <c r="V18" s="67"/>
      <c r="W18" s="943"/>
      <c r="X18" s="92">
        <f t="shared" si="3"/>
        <v>43465</v>
      </c>
      <c r="Y18" s="943"/>
      <c r="Z18" s="2" t="s">
        <v>1099</v>
      </c>
      <c r="AA18" s="943"/>
      <c r="AB18" s="1190" t="s">
        <v>564</v>
      </c>
      <c r="AC18" s="1191"/>
      <c r="AD18" s="1192"/>
      <c r="AE18" s="749"/>
      <c r="AF18" s="34" t="s">
        <v>536</v>
      </c>
      <c r="AG18" s="34"/>
      <c r="AH18" s="3" t="s">
        <v>1106</v>
      </c>
      <c r="AI18" s="3"/>
      <c r="AJ18" s="34"/>
      <c r="AK18" s="34"/>
      <c r="AL18" s="3"/>
      <c r="AM18" s="3"/>
      <c r="AN18" s="34"/>
      <c r="AO18" s="34"/>
      <c r="AP18" s="3"/>
      <c r="AQ18" s="3"/>
    </row>
    <row r="19" spans="1:43" s="440" customFormat="1" ht="18" customHeight="1" x14ac:dyDescent="0.25">
      <c r="A19" s="36">
        <v>7</v>
      </c>
      <c r="B19" s="36">
        <v>7</v>
      </c>
      <c r="C19" s="636" t="s">
        <v>1245</v>
      </c>
      <c r="D19" s="637"/>
      <c r="E19" s="947" t="s">
        <v>548</v>
      </c>
      <c r="F19" s="948"/>
      <c r="G19" s="949">
        <v>26500</v>
      </c>
      <c r="H19" s="950">
        <f t="shared" si="0"/>
        <v>5.542147508961548E-2</v>
      </c>
      <c r="I19" s="949">
        <v>19010.599999999999</v>
      </c>
      <c r="J19" s="949">
        <v>7134.9</v>
      </c>
      <c r="K19" s="955">
        <v>354.4</v>
      </c>
      <c r="L19" s="69">
        <f t="shared" si="1"/>
        <v>1.3373584905660376E-2</v>
      </c>
      <c r="M19" s="718"/>
      <c r="N19" s="32">
        <v>41275</v>
      </c>
      <c r="O19" s="143">
        <f t="shared" ca="1" si="4"/>
        <v>5.2423343224530177</v>
      </c>
      <c r="P19" s="943"/>
      <c r="Q19" s="953">
        <v>42735</v>
      </c>
      <c r="R19" s="943"/>
      <c r="S19" s="954">
        <f t="shared" ca="1" si="2"/>
        <v>9.2977250247279919</v>
      </c>
      <c r="T19" s="943"/>
      <c r="U19" s="146" t="s">
        <v>591</v>
      </c>
      <c r="V19" s="67">
        <v>24</v>
      </c>
      <c r="W19" s="943"/>
      <c r="X19" s="92">
        <f t="shared" si="3"/>
        <v>43465</v>
      </c>
      <c r="Y19" s="943"/>
      <c r="Z19" s="485" t="s">
        <v>1102</v>
      </c>
      <c r="AA19" s="943"/>
      <c r="AB19" s="1190" t="s">
        <v>565</v>
      </c>
      <c r="AC19" s="1191"/>
      <c r="AD19" s="1192"/>
      <c r="AE19" s="718"/>
      <c r="AF19" s="34" t="s">
        <v>534</v>
      </c>
      <c r="AG19" s="33"/>
      <c r="AH19" s="3" t="s">
        <v>1107</v>
      </c>
      <c r="AI19" s="3"/>
      <c r="AJ19" s="33"/>
      <c r="AK19" s="33"/>
      <c r="AL19" s="3"/>
      <c r="AM19" s="3"/>
      <c r="AN19" s="33"/>
      <c r="AO19" s="33"/>
      <c r="AP19" s="3"/>
      <c r="AQ19" s="3"/>
    </row>
    <row r="20" spans="1:43" s="440" customFormat="1" ht="18" customHeight="1" x14ac:dyDescent="0.25">
      <c r="A20" s="36">
        <v>8</v>
      </c>
      <c r="B20" s="36">
        <v>8</v>
      </c>
      <c r="C20" s="636" t="s">
        <v>1249</v>
      </c>
      <c r="D20" s="637"/>
      <c r="E20" s="947" t="s">
        <v>521</v>
      </c>
      <c r="F20" s="948" t="s">
        <v>527</v>
      </c>
      <c r="G20" s="949">
        <v>24510</v>
      </c>
      <c r="H20" s="950">
        <f t="shared" si="0"/>
        <v>5.1259636016848131E-2</v>
      </c>
      <c r="I20" s="949"/>
      <c r="J20" s="949"/>
      <c r="K20" s="955"/>
      <c r="L20" s="69">
        <f t="shared" si="1"/>
        <v>0</v>
      </c>
      <c r="M20" s="718"/>
      <c r="N20" s="32">
        <v>40026</v>
      </c>
      <c r="O20" s="143">
        <f t="shared" ca="1" si="4"/>
        <v>8.6740301131992528</v>
      </c>
      <c r="P20" s="943"/>
      <c r="Q20" s="953">
        <v>43159</v>
      </c>
      <c r="R20" s="943"/>
      <c r="S20" s="954">
        <f t="shared" ca="1" si="2"/>
        <v>-0.79129574678536108</v>
      </c>
      <c r="T20" s="943"/>
      <c r="U20" s="146" t="s">
        <v>591</v>
      </c>
      <c r="V20" s="67"/>
      <c r="W20" s="943"/>
      <c r="X20" s="92">
        <f t="shared" si="3"/>
        <v>43159</v>
      </c>
      <c r="Y20" s="943"/>
      <c r="Z20" s="485" t="s">
        <v>1102</v>
      </c>
      <c r="AA20" s="943"/>
      <c r="AB20" s="1190" t="s">
        <v>562</v>
      </c>
      <c r="AC20" s="1191"/>
      <c r="AD20" s="1192"/>
      <c r="AE20" s="718"/>
      <c r="AF20" s="34" t="s">
        <v>536</v>
      </c>
      <c r="AG20" s="33"/>
      <c r="AH20" s="33" t="s">
        <v>1108</v>
      </c>
      <c r="AI20" s="33"/>
      <c r="AJ20" s="33"/>
      <c r="AK20" s="33"/>
      <c r="AL20" s="33"/>
      <c r="AM20" s="33"/>
      <c r="AN20" s="33"/>
      <c r="AO20" s="33"/>
      <c r="AP20" s="33"/>
      <c r="AQ20" s="33"/>
    </row>
    <row r="21" spans="1:43" s="440" customFormat="1" ht="18" customHeight="1" x14ac:dyDescent="0.25">
      <c r="A21" s="36">
        <v>9</v>
      </c>
      <c r="B21" s="36">
        <v>9</v>
      </c>
      <c r="C21" s="636" t="s">
        <v>1250</v>
      </c>
      <c r="D21" s="637"/>
      <c r="E21" s="956" t="s">
        <v>521</v>
      </c>
      <c r="F21" s="948"/>
      <c r="G21" s="949">
        <v>21302</v>
      </c>
      <c r="H21" s="950">
        <f t="shared" si="0"/>
        <v>4.4550500466376944E-2</v>
      </c>
      <c r="I21" s="949">
        <v>14135.9</v>
      </c>
      <c r="J21" s="949">
        <v>965.8</v>
      </c>
      <c r="K21" s="955">
        <v>6200.7</v>
      </c>
      <c r="L21" s="69">
        <f t="shared" si="1"/>
        <v>0.2910853440991456</v>
      </c>
      <c r="M21" s="718"/>
      <c r="N21" s="32">
        <v>41183</v>
      </c>
      <c r="O21" s="143">
        <f t="shared" ca="1" si="4"/>
        <v>5.4951093526761179</v>
      </c>
      <c r="P21" s="943"/>
      <c r="Q21" s="953">
        <v>42674</v>
      </c>
      <c r="R21" s="943"/>
      <c r="S21" s="954">
        <f t="shared" ca="1" si="2"/>
        <v>7.2865150016485334</v>
      </c>
      <c r="T21" s="943"/>
      <c r="U21" s="146" t="s">
        <v>591</v>
      </c>
      <c r="V21" s="67">
        <v>24</v>
      </c>
      <c r="W21" s="943"/>
      <c r="X21" s="92">
        <f t="shared" si="3"/>
        <v>43404</v>
      </c>
      <c r="Y21" s="943"/>
      <c r="Z21" s="485" t="s">
        <v>1099</v>
      </c>
      <c r="AA21" s="943"/>
      <c r="AB21" s="1190" t="s">
        <v>558</v>
      </c>
      <c r="AC21" s="1191"/>
      <c r="AD21" s="1192"/>
      <c r="AE21" s="718"/>
      <c r="AF21" s="34" t="s">
        <v>534</v>
      </c>
      <c r="AG21" s="33" t="s">
        <v>1006</v>
      </c>
      <c r="AH21" s="3" t="s">
        <v>1109</v>
      </c>
      <c r="AI21" s="3"/>
      <c r="AJ21" s="33"/>
      <c r="AK21" s="33"/>
      <c r="AL21" s="3"/>
      <c r="AM21" s="3"/>
      <c r="AN21" s="33"/>
      <c r="AO21" s="33"/>
      <c r="AP21" s="3"/>
      <c r="AQ21" s="3"/>
    </row>
    <row r="22" spans="1:43" s="440" customFormat="1" ht="18" customHeight="1" x14ac:dyDescent="0.25">
      <c r="A22" s="36">
        <v>10</v>
      </c>
      <c r="B22" s="36">
        <v>10</v>
      </c>
      <c r="C22" s="664" t="s">
        <v>1251</v>
      </c>
      <c r="D22" s="665"/>
      <c r="E22" s="947" t="s">
        <v>548</v>
      </c>
      <c r="F22" s="948"/>
      <c r="G22" s="949">
        <v>19972</v>
      </c>
      <c r="H22" s="950">
        <f t="shared" si="0"/>
        <v>4.1768969829803784E-2</v>
      </c>
      <c r="I22" s="949">
        <v>12467.3</v>
      </c>
      <c r="J22" s="949">
        <v>314.60000000000002</v>
      </c>
      <c r="K22" s="955">
        <v>7190.3</v>
      </c>
      <c r="L22" s="69">
        <f t="shared" si="1"/>
        <v>0.36001902663729224</v>
      </c>
      <c r="M22" s="718"/>
      <c r="N22" s="32">
        <v>40910</v>
      </c>
      <c r="O22" s="143">
        <f t="shared" ca="1" si="4"/>
        <v>6.245191779316408</v>
      </c>
      <c r="P22" s="943"/>
      <c r="Q22" s="953" t="s">
        <v>29</v>
      </c>
      <c r="R22" s="943"/>
      <c r="S22" s="954">
        <f t="shared" ca="1" si="2"/>
        <v>9.2977250247279919</v>
      </c>
      <c r="T22" s="943"/>
      <c r="U22" s="146" t="s">
        <v>591</v>
      </c>
      <c r="V22" s="67">
        <v>12</v>
      </c>
      <c r="W22" s="943"/>
      <c r="X22" s="92">
        <f t="shared" si="3"/>
        <v>43465</v>
      </c>
      <c r="Y22" s="943"/>
      <c r="Z22" s="485" t="s">
        <v>1099</v>
      </c>
      <c r="AA22" s="943"/>
      <c r="AB22" s="1190" t="s">
        <v>561</v>
      </c>
      <c r="AC22" s="1191"/>
      <c r="AD22" s="1192"/>
      <c r="AE22" s="718"/>
      <c r="AF22" s="34" t="s">
        <v>536</v>
      </c>
      <c r="AG22" s="33"/>
      <c r="AH22" s="33" t="s">
        <v>1110</v>
      </c>
      <c r="AI22" s="33"/>
      <c r="AJ22" s="33"/>
      <c r="AK22" s="33"/>
      <c r="AL22" s="33"/>
      <c r="AM22" s="33"/>
      <c r="AN22" s="33"/>
      <c r="AO22" s="33"/>
      <c r="AP22" s="33"/>
      <c r="AQ22" s="33"/>
    </row>
    <row r="23" spans="1:43" s="440" customFormat="1" ht="18" customHeight="1" x14ac:dyDescent="0.25">
      <c r="A23" s="36">
        <v>11</v>
      </c>
      <c r="B23" s="36">
        <v>11</v>
      </c>
      <c r="C23" s="675" t="s">
        <v>1252</v>
      </c>
      <c r="D23" s="676"/>
      <c r="E23" s="956" t="s">
        <v>521</v>
      </c>
      <c r="F23" s="948"/>
      <c r="G23" s="949">
        <v>18789</v>
      </c>
      <c r="H23" s="950">
        <f t="shared" si="0"/>
        <v>3.9294871526746614E-2</v>
      </c>
      <c r="I23" s="949">
        <v>13287</v>
      </c>
      <c r="J23" s="949">
        <v>3104</v>
      </c>
      <c r="K23" s="955">
        <v>2398</v>
      </c>
      <c r="L23" s="69">
        <f t="shared" si="1"/>
        <v>0.12762786736920539</v>
      </c>
      <c r="M23" s="718"/>
      <c r="N23" s="32">
        <v>42979</v>
      </c>
      <c r="O23" s="143">
        <f t="shared" ca="1" si="4"/>
        <v>0.56050115397296407</v>
      </c>
      <c r="P23" s="943"/>
      <c r="Q23" s="4">
        <v>44074</v>
      </c>
      <c r="R23" s="943"/>
      <c r="S23" s="954">
        <f t="shared" ca="1" si="2"/>
        <v>29.376854599406531</v>
      </c>
      <c r="T23" s="943"/>
      <c r="U23" s="146"/>
      <c r="V23" s="67"/>
      <c r="W23" s="943"/>
      <c r="X23" s="92">
        <f t="shared" si="3"/>
        <v>44074</v>
      </c>
      <c r="Y23" s="943"/>
      <c r="Z23" s="2" t="s">
        <v>1099</v>
      </c>
      <c r="AA23" s="943"/>
      <c r="AB23" s="1190" t="s">
        <v>564</v>
      </c>
      <c r="AC23" s="1191"/>
      <c r="AD23" s="1192"/>
      <c r="AE23" s="718"/>
      <c r="AF23" s="34" t="s">
        <v>536</v>
      </c>
      <c r="AG23" s="33"/>
      <c r="AH23" s="3" t="s">
        <v>1111</v>
      </c>
      <c r="AI23" s="3"/>
      <c r="AJ23" s="33"/>
      <c r="AK23" s="33"/>
      <c r="AL23" s="3"/>
      <c r="AM23" s="3"/>
      <c r="AN23" s="33"/>
      <c r="AO23" s="33"/>
      <c r="AP23" s="3"/>
      <c r="AQ23" s="3"/>
    </row>
    <row r="24" spans="1:43" s="440" customFormat="1" ht="18" customHeight="1" x14ac:dyDescent="0.25">
      <c r="A24" s="36">
        <v>12</v>
      </c>
      <c r="B24" s="36">
        <v>12</v>
      </c>
      <c r="C24" s="636" t="s">
        <v>1253</v>
      </c>
      <c r="D24" s="637"/>
      <c r="E24" s="956" t="s">
        <v>548</v>
      </c>
      <c r="F24" s="948"/>
      <c r="G24" s="949">
        <v>18016</v>
      </c>
      <c r="H24" s="950">
        <f>G24/$G$2</f>
        <v>3.7678237555264622E-2</v>
      </c>
      <c r="I24" s="949">
        <v>11894.1</v>
      </c>
      <c r="J24" s="949">
        <v>2782.7</v>
      </c>
      <c r="K24" s="955">
        <v>3339.4</v>
      </c>
      <c r="L24" s="69">
        <f>K24/G24</f>
        <v>0.18535746003552397</v>
      </c>
      <c r="M24" s="718"/>
      <c r="N24" s="32">
        <v>41821</v>
      </c>
      <c r="O24" s="143">
        <f ca="1">($G$1-N24)/30.33/12</f>
        <v>3.7421694691724365</v>
      </c>
      <c r="P24" s="943"/>
      <c r="Q24" s="953" t="s">
        <v>799</v>
      </c>
      <c r="R24" s="943"/>
      <c r="S24" s="954">
        <f ca="1">(X24-$G$1)/30.33</f>
        <v>3.2311242993735578</v>
      </c>
      <c r="T24" s="943"/>
      <c r="U24" s="146"/>
      <c r="V24" s="67"/>
      <c r="W24" s="943"/>
      <c r="X24" s="92" t="str">
        <f t="shared" si="3"/>
        <v>30/06/2018</v>
      </c>
      <c r="Y24" s="943"/>
      <c r="Z24" s="485" t="s">
        <v>1099</v>
      </c>
      <c r="AA24" s="943"/>
      <c r="AB24" s="1190" t="s">
        <v>565</v>
      </c>
      <c r="AC24" s="1191"/>
      <c r="AD24" s="1192"/>
      <c r="AE24" s="718"/>
      <c r="AF24" s="34" t="s">
        <v>534</v>
      </c>
      <c r="AG24" s="33"/>
      <c r="AH24" s="3" t="s">
        <v>1112</v>
      </c>
      <c r="AI24" s="3"/>
      <c r="AJ24" s="33"/>
      <c r="AK24" s="33"/>
      <c r="AL24" s="3"/>
      <c r="AM24" s="3"/>
      <c r="AN24" s="33"/>
      <c r="AO24" s="33"/>
      <c r="AP24" s="3"/>
      <c r="AQ24" s="3"/>
    </row>
    <row r="25" spans="1:43" s="971" customFormat="1" ht="18" customHeight="1" x14ac:dyDescent="0.25">
      <c r="A25" s="957">
        <v>39</v>
      </c>
      <c r="B25" s="957">
        <v>13</v>
      </c>
      <c r="C25" s="696" t="s">
        <v>1254</v>
      </c>
      <c r="D25" s="697" t="s">
        <v>1255</v>
      </c>
      <c r="E25" s="958" t="s">
        <v>548</v>
      </c>
      <c r="F25" s="959"/>
      <c r="G25" s="949">
        <v>15536</v>
      </c>
      <c r="H25" s="960">
        <f t="shared" ref="H25:H26" si="5">G25/$G$2</f>
        <v>3.2491624037444003E-2</v>
      </c>
      <c r="I25" s="949">
        <v>13436</v>
      </c>
      <c r="J25" s="949">
        <v>0</v>
      </c>
      <c r="K25" s="961">
        <v>2100</v>
      </c>
      <c r="L25" s="789">
        <f t="shared" ref="L25:L51" si="6">K25/G25</f>
        <v>0.1351699279093718</v>
      </c>
      <c r="M25" s="962"/>
      <c r="N25" s="963">
        <v>43009</v>
      </c>
      <c r="O25" s="143">
        <f ca="1">($G$1-N25)/30.33/12</f>
        <v>0.47807451368282233</v>
      </c>
      <c r="P25" s="943"/>
      <c r="Q25" s="964">
        <v>44104</v>
      </c>
      <c r="R25" s="943"/>
      <c r="S25" s="954">
        <f t="shared" ref="S25:S26" ca="1" si="7">(X25-$G$1)/30.33</f>
        <v>30.365974282888232</v>
      </c>
      <c r="T25" s="943"/>
      <c r="U25" s="965"/>
      <c r="V25" s="616"/>
      <c r="W25" s="943"/>
      <c r="X25" s="92">
        <f t="shared" si="3"/>
        <v>44104</v>
      </c>
      <c r="Y25" s="943"/>
      <c r="Z25" s="966" t="s">
        <v>135</v>
      </c>
      <c r="AA25" s="943"/>
      <c r="AB25" s="967" t="s">
        <v>1113</v>
      </c>
      <c r="AC25" s="968"/>
      <c r="AD25" s="969"/>
      <c r="AE25" s="962"/>
      <c r="AF25" s="970" t="s">
        <v>536</v>
      </c>
      <c r="AG25" s="970"/>
      <c r="AH25" s="970" t="s">
        <v>1114</v>
      </c>
      <c r="AI25" s="970"/>
      <c r="AJ25" s="970"/>
      <c r="AK25" s="970"/>
      <c r="AL25" s="970"/>
      <c r="AM25" s="970"/>
      <c r="AN25" s="970"/>
      <c r="AO25" s="970"/>
      <c r="AP25" s="970"/>
      <c r="AQ25" s="970"/>
    </row>
    <row r="26" spans="1:43" s="971" customFormat="1" ht="18" customHeight="1" x14ac:dyDescent="0.25">
      <c r="A26" s="957">
        <v>37</v>
      </c>
      <c r="B26" s="957">
        <v>14</v>
      </c>
      <c r="C26" s="708" t="s">
        <v>1256</v>
      </c>
      <c r="D26" s="709"/>
      <c r="E26" s="958" t="s">
        <v>548</v>
      </c>
      <c r="F26" s="959"/>
      <c r="G26" s="949">
        <v>9718</v>
      </c>
      <c r="H26" s="960">
        <f t="shared" si="5"/>
        <v>2.0323996034750311E-2</v>
      </c>
      <c r="I26" s="949">
        <v>5844</v>
      </c>
      <c r="J26" s="949">
        <v>1061</v>
      </c>
      <c r="K26" s="961">
        <v>2813</v>
      </c>
      <c r="L26" s="789">
        <f t="shared" si="6"/>
        <v>0.2894628524387734</v>
      </c>
      <c r="M26" s="962"/>
      <c r="N26" s="963">
        <v>42186</v>
      </c>
      <c r="O26" s="143">
        <f ca="1">($G$1-N26)/30.33/12</f>
        <v>2.7393120123090449</v>
      </c>
      <c r="P26" s="943">
        <v>43281</v>
      </c>
      <c r="Q26" s="964">
        <v>43281</v>
      </c>
      <c r="R26" s="943"/>
      <c r="S26" s="954">
        <f t="shared" ca="1" si="7"/>
        <v>3.2311242993735578</v>
      </c>
      <c r="T26" s="943"/>
      <c r="U26" s="965"/>
      <c r="V26" s="616"/>
      <c r="W26" s="943"/>
      <c r="X26" s="92">
        <f t="shared" si="3"/>
        <v>43281</v>
      </c>
      <c r="Y26" s="943"/>
      <c r="Z26" s="966" t="s">
        <v>519</v>
      </c>
      <c r="AA26" s="943"/>
      <c r="AB26" s="967" t="s">
        <v>1115</v>
      </c>
      <c r="AC26" s="968"/>
      <c r="AD26" s="969"/>
      <c r="AE26" s="962"/>
      <c r="AF26" s="970"/>
      <c r="AG26" s="970"/>
      <c r="AH26" s="970"/>
      <c r="AI26" s="970"/>
      <c r="AJ26" s="970"/>
      <c r="AK26" s="970"/>
      <c r="AL26" s="970"/>
      <c r="AM26" s="970"/>
      <c r="AN26" s="970"/>
      <c r="AO26" s="970"/>
      <c r="AP26" s="970"/>
      <c r="AQ26" s="970"/>
    </row>
    <row r="27" spans="1:43" s="440" customFormat="1" ht="18" customHeight="1" x14ac:dyDescent="0.25">
      <c r="A27" s="36">
        <v>15</v>
      </c>
      <c r="B27" s="36">
        <v>15</v>
      </c>
      <c r="C27" s="708" t="s">
        <v>1257</v>
      </c>
      <c r="D27" s="709"/>
      <c r="E27" s="956" t="s">
        <v>580</v>
      </c>
      <c r="F27" s="948" t="s">
        <v>527</v>
      </c>
      <c r="G27" s="949">
        <v>9632</v>
      </c>
      <c r="H27" s="972">
        <f>G27/$G$2</f>
        <v>2.014413766276137E-2</v>
      </c>
      <c r="I27" s="949">
        <v>9002.7999999999993</v>
      </c>
      <c r="J27" s="949">
        <v>602.6</v>
      </c>
      <c r="K27" s="955">
        <v>26.5</v>
      </c>
      <c r="L27" s="69">
        <f t="shared" si="6"/>
        <v>2.7512458471760795E-3</v>
      </c>
      <c r="M27" s="973"/>
      <c r="N27" s="32">
        <v>42383</v>
      </c>
      <c r="O27" s="143">
        <f ca="1">($G$1-N27)/30.33/12</f>
        <v>2.1980437410704474</v>
      </c>
      <c r="P27" s="943"/>
      <c r="Q27" s="4">
        <v>43100</v>
      </c>
      <c r="R27" s="943"/>
      <c r="S27" s="954">
        <f ca="1">(X27-$G$1)/30.33</f>
        <v>9.2977250247279919</v>
      </c>
      <c r="T27" s="943"/>
      <c r="U27" s="146" t="s">
        <v>591</v>
      </c>
      <c r="V27" s="67">
        <v>12</v>
      </c>
      <c r="W27" s="943"/>
      <c r="X27" s="92">
        <f t="shared" si="3"/>
        <v>43465</v>
      </c>
      <c r="Y27" s="943"/>
      <c r="Z27" s="2" t="s">
        <v>519</v>
      </c>
      <c r="AA27" s="943"/>
      <c r="AB27" s="974" t="s">
        <v>558</v>
      </c>
      <c r="AC27" s="975"/>
      <c r="AD27" s="976"/>
      <c r="AE27" s="973"/>
      <c r="AF27" s="52" t="s">
        <v>1116</v>
      </c>
      <c r="AG27" s="52"/>
      <c r="AH27" s="3" t="s">
        <v>1074</v>
      </c>
      <c r="AI27" s="3"/>
      <c r="AJ27" s="52"/>
      <c r="AK27" s="52"/>
      <c r="AL27" s="3"/>
      <c r="AM27" s="3"/>
      <c r="AN27" s="52"/>
      <c r="AO27" s="52"/>
      <c r="AP27" s="3"/>
      <c r="AQ27" s="3"/>
    </row>
    <row r="28" spans="1:43" s="440" customFormat="1" ht="18" customHeight="1" x14ac:dyDescent="0.25">
      <c r="A28" s="36">
        <v>16</v>
      </c>
      <c r="B28" s="36">
        <v>16</v>
      </c>
      <c r="C28" s="636" t="s">
        <v>1258</v>
      </c>
      <c r="D28" s="637"/>
      <c r="E28" s="956" t="s">
        <v>580</v>
      </c>
      <c r="F28" s="948"/>
      <c r="G28" s="949">
        <v>8615</v>
      </c>
      <c r="H28" s="972">
        <f t="shared" ref="H28:H43" si="8">G28/$G$2</f>
        <v>1.8017207845171222E-2</v>
      </c>
      <c r="I28" s="949">
        <v>2757.6</v>
      </c>
      <c r="J28" s="949">
        <v>1936.5</v>
      </c>
      <c r="K28" s="955">
        <v>4020.9</v>
      </c>
      <c r="L28" s="69">
        <f t="shared" si="6"/>
        <v>0.46673244341265235</v>
      </c>
      <c r="M28" s="973"/>
      <c r="N28" s="32">
        <v>41200</v>
      </c>
      <c r="O28" s="143"/>
      <c r="P28" s="943"/>
      <c r="Q28" s="4">
        <v>43465</v>
      </c>
      <c r="R28" s="943"/>
      <c r="S28" s="954">
        <f t="shared" ref="S28:S33" ca="1" si="9">(X28-$G$1)/30.33</f>
        <v>9.2977250247279919</v>
      </c>
      <c r="T28" s="943"/>
      <c r="U28" s="146"/>
      <c r="V28" s="67"/>
      <c r="W28" s="943"/>
      <c r="X28" s="92">
        <f t="shared" si="3"/>
        <v>43465</v>
      </c>
      <c r="Y28" s="943"/>
      <c r="Z28" s="2" t="s">
        <v>135</v>
      </c>
      <c r="AA28" s="943"/>
      <c r="AB28" s="974"/>
      <c r="AC28" s="975"/>
      <c r="AD28" s="976"/>
      <c r="AE28" s="973"/>
      <c r="AF28" s="52"/>
      <c r="AG28" s="52"/>
      <c r="AH28" s="3"/>
      <c r="AI28" s="3"/>
      <c r="AJ28" s="52"/>
      <c r="AK28" s="52"/>
      <c r="AL28" s="3"/>
      <c r="AM28" s="3"/>
      <c r="AN28" s="52"/>
      <c r="AO28" s="52"/>
      <c r="AP28" s="3"/>
      <c r="AQ28" s="3"/>
    </row>
    <row r="29" spans="1:43" s="971" customFormat="1" ht="18" customHeight="1" x14ac:dyDescent="0.25">
      <c r="A29" s="957">
        <v>13</v>
      </c>
      <c r="B29" s="957">
        <v>17</v>
      </c>
      <c r="C29" s="636" t="s">
        <v>1259</v>
      </c>
      <c r="D29" s="637"/>
      <c r="E29" s="947" t="s">
        <v>521</v>
      </c>
      <c r="F29" s="977"/>
      <c r="G29" s="949">
        <v>8429</v>
      </c>
      <c r="H29" s="978">
        <f t="shared" si="8"/>
        <v>1.7628211831334676E-2</v>
      </c>
      <c r="I29" s="949">
        <v>5319</v>
      </c>
      <c r="J29" s="949">
        <v>2021.6</v>
      </c>
      <c r="K29" s="955">
        <v>1089</v>
      </c>
      <c r="L29" s="789">
        <f>K29/G29</f>
        <v>0.12919682050065251</v>
      </c>
      <c r="M29" s="962"/>
      <c r="N29" s="32">
        <v>42675</v>
      </c>
      <c r="O29" s="143"/>
      <c r="P29" s="943"/>
      <c r="Q29" s="979">
        <v>43830</v>
      </c>
      <c r="R29" s="943"/>
      <c r="S29" s="954">
        <f ca="1">(X29-$G$1)/30.33</f>
        <v>21.332014507088694</v>
      </c>
      <c r="T29" s="943"/>
      <c r="U29" s="146"/>
      <c r="V29" s="67"/>
      <c r="W29" s="943"/>
      <c r="X29" s="92">
        <f t="shared" si="3"/>
        <v>43830</v>
      </c>
      <c r="Y29" s="943"/>
      <c r="Z29" s="980"/>
      <c r="AA29" s="943"/>
      <c r="AB29" s="1187"/>
      <c r="AC29" s="1188"/>
      <c r="AD29" s="1189"/>
      <c r="AE29" s="962"/>
      <c r="AF29" s="981"/>
      <c r="AG29" s="982"/>
      <c r="AH29" s="982"/>
      <c r="AI29" s="982"/>
      <c r="AJ29" s="982"/>
      <c r="AK29" s="982"/>
      <c r="AL29" s="982"/>
      <c r="AM29" s="982"/>
      <c r="AN29" s="982"/>
      <c r="AO29" s="982"/>
      <c r="AP29" s="982"/>
      <c r="AQ29" s="982"/>
    </row>
    <row r="30" spans="1:43" s="440" customFormat="1" ht="18" customHeight="1" x14ac:dyDescent="0.25">
      <c r="A30" s="36">
        <v>17</v>
      </c>
      <c r="B30" s="36">
        <v>18</v>
      </c>
      <c r="C30" s="636" t="s">
        <v>1260</v>
      </c>
      <c r="D30" s="637"/>
      <c r="E30" s="956" t="s">
        <v>580</v>
      </c>
      <c r="F30" s="983"/>
      <c r="G30" s="949">
        <v>7636</v>
      </c>
      <c r="H30" s="972">
        <f t="shared" si="8"/>
        <v>1.5969750331483162E-2</v>
      </c>
      <c r="I30" s="949">
        <v>2899.3</v>
      </c>
      <c r="J30" s="949">
        <v>16.3</v>
      </c>
      <c r="K30" s="955">
        <v>4720.3</v>
      </c>
      <c r="L30" s="69">
        <f t="shared" si="6"/>
        <v>0.61816396018858044</v>
      </c>
      <c r="M30" s="962"/>
      <c r="N30" s="32">
        <v>37692</v>
      </c>
      <c r="O30" s="143">
        <f ca="1">($G$1-N30)/30.33/12</f>
        <v>15.086822727772285</v>
      </c>
      <c r="P30" s="943"/>
      <c r="Q30" s="4">
        <v>42885</v>
      </c>
      <c r="R30" s="943"/>
      <c r="S30" s="954">
        <f t="shared" ca="1" si="9"/>
        <v>2.2090339597757995</v>
      </c>
      <c r="T30" s="943"/>
      <c r="U30" s="146" t="s">
        <v>591</v>
      </c>
      <c r="V30" s="67">
        <v>12</v>
      </c>
      <c r="W30" s="943"/>
      <c r="X30" s="92">
        <f t="shared" si="3"/>
        <v>43250</v>
      </c>
      <c r="Y30" s="943"/>
      <c r="Z30" s="2" t="s">
        <v>135</v>
      </c>
      <c r="AA30" s="943"/>
      <c r="AB30" s="1184" t="s">
        <v>563</v>
      </c>
      <c r="AC30" s="1185"/>
      <c r="AD30" s="1186"/>
      <c r="AE30" s="962"/>
      <c r="AF30" s="52" t="s">
        <v>1116</v>
      </c>
      <c r="AG30" s="3"/>
      <c r="AH30" s="3" t="s">
        <v>1117</v>
      </c>
      <c r="AI30" s="3"/>
      <c r="AJ30" s="3"/>
      <c r="AK30" s="3"/>
      <c r="AL30" s="3"/>
      <c r="AM30" s="3"/>
      <c r="AN30" s="3"/>
      <c r="AO30" s="3"/>
      <c r="AP30" s="3"/>
      <c r="AQ30" s="3"/>
    </row>
    <row r="31" spans="1:43" s="440" customFormat="1" ht="18" customHeight="1" x14ac:dyDescent="0.25">
      <c r="A31" s="36">
        <v>18</v>
      </c>
      <c r="B31" s="36">
        <v>19</v>
      </c>
      <c r="C31" s="636" t="s">
        <v>1261</v>
      </c>
      <c r="D31" s="637"/>
      <c r="E31" s="956" t="s">
        <v>521</v>
      </c>
      <c r="F31" s="948"/>
      <c r="G31" s="949">
        <v>7079</v>
      </c>
      <c r="H31" s="972">
        <f t="shared" si="8"/>
        <v>1.4804853666391999E-2</v>
      </c>
      <c r="I31" s="949">
        <v>5492</v>
      </c>
      <c r="J31" s="949">
        <v>285</v>
      </c>
      <c r="K31" s="955">
        <v>1302</v>
      </c>
      <c r="L31" s="69">
        <f t="shared" si="6"/>
        <v>0.18392428309083203</v>
      </c>
      <c r="M31" s="973"/>
      <c r="N31" s="32">
        <v>42979</v>
      </c>
      <c r="O31" s="143">
        <f ca="1">($G$1-N31)/30.33/12</f>
        <v>0.56050115397296407</v>
      </c>
      <c r="P31" s="943"/>
      <c r="Q31" s="4">
        <v>44074</v>
      </c>
      <c r="R31" s="943"/>
      <c r="S31" s="954">
        <f t="shared" ca="1" si="9"/>
        <v>29.376854599406531</v>
      </c>
      <c r="T31" s="943"/>
      <c r="U31" s="146"/>
      <c r="V31" s="67"/>
      <c r="W31" s="943"/>
      <c r="X31" s="92">
        <f t="shared" si="3"/>
        <v>44074</v>
      </c>
      <c r="Y31" s="943"/>
      <c r="Z31" s="2" t="s">
        <v>135</v>
      </c>
      <c r="AA31" s="943"/>
      <c r="AB31" s="974"/>
      <c r="AC31" s="975"/>
      <c r="AD31" s="976"/>
      <c r="AE31" s="973"/>
      <c r="AF31" s="52"/>
      <c r="AG31" s="52"/>
      <c r="AH31" s="3"/>
      <c r="AI31" s="3"/>
      <c r="AJ31" s="52"/>
      <c r="AK31" s="52"/>
      <c r="AL31" s="3"/>
      <c r="AM31" s="3"/>
      <c r="AN31" s="52"/>
      <c r="AO31" s="52"/>
      <c r="AP31" s="3"/>
      <c r="AQ31" s="3"/>
    </row>
    <row r="32" spans="1:43" s="440" customFormat="1" ht="18" customHeight="1" x14ac:dyDescent="0.25">
      <c r="A32" s="36">
        <v>19</v>
      </c>
      <c r="B32" s="36">
        <v>20</v>
      </c>
      <c r="C32" s="636" t="s">
        <v>1262</v>
      </c>
      <c r="D32" s="637"/>
      <c r="E32" s="956" t="s">
        <v>521</v>
      </c>
      <c r="F32" s="948"/>
      <c r="G32" s="949">
        <v>6317</v>
      </c>
      <c r="H32" s="972">
        <f t="shared" si="8"/>
        <v>1.3211224835513244E-2</v>
      </c>
      <c r="I32" s="949">
        <v>3667.1</v>
      </c>
      <c r="J32" s="949">
        <v>918.3</v>
      </c>
      <c r="K32" s="955">
        <v>1731.9</v>
      </c>
      <c r="L32" s="69">
        <f t="shared" si="6"/>
        <v>0.27416495171758748</v>
      </c>
      <c r="M32" s="973"/>
      <c r="N32" s="32">
        <v>42315</v>
      </c>
      <c r="O32" s="143">
        <f ca="1">($G$1-N32)/30.33/12</f>
        <v>2.3848774590614354</v>
      </c>
      <c r="P32" s="943"/>
      <c r="Q32" s="4">
        <v>43410</v>
      </c>
      <c r="R32" s="943"/>
      <c r="S32" s="954">
        <f t="shared" ca="1" si="9"/>
        <v>7.4843389383448731</v>
      </c>
      <c r="T32" s="943"/>
      <c r="U32" s="146"/>
      <c r="V32" s="67"/>
      <c r="W32" s="943"/>
      <c r="X32" s="92">
        <f t="shared" si="3"/>
        <v>43410</v>
      </c>
      <c r="Y32" s="943"/>
      <c r="Z32" s="2" t="s">
        <v>135</v>
      </c>
      <c r="AA32" s="943"/>
      <c r="AB32" s="1184" t="s">
        <v>565</v>
      </c>
      <c r="AC32" s="1185"/>
      <c r="AD32" s="1186"/>
      <c r="AE32" s="973"/>
      <c r="AF32" s="52" t="s">
        <v>1116</v>
      </c>
      <c r="AG32" s="52"/>
      <c r="AH32" s="3" t="s">
        <v>1118</v>
      </c>
      <c r="AI32" s="3"/>
      <c r="AJ32" s="52"/>
      <c r="AK32" s="52"/>
      <c r="AL32" s="3"/>
      <c r="AM32" s="3"/>
      <c r="AN32" s="52"/>
      <c r="AO32" s="52"/>
      <c r="AP32" s="3"/>
      <c r="AQ32" s="3"/>
    </row>
    <row r="33" spans="1:43" s="440" customFormat="1" ht="18" customHeight="1" x14ac:dyDescent="0.25">
      <c r="A33" s="36">
        <v>20</v>
      </c>
      <c r="B33" s="36">
        <v>21</v>
      </c>
      <c r="C33" s="636" t="s">
        <v>1263</v>
      </c>
      <c r="D33" s="637"/>
      <c r="E33" s="956" t="s">
        <v>580</v>
      </c>
      <c r="F33" s="948" t="s">
        <v>527</v>
      </c>
      <c r="G33" s="949">
        <v>6230</v>
      </c>
      <c r="H33" s="972">
        <f t="shared" si="8"/>
        <v>1.3029275087105828E-2</v>
      </c>
      <c r="I33" s="949">
        <v>0</v>
      </c>
      <c r="J33" s="949">
        <v>0</v>
      </c>
      <c r="K33" s="955">
        <v>6230</v>
      </c>
      <c r="L33" s="69">
        <f t="shared" si="6"/>
        <v>1</v>
      </c>
      <c r="M33" s="973"/>
      <c r="N33" s="32"/>
      <c r="O33" s="143"/>
      <c r="P33" s="943"/>
      <c r="Q33" s="4"/>
      <c r="R33" s="943"/>
      <c r="S33" s="954">
        <f t="shared" ca="1" si="9"/>
        <v>-1423.7718430596769</v>
      </c>
      <c r="T33" s="943"/>
      <c r="U33" s="146"/>
      <c r="V33" s="67"/>
      <c r="W33" s="943"/>
      <c r="X33" s="92">
        <f t="shared" si="3"/>
        <v>0</v>
      </c>
      <c r="Y33" s="943"/>
      <c r="Z33" s="2"/>
      <c r="AA33" s="943"/>
      <c r="AB33" s="974"/>
      <c r="AC33" s="975"/>
      <c r="AD33" s="976"/>
      <c r="AE33" s="973"/>
      <c r="AF33" s="52"/>
      <c r="AG33" s="52"/>
      <c r="AH33" s="3"/>
      <c r="AI33" s="3"/>
      <c r="AJ33" s="52"/>
      <c r="AK33" s="52"/>
      <c r="AL33" s="3"/>
      <c r="AM33" s="3"/>
      <c r="AN33" s="52"/>
      <c r="AO33" s="52"/>
      <c r="AP33" s="3"/>
      <c r="AQ33" s="3"/>
    </row>
    <row r="34" spans="1:43" s="440" customFormat="1" ht="18" customHeight="1" x14ac:dyDescent="0.25">
      <c r="A34" s="36">
        <v>21</v>
      </c>
      <c r="B34" s="36">
        <v>22</v>
      </c>
      <c r="C34" s="636" t="s">
        <v>1264</v>
      </c>
      <c r="D34" s="637"/>
      <c r="E34" s="956" t="s">
        <v>548</v>
      </c>
      <c r="F34" s="948"/>
      <c r="G34" s="949">
        <v>5610</v>
      </c>
      <c r="H34" s="972">
        <f t="shared" si="8"/>
        <v>1.1732621707650673E-2</v>
      </c>
      <c r="I34" s="949">
        <v>4215.8</v>
      </c>
      <c r="J34" s="949">
        <v>183.2</v>
      </c>
      <c r="K34" s="955">
        <v>1211</v>
      </c>
      <c r="L34" s="69">
        <f t="shared" si="6"/>
        <v>0.2158645276292335</v>
      </c>
      <c r="M34" s="973"/>
      <c r="N34" s="32">
        <v>39203</v>
      </c>
      <c r="O34" s="143">
        <f t="shared" ref="O34:O43" ca="1" si="10">($G$1-N34)/30.33/12</f>
        <v>10.935267611825475</v>
      </c>
      <c r="P34" s="943"/>
      <c r="Q34" s="4">
        <v>43100</v>
      </c>
      <c r="R34" s="943"/>
      <c r="S34" s="954">
        <f ca="1">(X34-$G$1)/30.33</f>
        <v>9.2977250247279919</v>
      </c>
      <c r="T34" s="943"/>
      <c r="U34" s="146" t="s">
        <v>591</v>
      </c>
      <c r="V34" s="67">
        <v>12</v>
      </c>
      <c r="W34" s="943"/>
      <c r="X34" s="92">
        <f t="shared" si="3"/>
        <v>43465</v>
      </c>
      <c r="Y34" s="943"/>
      <c r="Z34" s="2" t="s">
        <v>135</v>
      </c>
      <c r="AA34" s="943"/>
      <c r="AB34" s="1184" t="s">
        <v>562</v>
      </c>
      <c r="AC34" s="1185"/>
      <c r="AD34" s="1186"/>
      <c r="AE34" s="973"/>
      <c r="AF34" s="52" t="s">
        <v>555</v>
      </c>
      <c r="AG34" s="52"/>
      <c r="AH34" s="6" t="s">
        <v>1119</v>
      </c>
      <c r="AI34" s="6"/>
      <c r="AJ34" s="52"/>
      <c r="AK34" s="52"/>
      <c r="AL34" s="6"/>
      <c r="AM34" s="6"/>
      <c r="AN34" s="52"/>
      <c r="AO34" s="52"/>
      <c r="AP34" s="6"/>
      <c r="AQ34" s="6"/>
    </row>
    <row r="35" spans="1:43" s="440" customFormat="1" ht="18" customHeight="1" x14ac:dyDescent="0.25">
      <c r="A35" s="36">
        <v>22</v>
      </c>
      <c r="B35" s="36">
        <v>23</v>
      </c>
      <c r="C35" s="696" t="s">
        <v>1265</v>
      </c>
      <c r="D35" s="697"/>
      <c r="E35" s="956" t="s">
        <v>521</v>
      </c>
      <c r="F35" s="948"/>
      <c r="G35" s="949">
        <v>5547</v>
      </c>
      <c r="H35" s="972">
        <f t="shared" si="8"/>
        <v>1.1600864993286681E-2</v>
      </c>
      <c r="I35" s="949">
        <v>3761.5</v>
      </c>
      <c r="J35" s="949">
        <v>274.2</v>
      </c>
      <c r="K35" s="955">
        <v>1511.3</v>
      </c>
      <c r="L35" s="69">
        <f t="shared" si="6"/>
        <v>0.27245357851090679</v>
      </c>
      <c r="M35" s="973"/>
      <c r="N35" s="32">
        <v>41000</v>
      </c>
      <c r="O35" s="143">
        <f t="shared" ca="1" si="10"/>
        <v>5.9979118584459838</v>
      </c>
      <c r="P35" s="943"/>
      <c r="Q35" s="4">
        <v>43190</v>
      </c>
      <c r="R35" s="943"/>
      <c r="S35" s="954">
        <f ca="1">(X35-$G$1)/30.33</f>
        <v>0.23079459281239698</v>
      </c>
      <c r="T35" s="943"/>
      <c r="U35" s="146"/>
      <c r="V35" s="67"/>
      <c r="W35" s="943"/>
      <c r="X35" s="92">
        <f t="shared" si="3"/>
        <v>43190</v>
      </c>
      <c r="Y35" s="943"/>
      <c r="Z35" s="2" t="s">
        <v>519</v>
      </c>
      <c r="AA35" s="943"/>
      <c r="AB35" s="1184" t="s">
        <v>564</v>
      </c>
      <c r="AC35" s="1185"/>
      <c r="AD35" s="1186"/>
      <c r="AE35" s="973"/>
      <c r="AF35" s="52" t="s">
        <v>534</v>
      </c>
      <c r="AG35" s="52"/>
      <c r="AH35" s="6" t="s">
        <v>1120</v>
      </c>
      <c r="AI35" s="6"/>
      <c r="AJ35" s="52"/>
      <c r="AK35" s="52"/>
      <c r="AL35" s="6"/>
      <c r="AM35" s="6"/>
      <c r="AN35" s="52"/>
      <c r="AO35" s="52"/>
      <c r="AP35" s="6"/>
      <c r="AQ35" s="6"/>
    </row>
    <row r="36" spans="1:43" s="440" customFormat="1" ht="18" customHeight="1" x14ac:dyDescent="0.25">
      <c r="A36" s="36">
        <v>23</v>
      </c>
      <c r="B36" s="36">
        <v>24</v>
      </c>
      <c r="C36" s="675" t="s">
        <v>1266</v>
      </c>
      <c r="D36" s="676"/>
      <c r="E36" s="956" t="s">
        <v>521</v>
      </c>
      <c r="F36" s="948"/>
      <c r="G36" s="949">
        <v>5104</v>
      </c>
      <c r="H36" s="972">
        <f t="shared" si="8"/>
        <v>1.0674385239901789E-2</v>
      </c>
      <c r="I36" s="949">
        <v>3923</v>
      </c>
      <c r="J36" s="949">
        <v>428</v>
      </c>
      <c r="K36" s="955">
        <v>753.1</v>
      </c>
      <c r="L36" s="69">
        <f t="shared" si="6"/>
        <v>0.14755094043887149</v>
      </c>
      <c r="M36" s="973"/>
      <c r="N36" s="32">
        <v>41456</v>
      </c>
      <c r="O36" s="143">
        <f t="shared" ca="1" si="10"/>
        <v>4.7450269260358287</v>
      </c>
      <c r="P36" s="943"/>
      <c r="Q36" s="4">
        <v>42917</v>
      </c>
      <c r="R36" s="943"/>
      <c r="S36" s="954">
        <f ca="1">(X36-$G$1)/30.33</f>
        <v>3.2640949554896146</v>
      </c>
      <c r="T36" s="943"/>
      <c r="U36" s="146" t="s">
        <v>591</v>
      </c>
      <c r="V36" s="67">
        <v>12</v>
      </c>
      <c r="W36" s="943"/>
      <c r="X36" s="92">
        <f t="shared" si="3"/>
        <v>43282</v>
      </c>
      <c r="Y36" s="943"/>
      <c r="Z36" s="2" t="s">
        <v>519</v>
      </c>
      <c r="AA36" s="943"/>
      <c r="AB36" s="1184" t="s">
        <v>1121</v>
      </c>
      <c r="AC36" s="1185"/>
      <c r="AD36" s="1186"/>
      <c r="AE36" s="973"/>
      <c r="AF36" s="52" t="s">
        <v>1116</v>
      </c>
      <c r="AG36" s="52"/>
      <c r="AH36" s="6" t="s">
        <v>1122</v>
      </c>
      <c r="AI36" s="6"/>
      <c r="AJ36" s="52"/>
      <c r="AK36" s="52"/>
      <c r="AL36" s="6" t="s">
        <v>1123</v>
      </c>
      <c r="AM36" s="6"/>
      <c r="AN36" s="52"/>
      <c r="AO36" s="52"/>
      <c r="AP36" s="6"/>
      <c r="AQ36" s="6"/>
    </row>
    <row r="37" spans="1:43" s="440" customFormat="1" ht="18" customHeight="1" x14ac:dyDescent="0.25">
      <c r="A37" s="36">
        <v>24</v>
      </c>
      <c r="B37" s="36">
        <v>25</v>
      </c>
      <c r="C37" s="708" t="s">
        <v>1267</v>
      </c>
      <c r="D37" s="709"/>
      <c r="E37" s="956" t="s">
        <v>580</v>
      </c>
      <c r="F37" s="948"/>
      <c r="G37" s="949">
        <v>5067</v>
      </c>
      <c r="H37" s="972">
        <f t="shared" si="8"/>
        <v>1.0597004312418175E-2</v>
      </c>
      <c r="I37" s="949">
        <v>3129</v>
      </c>
      <c r="J37" s="949">
        <v>639.29999999999995</v>
      </c>
      <c r="K37" s="955">
        <v>1298.5</v>
      </c>
      <c r="L37" s="69">
        <f t="shared" si="6"/>
        <v>0.25626603512926782</v>
      </c>
      <c r="M37" s="962"/>
      <c r="N37" s="32">
        <v>42736</v>
      </c>
      <c r="O37" s="143">
        <f t="shared" ca="1" si="10"/>
        <v>1.2281569403231125</v>
      </c>
      <c r="P37" s="943"/>
      <c r="Q37" s="4">
        <v>43830</v>
      </c>
      <c r="R37" s="943"/>
      <c r="S37" s="954">
        <f ca="1">(X37-$G$1)/30.33</f>
        <v>21.332014507088694</v>
      </c>
      <c r="T37" s="943"/>
      <c r="U37" s="146"/>
      <c r="V37" s="67"/>
      <c r="W37" s="943"/>
      <c r="X37" s="92">
        <f t="shared" si="3"/>
        <v>43830</v>
      </c>
      <c r="Y37" s="943"/>
      <c r="Z37" s="2" t="s">
        <v>135</v>
      </c>
      <c r="AA37" s="943"/>
      <c r="AB37" s="1184" t="s">
        <v>564</v>
      </c>
      <c r="AC37" s="1185"/>
      <c r="AD37" s="1186"/>
      <c r="AE37" s="962"/>
      <c r="AF37" s="52" t="s">
        <v>1116</v>
      </c>
      <c r="AG37" s="3"/>
      <c r="AH37" s="3" t="s">
        <v>1124</v>
      </c>
      <c r="AI37" s="3"/>
      <c r="AJ37" s="3"/>
      <c r="AK37" s="3"/>
      <c r="AL37" s="3"/>
      <c r="AM37" s="3"/>
      <c r="AN37" s="3"/>
      <c r="AO37" s="3"/>
      <c r="AP37" s="3"/>
      <c r="AQ37" s="3"/>
    </row>
    <row r="38" spans="1:43" s="440" customFormat="1" ht="18" customHeight="1" x14ac:dyDescent="0.25">
      <c r="A38" s="36">
        <v>25</v>
      </c>
      <c r="B38" s="36">
        <v>26</v>
      </c>
      <c r="C38" s="636" t="s">
        <v>1268</v>
      </c>
      <c r="D38" s="637"/>
      <c r="E38" s="956" t="s">
        <v>548</v>
      </c>
      <c r="F38" s="948" t="s">
        <v>527</v>
      </c>
      <c r="G38" s="949">
        <v>4963</v>
      </c>
      <c r="H38" s="972">
        <f t="shared" si="8"/>
        <v>1.0379501164896665E-2</v>
      </c>
      <c r="I38" s="949">
        <v>3706.4</v>
      </c>
      <c r="J38" s="949">
        <v>263.2</v>
      </c>
      <c r="K38" s="955">
        <v>993.7</v>
      </c>
      <c r="L38" s="69">
        <f t="shared" si="6"/>
        <v>0.20022164013701391</v>
      </c>
      <c r="M38" s="973"/>
      <c r="N38" s="32">
        <v>41306</v>
      </c>
      <c r="O38" s="143">
        <f t="shared" ca="1" si="10"/>
        <v>5.1571601274865371</v>
      </c>
      <c r="P38" s="943"/>
      <c r="Q38" s="4">
        <v>42735</v>
      </c>
      <c r="R38" s="943"/>
      <c r="S38" s="954">
        <f ca="1">(X38-$G$1)/30.33</f>
        <v>-2.7365644576327068</v>
      </c>
      <c r="T38" s="943"/>
      <c r="U38" s="146" t="s">
        <v>591</v>
      </c>
      <c r="V38" s="67">
        <v>12</v>
      </c>
      <c r="W38" s="943"/>
      <c r="X38" s="92">
        <f t="shared" si="3"/>
        <v>43100</v>
      </c>
      <c r="Y38" s="943"/>
      <c r="Z38" s="2" t="s">
        <v>135</v>
      </c>
      <c r="AA38" s="943"/>
      <c r="AB38" s="1184" t="s">
        <v>1125</v>
      </c>
      <c r="AC38" s="1185"/>
      <c r="AD38" s="1186"/>
      <c r="AE38" s="973"/>
      <c r="AF38" s="52" t="s">
        <v>534</v>
      </c>
      <c r="AG38" s="52"/>
      <c r="AH38" s="3" t="s">
        <v>1126</v>
      </c>
      <c r="AI38" s="3"/>
      <c r="AJ38" s="52"/>
      <c r="AK38" s="52"/>
      <c r="AL38" s="3" t="s">
        <v>1127</v>
      </c>
      <c r="AM38" s="3"/>
      <c r="AN38" s="52"/>
      <c r="AO38" s="52"/>
      <c r="AP38" s="3" t="s">
        <v>1128</v>
      </c>
      <c r="AQ38" s="3"/>
    </row>
    <row r="39" spans="1:43" s="440" customFormat="1" ht="18" customHeight="1" x14ac:dyDescent="0.25">
      <c r="A39" s="36">
        <v>26</v>
      </c>
      <c r="B39" s="36">
        <v>27</v>
      </c>
      <c r="C39" s="636" t="s">
        <v>1269</v>
      </c>
      <c r="D39" s="637"/>
      <c r="E39" s="956" t="s">
        <v>548</v>
      </c>
      <c r="F39" s="948"/>
      <c r="G39" s="949">
        <v>4242</v>
      </c>
      <c r="H39" s="972">
        <f t="shared" si="8"/>
        <v>8.8716187671754286E-3</v>
      </c>
      <c r="I39" s="949">
        <v>3528.1</v>
      </c>
      <c r="J39" s="949">
        <v>0</v>
      </c>
      <c r="K39" s="955">
        <v>713.5</v>
      </c>
      <c r="L39" s="69">
        <f t="shared" si="6"/>
        <v>0.1681989627534182</v>
      </c>
      <c r="M39" s="962"/>
      <c r="N39" s="32">
        <v>42401</v>
      </c>
      <c r="O39" s="143">
        <f t="shared" ca="1" si="10"/>
        <v>2.1485877568963625</v>
      </c>
      <c r="P39" s="943"/>
      <c r="Q39" s="4">
        <v>43496</v>
      </c>
      <c r="R39" s="943"/>
      <c r="S39" s="954">
        <f t="shared" ref="S39:S43" ca="1" si="11">(X39-$G$1)/30.33</f>
        <v>10.31981536432575</v>
      </c>
      <c r="T39" s="943"/>
      <c r="U39" s="146"/>
      <c r="V39" s="67"/>
      <c r="W39" s="943"/>
      <c r="X39" s="92">
        <f t="shared" si="3"/>
        <v>43496</v>
      </c>
      <c r="Y39" s="943"/>
      <c r="Z39" s="2" t="s">
        <v>135</v>
      </c>
      <c r="AA39" s="943"/>
      <c r="AB39" s="1184"/>
      <c r="AC39" s="1185"/>
      <c r="AD39" s="1186"/>
      <c r="AE39" s="962"/>
      <c r="AF39" s="52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</row>
    <row r="40" spans="1:43" s="440" customFormat="1" ht="18" customHeight="1" x14ac:dyDescent="0.25">
      <c r="A40" s="36">
        <v>27</v>
      </c>
      <c r="B40" s="36">
        <v>28</v>
      </c>
      <c r="C40" s="636" t="s">
        <v>1270</v>
      </c>
      <c r="D40" s="637"/>
      <c r="E40" s="956" t="s">
        <v>521</v>
      </c>
      <c r="F40" s="948"/>
      <c r="G40" s="949">
        <v>4084</v>
      </c>
      <c r="H40" s="972">
        <f t="shared" si="8"/>
        <v>8.5411812930562114E-3</v>
      </c>
      <c r="I40" s="949">
        <v>1880</v>
      </c>
      <c r="J40" s="949">
        <v>0</v>
      </c>
      <c r="K40" s="955">
        <v>2204</v>
      </c>
      <c r="L40" s="69">
        <f t="shared" si="6"/>
        <v>0.53966699314397648</v>
      </c>
      <c r="M40" s="973"/>
      <c r="N40" s="32">
        <v>42979</v>
      </c>
      <c r="O40" s="143">
        <f t="shared" ca="1" si="10"/>
        <v>0.56050115397296407</v>
      </c>
      <c r="P40" s="943"/>
      <c r="Q40" s="4">
        <v>44074</v>
      </c>
      <c r="R40" s="943"/>
      <c r="S40" s="954">
        <f t="shared" ca="1" si="11"/>
        <v>29.376854599406531</v>
      </c>
      <c r="T40" s="943"/>
      <c r="U40" s="146"/>
      <c r="V40" s="67"/>
      <c r="W40" s="943"/>
      <c r="X40" s="92">
        <f t="shared" si="3"/>
        <v>44074</v>
      </c>
      <c r="Y40" s="943"/>
      <c r="Z40" s="2" t="s">
        <v>135</v>
      </c>
      <c r="AA40" s="943"/>
      <c r="AB40" s="1184"/>
      <c r="AC40" s="1185"/>
      <c r="AD40" s="1186"/>
      <c r="AE40" s="973"/>
      <c r="AF40" s="52"/>
      <c r="AG40" s="52"/>
      <c r="AH40" s="551"/>
      <c r="AI40" s="551"/>
      <c r="AJ40" s="52"/>
      <c r="AK40" s="52"/>
      <c r="AL40" s="551"/>
      <c r="AM40" s="551"/>
      <c r="AN40" s="52"/>
      <c r="AO40" s="52"/>
      <c r="AP40" s="551"/>
      <c r="AQ40" s="551"/>
    </row>
    <row r="41" spans="1:43" s="440" customFormat="1" ht="18" customHeight="1" x14ac:dyDescent="0.25">
      <c r="A41" s="36">
        <v>28</v>
      </c>
      <c r="B41" s="36">
        <v>29</v>
      </c>
      <c r="C41" s="636" t="s">
        <v>1271</v>
      </c>
      <c r="D41" s="637"/>
      <c r="E41" s="956" t="s">
        <v>521</v>
      </c>
      <c r="F41" s="948"/>
      <c r="G41" s="949">
        <v>3926</v>
      </c>
      <c r="H41" s="972">
        <f t="shared" si="8"/>
        <v>8.2107438189369959E-3</v>
      </c>
      <c r="I41" s="949">
        <v>2697.7</v>
      </c>
      <c r="J41" s="949">
        <v>92.5</v>
      </c>
      <c r="K41" s="955">
        <v>1136</v>
      </c>
      <c r="L41" s="69">
        <f t="shared" si="6"/>
        <v>0.28935303107488536</v>
      </c>
      <c r="M41" s="973"/>
      <c r="N41" s="32">
        <v>42278</v>
      </c>
      <c r="O41" s="143">
        <f t="shared" ca="1" si="10"/>
        <v>2.4865369820859438</v>
      </c>
      <c r="P41" s="943"/>
      <c r="Q41" s="4">
        <v>43281</v>
      </c>
      <c r="R41" s="943"/>
      <c r="S41" s="954">
        <f t="shared" ca="1" si="11"/>
        <v>3.2311242993735578</v>
      </c>
      <c r="T41" s="943"/>
      <c r="U41" s="146"/>
      <c r="V41" s="67"/>
      <c r="W41" s="943"/>
      <c r="X41" s="92">
        <f t="shared" si="3"/>
        <v>43281</v>
      </c>
      <c r="Y41" s="943"/>
      <c r="Z41" s="2" t="s">
        <v>135</v>
      </c>
      <c r="AA41" s="943"/>
      <c r="AB41" s="1184" t="s">
        <v>558</v>
      </c>
      <c r="AC41" s="1185"/>
      <c r="AD41" s="1186"/>
      <c r="AE41" s="973"/>
      <c r="AF41" s="52" t="s">
        <v>1116</v>
      </c>
      <c r="AG41" s="52"/>
      <c r="AH41" s="551" t="s">
        <v>1129</v>
      </c>
      <c r="AI41" s="551"/>
      <c r="AJ41" s="52"/>
      <c r="AK41" s="52"/>
      <c r="AL41" s="551"/>
      <c r="AM41" s="551"/>
      <c r="AN41" s="52"/>
      <c r="AO41" s="52"/>
      <c r="AP41" s="551"/>
      <c r="AQ41" s="551"/>
    </row>
    <row r="42" spans="1:43" s="440" customFormat="1" ht="18" customHeight="1" x14ac:dyDescent="0.25">
      <c r="A42" s="36">
        <v>29</v>
      </c>
      <c r="B42" s="36">
        <v>30</v>
      </c>
      <c r="C42" s="636" t="s">
        <v>1272</v>
      </c>
      <c r="D42" s="637"/>
      <c r="E42" s="956" t="s">
        <v>521</v>
      </c>
      <c r="F42" s="948" t="s">
        <v>527</v>
      </c>
      <c r="G42" s="949">
        <v>3700</v>
      </c>
      <c r="H42" s="972">
        <f t="shared" si="8"/>
        <v>7.7380927483614069E-3</v>
      </c>
      <c r="I42" s="949">
        <v>4496.3999999999996</v>
      </c>
      <c r="J42" s="949">
        <v>0</v>
      </c>
      <c r="K42" s="955">
        <v>796.1</v>
      </c>
      <c r="L42" s="69">
        <f t="shared" si="6"/>
        <v>0.21516216216216216</v>
      </c>
      <c r="M42" s="973"/>
      <c r="N42" s="32">
        <v>41275</v>
      </c>
      <c r="O42" s="143">
        <f t="shared" ca="1" si="10"/>
        <v>5.2423343224530177</v>
      </c>
      <c r="P42" s="943"/>
      <c r="Q42" s="4">
        <v>43100</v>
      </c>
      <c r="R42" s="943"/>
      <c r="S42" s="954">
        <f t="shared" ca="1" si="11"/>
        <v>-2.7365644576327068</v>
      </c>
      <c r="T42" s="943"/>
      <c r="U42" s="146"/>
      <c r="V42" s="67"/>
      <c r="W42" s="943"/>
      <c r="X42" s="92">
        <f t="shared" si="3"/>
        <v>43100</v>
      </c>
      <c r="Y42" s="943"/>
      <c r="Z42" s="2" t="s">
        <v>519</v>
      </c>
      <c r="AA42" s="943"/>
      <c r="AB42" s="1184" t="s">
        <v>1130</v>
      </c>
      <c r="AC42" s="1185"/>
      <c r="AD42" s="1186"/>
      <c r="AE42" s="973"/>
      <c r="AF42" s="52" t="s">
        <v>1116</v>
      </c>
      <c r="AG42" s="52"/>
      <c r="AH42" s="551" t="s">
        <v>1131</v>
      </c>
      <c r="AI42" s="551"/>
      <c r="AJ42" s="52" t="s">
        <v>534</v>
      </c>
      <c r="AK42" s="52" t="s">
        <v>1132</v>
      </c>
      <c r="AL42" s="551" t="s">
        <v>1133</v>
      </c>
      <c r="AM42" s="551"/>
      <c r="AN42" s="52"/>
      <c r="AO42" s="52"/>
      <c r="AP42" s="551"/>
      <c r="AQ42" s="551"/>
    </row>
    <row r="43" spans="1:43" s="440" customFormat="1" ht="18" customHeight="1" x14ac:dyDescent="0.25">
      <c r="A43" s="36">
        <v>30</v>
      </c>
      <c r="B43" s="36">
        <v>31</v>
      </c>
      <c r="C43" s="675" t="s">
        <v>231</v>
      </c>
      <c r="D43" s="676"/>
      <c r="E43" s="984" t="s">
        <v>521</v>
      </c>
      <c r="F43" s="948" t="s">
        <v>527</v>
      </c>
      <c r="G43" s="949">
        <v>3514</v>
      </c>
      <c r="H43" s="985">
        <f t="shared" si="8"/>
        <v>7.3490967345248605E-3</v>
      </c>
      <c r="I43" s="949">
        <v>2526.6999999999998</v>
      </c>
      <c r="J43" s="949">
        <v>184.3</v>
      </c>
      <c r="K43" s="961">
        <v>803.2</v>
      </c>
      <c r="L43" s="69">
        <f t="shared" si="6"/>
        <v>0.22857142857142859</v>
      </c>
      <c r="M43" s="962"/>
      <c r="N43" s="963">
        <v>41275</v>
      </c>
      <c r="O43" s="612">
        <f t="shared" ca="1" si="10"/>
        <v>5.2423343224530177</v>
      </c>
      <c r="P43" s="943"/>
      <c r="Q43" s="885">
        <v>43131</v>
      </c>
      <c r="R43" s="943"/>
      <c r="S43" s="986">
        <f t="shared" ca="1" si="11"/>
        <v>-1.714474118034949</v>
      </c>
      <c r="T43" s="943"/>
      <c r="U43" s="965"/>
      <c r="V43" s="616"/>
      <c r="W43" s="943"/>
      <c r="X43" s="617">
        <f t="shared" si="3"/>
        <v>43131</v>
      </c>
      <c r="Y43" s="943"/>
      <c r="Z43" s="987" t="s">
        <v>519</v>
      </c>
      <c r="AA43" s="943"/>
      <c r="AB43" s="988" t="s">
        <v>1125</v>
      </c>
      <c r="AC43" s="989"/>
      <c r="AD43" s="990"/>
      <c r="AE43" s="962"/>
      <c r="AF43" s="991" t="s">
        <v>1116</v>
      </c>
      <c r="AG43" s="991"/>
      <c r="AH43" s="991" t="s">
        <v>1134</v>
      </c>
      <c r="AI43" s="991"/>
      <c r="AJ43" s="991"/>
      <c r="AK43" s="991"/>
      <c r="AL43" s="991"/>
      <c r="AM43" s="991"/>
      <c r="AN43" s="991"/>
      <c r="AO43" s="991"/>
      <c r="AP43" s="991"/>
      <c r="AQ43" s="991"/>
    </row>
    <row r="44" spans="1:43" s="440" customFormat="1" ht="18" customHeight="1" x14ac:dyDescent="0.25">
      <c r="A44" s="36">
        <v>31</v>
      </c>
      <c r="B44" s="36">
        <v>32</v>
      </c>
      <c r="C44" s="636" t="s">
        <v>1273</v>
      </c>
      <c r="D44" s="637"/>
      <c r="E44" s="500" t="s">
        <v>580</v>
      </c>
      <c r="F44" s="992"/>
      <c r="G44" s="949">
        <v>3323</v>
      </c>
      <c r="H44" s="972">
        <f>G44/$G$2</f>
        <v>6.9496438385959333E-3</v>
      </c>
      <c r="I44" s="949">
        <v>2398.8000000000002</v>
      </c>
      <c r="J44" s="949">
        <v>0</v>
      </c>
      <c r="K44" s="993">
        <v>924.4</v>
      </c>
      <c r="L44" s="69">
        <f t="shared" si="6"/>
        <v>0.27818236533253082</v>
      </c>
      <c r="M44" s="962"/>
      <c r="N44" s="32">
        <v>38808</v>
      </c>
      <c r="O44" s="143">
        <f ca="1">($G$1-N44)/30.33/12</f>
        <v>12.020551708979008</v>
      </c>
      <c r="P44" s="943"/>
      <c r="Q44" s="4">
        <v>43189</v>
      </c>
      <c r="R44" s="943"/>
      <c r="S44" s="954">
        <f t="shared" ref="S44:S50" ca="1" si="12">(X44-$G$1)/30.33</f>
        <v>0.19782393669634027</v>
      </c>
      <c r="T44" s="943"/>
      <c r="U44" s="146"/>
      <c r="V44" s="67"/>
      <c r="W44" s="943"/>
      <c r="X44" s="92">
        <f t="shared" ref="X44:X50" si="13">IF(OR(U44="",U44="N"),Q44,EDATE(Q44,V44))</f>
        <v>43189</v>
      </c>
      <c r="Y44" s="943"/>
      <c r="Z44" s="2" t="s">
        <v>519</v>
      </c>
      <c r="AA44" s="943"/>
      <c r="AB44" s="1175" t="s">
        <v>563</v>
      </c>
      <c r="AC44" s="1176"/>
      <c r="AD44" s="1177"/>
      <c r="AE44" s="962"/>
      <c r="AF44" s="3" t="s">
        <v>536</v>
      </c>
      <c r="AG44" s="3"/>
      <c r="AH44" s="3" t="s">
        <v>1135</v>
      </c>
      <c r="AI44" s="3"/>
      <c r="AJ44" s="3"/>
      <c r="AK44" s="3"/>
      <c r="AL44" s="3"/>
      <c r="AM44" s="3"/>
      <c r="AN44" s="3"/>
      <c r="AO44" s="3"/>
      <c r="AP44" s="3"/>
      <c r="AQ44" s="3"/>
    </row>
    <row r="45" spans="1:43" s="440" customFormat="1" ht="18" customHeight="1" x14ac:dyDescent="0.25">
      <c r="A45" s="36">
        <v>32</v>
      </c>
      <c r="B45" s="36">
        <v>33</v>
      </c>
      <c r="C45" s="675" t="s">
        <v>1274</v>
      </c>
      <c r="D45" s="676"/>
      <c r="E45" s="984" t="s">
        <v>580</v>
      </c>
      <c r="F45" s="994" t="s">
        <v>527</v>
      </c>
      <c r="G45" s="949">
        <v>3093</v>
      </c>
      <c r="H45" s="972">
        <f t="shared" ref="H45:H52" si="14">G45/$G$2</f>
        <v>6.4686272623464408E-3</v>
      </c>
      <c r="I45" s="949">
        <v>2271.8000000000002</v>
      </c>
      <c r="J45" s="949">
        <v>0</v>
      </c>
      <c r="K45" s="961">
        <v>821.4</v>
      </c>
      <c r="L45" s="69">
        <f t="shared" si="6"/>
        <v>0.26556741028128028</v>
      </c>
      <c r="M45" s="962"/>
      <c r="N45" s="963">
        <v>40910</v>
      </c>
      <c r="O45" s="143">
        <f ca="1">($G$1-N45)/30.33/12</f>
        <v>6.245191779316408</v>
      </c>
      <c r="P45" s="943"/>
      <c r="Q45" s="885">
        <v>43100</v>
      </c>
      <c r="R45" s="943"/>
      <c r="S45" s="954">
        <f t="shared" ca="1" si="12"/>
        <v>-2.7365644576327068</v>
      </c>
      <c r="T45" s="943"/>
      <c r="U45" s="965"/>
      <c r="V45" s="616"/>
      <c r="W45" s="943"/>
      <c r="X45" s="92">
        <f t="shared" si="13"/>
        <v>43100</v>
      </c>
      <c r="Y45" s="943"/>
      <c r="Z45" s="987"/>
      <c r="AA45" s="943"/>
      <c r="AB45" s="988"/>
      <c r="AC45" s="989"/>
      <c r="AD45" s="990"/>
      <c r="AE45" s="962"/>
      <c r="AF45" s="991"/>
      <c r="AG45" s="991"/>
      <c r="AH45" s="991"/>
      <c r="AI45" s="991"/>
      <c r="AJ45" s="991"/>
      <c r="AK45" s="991"/>
      <c r="AL45" s="991"/>
      <c r="AM45" s="991"/>
      <c r="AN45" s="991"/>
      <c r="AO45" s="991"/>
      <c r="AP45" s="991"/>
      <c r="AQ45" s="991"/>
    </row>
    <row r="46" spans="1:43" s="440" customFormat="1" ht="18" customHeight="1" x14ac:dyDescent="0.25">
      <c r="A46" s="36">
        <v>33</v>
      </c>
      <c r="B46" s="36">
        <v>34</v>
      </c>
      <c r="C46" s="636" t="s">
        <v>1275</v>
      </c>
      <c r="D46" s="637"/>
      <c r="E46" s="500" t="s">
        <v>547</v>
      </c>
      <c r="F46" s="992"/>
      <c r="G46" s="949">
        <v>3037</v>
      </c>
      <c r="H46" s="972">
        <f t="shared" si="14"/>
        <v>6.3515101829117815E-3</v>
      </c>
      <c r="I46" s="949">
        <v>2644.8</v>
      </c>
      <c r="J46" s="949">
        <v>767.3</v>
      </c>
      <c r="K46" s="993">
        <v>375.2</v>
      </c>
      <c r="L46" s="69">
        <f t="shared" si="6"/>
        <v>0.12354297003621995</v>
      </c>
      <c r="M46" s="962"/>
      <c r="N46" s="32">
        <v>41845</v>
      </c>
      <c r="O46" s="143">
        <f ca="1">($G$1-N46)/30.33/12</f>
        <v>3.6762281569403235</v>
      </c>
      <c r="P46" s="943"/>
      <c r="Q46" s="4">
        <v>43861</v>
      </c>
      <c r="R46" s="943"/>
      <c r="S46" s="954">
        <f t="shared" ca="1" si="12"/>
        <v>22.35410484668645</v>
      </c>
      <c r="T46" s="943"/>
      <c r="U46" s="146"/>
      <c r="V46" s="67"/>
      <c r="W46" s="943"/>
      <c r="X46" s="92">
        <f t="shared" si="13"/>
        <v>43861</v>
      </c>
      <c r="Y46" s="943"/>
      <c r="Z46" s="2" t="s">
        <v>135</v>
      </c>
      <c r="AA46" s="943"/>
      <c r="AB46" s="1175" t="s">
        <v>579</v>
      </c>
      <c r="AC46" s="1176"/>
      <c r="AD46" s="1177"/>
      <c r="AE46" s="962"/>
      <c r="AF46" s="3" t="s">
        <v>536</v>
      </c>
      <c r="AG46" s="3"/>
      <c r="AH46" s="3" t="s">
        <v>1137</v>
      </c>
      <c r="AI46" s="3"/>
      <c r="AJ46" s="3" t="s">
        <v>536</v>
      </c>
      <c r="AK46" s="3"/>
      <c r="AL46" s="3" t="s">
        <v>1138</v>
      </c>
      <c r="AM46" s="3"/>
      <c r="AN46" s="3" t="s">
        <v>536</v>
      </c>
      <c r="AO46" s="3" t="s">
        <v>883</v>
      </c>
      <c r="AP46" s="3" t="s">
        <v>1139</v>
      </c>
      <c r="AQ46" s="3"/>
    </row>
    <row r="47" spans="1:43" s="440" customFormat="1" ht="18" customHeight="1" x14ac:dyDescent="0.25">
      <c r="A47" s="36">
        <v>34</v>
      </c>
      <c r="B47" s="36">
        <v>35</v>
      </c>
      <c r="C47" s="675" t="s">
        <v>1276</v>
      </c>
      <c r="D47" s="676"/>
      <c r="E47" s="500" t="s">
        <v>521</v>
      </c>
      <c r="F47" s="992"/>
      <c r="G47" s="949">
        <v>2798</v>
      </c>
      <c r="H47" s="972">
        <f t="shared" si="14"/>
        <v>5.8516712188960039E-3</v>
      </c>
      <c r="I47" s="949">
        <v>1229.7</v>
      </c>
      <c r="J47" s="949">
        <v>128.69999999999999</v>
      </c>
      <c r="K47" s="993">
        <v>1440.1</v>
      </c>
      <c r="L47" s="69">
        <f t="shared" si="6"/>
        <v>0.51468906361686917</v>
      </c>
      <c r="M47" s="962"/>
      <c r="N47" s="32">
        <v>42736</v>
      </c>
      <c r="O47" s="143">
        <f ca="1">($G$1-N47)/30.33/12</f>
        <v>1.2281569403231125</v>
      </c>
      <c r="P47" s="943"/>
      <c r="Q47" s="4">
        <v>44196</v>
      </c>
      <c r="R47" s="943"/>
      <c r="S47" s="954">
        <f t="shared" ca="1" si="12"/>
        <v>33.399274645565448</v>
      </c>
      <c r="T47" s="943"/>
      <c r="U47" s="146"/>
      <c r="V47" s="67"/>
      <c r="W47" s="943"/>
      <c r="X47" s="92">
        <f t="shared" si="13"/>
        <v>44196</v>
      </c>
      <c r="Y47" s="943"/>
      <c r="Z47" s="2" t="s">
        <v>135</v>
      </c>
      <c r="AA47" s="943"/>
      <c r="AB47" s="995"/>
      <c r="AC47" s="996"/>
      <c r="AD47" s="997"/>
      <c r="AE47" s="962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1:43" s="440" customFormat="1" ht="18" customHeight="1" x14ac:dyDescent="0.25">
      <c r="A48" s="36">
        <v>35</v>
      </c>
      <c r="B48" s="36">
        <v>36</v>
      </c>
      <c r="C48" s="636" t="s">
        <v>1277</v>
      </c>
      <c r="D48" s="637"/>
      <c r="E48" s="984" t="s">
        <v>548</v>
      </c>
      <c r="F48" s="998"/>
      <c r="G48" s="949">
        <v>2570</v>
      </c>
      <c r="H48" s="972">
        <f t="shared" si="14"/>
        <v>5.3748373954834632E-3</v>
      </c>
      <c r="I48" s="949">
        <v>2164.4</v>
      </c>
      <c r="J48" s="949">
        <v>0</v>
      </c>
      <c r="K48" s="961">
        <v>405.6</v>
      </c>
      <c r="L48" s="69">
        <f t="shared" si="6"/>
        <v>0.15782101167315177</v>
      </c>
      <c r="M48" s="962"/>
      <c r="N48" s="963">
        <v>42370</v>
      </c>
      <c r="O48" s="612">
        <f ca="1">($G$1-N48)/30.33/12</f>
        <v>2.2337619518628422</v>
      </c>
      <c r="P48" s="943"/>
      <c r="Q48" s="885">
        <v>43465</v>
      </c>
      <c r="R48" s="943"/>
      <c r="S48" s="986">
        <f t="shared" ca="1" si="12"/>
        <v>9.2977250247279919</v>
      </c>
      <c r="T48" s="943"/>
      <c r="U48" s="965"/>
      <c r="V48" s="616"/>
      <c r="W48" s="943"/>
      <c r="X48" s="617">
        <f t="shared" si="13"/>
        <v>43465</v>
      </c>
      <c r="Y48" s="943"/>
      <c r="Z48" s="987" t="s">
        <v>135</v>
      </c>
      <c r="AA48" s="943"/>
      <c r="AB48" s="988" t="s">
        <v>565</v>
      </c>
      <c r="AC48" s="989"/>
      <c r="AD48" s="990"/>
      <c r="AE48" s="962"/>
      <c r="AF48" s="991" t="s">
        <v>536</v>
      </c>
      <c r="AG48" s="991"/>
      <c r="AH48" s="991" t="s">
        <v>1140</v>
      </c>
      <c r="AI48" s="991"/>
      <c r="AJ48" s="991"/>
      <c r="AK48" s="991"/>
      <c r="AL48" s="991"/>
      <c r="AM48" s="991"/>
      <c r="AN48" s="991"/>
      <c r="AO48" s="991"/>
      <c r="AP48" s="991"/>
      <c r="AQ48" s="991"/>
    </row>
    <row r="49" spans="1:43" s="971" customFormat="1" ht="18" customHeight="1" x14ac:dyDescent="0.25">
      <c r="A49" s="957">
        <v>36</v>
      </c>
      <c r="B49" s="957">
        <v>37</v>
      </c>
      <c r="C49" s="636" t="s">
        <v>1278</v>
      </c>
      <c r="D49" s="637"/>
      <c r="E49" s="999" t="s">
        <v>548</v>
      </c>
      <c r="F49" s="1000"/>
      <c r="G49" s="949">
        <v>2780.9</v>
      </c>
      <c r="H49" s="960">
        <f t="shared" si="14"/>
        <v>5.8159086821400639E-3</v>
      </c>
      <c r="I49" s="949"/>
      <c r="J49" s="949">
        <v>0</v>
      </c>
      <c r="K49" s="993"/>
      <c r="L49" s="789">
        <f t="shared" si="6"/>
        <v>0</v>
      </c>
      <c r="M49" s="962"/>
      <c r="N49" s="32">
        <v>43132</v>
      </c>
      <c r="O49" s="612">
        <f t="shared" ref="O49:O52" ca="1" si="15">($G$1-N49)/30.33/12</f>
        <v>0.14012528849324102</v>
      </c>
      <c r="P49" s="943"/>
      <c r="Q49" s="979">
        <v>44227</v>
      </c>
      <c r="R49" s="943"/>
      <c r="S49" s="954">
        <f t="shared" ca="1" si="12"/>
        <v>34.421364985163208</v>
      </c>
      <c r="T49" s="943"/>
      <c r="U49" s="146"/>
      <c r="V49" s="67"/>
      <c r="W49" s="943"/>
      <c r="X49" s="617">
        <f t="shared" si="13"/>
        <v>44227</v>
      </c>
      <c r="Y49" s="943"/>
      <c r="Z49" s="980" t="s">
        <v>135</v>
      </c>
      <c r="AA49" s="943"/>
      <c r="AB49" s="1178"/>
      <c r="AC49" s="1179"/>
      <c r="AD49" s="1180"/>
      <c r="AE49" s="962"/>
      <c r="AF49" s="982"/>
      <c r="AG49" s="982"/>
      <c r="AH49" s="982"/>
      <c r="AI49" s="982"/>
      <c r="AJ49" s="982"/>
      <c r="AK49" s="982"/>
      <c r="AL49" s="982"/>
      <c r="AM49" s="982"/>
      <c r="AN49" s="982"/>
      <c r="AO49" s="982"/>
      <c r="AP49" s="982"/>
      <c r="AQ49" s="982"/>
    </row>
    <row r="50" spans="1:43" s="971" customFormat="1" ht="18" customHeight="1" x14ac:dyDescent="0.25">
      <c r="A50" s="957">
        <v>38</v>
      </c>
      <c r="B50" s="957">
        <v>38</v>
      </c>
      <c r="C50" s="664" t="s">
        <v>1279</v>
      </c>
      <c r="D50" s="665"/>
      <c r="E50" s="999" t="s">
        <v>580</v>
      </c>
      <c r="F50" s="1000"/>
      <c r="G50" s="949">
        <v>2780</v>
      </c>
      <c r="H50" s="960">
        <f t="shared" si="14"/>
        <v>5.8140264433634353E-3</v>
      </c>
      <c r="I50" s="949">
        <v>1841</v>
      </c>
      <c r="J50" s="949">
        <v>227</v>
      </c>
      <c r="K50" s="993">
        <v>712</v>
      </c>
      <c r="L50" s="789">
        <f t="shared" si="6"/>
        <v>0.25611510791366904</v>
      </c>
      <c r="M50" s="962"/>
      <c r="N50" s="32">
        <v>37203</v>
      </c>
      <c r="O50" s="612">
        <f t="shared" ca="1" si="15"/>
        <v>16.430376964501594</v>
      </c>
      <c r="P50" s="943"/>
      <c r="Q50" s="979">
        <v>43100</v>
      </c>
      <c r="R50" s="943"/>
      <c r="S50" s="954">
        <f t="shared" ca="1" si="12"/>
        <v>9.2977250247279919</v>
      </c>
      <c r="T50" s="943"/>
      <c r="U50" s="146" t="s">
        <v>591</v>
      </c>
      <c r="V50" s="67">
        <v>12</v>
      </c>
      <c r="W50" s="943"/>
      <c r="X50" s="617">
        <f t="shared" si="13"/>
        <v>43465</v>
      </c>
      <c r="Y50" s="943"/>
      <c r="Z50" s="980" t="s">
        <v>135</v>
      </c>
      <c r="AA50" s="943"/>
      <c r="AB50" s="1178"/>
      <c r="AC50" s="1179"/>
      <c r="AD50" s="1180"/>
      <c r="AE50" s="962"/>
      <c r="AF50" s="982"/>
      <c r="AG50" s="982"/>
      <c r="AH50" s="982"/>
      <c r="AI50" s="982"/>
      <c r="AJ50" s="982"/>
      <c r="AK50" s="982"/>
      <c r="AL50" s="982"/>
      <c r="AM50" s="982"/>
      <c r="AN50" s="982"/>
      <c r="AO50" s="982"/>
      <c r="AP50" s="982"/>
      <c r="AQ50" s="982"/>
    </row>
    <row r="51" spans="1:43" s="971" customFormat="1" ht="18" customHeight="1" x14ac:dyDescent="0.25">
      <c r="A51" s="957">
        <v>40</v>
      </c>
      <c r="B51" s="957">
        <v>39</v>
      </c>
      <c r="C51" s="675" t="s">
        <v>1280</v>
      </c>
      <c r="D51" s="676"/>
      <c r="E51" s="999" t="s">
        <v>580</v>
      </c>
      <c r="F51" s="1000"/>
      <c r="G51" s="949">
        <v>2013</v>
      </c>
      <c r="H51" s="960">
        <f t="shared" si="14"/>
        <v>4.2099407303923001E-3</v>
      </c>
      <c r="I51" s="949">
        <v>2201</v>
      </c>
      <c r="J51" s="949">
        <v>0</v>
      </c>
      <c r="K51" s="993">
        <v>-188</v>
      </c>
      <c r="L51" s="789">
        <f t="shared" si="6"/>
        <v>-9.3392945851962242E-2</v>
      </c>
      <c r="M51" s="962"/>
      <c r="N51" s="32">
        <v>40112</v>
      </c>
      <c r="O51" s="612">
        <f t="shared" ca="1" si="15"/>
        <v>8.4377404110341789</v>
      </c>
      <c r="P51" s="943"/>
      <c r="Q51" s="979">
        <v>42981</v>
      </c>
      <c r="R51" s="943"/>
      <c r="S51" s="954">
        <f t="shared" ref="S51:S52" ca="1" si="16">(X51-$G$1)/30.33</f>
        <v>5.3742169469172438</v>
      </c>
      <c r="T51" s="943"/>
      <c r="U51" s="146" t="s">
        <v>591</v>
      </c>
      <c r="V51" s="67">
        <v>12</v>
      </c>
      <c r="W51" s="943"/>
      <c r="X51" s="617">
        <f t="shared" ref="X51:X52" si="17">IF(OR(U51="",U51="N"),Q51,EDATE(Q51,V51))</f>
        <v>43346</v>
      </c>
      <c r="Y51" s="943"/>
      <c r="Z51" s="980" t="s">
        <v>135</v>
      </c>
      <c r="AA51" s="943"/>
      <c r="AB51" s="1178"/>
      <c r="AC51" s="1179"/>
      <c r="AD51" s="1180"/>
      <c r="AE51" s="962"/>
      <c r="AF51" s="982"/>
      <c r="AG51" s="982"/>
      <c r="AH51" s="982"/>
      <c r="AI51" s="982"/>
      <c r="AJ51" s="982"/>
      <c r="AK51" s="982"/>
      <c r="AL51" s="982"/>
      <c r="AM51" s="982"/>
      <c r="AN51" s="982"/>
      <c r="AO51" s="982"/>
      <c r="AP51" s="982"/>
      <c r="AQ51" s="982"/>
    </row>
    <row r="52" spans="1:43" s="440" customFormat="1" ht="18" customHeight="1" thickBot="1" x14ac:dyDescent="0.3">
      <c r="A52" s="36"/>
      <c r="B52" s="36">
        <v>40</v>
      </c>
      <c r="C52" s="675" t="s">
        <v>1291</v>
      </c>
      <c r="D52" s="676"/>
      <c r="E52" s="1001" t="s">
        <v>521</v>
      </c>
      <c r="F52" s="1002"/>
      <c r="G52" s="1003">
        <v>1810</v>
      </c>
      <c r="H52" s="1004">
        <f t="shared" si="14"/>
        <v>3.785391317441661E-3</v>
      </c>
      <c r="I52" s="1005">
        <v>1593</v>
      </c>
      <c r="J52" s="1005">
        <v>0</v>
      </c>
      <c r="K52" s="1006">
        <v>217</v>
      </c>
      <c r="L52" s="70">
        <f>K52/G52</f>
        <v>0.11988950276243093</v>
      </c>
      <c r="M52" s="962"/>
      <c r="N52" s="930">
        <v>42858</v>
      </c>
      <c r="O52" s="557">
        <f t="shared" ca="1" si="15"/>
        <v>0.89295526980986928</v>
      </c>
      <c r="P52" s="943"/>
      <c r="Q52" s="7">
        <v>43953</v>
      </c>
      <c r="R52" s="943"/>
      <c r="S52" s="1007">
        <f t="shared" ca="1" si="16"/>
        <v>25.387405209363667</v>
      </c>
      <c r="T52" s="943"/>
      <c r="U52" s="1008"/>
      <c r="V52" s="766"/>
      <c r="W52" s="943"/>
      <c r="X52" s="93">
        <f t="shared" si="17"/>
        <v>43953</v>
      </c>
      <c r="Y52" s="943"/>
      <c r="Z52" s="9" t="s">
        <v>135</v>
      </c>
      <c r="AA52" s="943"/>
      <c r="AB52" s="1181"/>
      <c r="AC52" s="1182"/>
      <c r="AD52" s="1183"/>
      <c r="AE52" s="962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</sheetData>
  <sheetProtection selectLockedCells="1"/>
  <mergeCells count="58">
    <mergeCell ref="J2:L2"/>
    <mergeCell ref="N2:Q2"/>
    <mergeCell ref="R2:T2"/>
    <mergeCell ref="W2:AB2"/>
    <mergeCell ref="J3:L3"/>
    <mergeCell ref="N3:Q3"/>
    <mergeCell ref="R3:T3"/>
    <mergeCell ref="W3:AB3"/>
    <mergeCell ref="J4:L4"/>
    <mergeCell ref="N4:Q4"/>
    <mergeCell ref="R4:T4"/>
    <mergeCell ref="W4:AB4"/>
    <mergeCell ref="N6:Q6"/>
    <mergeCell ref="R6:T6"/>
    <mergeCell ref="W6:AB6"/>
    <mergeCell ref="AN10:AQ10"/>
    <mergeCell ref="U11:V11"/>
    <mergeCell ref="AB11:AD11"/>
    <mergeCell ref="N7:Q7"/>
    <mergeCell ref="R7:T7"/>
    <mergeCell ref="X7:AC7"/>
    <mergeCell ref="N8:Q8"/>
    <mergeCell ref="R8:T8"/>
    <mergeCell ref="X8:AC8"/>
    <mergeCell ref="AB18:AD18"/>
    <mergeCell ref="G10:I10"/>
    <mergeCell ref="J10:L10"/>
    <mergeCell ref="AF10:AI10"/>
    <mergeCell ref="AJ10:AM10"/>
    <mergeCell ref="AB13:AD13"/>
    <mergeCell ref="AB14:AD14"/>
    <mergeCell ref="AB15:AD15"/>
    <mergeCell ref="AB16:AD16"/>
    <mergeCell ref="AB17:AD17"/>
    <mergeCell ref="AB36:AD36"/>
    <mergeCell ref="AB19:AD19"/>
    <mergeCell ref="AB20:AD20"/>
    <mergeCell ref="AB21:AD21"/>
    <mergeCell ref="AB22:AD22"/>
    <mergeCell ref="AB23:AD23"/>
    <mergeCell ref="AB24:AD24"/>
    <mergeCell ref="AB29:AD29"/>
    <mergeCell ref="AB30:AD30"/>
    <mergeCell ref="AB32:AD32"/>
    <mergeCell ref="AB34:AD34"/>
    <mergeCell ref="AB35:AD35"/>
    <mergeCell ref="AB52:AD52"/>
    <mergeCell ref="AB37:AD37"/>
    <mergeCell ref="AB38:AD38"/>
    <mergeCell ref="AB39:AD39"/>
    <mergeCell ref="AB40:AD40"/>
    <mergeCell ref="AB41:AD41"/>
    <mergeCell ref="AB42:AD42"/>
    <mergeCell ref="AB44:AD44"/>
    <mergeCell ref="AB46:AD46"/>
    <mergeCell ref="AB49:AD49"/>
    <mergeCell ref="AB50:AD50"/>
    <mergeCell ref="AB51:AD51"/>
  </mergeCells>
  <conditionalFormatting sqref="L13:L24">
    <cfRule type="iconSet" priority="9">
      <iconSet>
        <cfvo type="percent" val="0"/>
        <cfvo type="percent" val="9"/>
        <cfvo type="percent" val="20"/>
      </iconSet>
    </cfRule>
  </conditionalFormatting>
  <conditionalFormatting sqref="L45">
    <cfRule type="iconSet" priority="8">
      <iconSet>
        <cfvo type="percent" val="0"/>
        <cfvo type="percent" val="9"/>
        <cfvo type="percent" val="20"/>
      </iconSet>
    </cfRule>
  </conditionalFormatting>
  <conditionalFormatting sqref="L46:L47">
    <cfRule type="iconSet" priority="7">
      <iconSet>
        <cfvo type="percent" val="0"/>
        <cfvo type="percent" val="9"/>
        <cfvo type="percent" val="20"/>
      </iconSet>
    </cfRule>
  </conditionalFormatting>
  <conditionalFormatting sqref="L28 L30:L42">
    <cfRule type="iconSet" priority="10">
      <iconSet>
        <cfvo type="percent" val="0"/>
        <cfvo type="percent" val="9"/>
        <cfvo type="percent" val="20"/>
      </iconSet>
    </cfRule>
  </conditionalFormatting>
  <conditionalFormatting sqref="L43">
    <cfRule type="iconSet" priority="6">
      <iconSet>
        <cfvo type="percent" val="0"/>
        <cfvo type="percent" val="9"/>
        <cfvo type="percent" val="20"/>
      </iconSet>
    </cfRule>
  </conditionalFormatting>
  <conditionalFormatting sqref="L44">
    <cfRule type="iconSet" priority="5">
      <iconSet>
        <cfvo type="percent" val="0"/>
        <cfvo type="percent" val="9"/>
        <cfvo type="percent" val="20"/>
      </iconSet>
    </cfRule>
  </conditionalFormatting>
  <conditionalFormatting sqref="L29">
    <cfRule type="iconSet" priority="4">
      <iconSet>
        <cfvo type="percent" val="0"/>
        <cfvo type="percent" val="9"/>
        <cfvo type="percent" val="20"/>
      </iconSet>
    </cfRule>
  </conditionalFormatting>
  <conditionalFormatting sqref="L27">
    <cfRule type="iconSet" priority="11">
      <iconSet>
        <cfvo type="percent" val="0"/>
        <cfvo type="percent" val="9"/>
        <cfvo type="percent" val="20"/>
      </iconSet>
    </cfRule>
  </conditionalFormatting>
  <conditionalFormatting sqref="L26">
    <cfRule type="iconSet" priority="3">
      <iconSet>
        <cfvo type="percent" val="0"/>
        <cfvo type="percent" val="9"/>
        <cfvo type="percent" val="20"/>
      </iconSet>
    </cfRule>
  </conditionalFormatting>
  <conditionalFormatting sqref="L25">
    <cfRule type="iconSet" priority="2">
      <iconSet>
        <cfvo type="percent" val="0"/>
        <cfvo type="percent" val="9"/>
        <cfvo type="percent" val="20"/>
      </iconSet>
    </cfRule>
  </conditionalFormatting>
  <conditionalFormatting sqref="L52">
    <cfRule type="iconSet" priority="1">
      <iconSet>
        <cfvo type="percent" val="0"/>
        <cfvo type="percent" val="9"/>
        <cfvo type="percent" val="20"/>
      </iconSet>
    </cfRule>
  </conditionalFormatting>
  <conditionalFormatting sqref="L48:L49">
    <cfRule type="iconSet" priority="12">
      <iconSet>
        <cfvo type="percent" val="0"/>
        <cfvo type="percent" val="9"/>
        <cfvo type="percent" val="20"/>
      </iconSet>
    </cfRule>
  </conditionalFormatting>
  <conditionalFormatting sqref="L50:L51">
    <cfRule type="iconSet" priority="13">
      <iconSet>
        <cfvo type="percent" val="0"/>
        <cfvo type="percent" val="9"/>
        <cfvo type="percent" val="20"/>
      </iconSet>
    </cfRule>
  </conditionalFormatting>
  <dataValidations count="9">
    <dataValidation type="list" allowBlank="1" showInputMessage="1" showErrorMessage="1" sqref="F31:F43 F52 F27:F29 F13:F24">
      <formula1>Statut</formula1>
    </dataValidation>
    <dataValidation type="list" allowBlank="1" showInputMessage="1" showErrorMessage="1" sqref="AB13:AB24 AE30:AE38 AE41:AE48 AB41:AB48 AB30:AB38 AB27:AB28 AE27:AE28 AE13:AE24">
      <formula1>Orléans_CdS</formula1>
    </dataValidation>
    <dataValidation type="list" allowBlank="1" showInputMessage="1" showErrorMessage="1" sqref="AC21:AC24 AC14:AC19 AC30:AC34 AC36:AC38 AC41:AC42 AC44 Z41:Z48 Z30:Z38 Z27:Z28 AC27:AC28 Z13:Z24">
      <formula1>Risque</formula1>
    </dataValidation>
    <dataValidation type="list" allowBlank="1" showInputMessage="1" showErrorMessage="1" sqref="W13:W24">
      <formula1>Durée</formula1>
    </dataValidation>
    <dataValidation type="list" allowBlank="1" showInputMessage="1" showErrorMessage="1" sqref="U30:U38 U41:U48 U27:U28 U13:U24">
      <formula1>OuiNon</formula1>
    </dataValidation>
    <dataValidation type="list" allowBlank="1" showInputMessage="1" showErrorMessage="1" sqref="E44:E48">
      <formula1>Origine</formula1>
    </dataValidation>
    <dataValidation type="list" allowBlank="1" showInputMessage="1" showErrorMessage="1" sqref="AN13:AN24 AJ13:AJ24 AN30:AN38 AF44:AF48 AN41:AN48 AJ41:AJ48 AJ30:AJ38 AJ27:AJ28 AN27:AN28 AF13:AF24">
      <formula1>civilité</formula1>
    </dataValidation>
    <dataValidation type="list" allowBlank="1" showInputMessage="1" showErrorMessage="1" sqref="AA13:AA24 AA30:AA38 V44:W48 AA41:AA48 AA27:AA28 V13:V24">
      <formula1>Reconduction</formula1>
    </dataValidation>
    <dataValidation type="list" errorStyle="warning" allowBlank="1" showInputMessage="1" showErrorMessage="1" error="Valeur non conforme" sqref="V41:W43 V27:W28 V30:W38">
      <formula1>Reconduction</formula1>
    </dataValidation>
  </dataValidations>
  <pageMargins left="0.19685039370078741" right="0.19685039370078741" top="0.39370078740157483" bottom="0.39370078740157483" header="0.11811023622047245" footer="0.11811023622047245"/>
  <pageSetup paperSize="8" scale="75" orientation="landscape" r:id="rId1"/>
  <colBreaks count="1" manualBreakCount="1">
    <brk id="3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</sheetPr>
  <dimension ref="A1:AR57"/>
  <sheetViews>
    <sheetView showGridLines="0" zoomScale="85" zoomScaleNormal="8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A58" sqref="A58:XFD72"/>
    </sheetView>
  </sheetViews>
  <sheetFormatPr baseColWidth="10" defaultColWidth="11.42578125" defaultRowHeight="16.5" outlineLevelRow="1" x14ac:dyDescent="0.25"/>
  <cols>
    <col min="1" max="1" width="3.42578125" style="36" bestFit="1" customWidth="1"/>
    <col min="2" max="2" width="2.85546875" style="36" bestFit="1" customWidth="1"/>
    <col min="3" max="4" width="38.5703125" style="1068" customWidth="1"/>
    <col min="5" max="6" width="5.5703125" style="1068" customWidth="1"/>
    <col min="7" max="7" width="12.5703125" style="1010" customWidth="1"/>
    <col min="8" max="8" width="7.5703125" style="1010" customWidth="1"/>
    <col min="9" max="9" width="11.5703125" style="1010" customWidth="1"/>
    <col min="10" max="11" width="9.5703125" style="1010" customWidth="1"/>
    <col min="12" max="12" width="9.5703125" style="1013" customWidth="1"/>
    <col min="13" max="13" width="0.5703125" style="1013" customWidth="1"/>
    <col min="14" max="14" width="11.5703125" style="1010" customWidth="1"/>
    <col min="15" max="15" width="9.5703125" style="1013" customWidth="1"/>
    <col min="16" max="16" width="0.5703125" style="1013" customWidth="1"/>
    <col min="17" max="17" width="11.5703125" style="1010" customWidth="1"/>
    <col min="18" max="18" width="0.5703125" style="1013" customWidth="1"/>
    <col min="19" max="19" width="7.85546875" style="1013" hidden="1" customWidth="1"/>
    <col min="20" max="20" width="11.5703125" style="1010" customWidth="1"/>
    <col min="21" max="21" width="0.5703125" style="1013" customWidth="1"/>
    <col min="22" max="22" width="5.5703125" style="1013" customWidth="1"/>
    <col min="23" max="23" width="10.5703125" style="1013" customWidth="1"/>
    <col min="24" max="24" width="0.42578125" style="1013" customWidth="1"/>
    <col min="25" max="25" width="11.42578125" style="1010"/>
    <col min="26" max="26" width="0.5703125" style="1013" customWidth="1"/>
    <col min="27" max="27" width="11.5703125" style="1009" customWidth="1"/>
    <col min="28" max="28" width="0.5703125" style="1013" customWidth="1"/>
    <col min="29" max="29" width="28.5703125" style="1010" customWidth="1"/>
    <col min="30" max="30" width="0.5703125" style="1013" customWidth="1"/>
    <col min="31" max="31" width="5.5703125" style="1010" customWidth="1"/>
    <col min="32" max="32" width="0.5703125" style="59" customWidth="1"/>
    <col min="33" max="33" width="5.5703125" style="1010" customWidth="1"/>
    <col min="34" max="34" width="15.5703125" style="1010" customWidth="1"/>
    <col min="35" max="35" width="20.5703125" style="1010" customWidth="1"/>
    <col min="36" max="36" width="25.5703125" style="1010" customWidth="1"/>
    <col min="37" max="37" width="5.5703125" style="1010" customWidth="1"/>
    <col min="38" max="38" width="15.5703125" style="1010" customWidth="1"/>
    <col min="39" max="39" width="20.5703125" style="1010" customWidth="1"/>
    <col min="40" max="40" width="25.5703125" style="1010" customWidth="1"/>
    <col min="41" max="41" width="5.5703125" style="1010" customWidth="1"/>
    <col min="42" max="42" width="15.5703125" style="1010" customWidth="1"/>
    <col min="43" max="43" width="20.5703125" style="1010" customWidth="1"/>
    <col min="44" max="44" width="25.5703125" style="1010" customWidth="1"/>
    <col min="45" max="16384" width="11.42578125" style="1010"/>
  </cols>
  <sheetData>
    <row r="1" spans="1:44" s="16" customFormat="1" ht="16.5" customHeight="1" outlineLevel="1" x14ac:dyDescent="0.25">
      <c r="A1" s="36"/>
      <c r="B1" s="36"/>
      <c r="C1" s="18" t="s">
        <v>1141</v>
      </c>
      <c r="D1" s="18"/>
      <c r="E1" s="24"/>
      <c r="F1" s="24"/>
      <c r="G1" s="10">
        <f ca="1">TODAY()</f>
        <v>43183</v>
      </c>
      <c r="H1" s="15"/>
      <c r="J1" s="59"/>
      <c r="K1" s="15"/>
      <c r="N1" s="15"/>
      <c r="O1" s="15"/>
      <c r="P1" s="84"/>
      <c r="Q1" s="59"/>
      <c r="R1" s="59"/>
      <c r="S1" s="59"/>
      <c r="T1" s="15"/>
      <c r="U1" s="84"/>
      <c r="V1" s="84"/>
      <c r="W1" s="84"/>
      <c r="X1" s="84"/>
      <c r="Y1" s="84"/>
      <c r="Z1" s="86"/>
      <c r="AA1" s="59"/>
      <c r="AC1" s="59"/>
      <c r="AH1" s="71"/>
    </row>
    <row r="2" spans="1:44" s="16" customFormat="1" ht="15" customHeight="1" outlineLevel="1" x14ac:dyDescent="0.25">
      <c r="A2" s="36"/>
      <c r="B2" s="36"/>
      <c r="C2" s="53" t="s">
        <v>664</v>
      </c>
      <c r="D2" s="53"/>
      <c r="E2" s="25"/>
      <c r="F2" s="25"/>
      <c r="G2" s="72">
        <v>262690</v>
      </c>
      <c r="H2" s="41" t="s">
        <v>518</v>
      </c>
      <c r="I2" s="39">
        <f>SUMIF(F13:F15,"Perdu",G13:G15)+SUMIF(F16:F42,"Perdu",G16:G42)+SUMIF(F43:F48,"Perdu",G43:G48)</f>
        <v>98058.89</v>
      </c>
      <c r="J2" s="1160" t="s">
        <v>528</v>
      </c>
      <c r="K2" s="1161"/>
      <c r="L2" s="1161"/>
      <c r="M2" s="90"/>
      <c r="N2" s="1132" t="s">
        <v>537</v>
      </c>
      <c r="O2" s="1133"/>
      <c r="P2" s="1133"/>
      <c r="Q2" s="1133"/>
      <c r="R2" s="1129">
        <f>SUMIFS($G$13:$G$16,$E$13:$E$16,"dcn",$F$13:$F$16,"")+SUMIFS($G$18:$G$42,$E$18:$E$42,"dcn",$F$18:$F$42,"")+SUMIFS($G$43:$G$48,$E$43:$E$48,"DCN",$F$43:$F$48,"")</f>
        <v>79192</v>
      </c>
      <c r="S2" s="1129"/>
      <c r="T2" s="1129"/>
      <c r="U2" s="1129"/>
      <c r="V2" s="97"/>
      <c r="W2" s="1014">
        <f>SUMIFS($G$13:$G$16,$E$13:$E$16,"di",$F$13:$F$16,"")+SUMIFS($G$19:$G$42,$E$19:$E$42,"di",$F$19:$F$42,"")+SUMIFS(G43:G48,E43:E48,"di",F43:F48,"")</f>
        <v>29217</v>
      </c>
      <c r="X2" s="1121" t="s">
        <v>583</v>
      </c>
      <c r="Y2" s="1122"/>
      <c r="Z2" s="1122"/>
      <c r="AA2" s="1122"/>
      <c r="AB2" s="1122"/>
      <c r="AC2" s="1122"/>
      <c r="AD2" s="98"/>
      <c r="AE2" s="98"/>
      <c r="AF2" s="98"/>
      <c r="AG2" s="53"/>
      <c r="AH2" s="75"/>
    </row>
    <row r="3" spans="1:44" s="16" customFormat="1" ht="15" customHeight="1" outlineLevel="1" x14ac:dyDescent="0.25">
      <c r="A3" s="36"/>
      <c r="B3" s="36"/>
      <c r="C3" s="53" t="s">
        <v>517</v>
      </c>
      <c r="D3" s="53"/>
      <c r="E3" s="19"/>
      <c r="F3" s="19"/>
      <c r="G3" s="73">
        <v>161</v>
      </c>
      <c r="H3" s="20"/>
      <c r="I3" s="82">
        <f>COUNTA($F$13:$F$16)+COUNTA($F$18:$F$42)+COUNTA($F$43:$F$48)</f>
        <v>8</v>
      </c>
      <c r="J3" s="1168" t="s">
        <v>531</v>
      </c>
      <c r="K3" s="1169"/>
      <c r="L3" s="1169"/>
      <c r="M3" s="390"/>
      <c r="N3" s="1127" t="s">
        <v>531</v>
      </c>
      <c r="O3" s="1127"/>
      <c r="P3" s="1127"/>
      <c r="Q3" s="1127"/>
      <c r="R3" s="388"/>
      <c r="S3" s="388"/>
      <c r="T3" s="388">
        <f>COUNTIFS($E$13:$E$16,"DCN",F13:F16,"")+COUNTIFS($E$18:$E$42,"DCN",F18:F42,"")+COUNTIFS($E$43:$E$48,"DCN",F43:F48,"")</f>
        <v>10</v>
      </c>
      <c r="U3" s="388"/>
      <c r="V3" s="13"/>
      <c r="W3" s="388">
        <f>COUNTIFS($E$13:$E$16,"DI",F13:F16,"")+COUNTIFS($E$18:$E$42,"DI",F18:F42,"")+COUNTIFS($E$43:$E$48,"DI",F43:F48,"")</f>
        <v>10</v>
      </c>
      <c r="X3" s="1123" t="s">
        <v>531</v>
      </c>
      <c r="Y3" s="1123"/>
      <c r="Z3" s="1123"/>
      <c r="AA3" s="1123"/>
      <c r="AB3" s="1123"/>
      <c r="AC3" s="1123"/>
      <c r="AE3" s="12"/>
      <c r="AF3" s="14"/>
      <c r="AG3" s="14"/>
      <c r="AH3" s="79"/>
    </row>
    <row r="4" spans="1:44" s="16" customFormat="1" ht="15" customHeight="1" outlineLevel="1" x14ac:dyDescent="0.25">
      <c r="A4" s="36"/>
      <c r="B4" s="36"/>
      <c r="C4" s="53" t="s">
        <v>526</v>
      </c>
      <c r="D4" s="26"/>
      <c r="E4" s="19"/>
      <c r="F4" s="19"/>
      <c r="G4" s="74">
        <f>COUNTA($C$13:$C$16)/$G$3</f>
        <v>2.4844720496894408E-2</v>
      </c>
      <c r="H4" s="20"/>
      <c r="I4" s="40">
        <f>$I$2/$G$2</f>
        <v>0.37328748715215654</v>
      </c>
      <c r="J4" s="1168" t="s">
        <v>532</v>
      </c>
      <c r="K4" s="1169"/>
      <c r="L4" s="1169"/>
      <c r="M4" s="390"/>
      <c r="N4" s="1127" t="s">
        <v>586</v>
      </c>
      <c r="O4" s="1127"/>
      <c r="P4" s="1127"/>
      <c r="Q4" s="1127"/>
      <c r="R4" s="1131">
        <f>$R$2/$G$2</f>
        <v>0.30146560584719634</v>
      </c>
      <c r="S4" s="1131"/>
      <c r="T4" s="1131"/>
      <c r="U4" s="1131"/>
      <c r="V4" s="13"/>
      <c r="W4" s="389">
        <f>$W$2/$G$2</f>
        <v>0.11122235334424607</v>
      </c>
      <c r="X4" s="1123" t="s">
        <v>586</v>
      </c>
      <c r="Y4" s="1123"/>
      <c r="Z4" s="1123"/>
      <c r="AA4" s="1123"/>
      <c r="AB4" s="1123"/>
      <c r="AC4" s="1123"/>
      <c r="AF4" s="14"/>
      <c r="AG4" s="14"/>
      <c r="AH4" s="76"/>
    </row>
    <row r="5" spans="1:44" s="16" customFormat="1" ht="5.25" customHeight="1" outlineLevel="1" x14ac:dyDescent="0.25">
      <c r="A5" s="38"/>
      <c r="B5" s="38"/>
      <c r="C5" s="26"/>
      <c r="D5" s="26"/>
      <c r="E5" s="26"/>
      <c r="F5" s="26"/>
      <c r="H5" s="15"/>
      <c r="M5" s="60"/>
      <c r="N5" s="107"/>
      <c r="O5" s="108"/>
      <c r="P5" s="107"/>
      <c r="Q5" s="108"/>
      <c r="R5" s="80"/>
      <c r="S5" s="80"/>
      <c r="U5" s="59"/>
      <c r="V5" s="59"/>
      <c r="W5" s="15"/>
      <c r="X5" s="59"/>
      <c r="Z5" s="15"/>
      <c r="AB5" s="60"/>
      <c r="AD5" s="60"/>
      <c r="AE5" s="21"/>
      <c r="AF5" s="60"/>
      <c r="AG5" s="21"/>
      <c r="AH5" s="77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1:44" s="16" customFormat="1" ht="15" customHeight="1" outlineLevel="1" x14ac:dyDescent="0.25">
      <c r="A6" s="38"/>
      <c r="B6" s="38"/>
      <c r="C6" s="26"/>
      <c r="E6" s="26"/>
      <c r="F6" s="26"/>
      <c r="H6" s="15"/>
      <c r="M6" s="60"/>
      <c r="N6" s="1124" t="s">
        <v>582</v>
      </c>
      <c r="O6" s="1125"/>
      <c r="P6" s="1125"/>
      <c r="Q6" s="1126"/>
      <c r="R6" s="1128">
        <f>SUMIFS($G$13:$G$29,$E$13:$E$29,"AO",$F$13:$F$29,"")+SUMIFS($G$32:$G$42,$E$32:$E$42,"AO",$F$32:$F$42,"")+SUMIFS($G$43:$G$48,$E$43:$E$48,"AO",$F$43:$F$48,"")</f>
        <v>15745.94</v>
      </c>
      <c r="S6" s="1129"/>
      <c r="T6" s="1129"/>
      <c r="U6" s="1196"/>
      <c r="V6" s="97"/>
      <c r="W6" s="1014">
        <f>SUMIFS($G$13:$G$16,$E$13:$E$16,"REG",$F$13:$F$16,"")+SUMIFS($G$18:$G$42,$E$18:$E$42,"REG",$F$18:$F$42,"")+SUMIFS($G$43:$G$48,$E$43:$E$48,"REG",$F$43:$F$48,"")</f>
        <v>3967</v>
      </c>
      <c r="X6" s="1136" t="s">
        <v>584</v>
      </c>
      <c r="Y6" s="1209"/>
      <c r="Z6" s="1209"/>
      <c r="AA6" s="1209"/>
      <c r="AB6" s="1209"/>
      <c r="AC6" s="821"/>
      <c r="AD6" s="98"/>
      <c r="AE6" s="98"/>
      <c r="AF6" s="98"/>
      <c r="AG6" s="77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</row>
    <row r="7" spans="1:44" s="16" customFormat="1" ht="15" customHeight="1" outlineLevel="1" x14ac:dyDescent="0.25">
      <c r="A7" s="38"/>
      <c r="B7" s="38"/>
      <c r="C7" s="26"/>
      <c r="E7" s="26"/>
      <c r="F7" s="26"/>
      <c r="H7" s="15"/>
      <c r="M7" s="60"/>
      <c r="N7" s="1127" t="s">
        <v>531</v>
      </c>
      <c r="O7" s="1127"/>
      <c r="P7" s="1127"/>
      <c r="Q7" s="1127"/>
      <c r="R7" s="1130">
        <f>COUNTIFS($E$13:$E$16,"AO",$F$13:$F$16,"")+COUNTIFS($E$18:$E$42,"AO",$F$18:$F$42,"")+COUNTIFS($E$43:$E$48,"AO",$F$43:$F$48,"")</f>
        <v>4</v>
      </c>
      <c r="S7" s="1130"/>
      <c r="T7" s="1130"/>
      <c r="U7" s="1130"/>
      <c r="V7" s="13"/>
      <c r="W7" s="388">
        <f>COUNTIFS($E$13:$E$16,"REG",$F$13:$F$16,"")+COUNTIFS($E$18:$E$42,"REG",$F$18:$F$42,"")+COUNTIFS($E$43:$E$48,"REG",$F$43:$F$48,"")</f>
        <v>2</v>
      </c>
      <c r="X7" s="87"/>
      <c r="Y7" s="1123" t="s">
        <v>531</v>
      </c>
      <c r="Z7" s="1123"/>
      <c r="AA7" s="1123"/>
      <c r="AB7" s="1123"/>
      <c r="AC7" s="1123"/>
      <c r="AD7" s="1123"/>
      <c r="AE7" s="12"/>
      <c r="AF7" s="60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</row>
    <row r="8" spans="1:44" s="16" customFormat="1" ht="15" customHeight="1" outlineLevel="1" x14ac:dyDescent="0.25">
      <c r="A8" s="38"/>
      <c r="B8" s="38"/>
      <c r="C8" s="26"/>
      <c r="D8" s="26"/>
      <c r="E8" s="26"/>
      <c r="F8" s="26"/>
      <c r="H8" s="15"/>
      <c r="M8" s="60"/>
      <c r="N8" s="1127" t="s">
        <v>586</v>
      </c>
      <c r="O8" s="1127"/>
      <c r="P8" s="1127"/>
      <c r="Q8" s="1127"/>
      <c r="R8" s="1131">
        <f>$R$6/$G$2</f>
        <v>5.9941147360006095E-2</v>
      </c>
      <c r="S8" s="1131"/>
      <c r="T8" s="1131"/>
      <c r="U8" s="1131"/>
      <c r="V8" s="13"/>
      <c r="W8" s="389">
        <f>$W$6/$G$2</f>
        <v>1.5101450378773459E-2</v>
      </c>
      <c r="X8" s="87"/>
      <c r="Y8" s="1123" t="s">
        <v>586</v>
      </c>
      <c r="Z8" s="1123"/>
      <c r="AA8" s="1123"/>
      <c r="AB8" s="1123"/>
      <c r="AC8" s="1123"/>
      <c r="AD8" s="1123"/>
      <c r="AF8" s="60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</row>
    <row r="9" spans="1:44" s="16" customFormat="1" ht="12.75" customHeight="1" x14ac:dyDescent="0.25">
      <c r="A9" s="38"/>
      <c r="B9" s="38"/>
      <c r="C9" s="26"/>
      <c r="D9" s="26"/>
      <c r="E9" s="26"/>
      <c r="F9" s="26"/>
      <c r="H9" s="15"/>
      <c r="M9" s="60"/>
      <c r="N9" s="15"/>
      <c r="O9" s="15"/>
      <c r="P9" s="84"/>
      <c r="R9" s="80"/>
      <c r="S9" s="80"/>
      <c r="U9" s="59"/>
      <c r="V9" s="59"/>
      <c r="W9" s="59"/>
      <c r="X9" s="59"/>
      <c r="Y9" s="59"/>
      <c r="Z9" s="15"/>
      <c r="AA9" s="15"/>
      <c r="AB9" s="60"/>
      <c r="AC9" s="15"/>
      <c r="AD9" s="60"/>
      <c r="AE9" s="21"/>
      <c r="AF9" s="60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</row>
    <row r="10" spans="1:44" s="16" customFormat="1" x14ac:dyDescent="0.25">
      <c r="A10" s="36"/>
      <c r="B10" s="36"/>
      <c r="E10" s="15"/>
      <c r="F10" s="15"/>
      <c r="G10" s="1155" t="s">
        <v>523</v>
      </c>
      <c r="H10" s="1156"/>
      <c r="I10" s="1156"/>
      <c r="J10" s="1157">
        <v>43008</v>
      </c>
      <c r="K10" s="1157"/>
      <c r="L10" s="1157"/>
      <c r="M10" s="59"/>
      <c r="N10" s="585"/>
      <c r="O10" s="585"/>
      <c r="P10" s="586"/>
      <c r="Q10" s="586"/>
      <c r="R10" s="586"/>
      <c r="S10" s="586"/>
      <c r="T10" s="586"/>
      <c r="U10" s="585"/>
      <c r="V10" s="586"/>
      <c r="W10" s="586"/>
      <c r="X10" s="586"/>
      <c r="Y10" s="586"/>
      <c r="Z10" s="586"/>
      <c r="AA10" s="587"/>
      <c r="AB10" s="587"/>
      <c r="AC10" s="59"/>
      <c r="AD10" s="15"/>
      <c r="AE10" s="59"/>
      <c r="AF10" s="59"/>
      <c r="AG10" s="1164" t="s">
        <v>869</v>
      </c>
      <c r="AH10" s="1164"/>
      <c r="AI10" s="1164"/>
      <c r="AJ10" s="1164"/>
      <c r="AK10" s="1164" t="s">
        <v>870</v>
      </c>
      <c r="AL10" s="1164"/>
      <c r="AM10" s="1164"/>
      <c r="AN10" s="1164"/>
      <c r="AO10" s="1164" t="s">
        <v>871</v>
      </c>
      <c r="AP10" s="1164"/>
      <c r="AQ10" s="1164"/>
      <c r="AR10" s="1164"/>
    </row>
    <row r="11" spans="1:44" s="16" customFormat="1" ht="36" customHeight="1" x14ac:dyDescent="0.25">
      <c r="A11" s="36"/>
      <c r="B11" s="36"/>
      <c r="C11" s="385" t="s">
        <v>638</v>
      </c>
      <c r="D11" s="386" t="s">
        <v>637</v>
      </c>
      <c r="E11" s="78" t="s">
        <v>530</v>
      </c>
      <c r="F11" s="78" t="s">
        <v>529</v>
      </c>
      <c r="G11" s="588" t="s">
        <v>0</v>
      </c>
      <c r="H11" s="22" t="s">
        <v>524</v>
      </c>
      <c r="I11" s="588" t="s">
        <v>1</v>
      </c>
      <c r="J11" s="588" t="s">
        <v>2</v>
      </c>
      <c r="K11" s="588" t="s">
        <v>3</v>
      </c>
      <c r="L11" s="589" t="s">
        <v>4</v>
      </c>
      <c r="M11" s="590"/>
      <c r="N11" s="54" t="s">
        <v>520</v>
      </c>
      <c r="O11" s="54" t="s">
        <v>525</v>
      </c>
      <c r="P11" s="81"/>
      <c r="Q11" s="62" t="s">
        <v>587</v>
      </c>
      <c r="R11" s="80"/>
      <c r="S11" s="80"/>
      <c r="T11" s="105" t="s">
        <v>522</v>
      </c>
      <c r="V11" s="1140" t="s">
        <v>588</v>
      </c>
      <c r="W11" s="1141"/>
      <c r="X11" s="451"/>
      <c r="Y11" s="62" t="s">
        <v>593</v>
      </c>
      <c r="AA11" s="54" t="s">
        <v>23</v>
      </c>
      <c r="AC11" s="1206" t="s">
        <v>1142</v>
      </c>
      <c r="AD11" s="1207"/>
      <c r="AE11" s="1208"/>
      <c r="AF11" s="590"/>
      <c r="AG11" s="55" t="s">
        <v>533</v>
      </c>
      <c r="AH11" s="56" t="s">
        <v>535</v>
      </c>
      <c r="AI11" s="56" t="s">
        <v>581</v>
      </c>
      <c r="AJ11" s="56" t="s">
        <v>556</v>
      </c>
      <c r="AK11" s="57" t="s">
        <v>533</v>
      </c>
      <c r="AL11" s="58" t="s">
        <v>535</v>
      </c>
      <c r="AM11" s="58" t="s">
        <v>581</v>
      </c>
      <c r="AN11" s="58" t="s">
        <v>556</v>
      </c>
      <c r="AO11" s="449" t="s">
        <v>533</v>
      </c>
      <c r="AP11" s="450" t="s">
        <v>535</v>
      </c>
      <c r="AQ11" s="450" t="s">
        <v>581</v>
      </c>
      <c r="AR11" s="450" t="s">
        <v>556</v>
      </c>
    </row>
    <row r="12" spans="1:44" s="16" customFormat="1" ht="5.25" customHeight="1" thickBot="1" x14ac:dyDescent="0.3">
      <c r="A12" s="36"/>
      <c r="B12" s="36"/>
      <c r="C12" s="827"/>
      <c r="D12" s="827"/>
      <c r="E12" s="24"/>
      <c r="F12" s="24"/>
      <c r="G12" s="10"/>
      <c r="H12" s="15"/>
      <c r="M12" s="59"/>
      <c r="N12" s="15"/>
      <c r="P12" s="80"/>
      <c r="Q12" s="59"/>
      <c r="R12" s="1015"/>
      <c r="S12" s="1015"/>
      <c r="T12" s="80"/>
      <c r="V12" s="59"/>
      <c r="W12" s="59"/>
      <c r="X12" s="59"/>
      <c r="Y12" s="59"/>
      <c r="Z12" s="59"/>
      <c r="AB12" s="15"/>
      <c r="AC12" s="59"/>
      <c r="AE12" s="59"/>
      <c r="AF12" s="59"/>
    </row>
    <row r="13" spans="1:44" s="433" customFormat="1" ht="18" customHeight="1" thickBot="1" x14ac:dyDescent="0.3">
      <c r="A13" s="36">
        <f>ROW()-12</f>
        <v>1</v>
      </c>
      <c r="B13" s="36">
        <f>ROW()-12</f>
        <v>1</v>
      </c>
      <c r="C13" s="1070" t="s">
        <v>1239</v>
      </c>
      <c r="D13" s="1071" t="s">
        <v>1246</v>
      </c>
      <c r="E13" s="1016" t="s">
        <v>521</v>
      </c>
      <c r="F13" s="1017" t="s">
        <v>527</v>
      </c>
      <c r="G13" s="1018">
        <v>78542</v>
      </c>
      <c r="H13" s="1019">
        <f>G13/$G$2</f>
        <v>0.29899120636491683</v>
      </c>
      <c r="I13" s="1018">
        <v>56842.400000000001</v>
      </c>
      <c r="J13" s="1018">
        <v>6121.5</v>
      </c>
      <c r="K13" s="1020">
        <v>15578.5</v>
      </c>
      <c r="L13" s="1021">
        <f>K13/G13</f>
        <v>0.19834610781492704</v>
      </c>
      <c r="M13" s="59"/>
      <c r="N13" s="944">
        <v>27395</v>
      </c>
      <c r="O13" s="142">
        <f ca="1">($G$1-N13)/30.33/12</f>
        <v>43.378393230025274</v>
      </c>
      <c r="P13" s="869"/>
      <c r="Q13" s="944">
        <v>43131</v>
      </c>
      <c r="R13" s="869"/>
      <c r="S13" s="1022" t="str">
        <f ca="1">IF(Q13&lt;$G$1,DAY(Q13)&amp;"/"&amp;MONTH(Q13)&amp;"/"&amp;YEAR($G$1),Q13)</f>
        <v>31/1/2018</v>
      </c>
      <c r="T13" s="63">
        <f ca="1">(Y13-$G$1)/30.33</f>
        <v>-1.714474118034949</v>
      </c>
      <c r="U13" s="869"/>
      <c r="V13" s="145"/>
      <c r="W13" s="66"/>
      <c r="X13" s="1023"/>
      <c r="Y13" s="91" t="str">
        <f t="shared" ref="Y13:Y57" ca="1" si="0">IF(ISBLANK(F13),IF(OR(V13="",V13="N"),Q13,EDATE(S13,W13)),S13)</f>
        <v>31/1/2018</v>
      </c>
      <c r="Z13" s="1024"/>
      <c r="AA13" s="1025" t="s">
        <v>135</v>
      </c>
      <c r="AB13" s="869"/>
      <c r="AC13" s="1203" t="s">
        <v>1143</v>
      </c>
      <c r="AD13" s="1204"/>
      <c r="AE13" s="1205"/>
      <c r="AF13" s="749"/>
      <c r="AG13" s="31" t="s">
        <v>536</v>
      </c>
      <c r="AH13" s="31" t="s">
        <v>1144</v>
      </c>
      <c r="AI13" s="946" t="s">
        <v>1145</v>
      </c>
      <c r="AJ13" s="946" t="s">
        <v>1146</v>
      </c>
      <c r="AK13" s="31" t="s">
        <v>536</v>
      </c>
      <c r="AL13" s="31" t="s">
        <v>1147</v>
      </c>
      <c r="AM13" s="946" t="s">
        <v>1148</v>
      </c>
      <c r="AN13" s="946" t="s">
        <v>1149</v>
      </c>
      <c r="AO13" s="31" t="s">
        <v>536</v>
      </c>
      <c r="AP13" s="31" t="s">
        <v>1150</v>
      </c>
      <c r="AQ13" s="946" t="s">
        <v>1151</v>
      </c>
      <c r="AR13" s="1026" t="s">
        <v>1152</v>
      </c>
    </row>
    <row r="14" spans="1:44" s="433" customFormat="1" ht="18" customHeight="1" thickBot="1" x14ac:dyDescent="0.3">
      <c r="A14" s="36">
        <f t="shared" ref="A14:B57" si="1">ROW()-12</f>
        <v>2</v>
      </c>
      <c r="B14" s="36">
        <f t="shared" si="1"/>
        <v>2</v>
      </c>
      <c r="C14" s="601" t="s">
        <v>1240</v>
      </c>
      <c r="D14" s="602" t="s">
        <v>1247</v>
      </c>
      <c r="E14" s="867" t="s">
        <v>521</v>
      </c>
      <c r="F14" s="1027"/>
      <c r="G14" s="1028">
        <v>32314</v>
      </c>
      <c r="H14" s="1029"/>
      <c r="I14" s="1028"/>
      <c r="J14" s="1030"/>
      <c r="K14" s="1031"/>
      <c r="L14" s="69"/>
      <c r="M14" s="59"/>
      <c r="N14" s="953">
        <v>43040</v>
      </c>
      <c r="O14" s="143">
        <f t="shared" ref="O14:O15" ca="1" si="2">($G$1-N14)/30.33/12</f>
        <v>0.39290031871634246</v>
      </c>
      <c r="P14" s="59"/>
      <c r="Q14" s="4">
        <v>44135</v>
      </c>
      <c r="R14" s="59"/>
      <c r="S14" s="1022">
        <f t="shared" ref="S14:S57" ca="1" si="3">IF(Q14&lt;$G$1,DAY(Q14)&amp;"/"&amp;MONTH(Q14)&amp;"/"&amp;YEAR($G$1),Q14)</f>
        <v>44135</v>
      </c>
      <c r="T14" s="64">
        <f t="shared" ref="T14:T15" ca="1" si="4">(Y14-$G$1)/30.33</f>
        <v>31.388064622485988</v>
      </c>
      <c r="U14" s="59"/>
      <c r="V14" s="145" t="s">
        <v>592</v>
      </c>
      <c r="W14" s="67"/>
      <c r="X14" s="59"/>
      <c r="Y14" s="92">
        <f t="shared" si="0"/>
        <v>44135</v>
      </c>
      <c r="Z14" s="59"/>
      <c r="AA14" s="870"/>
      <c r="AB14" s="59"/>
      <c r="AC14" s="1197"/>
      <c r="AD14" s="1198"/>
      <c r="AE14" s="1199"/>
      <c r="AF14" s="471"/>
      <c r="AG14" s="982"/>
      <c r="AH14" s="102"/>
      <c r="AI14" s="102"/>
      <c r="AJ14" s="102"/>
      <c r="AK14" s="982"/>
      <c r="AL14" s="102"/>
      <c r="AM14" s="102"/>
      <c r="AN14" s="102"/>
      <c r="AO14" s="982"/>
      <c r="AP14" s="102"/>
      <c r="AQ14" s="102"/>
      <c r="AR14" s="102"/>
    </row>
    <row r="15" spans="1:44" s="433" customFormat="1" ht="18" customHeight="1" thickBot="1" x14ac:dyDescent="0.3">
      <c r="A15" s="36">
        <f t="shared" si="1"/>
        <v>3</v>
      </c>
      <c r="B15" s="36">
        <f t="shared" si="1"/>
        <v>3</v>
      </c>
      <c r="C15" s="601" t="s">
        <v>1241</v>
      </c>
      <c r="D15" s="602" t="s">
        <v>1248</v>
      </c>
      <c r="E15" s="867" t="s">
        <v>521</v>
      </c>
      <c r="F15" s="1027"/>
      <c r="G15" s="1028">
        <v>17915</v>
      </c>
      <c r="H15" s="1029">
        <f>G15/$G$2</f>
        <v>6.8198256500057106E-2</v>
      </c>
      <c r="I15" s="1028">
        <v>14742.6</v>
      </c>
      <c r="J15" s="1028">
        <v>2524</v>
      </c>
      <c r="K15" s="1032">
        <v>2678.4</v>
      </c>
      <c r="L15" s="69">
        <f>K15/G15</f>
        <v>0.14950600055819147</v>
      </c>
      <c r="M15" s="718"/>
      <c r="N15" s="953">
        <v>42979</v>
      </c>
      <c r="O15" s="143">
        <f t="shared" ca="1" si="2"/>
        <v>0.56050115397296407</v>
      </c>
      <c r="P15" s="1033"/>
      <c r="Q15" s="1034">
        <v>43708</v>
      </c>
      <c r="R15" s="718"/>
      <c r="S15" s="1022">
        <f ca="1">IF(Q15&lt;$G$1,DAY(Q15)&amp;"/"&amp;MONTH(Q15)&amp;"/"&amp;YEAR($G$1),Q15)</f>
        <v>43708</v>
      </c>
      <c r="T15" s="64">
        <f t="shared" ca="1" si="4"/>
        <v>17.309594460929773</v>
      </c>
      <c r="U15" s="718"/>
      <c r="V15" s="146"/>
      <c r="W15" s="67"/>
      <c r="X15" s="718"/>
      <c r="Y15" s="92">
        <f t="shared" si="0"/>
        <v>43708</v>
      </c>
      <c r="Z15" s="718"/>
      <c r="AA15" s="870" t="s">
        <v>519</v>
      </c>
      <c r="AB15" s="718"/>
      <c r="AC15" s="1197" t="s">
        <v>1153</v>
      </c>
      <c r="AD15" s="1198"/>
      <c r="AE15" s="1199"/>
      <c r="AF15" s="718"/>
      <c r="AG15" s="52" t="s">
        <v>534</v>
      </c>
      <c r="AH15" s="52" t="s">
        <v>1154</v>
      </c>
      <c r="AI15" s="3" t="s">
        <v>1155</v>
      </c>
      <c r="AJ15" s="3" t="s">
        <v>1156</v>
      </c>
      <c r="AK15" s="52" t="s">
        <v>536</v>
      </c>
      <c r="AL15" s="33" t="s">
        <v>1157</v>
      </c>
      <c r="AM15" s="3" t="s">
        <v>1158</v>
      </c>
      <c r="AN15" s="3" t="s">
        <v>1159</v>
      </c>
      <c r="AO15" s="33"/>
      <c r="AP15" s="33"/>
      <c r="AQ15" s="3"/>
      <c r="AR15" s="5"/>
    </row>
    <row r="16" spans="1:44" s="433" customFormat="1" ht="18" customHeight="1" thickBot="1" x14ac:dyDescent="0.3">
      <c r="A16" s="36">
        <f t="shared" si="1"/>
        <v>4</v>
      </c>
      <c r="B16" s="36">
        <f>ROW()-15</f>
        <v>1</v>
      </c>
      <c r="C16" s="601" t="s">
        <v>1242</v>
      </c>
      <c r="D16" s="602"/>
      <c r="E16" s="867" t="s">
        <v>521</v>
      </c>
      <c r="F16" s="1027"/>
      <c r="G16" s="1028">
        <v>17810</v>
      </c>
      <c r="H16" s="1029">
        <f>G16/$G$2</f>
        <v>6.77985458144581E-2</v>
      </c>
      <c r="I16" s="1028">
        <v>11929.9</v>
      </c>
      <c r="J16" s="1028">
        <v>2777.2</v>
      </c>
      <c r="K16" s="1032">
        <v>3102.4</v>
      </c>
      <c r="L16" s="69">
        <f>K16/G16</f>
        <v>0.17419427288040426</v>
      </c>
      <c r="M16" s="718"/>
      <c r="N16" s="953">
        <v>36861</v>
      </c>
      <c r="O16" s="143">
        <f ca="1">($G$1-N16)/30.33/12</f>
        <v>17.37004066380921</v>
      </c>
      <c r="P16" s="1033"/>
      <c r="Q16" s="979">
        <v>43251</v>
      </c>
      <c r="R16" s="718"/>
      <c r="S16" s="1022">
        <f t="shared" ca="1" si="3"/>
        <v>43251</v>
      </c>
      <c r="T16" s="64">
        <f ca="1">(Y16-$G$1)/30.33</f>
        <v>14.276294098252556</v>
      </c>
      <c r="U16" s="718"/>
      <c r="V16" s="146" t="s">
        <v>591</v>
      </c>
      <c r="W16" s="67">
        <v>12</v>
      </c>
      <c r="X16" s="718"/>
      <c r="Y16" s="92">
        <f t="shared" ca="1" si="0"/>
        <v>43616</v>
      </c>
      <c r="Z16" s="718"/>
      <c r="AA16" s="870" t="s">
        <v>519</v>
      </c>
      <c r="AB16" s="718"/>
      <c r="AC16" s="1197" t="s">
        <v>109</v>
      </c>
      <c r="AD16" s="1198"/>
      <c r="AE16" s="1199"/>
      <c r="AF16" s="718"/>
      <c r="AG16" s="52" t="s">
        <v>534</v>
      </c>
      <c r="AH16" s="52" t="s">
        <v>1160</v>
      </c>
      <c r="AI16" s="3" t="s">
        <v>1161</v>
      </c>
      <c r="AJ16" s="3" t="s">
        <v>1162</v>
      </c>
      <c r="AK16" s="52" t="s">
        <v>534</v>
      </c>
      <c r="AL16" s="33" t="s">
        <v>1163</v>
      </c>
      <c r="AM16" s="33" t="s">
        <v>1164</v>
      </c>
      <c r="AN16" s="33"/>
      <c r="AO16" s="33" t="s">
        <v>536</v>
      </c>
      <c r="AP16" s="33" t="s">
        <v>1165</v>
      </c>
      <c r="AQ16" s="33" t="s">
        <v>1166</v>
      </c>
      <c r="AR16" s="1035" t="s">
        <v>1152</v>
      </c>
    </row>
    <row r="17" spans="1:44" s="433" customFormat="1" ht="17.100000000000001" customHeight="1" thickBot="1" x14ac:dyDescent="0.3">
      <c r="A17" s="36">
        <f t="shared" si="1"/>
        <v>5</v>
      </c>
      <c r="B17" s="36">
        <f t="shared" ref="B17:B57" si="5">ROW()-15</f>
        <v>2</v>
      </c>
      <c r="C17" s="601" t="s">
        <v>1243</v>
      </c>
      <c r="D17" s="602"/>
      <c r="E17" s="867" t="s">
        <v>580</v>
      </c>
      <c r="F17" s="1027"/>
      <c r="G17" s="1028">
        <v>9521</v>
      </c>
      <c r="H17" s="1029"/>
      <c r="I17" s="1028"/>
      <c r="J17" s="1036"/>
      <c r="K17" s="1037"/>
      <c r="L17" s="69"/>
      <c r="M17" s="718"/>
      <c r="N17" s="953">
        <v>43152</v>
      </c>
      <c r="O17" s="143">
        <f t="shared" ref="O17:O52" ca="1" si="6">($G$1-N17)/30.33/12</f>
        <v>8.5174194966479835E-2</v>
      </c>
      <c r="P17" s="1033"/>
      <c r="Q17" s="4">
        <v>43516</v>
      </c>
      <c r="R17" s="718"/>
      <c r="S17" s="1022">
        <f t="shared" ca="1" si="3"/>
        <v>43516</v>
      </c>
      <c r="T17" s="64">
        <f ca="1">(Y17-$G$1)/30.33</f>
        <v>10.979228486646885</v>
      </c>
      <c r="U17" s="718"/>
      <c r="V17" s="146"/>
      <c r="W17" s="67"/>
      <c r="X17" s="718"/>
      <c r="Y17" s="92">
        <f t="shared" si="0"/>
        <v>43516</v>
      </c>
      <c r="Z17" s="718"/>
      <c r="AA17" s="870"/>
      <c r="AB17" s="718"/>
      <c r="AC17" s="1197"/>
      <c r="AD17" s="1198"/>
      <c r="AE17" s="1199"/>
      <c r="AF17" s="718"/>
      <c r="AG17" s="52"/>
      <c r="AH17" s="52"/>
      <c r="AI17" s="3"/>
      <c r="AJ17" s="1038"/>
      <c r="AK17" s="52"/>
      <c r="AL17" s="1039"/>
      <c r="AM17" s="1039"/>
      <c r="AN17" s="1039"/>
      <c r="AO17" s="1039"/>
      <c r="AP17" s="1039"/>
      <c r="AQ17" s="1039"/>
      <c r="AR17" s="1040"/>
    </row>
    <row r="18" spans="1:44" s="433" customFormat="1" ht="18" customHeight="1" thickBot="1" x14ac:dyDescent="0.3">
      <c r="A18" s="36">
        <f t="shared" si="1"/>
        <v>6</v>
      </c>
      <c r="B18" s="36">
        <f>ROW()-15</f>
        <v>3</v>
      </c>
      <c r="C18" s="636" t="s">
        <v>1244</v>
      </c>
      <c r="D18" s="637"/>
      <c r="E18" s="867" t="s">
        <v>580</v>
      </c>
      <c r="F18" s="1027" t="s">
        <v>527</v>
      </c>
      <c r="G18" s="1028">
        <v>8979</v>
      </c>
      <c r="H18" s="1029">
        <f t="shared" ref="H18:H57" si="7">G18/$G$2</f>
        <v>3.4180973771365489E-2</v>
      </c>
      <c r="I18" s="1028">
        <v>6452.9</v>
      </c>
      <c r="J18" s="1028">
        <v>481.2</v>
      </c>
      <c r="K18" s="1032">
        <v>2044.8</v>
      </c>
      <c r="L18" s="69">
        <f t="shared" ref="L18:L47" si="8">K18/G18</f>
        <v>0.227731373204143</v>
      </c>
      <c r="M18" s="749"/>
      <c r="N18" s="953">
        <v>42005</v>
      </c>
      <c r="O18" s="143">
        <f t="shared" ca="1" si="6"/>
        <v>3.2366194087262339</v>
      </c>
      <c r="P18" s="1041"/>
      <c r="Q18" s="4">
        <v>43465</v>
      </c>
      <c r="R18" s="749"/>
      <c r="S18" s="1022">
        <f t="shared" ca="1" si="3"/>
        <v>43465</v>
      </c>
      <c r="T18" s="64">
        <f t="shared" ref="T18:T37" ca="1" si="9">(Y18-$G$1)/30.33</f>
        <v>9.2977250247279919</v>
      </c>
      <c r="U18" s="749"/>
      <c r="V18" s="146" t="s">
        <v>591</v>
      </c>
      <c r="W18" s="67">
        <v>36</v>
      </c>
      <c r="X18" s="749"/>
      <c r="Y18" s="92">
        <f t="shared" ca="1" si="0"/>
        <v>43465</v>
      </c>
      <c r="Z18" s="749"/>
      <c r="AA18" s="870" t="s">
        <v>519</v>
      </c>
      <c r="AB18" s="749"/>
      <c r="AC18" s="1197" t="s">
        <v>1167</v>
      </c>
      <c r="AD18" s="1198"/>
      <c r="AE18" s="1199"/>
      <c r="AF18" s="749"/>
      <c r="AG18" s="52" t="s">
        <v>536</v>
      </c>
      <c r="AH18" s="52"/>
      <c r="AI18" s="3" t="s">
        <v>1168</v>
      </c>
      <c r="AJ18" s="3" t="s">
        <v>1169</v>
      </c>
      <c r="AK18" s="52"/>
      <c r="AL18" s="1039"/>
      <c r="AM18" s="1039"/>
      <c r="AN18" s="1039"/>
      <c r="AO18" s="1039"/>
      <c r="AP18" s="1039"/>
      <c r="AQ18" s="1039"/>
      <c r="AR18" s="1040"/>
    </row>
    <row r="19" spans="1:44" s="433" customFormat="1" ht="18" customHeight="1" thickBot="1" x14ac:dyDescent="0.3">
      <c r="A19" s="36">
        <f t="shared" si="1"/>
        <v>7</v>
      </c>
      <c r="B19" s="36">
        <f t="shared" si="5"/>
        <v>4</v>
      </c>
      <c r="C19" s="636" t="s">
        <v>1245</v>
      </c>
      <c r="D19" s="637"/>
      <c r="E19" s="867" t="s">
        <v>580</v>
      </c>
      <c r="F19" s="1027"/>
      <c r="G19" s="1028">
        <v>7881</v>
      </c>
      <c r="H19" s="1029">
        <f t="shared" si="7"/>
        <v>3.0001142030530281E-2</v>
      </c>
      <c r="I19" s="1028">
        <v>5639.5</v>
      </c>
      <c r="J19" s="1028">
        <v>90.2</v>
      </c>
      <c r="K19" s="1032">
        <v>2151.6</v>
      </c>
      <c r="L19" s="69">
        <f t="shared" si="8"/>
        <v>0.27301103920822228</v>
      </c>
      <c r="M19" s="718"/>
      <c r="N19" s="953">
        <v>41155</v>
      </c>
      <c r="O19" s="143">
        <f t="shared" ca="1" si="6"/>
        <v>5.5720408836135844</v>
      </c>
      <c r="P19" s="1033"/>
      <c r="Q19" s="4">
        <v>43343</v>
      </c>
      <c r="R19" s="718"/>
      <c r="S19" s="1022">
        <f t="shared" ca="1" si="3"/>
        <v>43343</v>
      </c>
      <c r="T19" s="64">
        <f t="shared" ca="1" si="9"/>
        <v>41.411144081767226</v>
      </c>
      <c r="U19" s="718"/>
      <c r="V19" s="146" t="s">
        <v>591</v>
      </c>
      <c r="W19" s="67">
        <v>36</v>
      </c>
      <c r="X19" s="718"/>
      <c r="Y19" s="92">
        <f t="shared" ca="1" si="0"/>
        <v>44439</v>
      </c>
      <c r="Z19" s="718"/>
      <c r="AA19" s="870" t="s">
        <v>519</v>
      </c>
      <c r="AB19" s="718"/>
      <c r="AC19" s="1197" t="s">
        <v>1170</v>
      </c>
      <c r="AD19" s="1198"/>
      <c r="AE19" s="1199"/>
      <c r="AF19" s="718"/>
      <c r="AG19" s="52" t="s">
        <v>534</v>
      </c>
      <c r="AH19" s="52" t="s">
        <v>964</v>
      </c>
      <c r="AI19" s="3" t="s">
        <v>1171</v>
      </c>
      <c r="AJ19" s="3" t="s">
        <v>1172</v>
      </c>
      <c r="AK19" s="52" t="s">
        <v>534</v>
      </c>
      <c r="AL19" s="33" t="s">
        <v>1173</v>
      </c>
      <c r="AM19" s="33" t="s">
        <v>1174</v>
      </c>
      <c r="AN19" s="33" t="s">
        <v>1175</v>
      </c>
      <c r="AO19" s="33"/>
      <c r="AP19" s="33"/>
      <c r="AQ19" s="33"/>
      <c r="AR19" s="1035"/>
    </row>
    <row r="20" spans="1:44" s="433" customFormat="1" ht="18" customHeight="1" thickBot="1" x14ac:dyDescent="0.3">
      <c r="A20" s="36">
        <f t="shared" si="1"/>
        <v>8</v>
      </c>
      <c r="B20" s="36">
        <f t="shared" si="5"/>
        <v>5</v>
      </c>
      <c r="C20" s="636" t="s">
        <v>1249</v>
      </c>
      <c r="D20" s="637"/>
      <c r="E20" s="867" t="s">
        <v>580</v>
      </c>
      <c r="F20" s="1027" t="s">
        <v>1176</v>
      </c>
      <c r="G20" s="1028">
        <v>7051</v>
      </c>
      <c r="H20" s="1029">
        <f>G20/$G$2</f>
        <v>2.6841524230081085E-2</v>
      </c>
      <c r="I20" s="1028">
        <v>5551.4</v>
      </c>
      <c r="J20" s="1028">
        <v>696.3</v>
      </c>
      <c r="K20" s="1032">
        <v>1742.6</v>
      </c>
      <c r="L20" s="69">
        <f>K20/G20</f>
        <v>0.24714224932633669</v>
      </c>
      <c r="M20" s="718"/>
      <c r="N20" s="1042">
        <v>41428</v>
      </c>
      <c r="O20" s="1043">
        <f ca="1">($G$1-N20)/30.33/12</f>
        <v>4.8219584569732943</v>
      </c>
      <c r="P20" s="1044"/>
      <c r="Q20" s="1045">
        <v>43220</v>
      </c>
      <c r="R20" s="1046"/>
      <c r="S20" s="1022">
        <f t="shared" ca="1" si="3"/>
        <v>43220</v>
      </c>
      <c r="T20" s="1047">
        <f ca="1">(Y20-$G$1)/30.33</f>
        <v>1.2199142762940984</v>
      </c>
      <c r="U20" s="1046"/>
      <c r="V20" s="1048" t="s">
        <v>591</v>
      </c>
      <c r="W20" s="1049">
        <v>12</v>
      </c>
      <c r="X20" s="718"/>
      <c r="Y20" s="92">
        <f t="shared" ca="1" si="0"/>
        <v>43220</v>
      </c>
      <c r="Z20" s="718"/>
      <c r="AA20" s="870" t="s">
        <v>519</v>
      </c>
      <c r="AB20" s="718"/>
      <c r="AC20" s="1197" t="s">
        <v>1177</v>
      </c>
      <c r="AD20" s="1198"/>
      <c r="AE20" s="1199"/>
      <c r="AF20" s="718"/>
      <c r="AG20" s="52" t="s">
        <v>534</v>
      </c>
      <c r="AH20" s="52" t="s">
        <v>1178</v>
      </c>
      <c r="AI20" s="3" t="s">
        <v>1179</v>
      </c>
      <c r="AJ20" s="3" t="s">
        <v>1180</v>
      </c>
      <c r="AK20" s="52"/>
      <c r="AL20" s="33"/>
      <c r="AM20" s="3"/>
      <c r="AN20" s="3"/>
      <c r="AO20" s="33"/>
      <c r="AP20" s="33"/>
      <c r="AQ20" s="3"/>
      <c r="AR20" s="5"/>
    </row>
    <row r="21" spans="1:44" s="433" customFormat="1" ht="18" customHeight="1" thickBot="1" x14ac:dyDescent="0.3">
      <c r="A21" s="36">
        <f t="shared" si="1"/>
        <v>9</v>
      </c>
      <c r="B21" s="36">
        <f t="shared" si="5"/>
        <v>6</v>
      </c>
      <c r="C21" s="636" t="s">
        <v>1250</v>
      </c>
      <c r="D21" s="637"/>
      <c r="E21" s="867" t="s">
        <v>521</v>
      </c>
      <c r="F21" s="1027"/>
      <c r="G21" s="1028">
        <v>5721</v>
      </c>
      <c r="H21" s="1029">
        <f t="shared" si="7"/>
        <v>2.1778522212493812E-2</v>
      </c>
      <c r="I21" s="1028">
        <v>3664.5</v>
      </c>
      <c r="J21" s="1028">
        <v>864.1</v>
      </c>
      <c r="K21" s="1032">
        <v>1192.3</v>
      </c>
      <c r="L21" s="69">
        <f t="shared" si="8"/>
        <v>0.2084076210452718</v>
      </c>
      <c r="M21" s="718"/>
      <c r="N21" s="953">
        <v>41045</v>
      </c>
      <c r="O21" s="143">
        <f t="shared" ca="1" si="6"/>
        <v>5.8742718980107709</v>
      </c>
      <c r="P21" s="1033"/>
      <c r="Q21" s="1034">
        <v>41639</v>
      </c>
      <c r="R21" s="718"/>
      <c r="S21" s="1022" t="str">
        <f t="shared" ca="1" si="3"/>
        <v>31/12/2018</v>
      </c>
      <c r="T21" s="64">
        <f t="shared" ca="1" si="9"/>
        <v>9.2977250247279919</v>
      </c>
      <c r="U21" s="718"/>
      <c r="V21" s="146" t="s">
        <v>591</v>
      </c>
      <c r="W21" s="67"/>
      <c r="X21" s="718"/>
      <c r="Y21" s="92">
        <f t="shared" ca="1" si="0"/>
        <v>43465</v>
      </c>
      <c r="Z21" s="718"/>
      <c r="AA21" s="870" t="s">
        <v>519</v>
      </c>
      <c r="AB21" s="718"/>
      <c r="AC21" s="1197" t="s">
        <v>1181</v>
      </c>
      <c r="AD21" s="1198"/>
      <c r="AE21" s="1199"/>
      <c r="AF21" s="718"/>
      <c r="AG21" s="52" t="s">
        <v>536</v>
      </c>
      <c r="AH21" s="52" t="s">
        <v>1182</v>
      </c>
      <c r="AI21" s="3" t="s">
        <v>1183</v>
      </c>
      <c r="AJ21" s="3" t="s">
        <v>1184</v>
      </c>
      <c r="AK21" s="52" t="s">
        <v>534</v>
      </c>
      <c r="AL21" s="1038" t="s">
        <v>1185</v>
      </c>
      <c r="AM21" s="1039" t="s">
        <v>1186</v>
      </c>
      <c r="AN21" s="1039" t="s">
        <v>1187</v>
      </c>
      <c r="AO21" s="1039"/>
      <c r="AP21" s="1039"/>
      <c r="AQ21" s="1039"/>
      <c r="AR21" s="1040"/>
    </row>
    <row r="22" spans="1:44" s="433" customFormat="1" ht="18" customHeight="1" thickBot="1" x14ac:dyDescent="0.3">
      <c r="A22" s="36">
        <f t="shared" si="1"/>
        <v>10</v>
      </c>
      <c r="B22" s="36">
        <f t="shared" si="5"/>
        <v>7</v>
      </c>
      <c r="C22" s="664" t="s">
        <v>1251</v>
      </c>
      <c r="D22" s="665"/>
      <c r="E22" s="867" t="s">
        <v>521</v>
      </c>
      <c r="F22" s="1027"/>
      <c r="G22" s="1028">
        <f>1402-64</f>
        <v>1338</v>
      </c>
      <c r="H22" s="1029">
        <f t="shared" si="7"/>
        <v>5.0934561650614789E-3</v>
      </c>
      <c r="I22" s="1028">
        <v>3615.2</v>
      </c>
      <c r="J22" s="1028">
        <v>174.5</v>
      </c>
      <c r="K22" s="1032">
        <v>1644.7</v>
      </c>
      <c r="L22" s="69">
        <f t="shared" si="8"/>
        <v>1.2292227204783259</v>
      </c>
      <c r="M22" s="718"/>
      <c r="N22" s="953">
        <v>42095</v>
      </c>
      <c r="O22" s="143">
        <f t="shared" ca="1" si="6"/>
        <v>2.9893394878558084</v>
      </c>
      <c r="P22" s="1033"/>
      <c r="Q22" s="979">
        <v>43039</v>
      </c>
      <c r="R22" s="718"/>
      <c r="S22" s="1022" t="str">
        <f t="shared" ca="1" si="3"/>
        <v>31/10/2018</v>
      </c>
      <c r="T22" s="64">
        <f t="shared" ca="1" si="9"/>
        <v>43.42235410484669</v>
      </c>
      <c r="U22" s="718"/>
      <c r="V22" s="146" t="s">
        <v>591</v>
      </c>
      <c r="W22" s="67">
        <v>36</v>
      </c>
      <c r="X22" s="718"/>
      <c r="Y22" s="92">
        <f t="shared" ca="1" si="0"/>
        <v>44500</v>
      </c>
      <c r="Z22" s="718"/>
      <c r="AA22" s="870" t="s">
        <v>519</v>
      </c>
      <c r="AB22" s="718"/>
      <c r="AC22" s="1197" t="s">
        <v>1188</v>
      </c>
      <c r="AD22" s="1198"/>
      <c r="AE22" s="1199"/>
      <c r="AF22" s="718"/>
      <c r="AG22" s="52"/>
      <c r="AH22" s="52"/>
      <c r="AI22" s="3"/>
      <c r="AJ22" s="3" t="s">
        <v>1189</v>
      </c>
      <c r="AK22" s="52"/>
      <c r="AL22" s="33"/>
      <c r="AM22" s="33"/>
      <c r="AN22" s="33"/>
      <c r="AO22" s="33"/>
      <c r="AP22" s="33"/>
      <c r="AQ22" s="33"/>
      <c r="AR22" s="1035"/>
    </row>
    <row r="23" spans="1:44" s="433" customFormat="1" ht="18" customHeight="1" thickBot="1" x14ac:dyDescent="0.3">
      <c r="A23" s="36">
        <f t="shared" si="1"/>
        <v>11</v>
      </c>
      <c r="B23" s="36">
        <f t="shared" si="5"/>
        <v>8</v>
      </c>
      <c r="C23" s="675" t="s">
        <v>1252</v>
      </c>
      <c r="D23" s="676"/>
      <c r="E23" s="867" t="s">
        <v>521</v>
      </c>
      <c r="F23" s="1027"/>
      <c r="G23" s="1028">
        <f>1090-50</f>
        <v>1040</v>
      </c>
      <c r="H23" s="1029">
        <f t="shared" si="7"/>
        <v>3.9590391716471888E-3</v>
      </c>
      <c r="I23" s="1028">
        <v>3615.2</v>
      </c>
      <c r="J23" s="1028">
        <v>174.5</v>
      </c>
      <c r="K23" s="1032">
        <v>1644.7</v>
      </c>
      <c r="L23" s="69">
        <f t="shared" si="8"/>
        <v>1.5814423076923076</v>
      </c>
      <c r="M23" s="718"/>
      <c r="N23" s="953">
        <v>42248</v>
      </c>
      <c r="O23" s="143">
        <f t="shared" ca="1" si="6"/>
        <v>2.5689636223760854</v>
      </c>
      <c r="P23" s="1033"/>
      <c r="Q23" s="979">
        <v>43039</v>
      </c>
      <c r="R23" s="718"/>
      <c r="S23" s="1022" t="str">
        <f t="shared" ca="1" si="3"/>
        <v>31/10/2018</v>
      </c>
      <c r="T23" s="64">
        <f t="shared" ca="1" si="9"/>
        <v>43.42235410484669</v>
      </c>
      <c r="U23" s="718"/>
      <c r="V23" s="146" t="s">
        <v>591</v>
      </c>
      <c r="W23" s="67">
        <v>36</v>
      </c>
      <c r="X23" s="718"/>
      <c r="Y23" s="92">
        <f t="shared" ca="1" si="0"/>
        <v>44500</v>
      </c>
      <c r="Z23" s="718"/>
      <c r="AA23" s="870" t="s">
        <v>519</v>
      </c>
      <c r="AB23" s="718"/>
      <c r="AC23" s="1197" t="s">
        <v>1188</v>
      </c>
      <c r="AD23" s="1198"/>
      <c r="AE23" s="1199"/>
      <c r="AF23" s="718"/>
      <c r="AG23" s="52"/>
      <c r="AH23" s="52"/>
      <c r="AI23" s="3"/>
      <c r="AJ23" s="3" t="s">
        <v>1189</v>
      </c>
      <c r="AK23" s="52"/>
      <c r="AL23" s="33"/>
      <c r="AM23" s="33"/>
      <c r="AN23" s="33"/>
      <c r="AO23" s="33"/>
      <c r="AP23" s="33"/>
      <c r="AQ23" s="33"/>
      <c r="AR23" s="1035"/>
    </row>
    <row r="24" spans="1:44" s="433" customFormat="1" ht="18" customHeight="1" thickBot="1" x14ac:dyDescent="0.3">
      <c r="A24" s="36">
        <f t="shared" si="1"/>
        <v>12</v>
      </c>
      <c r="B24" s="36">
        <f t="shared" si="5"/>
        <v>9</v>
      </c>
      <c r="C24" s="636" t="s">
        <v>1253</v>
      </c>
      <c r="D24" s="637"/>
      <c r="E24" s="867" t="s">
        <v>521</v>
      </c>
      <c r="F24" s="1027"/>
      <c r="G24" s="1028">
        <f>1050-48</f>
        <v>1002</v>
      </c>
      <c r="H24" s="1029">
        <f t="shared" si="7"/>
        <v>3.8143819711446954E-3</v>
      </c>
      <c r="I24" s="1028">
        <v>3615.2</v>
      </c>
      <c r="J24" s="1028">
        <v>174.5</v>
      </c>
      <c r="K24" s="1032">
        <v>1644.7</v>
      </c>
      <c r="L24" s="69">
        <f t="shared" si="8"/>
        <v>1.6414171656686627</v>
      </c>
      <c r="M24" s="718"/>
      <c r="N24" s="953">
        <v>42036</v>
      </c>
      <c r="O24" s="143">
        <f t="shared" ca="1" si="6"/>
        <v>3.1514452137597537</v>
      </c>
      <c r="P24" s="1033"/>
      <c r="Q24" s="979">
        <v>43039</v>
      </c>
      <c r="R24" s="718"/>
      <c r="S24" s="1022" t="str">
        <f t="shared" ca="1" si="3"/>
        <v>31/10/2018</v>
      </c>
      <c r="T24" s="64">
        <f t="shared" ca="1" si="9"/>
        <v>43.42235410484669</v>
      </c>
      <c r="U24" s="718"/>
      <c r="V24" s="146" t="s">
        <v>591</v>
      </c>
      <c r="W24" s="67">
        <v>36</v>
      </c>
      <c r="X24" s="718"/>
      <c r="Y24" s="92">
        <f t="shared" ca="1" si="0"/>
        <v>44500</v>
      </c>
      <c r="Z24" s="718"/>
      <c r="AA24" s="870" t="s">
        <v>519</v>
      </c>
      <c r="AB24" s="718"/>
      <c r="AC24" s="1197" t="s">
        <v>1188</v>
      </c>
      <c r="AD24" s="1198"/>
      <c r="AE24" s="1199"/>
      <c r="AF24" s="718"/>
      <c r="AG24" s="52"/>
      <c r="AH24" s="52"/>
      <c r="AI24" s="3"/>
      <c r="AJ24" s="3" t="s">
        <v>1189</v>
      </c>
      <c r="AK24" s="52"/>
      <c r="AL24" s="33"/>
      <c r="AM24" s="33"/>
      <c r="AN24" s="33"/>
      <c r="AO24" s="33"/>
      <c r="AP24" s="33"/>
      <c r="AQ24" s="33"/>
      <c r="AR24" s="1035"/>
    </row>
    <row r="25" spans="1:44" s="433" customFormat="1" ht="18" customHeight="1" thickBot="1" x14ac:dyDescent="0.3">
      <c r="A25" s="36">
        <f t="shared" si="1"/>
        <v>13</v>
      </c>
      <c r="B25" s="36">
        <f t="shared" si="5"/>
        <v>10</v>
      </c>
      <c r="C25" s="696" t="s">
        <v>1254</v>
      </c>
      <c r="D25" s="697" t="s">
        <v>1255</v>
      </c>
      <c r="E25" s="867" t="s">
        <v>521</v>
      </c>
      <c r="F25" s="1027"/>
      <c r="G25" s="1028">
        <f>876-58</f>
        <v>818</v>
      </c>
      <c r="H25" s="1029">
        <f t="shared" si="7"/>
        <v>3.113936579237885E-3</v>
      </c>
      <c r="I25" s="1028">
        <v>3615.2</v>
      </c>
      <c r="J25" s="1028">
        <v>174.5</v>
      </c>
      <c r="K25" s="1032">
        <v>1644.7</v>
      </c>
      <c r="L25" s="69">
        <f t="shared" si="8"/>
        <v>2.0106356968215158</v>
      </c>
      <c r="M25" s="718"/>
      <c r="N25" s="953">
        <v>42036</v>
      </c>
      <c r="O25" s="143">
        <f t="shared" ca="1" si="6"/>
        <v>3.1514452137597537</v>
      </c>
      <c r="P25" s="1033"/>
      <c r="Q25" s="979">
        <v>43039</v>
      </c>
      <c r="R25" s="718"/>
      <c r="S25" s="1022" t="str">
        <f t="shared" ca="1" si="3"/>
        <v>31/10/2018</v>
      </c>
      <c r="T25" s="64">
        <f t="shared" ca="1" si="9"/>
        <v>43.42235410484669</v>
      </c>
      <c r="U25" s="718"/>
      <c r="V25" s="146" t="s">
        <v>591</v>
      </c>
      <c r="W25" s="67">
        <v>36</v>
      </c>
      <c r="X25" s="718"/>
      <c r="Y25" s="92">
        <f t="shared" ca="1" si="0"/>
        <v>44500</v>
      </c>
      <c r="Z25" s="718"/>
      <c r="AA25" s="870" t="s">
        <v>519</v>
      </c>
      <c r="AB25" s="718"/>
      <c r="AC25" s="1197" t="s">
        <v>1188</v>
      </c>
      <c r="AD25" s="1198"/>
      <c r="AE25" s="1199"/>
      <c r="AF25" s="718"/>
      <c r="AG25" s="52"/>
      <c r="AH25" s="52"/>
      <c r="AI25" s="3"/>
      <c r="AJ25" s="3" t="s">
        <v>1189</v>
      </c>
      <c r="AK25" s="52"/>
      <c r="AL25" s="33"/>
      <c r="AM25" s="33"/>
      <c r="AN25" s="33"/>
      <c r="AO25" s="33"/>
      <c r="AP25" s="33"/>
      <c r="AQ25" s="33"/>
      <c r="AR25" s="1035"/>
    </row>
    <row r="26" spans="1:44" s="433" customFormat="1" ht="18" customHeight="1" thickBot="1" x14ac:dyDescent="0.3">
      <c r="A26" s="36">
        <f t="shared" si="1"/>
        <v>14</v>
      </c>
      <c r="B26" s="36">
        <f t="shared" si="5"/>
        <v>11</v>
      </c>
      <c r="C26" s="708" t="s">
        <v>1256</v>
      </c>
      <c r="D26" s="709"/>
      <c r="E26" s="867" t="s">
        <v>521</v>
      </c>
      <c r="F26" s="1027"/>
      <c r="G26" s="1028">
        <f>692-38</f>
        <v>654</v>
      </c>
      <c r="H26" s="1029">
        <f t="shared" si="7"/>
        <v>2.4896265560165973E-3</v>
      </c>
      <c r="I26" s="1028">
        <v>3615.2</v>
      </c>
      <c r="J26" s="1028">
        <v>174.5</v>
      </c>
      <c r="K26" s="1032">
        <v>1644.7</v>
      </c>
      <c r="L26" s="69">
        <f t="shared" si="8"/>
        <v>2.5148318042813456</v>
      </c>
      <c r="M26" s="718"/>
      <c r="N26" s="953">
        <v>42584</v>
      </c>
      <c r="O26" s="143">
        <f t="shared" ca="1" si="6"/>
        <v>1.6457852511264974</v>
      </c>
      <c r="P26" s="1033"/>
      <c r="Q26" s="979">
        <v>43039</v>
      </c>
      <c r="R26" s="718"/>
      <c r="S26" s="1022" t="str">
        <f t="shared" ca="1" si="3"/>
        <v>31/10/2018</v>
      </c>
      <c r="T26" s="64">
        <f t="shared" ca="1" si="9"/>
        <v>43.42235410484669</v>
      </c>
      <c r="U26" s="718"/>
      <c r="V26" s="146" t="s">
        <v>591</v>
      </c>
      <c r="W26" s="67">
        <v>36</v>
      </c>
      <c r="X26" s="718"/>
      <c r="Y26" s="92">
        <f t="shared" ca="1" si="0"/>
        <v>44500</v>
      </c>
      <c r="Z26" s="718"/>
      <c r="AA26" s="870" t="s">
        <v>519</v>
      </c>
      <c r="AB26" s="718"/>
      <c r="AC26" s="1197" t="s">
        <v>1188</v>
      </c>
      <c r="AD26" s="1198"/>
      <c r="AE26" s="1199"/>
      <c r="AF26" s="718"/>
      <c r="AG26" s="52"/>
      <c r="AH26" s="52"/>
      <c r="AI26" s="3"/>
      <c r="AJ26" s="3" t="s">
        <v>1189</v>
      </c>
      <c r="AK26" s="52"/>
      <c r="AL26" s="33"/>
      <c r="AM26" s="33"/>
      <c r="AN26" s="33"/>
      <c r="AO26" s="33"/>
      <c r="AP26" s="33"/>
      <c r="AQ26" s="33"/>
      <c r="AR26" s="1035"/>
    </row>
    <row r="27" spans="1:44" s="433" customFormat="1" ht="18" customHeight="1" thickBot="1" x14ac:dyDescent="0.3">
      <c r="A27" s="36">
        <f t="shared" si="1"/>
        <v>15</v>
      </c>
      <c r="B27" s="36">
        <f t="shared" si="5"/>
        <v>12</v>
      </c>
      <c r="C27" s="708" t="s">
        <v>1257</v>
      </c>
      <c r="D27" s="709"/>
      <c r="E27" s="867" t="s">
        <v>521</v>
      </c>
      <c r="F27" s="1027"/>
      <c r="G27" s="1028">
        <v>580</v>
      </c>
      <c r="H27" s="1029">
        <f t="shared" si="7"/>
        <v>2.2079256918801629E-3</v>
      </c>
      <c r="I27" s="1028">
        <v>3615.2</v>
      </c>
      <c r="J27" s="1028">
        <v>174.5</v>
      </c>
      <c r="K27" s="1032">
        <v>1644.7</v>
      </c>
      <c r="L27" s="69">
        <f t="shared" si="8"/>
        <v>2.835689655172414</v>
      </c>
      <c r="M27" s="718"/>
      <c r="N27" s="953">
        <v>42737</v>
      </c>
      <c r="O27" s="143">
        <f t="shared" ca="1" si="6"/>
        <v>1.2254093856467745</v>
      </c>
      <c r="P27" s="1033"/>
      <c r="Q27" s="979">
        <v>43039</v>
      </c>
      <c r="R27" s="718"/>
      <c r="S27" s="1022" t="str">
        <f t="shared" ca="1" si="3"/>
        <v>31/10/2018</v>
      </c>
      <c r="T27" s="64">
        <f t="shared" ca="1" si="9"/>
        <v>43.42235410484669</v>
      </c>
      <c r="U27" s="718"/>
      <c r="V27" s="146" t="s">
        <v>591</v>
      </c>
      <c r="W27" s="67">
        <v>36</v>
      </c>
      <c r="X27" s="718"/>
      <c r="Y27" s="92">
        <f t="shared" ca="1" si="0"/>
        <v>44500</v>
      </c>
      <c r="Z27" s="718"/>
      <c r="AA27" s="870" t="s">
        <v>519</v>
      </c>
      <c r="AB27" s="718"/>
      <c r="AC27" s="1197" t="s">
        <v>1188</v>
      </c>
      <c r="AD27" s="1198"/>
      <c r="AE27" s="1199"/>
      <c r="AF27" s="718"/>
      <c r="AG27" s="52"/>
      <c r="AH27" s="52"/>
      <c r="AI27" s="3"/>
      <c r="AJ27" s="3" t="s">
        <v>1189</v>
      </c>
      <c r="AK27" s="52"/>
      <c r="AL27" s="33"/>
      <c r="AM27" s="33"/>
      <c r="AN27" s="33"/>
      <c r="AO27" s="33"/>
      <c r="AP27" s="33"/>
      <c r="AQ27" s="33"/>
      <c r="AR27" s="1035"/>
    </row>
    <row r="28" spans="1:44" s="433" customFormat="1" ht="18" customHeight="1" thickBot="1" x14ac:dyDescent="0.3">
      <c r="A28" s="36">
        <f t="shared" si="1"/>
        <v>16</v>
      </c>
      <c r="B28" s="36">
        <f t="shared" si="5"/>
        <v>13</v>
      </c>
      <c r="C28" s="636" t="s">
        <v>1258</v>
      </c>
      <c r="D28" s="637"/>
      <c r="E28" s="867" t="s">
        <v>548</v>
      </c>
      <c r="F28" s="1027"/>
      <c r="G28" s="1028">
        <v>5102</v>
      </c>
      <c r="H28" s="1029">
        <f t="shared" si="7"/>
        <v>1.9422132551676883E-2</v>
      </c>
      <c r="I28" s="1028">
        <v>3594.2</v>
      </c>
      <c r="J28" s="1028">
        <v>172.4</v>
      </c>
      <c r="K28" s="1032">
        <v>1335.4</v>
      </c>
      <c r="L28" s="69">
        <f t="shared" si="8"/>
        <v>0.26174049392395143</v>
      </c>
      <c r="M28" s="749"/>
      <c r="N28" s="953">
        <v>41456</v>
      </c>
      <c r="O28" s="143">
        <f t="shared" ca="1" si="6"/>
        <v>4.7450269260358287</v>
      </c>
      <c r="P28" s="1041"/>
      <c r="Q28" s="4">
        <v>43281</v>
      </c>
      <c r="R28" s="749"/>
      <c r="S28" s="1022">
        <f t="shared" ca="1" si="3"/>
        <v>43281</v>
      </c>
      <c r="T28" s="64">
        <f t="shared" ca="1" si="9"/>
        <v>3.2311242993735578</v>
      </c>
      <c r="U28" s="749"/>
      <c r="V28" s="146" t="s">
        <v>592</v>
      </c>
      <c r="W28" s="67"/>
      <c r="X28" s="749"/>
      <c r="Y28" s="92">
        <f t="shared" si="0"/>
        <v>43281</v>
      </c>
      <c r="Z28" s="749"/>
      <c r="AA28" s="870" t="s">
        <v>519</v>
      </c>
      <c r="AB28" s="749"/>
      <c r="AC28" s="1197" t="s">
        <v>1190</v>
      </c>
      <c r="AD28" s="1198"/>
      <c r="AE28" s="1199"/>
      <c r="AF28" s="749"/>
      <c r="AG28" s="52" t="s">
        <v>534</v>
      </c>
      <c r="AH28" s="52"/>
      <c r="AI28" s="3" t="s">
        <v>1191</v>
      </c>
      <c r="AJ28" s="3" t="s">
        <v>1192</v>
      </c>
      <c r="AK28" s="52"/>
      <c r="AL28" s="1039"/>
      <c r="AM28" s="1039"/>
      <c r="AN28" s="1039"/>
      <c r="AO28" s="1039"/>
      <c r="AP28" s="1039"/>
      <c r="AQ28" s="1039"/>
      <c r="AR28" s="1040"/>
    </row>
    <row r="29" spans="1:44" s="433" customFormat="1" ht="18" customHeight="1" thickBot="1" x14ac:dyDescent="0.3">
      <c r="A29" s="36">
        <f t="shared" si="1"/>
        <v>17</v>
      </c>
      <c r="B29" s="36">
        <f t="shared" si="5"/>
        <v>14</v>
      </c>
      <c r="C29" s="636" t="s">
        <v>1259</v>
      </c>
      <c r="D29" s="637"/>
      <c r="E29" s="867" t="s">
        <v>548</v>
      </c>
      <c r="F29" s="1027"/>
      <c r="G29" s="1028">
        <v>4495</v>
      </c>
      <c r="H29" s="1029">
        <f t="shared" si="7"/>
        <v>1.7111424112071262E-2</v>
      </c>
      <c r="I29" s="1028">
        <v>3742.6</v>
      </c>
      <c r="J29" s="1028">
        <v>0</v>
      </c>
      <c r="K29" s="1032">
        <v>752.5</v>
      </c>
      <c r="L29" s="69">
        <f t="shared" si="8"/>
        <v>0.16740823136818686</v>
      </c>
      <c r="M29" s="718"/>
      <c r="N29" s="953">
        <v>41640</v>
      </c>
      <c r="O29" s="143">
        <f t="shared" ca="1" si="6"/>
        <v>4.2394768655896256</v>
      </c>
      <c r="P29" s="1041"/>
      <c r="Q29" s="4">
        <v>43952</v>
      </c>
      <c r="R29" s="718"/>
      <c r="S29" s="1022">
        <f t="shared" ca="1" si="3"/>
        <v>43952</v>
      </c>
      <c r="T29" s="64">
        <f t="shared" ca="1" si="9"/>
        <v>25.354434553247611</v>
      </c>
      <c r="U29" s="718"/>
      <c r="V29" s="146" t="s">
        <v>592</v>
      </c>
      <c r="W29" s="67"/>
      <c r="X29" s="718"/>
      <c r="Y29" s="92">
        <f t="shared" si="0"/>
        <v>43952</v>
      </c>
      <c r="Z29" s="718"/>
      <c r="AA29" s="870" t="s">
        <v>519</v>
      </c>
      <c r="AB29" s="718"/>
      <c r="AC29" s="1197" t="s">
        <v>1193</v>
      </c>
      <c r="AD29" s="1198"/>
      <c r="AE29" s="1199"/>
      <c r="AF29" s="718"/>
      <c r="AG29" s="52" t="s">
        <v>536</v>
      </c>
      <c r="AH29" s="52" t="s">
        <v>1194</v>
      </c>
      <c r="AI29" s="3" t="s">
        <v>1195</v>
      </c>
      <c r="AJ29" s="3" t="s">
        <v>1196</v>
      </c>
      <c r="AK29" s="52"/>
      <c r="AL29" s="52"/>
      <c r="AM29" s="3"/>
      <c r="AN29" s="3"/>
      <c r="AO29" s="52"/>
      <c r="AP29" s="52"/>
      <c r="AQ29" s="3"/>
      <c r="AR29" s="5"/>
    </row>
    <row r="30" spans="1:44" s="433" customFormat="1" ht="18" customHeight="1" thickBot="1" x14ac:dyDescent="0.3">
      <c r="A30" s="36">
        <f t="shared" si="1"/>
        <v>18</v>
      </c>
      <c r="B30" s="36">
        <f t="shared" si="5"/>
        <v>15</v>
      </c>
      <c r="C30" s="636" t="s">
        <v>1260</v>
      </c>
      <c r="D30" s="637"/>
      <c r="E30" s="867" t="s">
        <v>580</v>
      </c>
      <c r="F30" s="1027"/>
      <c r="G30" s="1028">
        <v>4462</v>
      </c>
      <c r="H30" s="1029">
        <f t="shared" si="7"/>
        <v>1.6985800753740149E-2</v>
      </c>
      <c r="I30" s="1028">
        <v>2785.8</v>
      </c>
      <c r="J30" s="1028">
        <v>0</v>
      </c>
      <c r="K30" s="1032">
        <v>1676.5</v>
      </c>
      <c r="L30" s="69">
        <f t="shared" si="8"/>
        <v>0.37572837292693861</v>
      </c>
      <c r="M30" s="718"/>
      <c r="N30" s="953">
        <v>40634</v>
      </c>
      <c r="O30" s="143">
        <f t="shared" ca="1" si="6"/>
        <v>7.0035168699857131</v>
      </c>
      <c r="P30" s="1041"/>
      <c r="Q30" s="4">
        <v>40999</v>
      </c>
      <c r="R30" s="718"/>
      <c r="S30" s="1022" t="str">
        <f t="shared" ca="1" si="3"/>
        <v>31/3/2018</v>
      </c>
      <c r="T30" s="64">
        <f t="shared" ca="1" si="9"/>
        <v>12.265084075173096</v>
      </c>
      <c r="U30" s="718"/>
      <c r="V30" s="146" t="s">
        <v>591</v>
      </c>
      <c r="W30" s="67">
        <v>12</v>
      </c>
      <c r="X30" s="718"/>
      <c r="Y30" s="92">
        <f t="shared" ca="1" si="0"/>
        <v>43555</v>
      </c>
      <c r="Z30" s="718"/>
      <c r="AA30" s="870" t="s">
        <v>519</v>
      </c>
      <c r="AB30" s="718"/>
      <c r="AC30" s="1197" t="s">
        <v>1197</v>
      </c>
      <c r="AD30" s="1198"/>
      <c r="AE30" s="1199"/>
      <c r="AF30" s="718"/>
      <c r="AG30" s="52" t="s">
        <v>536</v>
      </c>
      <c r="AH30" s="52" t="s">
        <v>898</v>
      </c>
      <c r="AI30" s="3" t="s">
        <v>1198</v>
      </c>
      <c r="AJ30" s="3" t="s">
        <v>1199</v>
      </c>
      <c r="AK30" s="52"/>
      <c r="AL30" s="873"/>
      <c r="AM30" s="873"/>
      <c r="AN30" s="873"/>
      <c r="AO30" s="873"/>
      <c r="AP30" s="873"/>
      <c r="AQ30" s="873"/>
      <c r="AR30" s="1050"/>
    </row>
    <row r="31" spans="1:44" s="433" customFormat="1" ht="18" customHeight="1" thickBot="1" x14ac:dyDescent="0.3">
      <c r="A31" s="36">
        <f t="shared" si="1"/>
        <v>19</v>
      </c>
      <c r="B31" s="36">
        <f t="shared" si="5"/>
        <v>16</v>
      </c>
      <c r="C31" s="636" t="s">
        <v>1261</v>
      </c>
      <c r="D31" s="637"/>
      <c r="E31" s="867" t="s">
        <v>580</v>
      </c>
      <c r="F31" s="1027"/>
      <c r="G31" s="1028">
        <v>4261</v>
      </c>
      <c r="H31" s="1029">
        <f t="shared" si="7"/>
        <v>1.6220640298450644E-2</v>
      </c>
      <c r="I31" s="1028">
        <v>3570.3</v>
      </c>
      <c r="J31" s="1028">
        <v>0</v>
      </c>
      <c r="K31" s="1032">
        <v>690.5</v>
      </c>
      <c r="L31" s="69">
        <f t="shared" si="8"/>
        <v>0.16205116169913167</v>
      </c>
      <c r="M31" s="749"/>
      <c r="N31" s="953">
        <v>35796</v>
      </c>
      <c r="O31" s="143">
        <f t="shared" ca="1" si="6"/>
        <v>20.296186394109245</v>
      </c>
      <c r="P31" s="1041"/>
      <c r="Q31" s="4">
        <v>43524</v>
      </c>
      <c r="R31" s="749"/>
      <c r="S31" s="1022">
        <f t="shared" ca="1" si="3"/>
        <v>43524</v>
      </c>
      <c r="T31" s="64">
        <f t="shared" ca="1" si="9"/>
        <v>47.378832838773491</v>
      </c>
      <c r="U31" s="749"/>
      <c r="V31" s="146" t="s">
        <v>591</v>
      </c>
      <c r="W31" s="67">
        <v>36</v>
      </c>
      <c r="X31" s="749"/>
      <c r="Y31" s="92">
        <f t="shared" ca="1" si="0"/>
        <v>44620</v>
      </c>
      <c r="Z31" s="749"/>
      <c r="AA31" s="870" t="s">
        <v>519</v>
      </c>
      <c r="AB31" s="749"/>
      <c r="AC31" s="1197" t="s">
        <v>1190</v>
      </c>
      <c r="AD31" s="1198"/>
      <c r="AE31" s="1199"/>
      <c r="AF31" s="749"/>
      <c r="AG31" s="52" t="s">
        <v>536</v>
      </c>
      <c r="AH31" s="52" t="s">
        <v>1157</v>
      </c>
      <c r="AI31" s="3" t="s">
        <v>1200</v>
      </c>
      <c r="AJ31" s="3" t="s">
        <v>1201</v>
      </c>
      <c r="AK31" s="52"/>
      <c r="AL31" s="1051"/>
      <c r="AM31" s="3"/>
      <c r="AN31" s="3"/>
      <c r="AO31" s="1051"/>
      <c r="AP31" s="1051"/>
      <c r="AQ31" s="3"/>
      <c r="AR31" s="5"/>
    </row>
    <row r="32" spans="1:44" s="433" customFormat="1" ht="18" customHeight="1" thickBot="1" x14ac:dyDescent="0.3">
      <c r="A32" s="36">
        <f t="shared" si="1"/>
        <v>20</v>
      </c>
      <c r="B32" s="36">
        <f t="shared" si="5"/>
        <v>17</v>
      </c>
      <c r="C32" s="636" t="s">
        <v>1262</v>
      </c>
      <c r="D32" s="637"/>
      <c r="E32" s="867" t="s">
        <v>548</v>
      </c>
      <c r="F32" s="1027"/>
      <c r="G32" s="1028">
        <v>3575.94</v>
      </c>
      <c r="H32" s="1029">
        <f t="shared" si="7"/>
        <v>1.361277551486543E-2</v>
      </c>
      <c r="I32" s="1028">
        <v>3055.9</v>
      </c>
      <c r="J32" s="1028">
        <v>269.7</v>
      </c>
      <c r="K32" s="1032">
        <v>250.4</v>
      </c>
      <c r="L32" s="69">
        <f t="shared" si="8"/>
        <v>7.002354625636896E-2</v>
      </c>
      <c r="M32" s="718"/>
      <c r="N32" s="953">
        <v>41275</v>
      </c>
      <c r="O32" s="143">
        <f t="shared" ca="1" si="6"/>
        <v>5.2423343224530177</v>
      </c>
      <c r="P32" s="1041"/>
      <c r="Q32" s="979">
        <v>42825</v>
      </c>
      <c r="R32" s="749"/>
      <c r="S32" s="1022" t="str">
        <f t="shared" ca="1" si="3"/>
        <v>31/3/2018</v>
      </c>
      <c r="T32" s="64">
        <f ca="1">(Y32-$G$1)/30.33</f>
        <v>12.265084075173096</v>
      </c>
      <c r="U32" s="718"/>
      <c r="V32" s="146" t="s">
        <v>591</v>
      </c>
      <c r="W32" s="67">
        <v>12</v>
      </c>
      <c r="X32" s="718"/>
      <c r="Y32" s="92">
        <f t="shared" ca="1" si="0"/>
        <v>43555</v>
      </c>
      <c r="Z32" s="718"/>
      <c r="AA32" s="870" t="s">
        <v>551</v>
      </c>
      <c r="AB32" s="718"/>
      <c r="AC32" s="1197" t="s">
        <v>1193</v>
      </c>
      <c r="AD32" s="1198"/>
      <c r="AE32" s="1199"/>
      <c r="AF32" s="718"/>
      <c r="AG32" s="52" t="s">
        <v>536</v>
      </c>
      <c r="AH32" s="52" t="s">
        <v>1202</v>
      </c>
      <c r="AI32" s="3" t="s">
        <v>1203</v>
      </c>
      <c r="AJ32" s="3" t="s">
        <v>1204</v>
      </c>
      <c r="AK32" s="52" t="s">
        <v>534</v>
      </c>
      <c r="AL32" s="52"/>
      <c r="AM32" s="3" t="s">
        <v>1205</v>
      </c>
      <c r="AN32" s="3" t="s">
        <v>1206</v>
      </c>
      <c r="AO32" s="52"/>
      <c r="AP32" s="52"/>
      <c r="AQ32" s="3"/>
      <c r="AR32" s="5"/>
    </row>
    <row r="33" spans="1:44" s="433" customFormat="1" ht="18" customHeight="1" thickBot="1" x14ac:dyDescent="0.3">
      <c r="A33" s="36">
        <f t="shared" si="1"/>
        <v>21</v>
      </c>
      <c r="B33" s="36">
        <f t="shared" si="5"/>
        <v>18</v>
      </c>
      <c r="C33" s="636" t="s">
        <v>1263</v>
      </c>
      <c r="D33" s="637"/>
      <c r="E33" s="867" t="s">
        <v>580</v>
      </c>
      <c r="F33" s="1027"/>
      <c r="G33" s="1028">
        <v>2772</v>
      </c>
      <c r="H33" s="1029">
        <f>G33/$G$2</f>
        <v>1.0552362099813469E-2</v>
      </c>
      <c r="I33" s="1028">
        <v>2304.4</v>
      </c>
      <c r="J33" s="1028">
        <v>190.4</v>
      </c>
      <c r="K33" s="1032">
        <v>276.7</v>
      </c>
      <c r="L33" s="69">
        <f>K33/G33</f>
        <v>9.9819624819624822E-2</v>
      </c>
      <c r="M33" s="749"/>
      <c r="N33" s="953">
        <v>41153</v>
      </c>
      <c r="O33" s="143">
        <f ca="1">($G$1-N33)/30.33/12</f>
        <v>5.5775359929662605</v>
      </c>
      <c r="P33" s="1033"/>
      <c r="Q33" s="4">
        <v>42978</v>
      </c>
      <c r="R33" s="749"/>
      <c r="S33" s="1022" t="str">
        <f t="shared" ca="1" si="3"/>
        <v>31/8/2018</v>
      </c>
      <c r="T33" s="64">
        <f ca="1">(Y33-$G$1)/30.33</f>
        <v>17.309594460929773</v>
      </c>
      <c r="U33" s="749"/>
      <c r="V33" s="146" t="s">
        <v>591</v>
      </c>
      <c r="W33" s="67">
        <v>12</v>
      </c>
      <c r="X33" s="749"/>
      <c r="Y33" s="92">
        <f t="shared" ca="1" si="0"/>
        <v>43708</v>
      </c>
      <c r="Z33" s="749"/>
      <c r="AA33" s="870" t="s">
        <v>519</v>
      </c>
      <c r="AB33" s="749"/>
      <c r="AC33" s="1197" t="s">
        <v>1181</v>
      </c>
      <c r="AD33" s="1198"/>
      <c r="AE33" s="1199"/>
      <c r="AF33" s="749"/>
      <c r="AG33" s="52" t="s">
        <v>534</v>
      </c>
      <c r="AH33" s="52" t="s">
        <v>1207</v>
      </c>
      <c r="AI33" s="3" t="s">
        <v>1208</v>
      </c>
      <c r="AJ33" s="3" t="s">
        <v>1209</v>
      </c>
      <c r="AK33" s="52" t="s">
        <v>534</v>
      </c>
      <c r="AL33" s="52" t="s">
        <v>1210</v>
      </c>
      <c r="AM33" s="6" t="s">
        <v>1211</v>
      </c>
      <c r="AN33" s="6" t="s">
        <v>1212</v>
      </c>
      <c r="AO33" s="52"/>
      <c r="AP33" s="52"/>
      <c r="AQ33" s="6"/>
      <c r="AR33" s="1052"/>
    </row>
    <row r="34" spans="1:44" s="433" customFormat="1" ht="18" customHeight="1" thickBot="1" x14ac:dyDescent="0.3">
      <c r="A34" s="36">
        <f t="shared" si="1"/>
        <v>22</v>
      </c>
      <c r="B34" s="36">
        <f t="shared" si="5"/>
        <v>19</v>
      </c>
      <c r="C34" s="636" t="s">
        <v>1264</v>
      </c>
      <c r="D34" s="637"/>
      <c r="E34" s="867" t="s">
        <v>521</v>
      </c>
      <c r="F34" s="1027" t="s">
        <v>527</v>
      </c>
      <c r="G34" s="1028">
        <v>2760</v>
      </c>
      <c r="H34" s="1029">
        <f t="shared" si="7"/>
        <v>1.0506680878602155E-2</v>
      </c>
      <c r="I34" s="1028">
        <v>2109</v>
      </c>
      <c r="J34" s="1028">
        <v>0</v>
      </c>
      <c r="K34" s="1032">
        <v>730.5</v>
      </c>
      <c r="L34" s="69">
        <f t="shared" si="8"/>
        <v>0.26467391304347826</v>
      </c>
      <c r="M34" s="718"/>
      <c r="N34" s="953">
        <v>41275</v>
      </c>
      <c r="O34" s="143">
        <f t="shared" ca="1" si="6"/>
        <v>5.2423343224530177</v>
      </c>
      <c r="P34" s="1033"/>
      <c r="Q34" s="4">
        <v>43100</v>
      </c>
      <c r="R34" s="718"/>
      <c r="S34" s="1022" t="str">
        <f t="shared" ca="1" si="3"/>
        <v>31/12/2018</v>
      </c>
      <c r="T34" s="64">
        <f t="shared" ca="1" si="9"/>
        <v>9.2977250247279919</v>
      </c>
      <c r="U34" s="718"/>
      <c r="V34" s="146"/>
      <c r="W34" s="67"/>
      <c r="X34" s="718"/>
      <c r="Y34" s="92" t="str">
        <f t="shared" ca="1" si="0"/>
        <v>31/12/2018</v>
      </c>
      <c r="Z34" s="718"/>
      <c r="AA34" s="870" t="s">
        <v>519</v>
      </c>
      <c r="AB34" s="718"/>
      <c r="AC34" s="1197"/>
      <c r="AD34" s="1198"/>
      <c r="AE34" s="1199"/>
      <c r="AF34" s="718"/>
      <c r="AG34" s="52"/>
      <c r="AH34" s="52"/>
      <c r="AI34" s="3"/>
      <c r="AJ34" s="3"/>
      <c r="AK34" s="52"/>
      <c r="AL34" s="52"/>
      <c r="AM34" s="3"/>
      <c r="AN34" s="3"/>
      <c r="AO34" s="52"/>
      <c r="AP34" s="52"/>
      <c r="AQ34" s="3"/>
      <c r="AR34" s="5"/>
    </row>
    <row r="35" spans="1:44" s="433" customFormat="1" ht="18" customHeight="1" thickBot="1" x14ac:dyDescent="0.3">
      <c r="A35" s="36">
        <f t="shared" si="1"/>
        <v>23</v>
      </c>
      <c r="B35" s="36">
        <f t="shared" si="5"/>
        <v>20</v>
      </c>
      <c r="C35" s="696" t="s">
        <v>1265</v>
      </c>
      <c r="D35" s="697"/>
      <c r="E35" s="867" t="s">
        <v>548</v>
      </c>
      <c r="F35" s="1027"/>
      <c r="G35" s="1028">
        <v>2573</v>
      </c>
      <c r="H35" s="1029">
        <f>G35/$G$2</f>
        <v>9.7948151813925157E-3</v>
      </c>
      <c r="I35" s="1028">
        <v>3300.5</v>
      </c>
      <c r="J35" s="1028">
        <v>101.1</v>
      </c>
      <c r="K35" s="1032">
        <v>727</v>
      </c>
      <c r="L35" s="69">
        <f>K35/G35</f>
        <v>0.28254955305091334</v>
      </c>
      <c r="M35" s="718"/>
      <c r="N35" s="953">
        <v>42795</v>
      </c>
      <c r="O35" s="143">
        <f ca="1">($G$1-N35)/30.33/12</f>
        <v>1.0660512144191669</v>
      </c>
      <c r="P35" s="1033"/>
      <c r="Q35" s="979">
        <v>43159</v>
      </c>
      <c r="R35" s="718"/>
      <c r="S35" s="1022" t="str">
        <f t="shared" ca="1" si="3"/>
        <v>28/2/2018</v>
      </c>
      <c r="T35" s="64">
        <f ca="1">(Y35-$G$1)/30.33</f>
        <v>11.242993735575338</v>
      </c>
      <c r="U35" s="718"/>
      <c r="V35" s="146" t="s">
        <v>591</v>
      </c>
      <c r="W35" s="67">
        <v>12</v>
      </c>
      <c r="X35" s="718"/>
      <c r="Y35" s="92">
        <f t="shared" ca="1" si="0"/>
        <v>43524</v>
      </c>
      <c r="Z35" s="718"/>
      <c r="AA35" s="870" t="s">
        <v>519</v>
      </c>
      <c r="AB35" s="718"/>
      <c r="AC35" s="1197" t="s">
        <v>1213</v>
      </c>
      <c r="AD35" s="1198"/>
      <c r="AE35" s="1199"/>
      <c r="AF35" s="718"/>
      <c r="AG35" s="52" t="s">
        <v>534</v>
      </c>
      <c r="AH35" s="52"/>
      <c r="AI35" s="3" t="s">
        <v>1190</v>
      </c>
      <c r="AJ35" s="3" t="s">
        <v>1214</v>
      </c>
      <c r="AK35" s="52" t="s">
        <v>536</v>
      </c>
      <c r="AL35" s="33"/>
      <c r="AM35" s="3" t="s">
        <v>1215</v>
      </c>
      <c r="AN35" s="3" t="s">
        <v>1216</v>
      </c>
      <c r="AO35" s="33"/>
      <c r="AP35" s="33"/>
      <c r="AQ35" s="3"/>
      <c r="AR35" s="5"/>
    </row>
    <row r="36" spans="1:44" s="433" customFormat="1" ht="18" customHeight="1" thickBot="1" x14ac:dyDescent="0.3">
      <c r="A36" s="36">
        <f t="shared" si="1"/>
        <v>24</v>
      </c>
      <c r="B36" s="36">
        <f t="shared" si="5"/>
        <v>21</v>
      </c>
      <c r="C36" s="675" t="s">
        <v>1266</v>
      </c>
      <c r="D36" s="676"/>
      <c r="E36" s="867" t="s">
        <v>580</v>
      </c>
      <c r="F36" s="1027" t="s">
        <v>527</v>
      </c>
      <c r="G36" s="1028">
        <v>2189</v>
      </c>
      <c r="H36" s="1029">
        <f t="shared" si="7"/>
        <v>8.3330161026304774E-3</v>
      </c>
      <c r="I36" s="1028">
        <v>975.5</v>
      </c>
      <c r="J36" s="1028">
        <v>0</v>
      </c>
      <c r="K36" s="1032">
        <v>1213.0999999999999</v>
      </c>
      <c r="L36" s="69">
        <f t="shared" si="8"/>
        <v>0.55417999086340786</v>
      </c>
      <c r="M36" s="718"/>
      <c r="N36" s="953">
        <v>40057</v>
      </c>
      <c r="O36" s="143">
        <f t="shared" ca="1" si="6"/>
        <v>8.5888559182327722</v>
      </c>
      <c r="P36" s="1033"/>
      <c r="Q36" s="4">
        <v>42978</v>
      </c>
      <c r="R36" s="718"/>
      <c r="S36" s="1022" t="str">
        <f t="shared" ca="1" si="3"/>
        <v>31/8/2018</v>
      </c>
      <c r="T36" s="64">
        <f t="shared" ca="1" si="9"/>
        <v>5.275304978569074</v>
      </c>
      <c r="U36" s="718"/>
      <c r="V36" s="146" t="s">
        <v>591</v>
      </c>
      <c r="W36" s="67">
        <v>12</v>
      </c>
      <c r="X36" s="718"/>
      <c r="Y36" s="92" t="str">
        <f t="shared" ca="1" si="0"/>
        <v>31/8/2018</v>
      </c>
      <c r="Z36" s="718"/>
      <c r="AA36" s="870" t="s">
        <v>135</v>
      </c>
      <c r="AB36" s="718"/>
      <c r="AC36" s="1197" t="s">
        <v>1217</v>
      </c>
      <c r="AD36" s="1198"/>
      <c r="AE36" s="1199"/>
      <c r="AF36" s="718"/>
      <c r="AG36" s="52" t="s">
        <v>536</v>
      </c>
      <c r="AH36" s="52" t="s">
        <v>1218</v>
      </c>
      <c r="AI36" s="3" t="s">
        <v>1219</v>
      </c>
      <c r="AJ36" s="3" t="s">
        <v>1220</v>
      </c>
      <c r="AK36" s="52"/>
      <c r="AL36" s="52"/>
      <c r="AM36" s="3"/>
      <c r="AN36" s="3"/>
      <c r="AO36" s="52"/>
      <c r="AP36" s="52"/>
      <c r="AQ36" s="3"/>
      <c r="AR36" s="5"/>
    </row>
    <row r="37" spans="1:44" s="433" customFormat="1" ht="18" customHeight="1" thickBot="1" x14ac:dyDescent="0.3">
      <c r="A37" s="36">
        <f t="shared" si="1"/>
        <v>25</v>
      </c>
      <c r="B37" s="36">
        <f t="shared" si="5"/>
        <v>22</v>
      </c>
      <c r="C37" s="708" t="s">
        <v>1267</v>
      </c>
      <c r="D37" s="709"/>
      <c r="E37" s="867" t="s">
        <v>547</v>
      </c>
      <c r="F37" s="1027"/>
      <c r="G37" s="1028">
        <v>2046</v>
      </c>
      <c r="H37" s="1029">
        <f t="shared" si="7"/>
        <v>7.7886482165289888E-3</v>
      </c>
      <c r="I37" s="1028">
        <v>1242.8</v>
      </c>
      <c r="J37" s="1028">
        <v>134.5</v>
      </c>
      <c r="K37" s="1032">
        <v>668.4</v>
      </c>
      <c r="L37" s="69">
        <f t="shared" si="8"/>
        <v>0.32668621700879763</v>
      </c>
      <c r="M37" s="718"/>
      <c r="N37" s="953">
        <v>40875</v>
      </c>
      <c r="O37" s="143">
        <f t="shared" ca="1" si="6"/>
        <v>6.3413561929882407</v>
      </c>
      <c r="P37" s="1033"/>
      <c r="Q37" s="4">
        <v>43373</v>
      </c>
      <c r="R37" s="718"/>
      <c r="S37" s="1022">
        <f t="shared" ca="1" si="3"/>
        <v>43373</v>
      </c>
      <c r="T37" s="64">
        <f t="shared" ca="1" si="9"/>
        <v>42.40026376524893</v>
      </c>
      <c r="U37" s="718"/>
      <c r="V37" s="146" t="s">
        <v>591</v>
      </c>
      <c r="W37" s="67">
        <v>36</v>
      </c>
      <c r="X37" s="718"/>
      <c r="Y37" s="92">
        <f t="shared" ca="1" si="0"/>
        <v>44469</v>
      </c>
      <c r="Z37" s="718"/>
      <c r="AA37" s="870" t="s">
        <v>135</v>
      </c>
      <c r="AB37" s="718"/>
      <c r="AC37" s="1197" t="s">
        <v>1190</v>
      </c>
      <c r="AD37" s="1198"/>
      <c r="AE37" s="1199"/>
      <c r="AF37" s="718"/>
      <c r="AG37" s="52" t="s">
        <v>536</v>
      </c>
      <c r="AH37" s="52" t="s">
        <v>1221</v>
      </c>
      <c r="AI37" s="3" t="s">
        <v>1222</v>
      </c>
      <c r="AJ37" s="3" t="s">
        <v>1083</v>
      </c>
      <c r="AK37" s="52" t="s">
        <v>534</v>
      </c>
      <c r="AL37" s="52" t="s">
        <v>1223</v>
      </c>
      <c r="AM37" s="3" t="s">
        <v>1224</v>
      </c>
      <c r="AN37" s="3" t="s">
        <v>1225</v>
      </c>
      <c r="AO37" s="52"/>
      <c r="AP37" s="52"/>
      <c r="AQ37" s="3"/>
      <c r="AR37" s="5"/>
    </row>
    <row r="38" spans="1:44" s="433" customFormat="1" ht="18" customHeight="1" thickBot="1" x14ac:dyDescent="0.3">
      <c r="A38" s="36">
        <f t="shared" si="1"/>
        <v>26</v>
      </c>
      <c r="B38" s="36">
        <f t="shared" si="5"/>
        <v>23</v>
      </c>
      <c r="C38" s="636" t="s">
        <v>1268</v>
      </c>
      <c r="D38" s="637"/>
      <c r="E38" s="867" t="s">
        <v>580</v>
      </c>
      <c r="F38" s="1027"/>
      <c r="G38" s="1028">
        <v>2000</v>
      </c>
      <c r="H38" s="1029">
        <f t="shared" si="7"/>
        <v>7.6135368685522863E-3</v>
      </c>
      <c r="I38" s="1028">
        <v>1698.1</v>
      </c>
      <c r="J38" s="1028">
        <v>128.1</v>
      </c>
      <c r="K38" s="1032">
        <v>173.6</v>
      </c>
      <c r="L38" s="69">
        <f t="shared" si="8"/>
        <v>8.6800000000000002E-2</v>
      </c>
      <c r="M38" s="718"/>
      <c r="N38" s="953">
        <v>42668</v>
      </c>
      <c r="O38" s="143">
        <f t="shared" ca="1" si="6"/>
        <v>1.4149906583141005</v>
      </c>
      <c r="P38" s="1033"/>
      <c r="Q38" s="4">
        <v>43762</v>
      </c>
      <c r="R38" s="718"/>
      <c r="S38" s="1022">
        <f t="shared" ca="1" si="3"/>
        <v>43762</v>
      </c>
      <c r="T38" s="64"/>
      <c r="U38" s="718"/>
      <c r="V38" s="146" t="s">
        <v>591</v>
      </c>
      <c r="W38" s="67">
        <v>36</v>
      </c>
      <c r="X38" s="718"/>
      <c r="Y38" s="92">
        <f t="shared" ca="1" si="0"/>
        <v>44858</v>
      </c>
      <c r="Z38" s="718"/>
      <c r="AA38" s="870"/>
      <c r="AB38" s="718"/>
      <c r="AC38" s="1197"/>
      <c r="AD38" s="1198"/>
      <c r="AE38" s="1199"/>
      <c r="AF38" s="718"/>
      <c r="AG38" s="52"/>
      <c r="AH38" s="52"/>
      <c r="AI38" s="3"/>
      <c r="AJ38" s="3"/>
      <c r="AK38" s="52"/>
      <c r="AL38" s="52"/>
      <c r="AM38" s="3"/>
      <c r="AN38" s="3"/>
      <c r="AO38" s="52"/>
      <c r="AP38" s="52"/>
      <c r="AQ38" s="3"/>
      <c r="AR38" s="5"/>
    </row>
    <row r="39" spans="1:44" s="433" customFormat="1" ht="17.45" customHeight="1" thickBot="1" x14ac:dyDescent="0.3">
      <c r="A39" s="36">
        <f t="shared" si="1"/>
        <v>27</v>
      </c>
      <c r="B39" s="36">
        <f t="shared" si="5"/>
        <v>24</v>
      </c>
      <c r="C39" s="636" t="s">
        <v>1269</v>
      </c>
      <c r="D39" s="637"/>
      <c r="E39" s="867" t="s">
        <v>580</v>
      </c>
      <c r="F39" s="1027" t="s">
        <v>527</v>
      </c>
      <c r="G39" s="1028">
        <v>1966</v>
      </c>
      <c r="H39" s="1029">
        <f t="shared" si="7"/>
        <v>7.4841067417868975E-3</v>
      </c>
      <c r="I39" s="1028">
        <v>1814.7</v>
      </c>
      <c r="J39" s="1028">
        <v>0</v>
      </c>
      <c r="K39" s="1032">
        <v>150.9</v>
      </c>
      <c r="L39" s="69">
        <f t="shared" si="8"/>
        <v>7.6754832146490343E-2</v>
      </c>
      <c r="M39" s="718"/>
      <c r="N39" s="953">
        <v>40826</v>
      </c>
      <c r="O39" s="143">
        <f t="shared" ca="1" si="6"/>
        <v>6.4759863721288058</v>
      </c>
      <c r="P39" s="1033"/>
      <c r="Q39" s="4">
        <v>43017</v>
      </c>
      <c r="R39" s="718"/>
      <c r="S39" s="1022" t="str">
        <f t="shared" ca="1" si="3"/>
        <v>9/10/2018</v>
      </c>
      <c r="T39" s="64">
        <f t="shared" ref="T39:T41" ca="1" si="10">(Y39-$G$1)/30.33</f>
        <v>6.5611605670952855</v>
      </c>
      <c r="U39" s="718"/>
      <c r="V39" s="146" t="s">
        <v>591</v>
      </c>
      <c r="W39" s="67">
        <v>12</v>
      </c>
      <c r="X39" s="718"/>
      <c r="Y39" s="92" t="str">
        <f t="shared" ca="1" si="0"/>
        <v>9/10/2018</v>
      </c>
      <c r="Z39" s="718"/>
      <c r="AA39" s="870" t="s">
        <v>519</v>
      </c>
      <c r="AB39" s="718"/>
      <c r="AC39" s="1197" t="s">
        <v>1197</v>
      </c>
      <c r="AD39" s="1198"/>
      <c r="AE39" s="1199"/>
      <c r="AF39" s="718"/>
      <c r="AG39" s="52" t="s">
        <v>536</v>
      </c>
      <c r="AH39" s="52"/>
      <c r="AI39" s="3" t="s">
        <v>1226</v>
      </c>
      <c r="AJ39" s="1038" t="s">
        <v>1227</v>
      </c>
      <c r="AK39" s="52"/>
      <c r="AL39" s="1039"/>
      <c r="AM39" s="1039"/>
      <c r="AN39" s="1039"/>
      <c r="AO39" s="1039"/>
      <c r="AP39" s="1039"/>
      <c r="AQ39" s="1039"/>
      <c r="AR39" s="1040"/>
    </row>
    <row r="40" spans="1:44" s="433" customFormat="1" ht="18" customHeight="1" thickBot="1" x14ac:dyDescent="0.3">
      <c r="A40" s="36">
        <f t="shared" si="1"/>
        <v>28</v>
      </c>
      <c r="B40" s="36">
        <f t="shared" si="5"/>
        <v>25</v>
      </c>
      <c r="C40" s="636" t="s">
        <v>1270</v>
      </c>
      <c r="D40" s="637"/>
      <c r="E40" s="867" t="s">
        <v>547</v>
      </c>
      <c r="F40" s="1027"/>
      <c r="G40" s="1028">
        <v>1921</v>
      </c>
      <c r="H40" s="1029">
        <f>G40/$G$2</f>
        <v>7.3128021622444707E-3</v>
      </c>
      <c r="I40" s="1028">
        <v>3137.6</v>
      </c>
      <c r="J40" s="1028">
        <v>212.9</v>
      </c>
      <c r="K40" s="1032">
        <v>1545.1</v>
      </c>
      <c r="L40" s="69">
        <f>K40/G40</f>
        <v>0.80432066631962518</v>
      </c>
      <c r="M40" s="749"/>
      <c r="N40" s="953">
        <v>40725</v>
      </c>
      <c r="O40" s="143">
        <f ca="1">($G$1-N40)/30.33/12</f>
        <v>6.75348939443895</v>
      </c>
      <c r="P40" s="1041"/>
      <c r="Q40" s="979">
        <v>41274</v>
      </c>
      <c r="R40" s="749"/>
      <c r="S40" s="1022" t="str">
        <f t="shared" ca="1" si="3"/>
        <v>31/12/2018</v>
      </c>
      <c r="T40" s="64">
        <f ca="1">(Y40-$G$1)/30.33</f>
        <v>9.2977250247279919</v>
      </c>
      <c r="U40" s="749"/>
      <c r="V40" s="146" t="s">
        <v>591</v>
      </c>
      <c r="W40" s="67"/>
      <c r="X40" s="749"/>
      <c r="Y40" s="92">
        <f t="shared" ca="1" si="0"/>
        <v>43465</v>
      </c>
      <c r="Z40" s="749"/>
      <c r="AA40" s="870" t="s">
        <v>135</v>
      </c>
      <c r="AB40" s="749"/>
      <c r="AC40" s="1197" t="s">
        <v>1190</v>
      </c>
      <c r="AD40" s="1198"/>
      <c r="AE40" s="1199"/>
      <c r="AF40" s="749"/>
      <c r="AG40" s="52"/>
      <c r="AH40" s="52"/>
      <c r="AI40" s="3"/>
      <c r="AJ40" s="3" t="s">
        <v>214</v>
      </c>
      <c r="AK40" s="52"/>
      <c r="AL40" s="52"/>
      <c r="AM40" s="3"/>
      <c r="AN40" s="3"/>
      <c r="AO40" s="52"/>
      <c r="AP40" s="52"/>
      <c r="AQ40" s="3"/>
      <c r="AR40" s="5"/>
    </row>
    <row r="41" spans="1:44" s="433" customFormat="1" ht="17.45" customHeight="1" thickBot="1" x14ac:dyDescent="0.3">
      <c r="A41" s="36">
        <f t="shared" si="1"/>
        <v>29</v>
      </c>
      <c r="B41" s="36">
        <f t="shared" si="5"/>
        <v>26</v>
      </c>
      <c r="C41" s="636" t="s">
        <v>1271</v>
      </c>
      <c r="D41" s="637"/>
      <c r="E41" s="867" t="s">
        <v>580</v>
      </c>
      <c r="F41" s="1027"/>
      <c r="G41" s="1028">
        <v>1883</v>
      </c>
      <c r="H41" s="1029">
        <f t="shared" si="7"/>
        <v>7.1681449617419773E-3</v>
      </c>
      <c r="I41" s="1028">
        <v>1436.2</v>
      </c>
      <c r="J41" s="1028">
        <v>31.9</v>
      </c>
      <c r="K41" s="1032">
        <v>415.2</v>
      </c>
      <c r="L41" s="69">
        <f t="shared" si="8"/>
        <v>0.22049920339883164</v>
      </c>
      <c r="M41" s="718"/>
      <c r="N41" s="953">
        <v>42371</v>
      </c>
      <c r="O41" s="143">
        <f t="shared" ca="1" si="6"/>
        <v>2.2310143971865042</v>
      </c>
      <c r="P41" s="1033"/>
      <c r="Q41" s="4">
        <v>43466</v>
      </c>
      <c r="R41" s="718"/>
      <c r="S41" s="1022">
        <f t="shared" ca="1" si="3"/>
        <v>43466</v>
      </c>
      <c r="T41" s="64">
        <f t="shared" ca="1" si="10"/>
        <v>45.466534784042203</v>
      </c>
      <c r="U41" s="718"/>
      <c r="V41" s="146" t="s">
        <v>591</v>
      </c>
      <c r="W41" s="67">
        <v>36</v>
      </c>
      <c r="X41" s="718"/>
      <c r="Y41" s="92">
        <f t="shared" ca="1" si="0"/>
        <v>44562</v>
      </c>
      <c r="Z41" s="718"/>
      <c r="AA41" s="870" t="s">
        <v>519</v>
      </c>
      <c r="AB41" s="718"/>
      <c r="AC41" s="1197"/>
      <c r="AD41" s="1198"/>
      <c r="AE41" s="1199"/>
      <c r="AF41" s="718"/>
      <c r="AG41" s="52" t="s">
        <v>536</v>
      </c>
      <c r="AH41" s="52"/>
      <c r="AI41" s="3" t="s">
        <v>1228</v>
      </c>
      <c r="AJ41" s="1038" t="s">
        <v>1083</v>
      </c>
      <c r="AK41" s="52"/>
      <c r="AL41" s="1039"/>
      <c r="AM41" s="1039"/>
      <c r="AN41" s="1039"/>
      <c r="AO41" s="1039"/>
      <c r="AP41" s="1039"/>
      <c r="AQ41" s="1039"/>
      <c r="AR41" s="1040"/>
    </row>
    <row r="42" spans="1:44" s="433" customFormat="1" ht="18" customHeight="1" thickBot="1" x14ac:dyDescent="0.3">
      <c r="A42" s="36">
        <f t="shared" si="1"/>
        <v>30</v>
      </c>
      <c r="B42" s="36">
        <f t="shared" si="5"/>
        <v>27</v>
      </c>
      <c r="C42" s="636" t="s">
        <v>1272</v>
      </c>
      <c r="D42" s="637"/>
      <c r="E42" s="867" t="s">
        <v>580</v>
      </c>
      <c r="F42" s="1027" t="s">
        <v>527</v>
      </c>
      <c r="G42" s="1030">
        <v>1835</v>
      </c>
      <c r="H42" s="1053">
        <f t="shared" si="7"/>
        <v>6.9854200768967225E-3</v>
      </c>
      <c r="I42" s="1030">
        <v>1329</v>
      </c>
      <c r="J42" s="1030">
        <v>2123</v>
      </c>
      <c r="K42" s="1031">
        <v>293.8</v>
      </c>
      <c r="L42" s="69">
        <f t="shared" si="8"/>
        <v>0.16010899182561308</v>
      </c>
      <c r="M42" s="59"/>
      <c r="N42" s="953">
        <v>40911</v>
      </c>
      <c r="O42" s="143">
        <f t="shared" ca="1" si="6"/>
        <v>6.2424442246400709</v>
      </c>
      <c r="P42" s="59"/>
      <c r="Q42" s="4">
        <v>42372</v>
      </c>
      <c r="R42" s="59"/>
      <c r="S42" s="1022" t="str">
        <f t="shared" ca="1" si="3"/>
        <v>3/1/2018</v>
      </c>
      <c r="T42" s="64">
        <f ca="1">(Y42-$G$1)/30.33</f>
        <v>-2.637652489284537</v>
      </c>
      <c r="U42" s="59"/>
      <c r="V42" s="146" t="s">
        <v>591</v>
      </c>
      <c r="W42" s="67">
        <v>12</v>
      </c>
      <c r="X42" s="59"/>
      <c r="Y42" s="92" t="str">
        <f t="shared" ca="1" si="0"/>
        <v>3/1/2018</v>
      </c>
      <c r="Z42" s="59"/>
      <c r="AA42" s="870" t="s">
        <v>519</v>
      </c>
      <c r="AB42" s="59"/>
      <c r="AC42" s="1197"/>
      <c r="AD42" s="1198"/>
      <c r="AE42" s="1199"/>
      <c r="AF42" s="471"/>
      <c r="AG42" s="982" t="s">
        <v>536</v>
      </c>
      <c r="AH42" s="102" t="s">
        <v>1229</v>
      </c>
      <c r="AI42" s="102" t="s">
        <v>1230</v>
      </c>
      <c r="AJ42" s="102" t="s">
        <v>1083</v>
      </c>
      <c r="AK42" s="982" t="s">
        <v>534</v>
      </c>
      <c r="AL42" s="102" t="s">
        <v>1231</v>
      </c>
      <c r="AM42" s="102" t="s">
        <v>1232</v>
      </c>
      <c r="AN42" s="102" t="s">
        <v>1233</v>
      </c>
      <c r="AO42" s="982"/>
      <c r="AP42" s="102"/>
      <c r="AQ42" s="102"/>
      <c r="AR42" s="102"/>
    </row>
    <row r="43" spans="1:44" s="433" customFormat="1" ht="18" customHeight="1" thickBot="1" x14ac:dyDescent="0.3">
      <c r="A43" s="36">
        <f t="shared" si="1"/>
        <v>31</v>
      </c>
      <c r="B43" s="36">
        <f t="shared" si="5"/>
        <v>28</v>
      </c>
      <c r="C43" s="675" t="s">
        <v>231</v>
      </c>
      <c r="D43" s="676"/>
      <c r="E43" s="867" t="s">
        <v>580</v>
      </c>
      <c r="F43" s="1027"/>
      <c r="G43" s="1028">
        <v>1604</v>
      </c>
      <c r="H43" s="1029">
        <f t="shared" si="7"/>
        <v>6.1060565685789334E-3</v>
      </c>
      <c r="I43" s="1028">
        <v>651.6</v>
      </c>
      <c r="J43" s="1030">
        <v>0</v>
      </c>
      <c r="K43" s="1031">
        <v>952.1</v>
      </c>
      <c r="L43" s="69">
        <f t="shared" si="8"/>
        <v>0.59357855361596013</v>
      </c>
      <c r="M43" s="59"/>
      <c r="N43" s="953">
        <v>42917</v>
      </c>
      <c r="O43" s="143">
        <f t="shared" ca="1" si="6"/>
        <v>0.73084954390592383</v>
      </c>
      <c r="P43" s="59"/>
      <c r="Q43" s="4">
        <v>44012</v>
      </c>
      <c r="R43" s="59"/>
      <c r="S43" s="1022">
        <f t="shared" ca="1" si="3"/>
        <v>44012</v>
      </c>
      <c r="T43" s="64">
        <f t="shared" ref="T43:T57" ca="1" si="11">(Y43-$G$1)/30.33</f>
        <v>39.366963402571713</v>
      </c>
      <c r="U43" s="59"/>
      <c r="V43" s="146" t="s">
        <v>591</v>
      </c>
      <c r="W43" s="67">
        <v>12</v>
      </c>
      <c r="X43" s="59"/>
      <c r="Y43" s="92">
        <f t="shared" ca="1" si="0"/>
        <v>44377</v>
      </c>
      <c r="Z43" s="59"/>
      <c r="AA43" s="870"/>
      <c r="AB43" s="59"/>
      <c r="AC43" s="1197"/>
      <c r="AD43" s="1198"/>
      <c r="AE43" s="1199"/>
      <c r="AF43" s="471"/>
      <c r="AG43" s="982"/>
      <c r="AH43" s="102"/>
      <c r="AI43" s="102"/>
      <c r="AJ43" s="102"/>
      <c r="AK43" s="982"/>
      <c r="AL43" s="102"/>
      <c r="AM43" s="102"/>
      <c r="AN43" s="102"/>
      <c r="AO43" s="982"/>
      <c r="AP43" s="102"/>
      <c r="AQ43" s="102"/>
      <c r="AR43" s="102"/>
    </row>
    <row r="44" spans="1:44" s="433" customFormat="1" ht="17.45" customHeight="1" thickBot="1" x14ac:dyDescent="0.3">
      <c r="A44" s="36">
        <f t="shared" si="1"/>
        <v>32</v>
      </c>
      <c r="B44" s="36">
        <f t="shared" si="5"/>
        <v>29</v>
      </c>
      <c r="C44" s="636" t="s">
        <v>1273</v>
      </c>
      <c r="D44" s="637"/>
      <c r="E44" s="867"/>
      <c r="F44" s="1027"/>
      <c r="G44" s="1028">
        <v>1564</v>
      </c>
      <c r="H44" s="1029">
        <f t="shared" si="7"/>
        <v>5.9537858312078877E-3</v>
      </c>
      <c r="I44" s="1028"/>
      <c r="J44" s="1036"/>
      <c r="K44" s="1037"/>
      <c r="L44" s="69"/>
      <c r="M44" s="718"/>
      <c r="N44" s="953">
        <v>43160</v>
      </c>
      <c r="O44" s="143">
        <f t="shared" ca="1" si="6"/>
        <v>6.3193757555775359E-2</v>
      </c>
      <c r="P44" s="1033"/>
      <c r="Q44" s="4">
        <v>44255</v>
      </c>
      <c r="R44" s="718"/>
      <c r="S44" s="1022">
        <f t="shared" ca="1" si="3"/>
        <v>44255</v>
      </c>
      <c r="T44" s="64">
        <f t="shared" ca="1" si="11"/>
        <v>35.344543356412792</v>
      </c>
      <c r="U44" s="718"/>
      <c r="V44" s="146"/>
      <c r="W44" s="67"/>
      <c r="X44" s="718"/>
      <c r="Y44" s="92">
        <f t="shared" si="0"/>
        <v>44255</v>
      </c>
      <c r="Z44" s="718"/>
      <c r="AA44" s="870"/>
      <c r="AB44" s="718"/>
      <c r="AC44" s="1197"/>
      <c r="AD44" s="1198"/>
      <c r="AE44" s="1199"/>
      <c r="AF44" s="718"/>
      <c r="AG44" s="52"/>
      <c r="AH44" s="52"/>
      <c r="AI44" s="3"/>
      <c r="AJ44" s="1038"/>
      <c r="AK44" s="52"/>
      <c r="AL44" s="1039"/>
      <c r="AM44" s="1039"/>
      <c r="AN44" s="1039"/>
      <c r="AO44" s="1039"/>
      <c r="AP44" s="1039"/>
      <c r="AQ44" s="1039"/>
      <c r="AR44" s="1040"/>
    </row>
    <row r="45" spans="1:44" s="433" customFormat="1" ht="17.45" customHeight="1" thickBot="1" x14ac:dyDescent="0.3">
      <c r="A45" s="36">
        <f t="shared" si="1"/>
        <v>33</v>
      </c>
      <c r="B45" s="36">
        <f t="shared" si="5"/>
        <v>30</v>
      </c>
      <c r="C45" s="675" t="s">
        <v>1274</v>
      </c>
      <c r="D45" s="676"/>
      <c r="E45" s="867" t="s">
        <v>580</v>
      </c>
      <c r="F45" s="1027"/>
      <c r="G45" s="1028">
        <v>1403</v>
      </c>
      <c r="H45" s="1029">
        <f t="shared" si="7"/>
        <v>5.3408961132894285E-3</v>
      </c>
      <c r="I45" s="1028">
        <v>979.8</v>
      </c>
      <c r="J45" s="1036">
        <v>8</v>
      </c>
      <c r="K45" s="1037">
        <v>599.20000000000005</v>
      </c>
      <c r="L45" s="69">
        <f t="shared" si="8"/>
        <v>0.42708481824661443</v>
      </c>
      <c r="M45" s="718"/>
      <c r="N45" s="953">
        <v>36892</v>
      </c>
      <c r="O45" s="143">
        <f t="shared" ca="1" si="6"/>
        <v>17.284866468842733</v>
      </c>
      <c r="P45" s="1033"/>
      <c r="Q45" s="4">
        <v>38352</v>
      </c>
      <c r="R45" s="718"/>
      <c r="S45" s="1022" t="str">
        <f t="shared" ca="1" si="3"/>
        <v>31/12/2018</v>
      </c>
      <c r="T45" s="64">
        <f t="shared" ca="1" si="11"/>
        <v>9.2977250247279919</v>
      </c>
      <c r="U45" s="718"/>
      <c r="V45" s="146" t="s">
        <v>591</v>
      </c>
      <c r="W45" s="67"/>
      <c r="X45" s="718"/>
      <c r="Y45" s="92">
        <f ca="1">IF(ISBLANK(F45),IF(OR(V45="",V45="N"),Q45,EDATE(S45,W45)),S45)</f>
        <v>43465</v>
      </c>
      <c r="Z45" s="718"/>
      <c r="AA45" s="870"/>
      <c r="AB45" s="718"/>
      <c r="AC45" s="1197"/>
      <c r="AD45" s="1198"/>
      <c r="AE45" s="1199"/>
      <c r="AF45" s="718"/>
      <c r="AG45" s="52"/>
      <c r="AH45" s="52"/>
      <c r="AI45" s="3"/>
      <c r="AJ45" s="1038"/>
      <c r="AK45" s="52"/>
      <c r="AL45" s="1039"/>
      <c r="AM45" s="1039"/>
      <c r="AN45" s="1039"/>
      <c r="AO45" s="1039"/>
      <c r="AP45" s="1039"/>
      <c r="AQ45" s="1039"/>
      <c r="AR45" s="1040"/>
    </row>
    <row r="46" spans="1:44" s="433" customFormat="1" ht="18" customHeight="1" thickBot="1" x14ac:dyDescent="0.3">
      <c r="A46" s="36">
        <f t="shared" si="1"/>
        <v>34</v>
      </c>
      <c r="B46" s="36">
        <f t="shared" si="5"/>
        <v>31</v>
      </c>
      <c r="C46" s="636" t="s">
        <v>1275</v>
      </c>
      <c r="D46" s="637"/>
      <c r="E46" s="867" t="s">
        <v>580</v>
      </c>
      <c r="F46" s="1027"/>
      <c r="G46" s="1028">
        <v>1494</v>
      </c>
      <c r="H46" s="1029">
        <f t="shared" si="7"/>
        <v>5.6873120408085578E-3</v>
      </c>
      <c r="I46" s="1028">
        <v>804.3</v>
      </c>
      <c r="J46" s="1030">
        <v>229.3</v>
      </c>
      <c r="K46" s="1031">
        <v>460.7</v>
      </c>
      <c r="L46" s="69">
        <f t="shared" si="8"/>
        <v>0.30836680053547522</v>
      </c>
      <c r="M46" s="59"/>
      <c r="N46" s="953">
        <v>40861</v>
      </c>
      <c r="O46" s="143">
        <f t="shared" ca="1" si="6"/>
        <v>6.3798219584569731</v>
      </c>
      <c r="P46" s="59"/>
      <c r="Q46" s="4">
        <v>41274</v>
      </c>
      <c r="R46" s="59"/>
      <c r="S46" s="1022" t="str">
        <f t="shared" ca="1" si="3"/>
        <v>31/12/2018</v>
      </c>
      <c r="T46" s="64">
        <f t="shared" ca="1" si="11"/>
        <v>9.2977250247279919</v>
      </c>
      <c r="U46" s="59"/>
      <c r="V46" s="146" t="s">
        <v>591</v>
      </c>
      <c r="W46" s="67"/>
      <c r="X46" s="59"/>
      <c r="Y46" s="92">
        <f t="shared" ca="1" si="0"/>
        <v>43465</v>
      </c>
      <c r="Z46" s="59"/>
      <c r="AA46" s="870"/>
      <c r="AB46" s="59"/>
      <c r="AC46" s="1197"/>
      <c r="AD46" s="1198"/>
      <c r="AE46" s="1199"/>
      <c r="AF46" s="471"/>
      <c r="AG46" s="982"/>
      <c r="AH46" s="102"/>
      <c r="AI46" s="102"/>
      <c r="AJ46" s="102"/>
      <c r="AK46" s="982"/>
      <c r="AL46" s="102"/>
      <c r="AM46" s="102"/>
      <c r="AN46" s="102"/>
      <c r="AO46" s="982"/>
      <c r="AP46" s="102"/>
      <c r="AQ46" s="102"/>
      <c r="AR46" s="102"/>
    </row>
    <row r="47" spans="1:44" s="433" customFormat="1" ht="17.45" customHeight="1" thickBot="1" x14ac:dyDescent="0.3">
      <c r="A47" s="36">
        <f t="shared" si="1"/>
        <v>35</v>
      </c>
      <c r="B47" s="36">
        <f t="shared" si="5"/>
        <v>32</v>
      </c>
      <c r="C47" s="675" t="s">
        <v>1276</v>
      </c>
      <c r="D47" s="676"/>
      <c r="E47" s="867" t="s">
        <v>580</v>
      </c>
      <c r="F47" s="1027"/>
      <c r="G47" s="1028">
        <v>1457</v>
      </c>
      <c r="H47" s="1029">
        <f t="shared" si="7"/>
        <v>5.5464616087403402E-3</v>
      </c>
      <c r="I47" s="1028">
        <v>737.1</v>
      </c>
      <c r="J47" s="1036">
        <v>0</v>
      </c>
      <c r="K47" s="1037">
        <v>719.6</v>
      </c>
      <c r="L47" s="69">
        <f t="shared" si="8"/>
        <v>0.49389155799588197</v>
      </c>
      <c r="M47" s="718"/>
      <c r="N47" s="953">
        <v>37018</v>
      </c>
      <c r="O47" s="143">
        <f t="shared" ca="1" si="6"/>
        <v>16.938674579624138</v>
      </c>
      <c r="P47" s="1033"/>
      <c r="Q47" s="4">
        <v>37382</v>
      </c>
      <c r="R47" s="718"/>
      <c r="S47" s="1022" t="str">
        <f t="shared" ca="1" si="3"/>
        <v>6/5/2018</v>
      </c>
      <c r="T47" s="64">
        <f t="shared" ca="1" si="11"/>
        <v>13.452027695351138</v>
      </c>
      <c r="U47" s="718"/>
      <c r="V47" s="146" t="s">
        <v>591</v>
      </c>
      <c r="W47" s="67">
        <v>12</v>
      </c>
      <c r="X47" s="718"/>
      <c r="Y47" s="92">
        <f t="shared" ca="1" si="0"/>
        <v>43591</v>
      </c>
      <c r="Z47" s="718"/>
      <c r="AA47" s="870"/>
      <c r="AB47" s="718"/>
      <c r="AC47" s="1197"/>
      <c r="AD47" s="1198"/>
      <c r="AE47" s="1199"/>
      <c r="AF47" s="718"/>
      <c r="AG47" s="52"/>
      <c r="AH47" s="52"/>
      <c r="AI47" s="3"/>
      <c r="AJ47" s="1038"/>
      <c r="AK47" s="52"/>
      <c r="AL47" s="1039"/>
      <c r="AM47" s="1039"/>
      <c r="AN47" s="1039"/>
      <c r="AO47" s="1039"/>
      <c r="AP47" s="1039"/>
      <c r="AQ47" s="1039"/>
      <c r="AR47" s="1040"/>
    </row>
    <row r="48" spans="1:44" s="433" customFormat="1" ht="18" customHeight="1" thickBot="1" x14ac:dyDescent="0.3">
      <c r="A48" s="36">
        <f t="shared" si="1"/>
        <v>36</v>
      </c>
      <c r="B48" s="36">
        <f t="shared" si="5"/>
        <v>33</v>
      </c>
      <c r="C48" s="636" t="s">
        <v>1277</v>
      </c>
      <c r="D48" s="637"/>
      <c r="E48" s="867" t="s">
        <v>580</v>
      </c>
      <c r="F48" s="1027" t="s">
        <v>527</v>
      </c>
      <c r="G48" s="1028">
        <v>1787.89</v>
      </c>
      <c r="H48" s="1029">
        <f t="shared" si="7"/>
        <v>6.8060832159579738E-3</v>
      </c>
      <c r="I48" s="1028">
        <v>921</v>
      </c>
      <c r="J48" s="1030">
        <v>0</v>
      </c>
      <c r="K48" s="1031">
        <v>517.6</v>
      </c>
      <c r="L48" s="69">
        <f>K48/G48</f>
        <v>0.28950326921678626</v>
      </c>
      <c r="M48" s="59"/>
      <c r="N48" s="953">
        <v>41944</v>
      </c>
      <c r="O48" s="143">
        <f t="shared" ca="1" si="6"/>
        <v>3.4042202439828557</v>
      </c>
      <c r="P48" s="59"/>
      <c r="Q48" s="4">
        <v>43039</v>
      </c>
      <c r="R48" s="59"/>
      <c r="S48" s="1022" t="str">
        <f t="shared" ca="1" si="3"/>
        <v>31/10/2018</v>
      </c>
      <c r="T48" s="64">
        <f t="shared" ca="1" si="11"/>
        <v>7.2865150016485334</v>
      </c>
      <c r="U48" s="59"/>
      <c r="V48" s="146"/>
      <c r="W48" s="67"/>
      <c r="X48" s="59"/>
      <c r="Y48" s="92" t="str">
        <f t="shared" ca="1" si="0"/>
        <v>31/10/2018</v>
      </c>
      <c r="Z48" s="59"/>
      <c r="AA48" s="870" t="s">
        <v>551</v>
      </c>
      <c r="AB48" s="59"/>
      <c r="AC48" s="1197"/>
      <c r="AD48" s="1198"/>
      <c r="AE48" s="1199"/>
      <c r="AF48" s="471"/>
      <c r="AG48" s="982" t="s">
        <v>536</v>
      </c>
      <c r="AH48" s="102"/>
      <c r="AI48" s="102" t="s">
        <v>1234</v>
      </c>
      <c r="AJ48" s="102" t="s">
        <v>1083</v>
      </c>
      <c r="AK48" s="982" t="s">
        <v>534</v>
      </c>
      <c r="AL48" s="102" t="s">
        <v>1235</v>
      </c>
      <c r="AM48" s="102" t="s">
        <v>1236</v>
      </c>
      <c r="AN48" s="102" t="s">
        <v>1237</v>
      </c>
      <c r="AO48" s="982"/>
      <c r="AP48" s="102"/>
      <c r="AQ48" s="102"/>
      <c r="AR48" s="102"/>
    </row>
    <row r="49" spans="1:44" s="433" customFormat="1" ht="18" customHeight="1" thickBot="1" x14ac:dyDescent="0.3">
      <c r="A49" s="36">
        <f t="shared" si="1"/>
        <v>37</v>
      </c>
      <c r="B49" s="36">
        <f t="shared" si="5"/>
        <v>34</v>
      </c>
      <c r="C49" s="636" t="s">
        <v>1278</v>
      </c>
      <c r="D49" s="637"/>
      <c r="E49" s="867" t="s">
        <v>580</v>
      </c>
      <c r="F49" s="1027"/>
      <c r="G49" s="1028">
        <v>1452</v>
      </c>
      <c r="H49" s="1029">
        <f t="shared" si="7"/>
        <v>5.5274277665689599E-3</v>
      </c>
      <c r="I49" s="1028"/>
      <c r="J49" s="1030"/>
      <c r="K49" s="1031"/>
      <c r="L49" s="69"/>
      <c r="M49" s="59"/>
      <c r="N49" s="953">
        <v>43122</v>
      </c>
      <c r="O49" s="143">
        <f t="shared" ca="1" si="6"/>
        <v>0.16760083525662162</v>
      </c>
      <c r="P49" s="59"/>
      <c r="Q49" s="4">
        <v>43486</v>
      </c>
      <c r="R49" s="59"/>
      <c r="S49" s="1022">
        <f t="shared" ca="1" si="3"/>
        <v>43486</v>
      </c>
      <c r="T49" s="64">
        <f t="shared" ca="1" si="11"/>
        <v>22.024398285525884</v>
      </c>
      <c r="U49" s="59"/>
      <c r="V49" s="146" t="s">
        <v>591</v>
      </c>
      <c r="W49" s="67">
        <v>12</v>
      </c>
      <c r="X49" s="59"/>
      <c r="Y49" s="92">
        <f t="shared" ca="1" si="0"/>
        <v>43851</v>
      </c>
      <c r="Z49" s="59"/>
      <c r="AA49" s="870"/>
      <c r="AB49" s="59"/>
      <c r="AC49" s="1197"/>
      <c r="AD49" s="1198"/>
      <c r="AE49" s="1199"/>
      <c r="AF49" s="471"/>
      <c r="AG49" s="982"/>
      <c r="AH49" s="102"/>
      <c r="AI49" s="102"/>
      <c r="AJ49" s="102"/>
      <c r="AK49" s="982"/>
      <c r="AL49" s="102"/>
      <c r="AM49" s="102"/>
      <c r="AN49" s="102"/>
      <c r="AO49" s="982"/>
      <c r="AP49" s="102"/>
      <c r="AQ49" s="102"/>
      <c r="AR49" s="102"/>
    </row>
    <row r="50" spans="1:44" s="433" customFormat="1" ht="17.45" customHeight="1" thickBot="1" x14ac:dyDescent="0.3">
      <c r="A50" s="36">
        <f t="shared" si="1"/>
        <v>38</v>
      </c>
      <c r="B50" s="36">
        <f t="shared" si="5"/>
        <v>35</v>
      </c>
      <c r="C50" s="664" t="s">
        <v>1279</v>
      </c>
      <c r="D50" s="665"/>
      <c r="E50" s="867" t="s">
        <v>580</v>
      </c>
      <c r="F50" s="1027"/>
      <c r="G50" s="1028">
        <v>1374</v>
      </c>
      <c r="H50" s="1029">
        <f t="shared" si="7"/>
        <v>5.2304998286954209E-3</v>
      </c>
      <c r="I50" s="1028"/>
      <c r="J50" s="1036"/>
      <c r="K50" s="1037"/>
      <c r="L50" s="69"/>
      <c r="M50" s="718"/>
      <c r="N50" s="953">
        <v>40890</v>
      </c>
      <c r="O50" s="143">
        <f t="shared" ca="1" si="6"/>
        <v>6.3001428728431703</v>
      </c>
      <c r="P50" s="1033"/>
      <c r="Q50" s="4">
        <v>41255</v>
      </c>
      <c r="R50" s="718"/>
      <c r="S50" s="1022" t="str">
        <f t="shared" ca="1" si="3"/>
        <v>12/12/2018</v>
      </c>
      <c r="T50" s="64">
        <f t="shared" ca="1" si="11"/>
        <v>20.705572040883613</v>
      </c>
      <c r="U50" s="718"/>
      <c r="V50" s="146" t="s">
        <v>591</v>
      </c>
      <c r="W50" s="67">
        <v>12</v>
      </c>
      <c r="X50" s="718"/>
      <c r="Y50" s="92">
        <f t="shared" ca="1" si="0"/>
        <v>43811</v>
      </c>
      <c r="Z50" s="718"/>
      <c r="AA50" s="870"/>
      <c r="AB50" s="718"/>
      <c r="AC50" s="1197"/>
      <c r="AD50" s="1198"/>
      <c r="AE50" s="1199"/>
      <c r="AF50" s="718"/>
      <c r="AG50" s="52"/>
      <c r="AH50" s="52"/>
      <c r="AI50" s="3"/>
      <c r="AJ50" s="1038"/>
      <c r="AK50" s="52"/>
      <c r="AL50" s="1039"/>
      <c r="AM50" s="1039"/>
      <c r="AN50" s="1039"/>
      <c r="AO50" s="1039"/>
      <c r="AP50" s="1039"/>
      <c r="AQ50" s="1039"/>
      <c r="AR50" s="1040"/>
    </row>
    <row r="51" spans="1:44" s="433" customFormat="1" ht="18" customHeight="1" thickBot="1" x14ac:dyDescent="0.3">
      <c r="A51" s="36">
        <f t="shared" si="1"/>
        <v>39</v>
      </c>
      <c r="B51" s="36">
        <f t="shared" si="5"/>
        <v>36</v>
      </c>
      <c r="C51" s="675" t="s">
        <v>1280</v>
      </c>
      <c r="D51" s="676"/>
      <c r="E51" s="867" t="s">
        <v>521</v>
      </c>
      <c r="F51" s="1027"/>
      <c r="G51" s="1028">
        <v>1370</v>
      </c>
      <c r="H51" s="1029">
        <f t="shared" si="7"/>
        <v>5.2152727549583163E-3</v>
      </c>
      <c r="I51" s="1028"/>
      <c r="J51" s="1030"/>
      <c r="K51" s="1031"/>
      <c r="L51" s="69"/>
      <c r="M51" s="59"/>
      <c r="N51" s="953">
        <v>43133</v>
      </c>
      <c r="O51" s="143">
        <f t="shared" ca="1" si="6"/>
        <v>0.13737773381690296</v>
      </c>
      <c r="P51" s="59"/>
      <c r="Q51" s="4">
        <v>43497</v>
      </c>
      <c r="R51" s="59"/>
      <c r="S51" s="1022">
        <f t="shared" ca="1" si="3"/>
        <v>43497</v>
      </c>
      <c r="T51" s="64">
        <f t="shared" ca="1" si="11"/>
        <v>10.352786020441807</v>
      </c>
      <c r="U51" s="59"/>
      <c r="V51" s="146"/>
      <c r="W51" s="67"/>
      <c r="X51" s="59"/>
      <c r="Y51" s="92">
        <f t="shared" si="0"/>
        <v>43497</v>
      </c>
      <c r="Z51" s="59"/>
      <c r="AA51" s="870"/>
      <c r="AB51" s="59"/>
      <c r="AC51" s="1197"/>
      <c r="AD51" s="1198"/>
      <c r="AE51" s="1199"/>
      <c r="AF51" s="471"/>
      <c r="AG51" s="982"/>
      <c r="AH51" s="102"/>
      <c r="AI51" s="102"/>
      <c r="AJ51" s="102"/>
      <c r="AK51" s="982"/>
      <c r="AL51" s="102"/>
      <c r="AM51" s="102"/>
      <c r="AN51" s="102"/>
      <c r="AO51" s="982"/>
      <c r="AP51" s="102"/>
      <c r="AQ51" s="102"/>
      <c r="AR51" s="102"/>
    </row>
    <row r="52" spans="1:44" s="433" customFormat="1" ht="17.45" customHeight="1" thickBot="1" x14ac:dyDescent="0.3">
      <c r="A52" s="36">
        <f t="shared" si="1"/>
        <v>40</v>
      </c>
      <c r="B52" s="36">
        <f t="shared" si="5"/>
        <v>37</v>
      </c>
      <c r="C52" s="675" t="s">
        <v>1291</v>
      </c>
      <c r="D52" s="676"/>
      <c r="E52" s="867" t="s">
        <v>580</v>
      </c>
      <c r="F52" s="1027"/>
      <c r="G52" s="1028">
        <v>1265</v>
      </c>
      <c r="H52" s="1029">
        <f t="shared" si="7"/>
        <v>4.815562069359321E-3</v>
      </c>
      <c r="I52" s="1028"/>
      <c r="J52" s="1036"/>
      <c r="K52" s="1037"/>
      <c r="L52" s="69"/>
      <c r="M52" s="718"/>
      <c r="N52" s="953">
        <v>41650</v>
      </c>
      <c r="O52" s="143">
        <f t="shared" ca="1" si="6"/>
        <v>4.2120013188262453</v>
      </c>
      <c r="P52" s="1033"/>
      <c r="Q52" s="4">
        <v>39447</v>
      </c>
      <c r="R52" s="718"/>
      <c r="S52" s="1022" t="str">
        <f t="shared" ca="1" si="3"/>
        <v>31/12/2018</v>
      </c>
      <c r="T52" s="64">
        <f t="shared" ca="1" si="11"/>
        <v>9.2977250247279919</v>
      </c>
      <c r="U52" s="718"/>
      <c r="V52" s="146" t="s">
        <v>591</v>
      </c>
      <c r="W52" s="67"/>
      <c r="X52" s="718"/>
      <c r="Y52" s="92">
        <f t="shared" ca="1" si="0"/>
        <v>43465</v>
      </c>
      <c r="Z52" s="718"/>
      <c r="AA52" s="870"/>
      <c r="AB52" s="718"/>
      <c r="AC52" s="1197"/>
      <c r="AD52" s="1198"/>
      <c r="AE52" s="1199"/>
      <c r="AF52" s="718"/>
      <c r="AG52" s="52"/>
      <c r="AH52" s="52"/>
      <c r="AI52" s="3"/>
      <c r="AJ52" s="1038"/>
      <c r="AK52" s="52"/>
      <c r="AL52" s="1039"/>
      <c r="AM52" s="1039"/>
      <c r="AN52" s="1039"/>
      <c r="AO52" s="1039"/>
      <c r="AP52" s="1039"/>
      <c r="AQ52" s="1039"/>
      <c r="AR52" s="1040"/>
    </row>
    <row r="53" spans="1:44" s="433" customFormat="1" ht="18" customHeight="1" thickBot="1" x14ac:dyDescent="0.3">
      <c r="A53" s="36">
        <f t="shared" si="1"/>
        <v>41</v>
      </c>
      <c r="B53" s="36">
        <f t="shared" si="5"/>
        <v>38</v>
      </c>
      <c r="C53" s="636" t="s">
        <v>1292</v>
      </c>
      <c r="D53" s="637" t="s">
        <v>1295</v>
      </c>
      <c r="E53" s="867" t="s">
        <v>580</v>
      </c>
      <c r="F53" s="1027" t="s">
        <v>527</v>
      </c>
      <c r="G53" s="1028">
        <v>1264</v>
      </c>
      <c r="H53" s="1029">
        <f t="shared" si="7"/>
        <v>4.8117553009250445E-3</v>
      </c>
      <c r="I53" s="1028">
        <v>973.3</v>
      </c>
      <c r="J53" s="1028">
        <v>117.8</v>
      </c>
      <c r="K53" s="1032">
        <v>6497</v>
      </c>
      <c r="L53" s="69">
        <f>K53/G53</f>
        <v>5.1400316455696204</v>
      </c>
      <c r="M53" s="749"/>
      <c r="N53" s="953">
        <v>42005</v>
      </c>
      <c r="O53" s="143">
        <f ca="1">($G$1-N53)/30.33/12</f>
        <v>3.2366194087262339</v>
      </c>
      <c r="P53" s="1033"/>
      <c r="Q53" s="4">
        <v>43465</v>
      </c>
      <c r="R53" s="749"/>
      <c r="S53" s="1022">
        <f t="shared" ca="1" si="3"/>
        <v>43465</v>
      </c>
      <c r="T53" s="64">
        <f t="shared" ca="1" si="11"/>
        <v>9.2977250247279919</v>
      </c>
      <c r="U53" s="749"/>
      <c r="V53" s="146" t="s">
        <v>591</v>
      </c>
      <c r="W53" s="67">
        <v>36</v>
      </c>
      <c r="X53" s="749"/>
      <c r="Y53" s="92">
        <f t="shared" ca="1" si="0"/>
        <v>43465</v>
      </c>
      <c r="Z53" s="749"/>
      <c r="AA53" s="870" t="s">
        <v>551</v>
      </c>
      <c r="AB53" s="749"/>
      <c r="AC53" s="1197" t="s">
        <v>1193</v>
      </c>
      <c r="AD53" s="1198"/>
      <c r="AE53" s="1199"/>
      <c r="AF53" s="749"/>
      <c r="AG53" s="52" t="s">
        <v>534</v>
      </c>
      <c r="AH53" s="52" t="s">
        <v>1160</v>
      </c>
      <c r="AI53" s="3" t="s">
        <v>1238</v>
      </c>
      <c r="AJ53" s="3" t="s">
        <v>1175</v>
      </c>
      <c r="AK53" s="52"/>
      <c r="AL53" s="52"/>
      <c r="AM53" s="551"/>
      <c r="AN53" s="551"/>
      <c r="AO53" s="52"/>
      <c r="AP53" s="52"/>
      <c r="AQ53" s="551"/>
      <c r="AR53" s="1054"/>
    </row>
    <row r="54" spans="1:44" s="433" customFormat="1" ht="18" customHeight="1" thickBot="1" x14ac:dyDescent="0.3">
      <c r="A54" s="36">
        <f t="shared" si="1"/>
        <v>42</v>
      </c>
      <c r="B54" s="36">
        <f t="shared" si="5"/>
        <v>39</v>
      </c>
      <c r="C54" s="601" t="s">
        <v>1293</v>
      </c>
      <c r="D54" s="734" t="s">
        <v>1296</v>
      </c>
      <c r="E54" s="867" t="s">
        <v>580</v>
      </c>
      <c r="F54" s="1027"/>
      <c r="G54" s="1028">
        <v>1257</v>
      </c>
      <c r="H54" s="1029">
        <f t="shared" si="7"/>
        <v>4.7851079218851119E-3</v>
      </c>
      <c r="I54" s="1028"/>
      <c r="J54" s="1030"/>
      <c r="K54" s="1031"/>
      <c r="L54" s="69"/>
      <c r="M54" s="59"/>
      <c r="N54" s="953">
        <v>40924</v>
      </c>
      <c r="O54" s="143">
        <f ca="1">($G$1-N54)/30.33/12</f>
        <v>6.2067260138476756</v>
      </c>
      <c r="P54" s="59"/>
      <c r="Q54" s="4">
        <v>42019</v>
      </c>
      <c r="R54" s="59"/>
      <c r="S54" s="1022" t="str">
        <f t="shared" ca="1" si="3"/>
        <v>15/1/2018</v>
      </c>
      <c r="T54" s="64">
        <f t="shared" ca="1" si="11"/>
        <v>9.7922848664688438</v>
      </c>
      <c r="U54" s="59"/>
      <c r="V54" s="146" t="s">
        <v>591</v>
      </c>
      <c r="W54" s="67">
        <v>12</v>
      </c>
      <c r="X54" s="59"/>
      <c r="Y54" s="92">
        <f t="shared" ca="1" si="0"/>
        <v>43480</v>
      </c>
      <c r="Z54" s="59"/>
      <c r="AA54" s="870"/>
      <c r="AB54" s="59"/>
      <c r="AC54" s="1197"/>
      <c r="AD54" s="1198"/>
      <c r="AE54" s="1199"/>
      <c r="AF54" s="471"/>
      <c r="AG54" s="982"/>
      <c r="AH54" s="102"/>
      <c r="AI54" s="102"/>
      <c r="AJ54" s="102"/>
      <c r="AK54" s="982"/>
      <c r="AL54" s="102"/>
      <c r="AM54" s="102"/>
      <c r="AN54" s="102"/>
      <c r="AO54" s="982"/>
      <c r="AP54" s="102"/>
      <c r="AQ54" s="102"/>
      <c r="AR54" s="102"/>
    </row>
    <row r="55" spans="1:44" s="433" customFormat="1" ht="17.45" customHeight="1" thickBot="1" x14ac:dyDescent="0.3">
      <c r="A55" s="36">
        <f t="shared" si="1"/>
        <v>43</v>
      </c>
      <c r="B55" s="36">
        <f t="shared" si="5"/>
        <v>40</v>
      </c>
      <c r="C55" s="601" t="s">
        <v>1019</v>
      </c>
      <c r="D55" s="734" t="s">
        <v>1297</v>
      </c>
      <c r="E55" s="867" t="s">
        <v>548</v>
      </c>
      <c r="F55" s="1027"/>
      <c r="G55" s="1028">
        <v>1258</v>
      </c>
      <c r="H55" s="1029">
        <f t="shared" si="7"/>
        <v>4.7889146903193876E-3</v>
      </c>
      <c r="I55" s="1028"/>
      <c r="J55" s="1036"/>
      <c r="K55" s="1037"/>
      <c r="L55" s="69"/>
      <c r="M55" s="718"/>
      <c r="N55" s="953">
        <v>42843</v>
      </c>
      <c r="O55" s="143">
        <f ca="1">($G$1-N55)/30.33/12</f>
        <v>0.93416858995494012</v>
      </c>
      <c r="P55" s="1033"/>
      <c r="Q55" s="4">
        <v>43207</v>
      </c>
      <c r="R55" s="718"/>
      <c r="S55" s="1022">
        <f t="shared" ca="1" si="3"/>
        <v>43207</v>
      </c>
      <c r="T55" s="64">
        <f t="shared" ca="1" si="11"/>
        <v>0.79129574678536108</v>
      </c>
      <c r="U55" s="718"/>
      <c r="V55" s="146" t="s">
        <v>591</v>
      </c>
      <c r="W55" s="67"/>
      <c r="X55" s="718"/>
      <c r="Y55" s="92">
        <f t="shared" ca="1" si="0"/>
        <v>43207</v>
      </c>
      <c r="Z55" s="718"/>
      <c r="AA55" s="870"/>
      <c r="AB55" s="718"/>
      <c r="AC55" s="1197"/>
      <c r="AD55" s="1198"/>
      <c r="AE55" s="1199"/>
      <c r="AF55" s="718"/>
      <c r="AG55" s="52"/>
      <c r="AH55" s="52"/>
      <c r="AI55" s="3"/>
      <c r="AJ55" s="1038"/>
      <c r="AK55" s="52"/>
      <c r="AL55" s="1039"/>
      <c r="AM55" s="1039"/>
      <c r="AN55" s="1039"/>
      <c r="AO55" s="1039"/>
      <c r="AP55" s="1039"/>
      <c r="AQ55" s="1039"/>
      <c r="AR55" s="1040"/>
    </row>
    <row r="56" spans="1:44" s="433" customFormat="1" ht="18" customHeight="1" thickBot="1" x14ac:dyDescent="0.3">
      <c r="A56" s="36">
        <f t="shared" si="1"/>
        <v>44</v>
      </c>
      <c r="B56" s="36">
        <f t="shared" si="5"/>
        <v>41</v>
      </c>
      <c r="C56" s="601" t="s">
        <v>1294</v>
      </c>
      <c r="D56" s="734" t="s">
        <v>1298</v>
      </c>
      <c r="E56" s="867" t="s">
        <v>580</v>
      </c>
      <c r="F56" s="1027"/>
      <c r="G56" s="1028">
        <v>1257</v>
      </c>
      <c r="H56" s="1029">
        <f t="shared" si="7"/>
        <v>4.7851079218851119E-3</v>
      </c>
      <c r="I56" s="1028"/>
      <c r="J56" s="1030"/>
      <c r="K56" s="1031"/>
      <c r="L56" s="69"/>
      <c r="M56" s="59"/>
      <c r="N56" s="953">
        <v>43101</v>
      </c>
      <c r="O56" s="143">
        <f ca="1">($G$1-N56)/30.33/12</f>
        <v>0.22529948345972087</v>
      </c>
      <c r="P56" s="59"/>
      <c r="Q56" s="4">
        <v>43465</v>
      </c>
      <c r="R56" s="59"/>
      <c r="S56" s="1022">
        <f t="shared" ca="1" si="3"/>
        <v>43465</v>
      </c>
      <c r="T56" s="64">
        <f t="shared" ca="1" si="11"/>
        <v>21.332014507088694</v>
      </c>
      <c r="U56" s="59"/>
      <c r="V56" s="146" t="s">
        <v>591</v>
      </c>
      <c r="W56" s="67">
        <v>12</v>
      </c>
      <c r="X56" s="59"/>
      <c r="Y56" s="92">
        <f t="shared" ca="1" si="0"/>
        <v>43830</v>
      </c>
      <c r="Z56" s="59"/>
      <c r="AA56" s="870"/>
      <c r="AB56" s="59"/>
      <c r="AC56" s="1197"/>
      <c r="AD56" s="1198"/>
      <c r="AE56" s="1199"/>
      <c r="AF56" s="471"/>
      <c r="AG56" s="982"/>
      <c r="AH56" s="102"/>
      <c r="AI56" s="102"/>
      <c r="AJ56" s="102"/>
      <c r="AK56" s="982"/>
      <c r="AL56" s="102"/>
      <c r="AM56" s="102"/>
      <c r="AN56" s="102"/>
      <c r="AO56" s="982"/>
      <c r="AP56" s="102"/>
      <c r="AQ56" s="102"/>
      <c r="AR56" s="102"/>
    </row>
    <row r="57" spans="1:44" s="1067" customFormat="1" ht="18" customHeight="1" thickBot="1" x14ac:dyDescent="0.3">
      <c r="A57" s="36">
        <f t="shared" si="1"/>
        <v>45</v>
      </c>
      <c r="B57" s="36">
        <f t="shared" si="5"/>
        <v>42</v>
      </c>
      <c r="C57" s="636" t="s">
        <v>1136</v>
      </c>
      <c r="D57" s="637"/>
      <c r="E57" s="1055" t="s">
        <v>580</v>
      </c>
      <c r="F57" s="1056"/>
      <c r="G57" s="1057">
        <v>1125</v>
      </c>
      <c r="H57" s="1058">
        <f t="shared" si="7"/>
        <v>4.2826144885606612E-3</v>
      </c>
      <c r="I57" s="1057"/>
      <c r="J57" s="1059"/>
      <c r="K57" s="1060"/>
      <c r="L57" s="70"/>
      <c r="M57" s="59"/>
      <c r="N57" s="1061">
        <v>38280</v>
      </c>
      <c r="O57" s="557">
        <f ca="1">($G$1-N57)/30.33/12</f>
        <v>13.471260578085506</v>
      </c>
      <c r="P57" s="59"/>
      <c r="Q57" s="7">
        <v>38644</v>
      </c>
      <c r="R57" s="59"/>
      <c r="S57" s="1022" t="str">
        <f t="shared" ca="1" si="3"/>
        <v>19/10/2018</v>
      </c>
      <c r="T57" s="65">
        <f t="shared" ca="1" si="11"/>
        <v>18.925156610616554</v>
      </c>
      <c r="U57" s="59"/>
      <c r="V57" s="1008" t="s">
        <v>591</v>
      </c>
      <c r="W57" s="766">
        <v>12</v>
      </c>
      <c r="X57" s="1062"/>
      <c r="Y57" s="92">
        <f t="shared" ca="1" si="0"/>
        <v>43757</v>
      </c>
      <c r="Z57" s="1062"/>
      <c r="AA57" s="1063"/>
      <c r="AB57" s="1062"/>
      <c r="AC57" s="1200"/>
      <c r="AD57" s="1201"/>
      <c r="AE57" s="1202"/>
      <c r="AF57" s="1064"/>
      <c r="AG57" s="1065"/>
      <c r="AH57" s="1066"/>
      <c r="AI57" s="1066"/>
      <c r="AJ57" s="1066"/>
      <c r="AK57" s="1065"/>
      <c r="AL57" s="1066"/>
      <c r="AM57" s="1066"/>
      <c r="AN57" s="1066"/>
      <c r="AO57" s="1065"/>
      <c r="AP57" s="1066"/>
      <c r="AQ57" s="1066"/>
      <c r="AR57" s="1066"/>
    </row>
  </sheetData>
  <sheetProtection selectLockedCells="1"/>
  <mergeCells count="72">
    <mergeCell ref="J2:L2"/>
    <mergeCell ref="N2:Q2"/>
    <mergeCell ref="R2:U2"/>
    <mergeCell ref="X2:AC2"/>
    <mergeCell ref="J3:L3"/>
    <mergeCell ref="N3:Q3"/>
    <mergeCell ref="X3:AC3"/>
    <mergeCell ref="J4:L4"/>
    <mergeCell ref="N4:Q4"/>
    <mergeCell ref="R4:U4"/>
    <mergeCell ref="X4:AC4"/>
    <mergeCell ref="N6:Q6"/>
    <mergeCell ref="R6:U6"/>
    <mergeCell ref="X6:AB6"/>
    <mergeCell ref="V11:W11"/>
    <mergeCell ref="AC11:AE11"/>
    <mergeCell ref="N7:Q7"/>
    <mergeCell ref="R7:U7"/>
    <mergeCell ref="Y7:AD7"/>
    <mergeCell ref="N8:Q8"/>
    <mergeCell ref="R8:U8"/>
    <mergeCell ref="Y8:AD8"/>
    <mergeCell ref="G10:I10"/>
    <mergeCell ref="J10:L10"/>
    <mergeCell ref="AG10:AJ10"/>
    <mergeCell ref="AK10:AN10"/>
    <mergeCell ref="AO10:AR10"/>
    <mergeCell ref="AC24:AE24"/>
    <mergeCell ref="AC13:AE13"/>
    <mergeCell ref="AC14:AE14"/>
    <mergeCell ref="AC15:AE15"/>
    <mergeCell ref="AC16:AE16"/>
    <mergeCell ref="AC17:AE17"/>
    <mergeCell ref="AC18:AE18"/>
    <mergeCell ref="AC19:AE19"/>
    <mergeCell ref="AC20:AE20"/>
    <mergeCell ref="AC21:AE21"/>
    <mergeCell ref="AC22:AE22"/>
    <mergeCell ref="AC23:AE23"/>
    <mergeCell ref="AC36:AE36"/>
    <mergeCell ref="AC25:AE25"/>
    <mergeCell ref="AC26:AE26"/>
    <mergeCell ref="AC27:AE27"/>
    <mergeCell ref="AC28:AE28"/>
    <mergeCell ref="AC29:AE29"/>
    <mergeCell ref="AC30:AE30"/>
    <mergeCell ref="AC31:AE31"/>
    <mergeCell ref="AC32:AE32"/>
    <mergeCell ref="AC33:AE33"/>
    <mergeCell ref="AC34:AE34"/>
    <mergeCell ref="AC35:AE35"/>
    <mergeCell ref="AC48:AE48"/>
    <mergeCell ref="AC37:AE37"/>
    <mergeCell ref="AC38:AE38"/>
    <mergeCell ref="AC39:AE39"/>
    <mergeCell ref="AC40:AE40"/>
    <mergeCell ref="AC41:AE41"/>
    <mergeCell ref="AC42:AE42"/>
    <mergeCell ref="AC43:AE43"/>
    <mergeCell ref="AC44:AE44"/>
    <mergeCell ref="AC45:AE45"/>
    <mergeCell ref="AC46:AE46"/>
    <mergeCell ref="AC47:AE47"/>
    <mergeCell ref="AC55:AE55"/>
    <mergeCell ref="AC56:AE56"/>
    <mergeCell ref="AC57:AE57"/>
    <mergeCell ref="AC49:AE49"/>
    <mergeCell ref="AC50:AE50"/>
    <mergeCell ref="AC51:AE51"/>
    <mergeCell ref="AC52:AE52"/>
    <mergeCell ref="AC53:AE53"/>
    <mergeCell ref="AC54:AE54"/>
  </mergeCells>
  <conditionalFormatting sqref="L13">
    <cfRule type="iconSet" priority="19">
      <iconSet>
        <cfvo type="percent" val="0"/>
        <cfvo type="percent" val="8"/>
        <cfvo type="percent" val="20"/>
      </iconSet>
    </cfRule>
  </conditionalFormatting>
  <conditionalFormatting sqref="L15">
    <cfRule type="iconSet" priority="18">
      <iconSet>
        <cfvo type="percent" val="0"/>
        <cfvo type="percent" val="9"/>
        <cfvo type="percent" val="20"/>
      </iconSet>
    </cfRule>
  </conditionalFormatting>
  <conditionalFormatting sqref="L20">
    <cfRule type="iconSet" priority="17">
      <iconSet>
        <cfvo type="percent" val="0"/>
        <cfvo type="percent" val="9"/>
        <cfvo type="percent" val="20"/>
      </iconSet>
    </cfRule>
  </conditionalFormatting>
  <conditionalFormatting sqref="L39 L41">
    <cfRule type="iconSet" priority="16">
      <iconSet>
        <cfvo type="percent" val="0"/>
        <cfvo type="percent" val="9"/>
        <cfvo type="percent" val="20"/>
      </iconSet>
    </cfRule>
  </conditionalFormatting>
  <conditionalFormatting sqref="L16 L18">
    <cfRule type="iconSet" priority="15">
      <iconSet>
        <cfvo type="percent" val="0"/>
        <cfvo type="percent" val="9"/>
        <cfvo type="percent" val="20"/>
      </iconSet>
    </cfRule>
  </conditionalFormatting>
  <conditionalFormatting sqref="L22">
    <cfRule type="iconSet" priority="14">
      <iconSet>
        <cfvo type="percent" val="0"/>
        <cfvo type="percent" val="9"/>
        <cfvo type="percent" val="20"/>
      </iconSet>
    </cfRule>
  </conditionalFormatting>
  <conditionalFormatting sqref="L26">
    <cfRule type="iconSet" priority="13">
      <iconSet>
        <cfvo type="percent" val="0"/>
        <cfvo type="percent" val="9"/>
        <cfvo type="percent" val="20"/>
      </iconSet>
    </cfRule>
  </conditionalFormatting>
  <conditionalFormatting sqref="L27">
    <cfRule type="iconSet" priority="12">
      <iconSet>
        <cfvo type="percent" val="0"/>
        <cfvo type="percent" val="9"/>
        <cfvo type="percent" val="20"/>
      </iconSet>
    </cfRule>
  </conditionalFormatting>
  <conditionalFormatting sqref="L24">
    <cfRule type="iconSet" priority="11">
      <iconSet>
        <cfvo type="percent" val="0"/>
        <cfvo type="percent" val="9"/>
        <cfvo type="percent" val="20"/>
      </iconSet>
    </cfRule>
  </conditionalFormatting>
  <conditionalFormatting sqref="L23">
    <cfRule type="iconSet" priority="10">
      <iconSet>
        <cfvo type="percent" val="0"/>
        <cfvo type="percent" val="9"/>
        <cfvo type="percent" val="20"/>
      </iconSet>
    </cfRule>
  </conditionalFormatting>
  <conditionalFormatting sqref="L35">
    <cfRule type="iconSet" priority="9">
      <iconSet>
        <cfvo type="percent" val="0"/>
        <cfvo type="percent" val="9"/>
        <cfvo type="percent" val="20"/>
      </iconSet>
    </cfRule>
  </conditionalFormatting>
  <conditionalFormatting sqref="L40">
    <cfRule type="iconSet" priority="8">
      <iconSet>
        <cfvo type="percent" val="0"/>
        <cfvo type="percent" val="9"/>
        <cfvo type="percent" val="20"/>
      </iconSet>
    </cfRule>
  </conditionalFormatting>
  <conditionalFormatting sqref="L42">
    <cfRule type="iconSet" priority="20">
      <iconSet>
        <cfvo type="percent" val="0"/>
        <cfvo type="percent" val="9"/>
        <cfvo type="percent" val="20"/>
      </iconSet>
    </cfRule>
  </conditionalFormatting>
  <conditionalFormatting sqref="L53 L19 L21 L25 L36:L38 L28:L34">
    <cfRule type="iconSet" priority="21">
      <iconSet>
        <cfvo type="percent" val="0"/>
        <cfvo type="percent" val="9"/>
        <cfvo type="percent" val="20"/>
      </iconSet>
    </cfRule>
  </conditionalFormatting>
  <conditionalFormatting sqref="L14">
    <cfRule type="iconSet" priority="7">
      <iconSet>
        <cfvo type="percent" val="0"/>
        <cfvo type="percent" val="9"/>
        <cfvo type="percent" val="20"/>
      </iconSet>
    </cfRule>
  </conditionalFormatting>
  <conditionalFormatting sqref="L56">
    <cfRule type="iconSet" priority="6">
      <iconSet>
        <cfvo type="percent" val="0"/>
        <cfvo type="percent" val="9"/>
        <cfvo type="percent" val="20"/>
      </iconSet>
    </cfRule>
  </conditionalFormatting>
  <conditionalFormatting sqref="L49">
    <cfRule type="iconSet" priority="5">
      <iconSet>
        <cfvo type="percent" val="0"/>
        <cfvo type="percent" val="9"/>
        <cfvo type="percent" val="20"/>
      </iconSet>
    </cfRule>
  </conditionalFormatting>
  <conditionalFormatting sqref="L51">
    <cfRule type="iconSet" priority="4">
      <iconSet>
        <cfvo type="percent" val="0"/>
        <cfvo type="percent" val="9"/>
        <cfvo type="percent" val="20"/>
      </iconSet>
    </cfRule>
  </conditionalFormatting>
  <conditionalFormatting sqref="L17">
    <cfRule type="iconSet" priority="3">
      <iconSet>
        <cfvo type="percent" val="0"/>
        <cfvo type="percent" val="9"/>
        <cfvo type="percent" val="20"/>
      </iconSet>
    </cfRule>
  </conditionalFormatting>
  <conditionalFormatting sqref="L44">
    <cfRule type="iconSet" priority="2">
      <iconSet>
        <cfvo type="percent" val="0"/>
        <cfvo type="percent" val="9"/>
        <cfvo type="percent" val="20"/>
      </iconSet>
    </cfRule>
  </conditionalFormatting>
  <conditionalFormatting sqref="L57">
    <cfRule type="iconSet" priority="1">
      <iconSet>
        <cfvo type="percent" val="0"/>
        <cfvo type="percent" val="9"/>
        <cfvo type="percent" val="20"/>
      </iconSet>
    </cfRule>
  </conditionalFormatting>
  <conditionalFormatting sqref="L45 L47 L50 L52">
    <cfRule type="iconSet" priority="22">
      <iconSet>
        <cfvo type="percent" val="0"/>
        <cfvo type="percent" val="9"/>
        <cfvo type="percent" val="20"/>
      </iconSet>
    </cfRule>
  </conditionalFormatting>
  <conditionalFormatting sqref="L43 L46 L48">
    <cfRule type="iconSet" priority="23">
      <iconSet>
        <cfvo type="percent" val="0"/>
        <cfvo type="percent" val="9"/>
        <cfvo type="percent" val="20"/>
      </iconSet>
    </cfRule>
  </conditionalFormatting>
  <conditionalFormatting sqref="L55">
    <cfRule type="iconSet" priority="24">
      <iconSet>
        <cfvo type="percent" val="0"/>
        <cfvo type="percent" val="9"/>
        <cfvo type="percent" val="20"/>
      </iconSet>
    </cfRule>
  </conditionalFormatting>
  <conditionalFormatting sqref="L54">
    <cfRule type="iconSet" priority="25">
      <iconSet>
        <cfvo type="percent" val="0"/>
        <cfvo type="percent" val="9"/>
        <cfvo type="percent" val="20"/>
      </iconSet>
    </cfRule>
  </conditionalFormatting>
  <dataValidations count="6">
    <dataValidation type="list" allowBlank="1" showInputMessage="1" showErrorMessage="1" sqref="E53 E45:E48 E13 E15:E16 E18:E37 E39:E43">
      <formula1>Origine</formula1>
    </dataValidation>
    <dataValidation type="list" allowBlank="1" showInputMessage="1" showErrorMessage="1" sqref="V53:V57 V45:V48 V13:V16 V39:V43 V18:V37">
      <formula1>OuiNon</formula1>
    </dataValidation>
    <dataValidation type="list" allowBlank="1" showInputMessage="1" showErrorMessage="1" sqref="W13 W15:W16 W56:W57 W53:W54 W18:W50">
      <formula1>Reconduction</formula1>
    </dataValidation>
    <dataValidation type="list" allowBlank="1" showInputMessage="1" showErrorMessage="1" sqref="AA53 AA45:AA48 AA13 AA15:AA16 AA39:AA43 AA18:AA37">
      <formula1>Risque</formula1>
    </dataValidation>
    <dataValidation type="list" allowBlank="1" showInputMessage="1" showErrorMessage="1" sqref="AG45:AG48 AO15:AO16 AK53 AO45:AO48 AK45:AK48 AG53 AK13 AG13 AO13 AK15:AK16 AG15:AG16 AO41:AO43 AG39:AG43 AK39:AK43 AK18:AK37 AG18:AG37">
      <formula1>civilité</formula1>
    </dataValidation>
    <dataValidation type="list" allowBlank="1" showInputMessage="1" showErrorMessage="1" sqref="AC53:AE53 AC39:AE40 AC13:AE13 AC15:AE16 AC18:AE37">
      <formula1>Chauray</formula1>
    </dataValidation>
  </dataValidations>
  <printOptions horizontalCentered="1"/>
  <pageMargins left="0.19685039370078741" right="0.19685039370078741" top="0.55118110236220474" bottom="0.55118110236220474" header="0.11811023622047245" footer="0.11811023622047245"/>
  <pageSetup paperSize="8" scale="75" orientation="landscape" r:id="rId1"/>
  <colBreaks count="1" manualBreakCount="1">
    <brk id="31" max="1048575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[6]Listes!#REF!</xm:f>
          </x14:formula1>
          <xm:sqref>F13:F57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499984740745262"/>
  </sheetPr>
  <dimension ref="A1:FP55"/>
  <sheetViews>
    <sheetView showGridLines="0" zoomScale="80" zoomScaleNormal="80" zoomScaleSheet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A56" sqref="A56:XFD78"/>
    </sheetView>
  </sheetViews>
  <sheetFormatPr baseColWidth="10" defaultColWidth="11.42578125" defaultRowHeight="16.5" outlineLevelRow="1" outlineLevelCol="1" x14ac:dyDescent="0.25"/>
  <cols>
    <col min="1" max="1" width="3.140625" style="36" bestFit="1" customWidth="1"/>
    <col min="2" max="2" width="2.7109375" style="36" customWidth="1"/>
    <col min="3" max="4" width="38.7109375" style="14" customWidth="1"/>
    <col min="5" max="5" width="5.7109375" style="17" customWidth="1"/>
    <col min="6" max="6" width="9.85546875" style="14" customWidth="1"/>
    <col min="7" max="7" width="12.7109375" style="14" customWidth="1"/>
    <col min="8" max="8" width="7.7109375" style="14" customWidth="1"/>
    <col min="9" max="9" width="11.7109375" style="14" customWidth="1"/>
    <col min="10" max="12" width="9.7109375" style="14" customWidth="1"/>
    <col min="13" max="13" width="0.5703125" style="13" customWidth="1"/>
    <col min="14" max="14" width="10.7109375" style="83" customWidth="1"/>
    <col min="15" max="15" width="9.7109375" style="83" customWidth="1"/>
    <col min="16" max="16" width="0.5703125" style="13" customWidth="1"/>
    <col min="17" max="17" width="19.42578125" style="17" customWidth="1"/>
    <col min="18" max="18" width="0.5703125" style="13" customWidth="1"/>
    <col min="19" max="19" width="9.7109375" style="99" customWidth="1"/>
    <col min="20" max="20" width="0.5703125" style="13" customWidth="1"/>
    <col min="21" max="21" width="5.7109375" style="99" customWidth="1"/>
    <col min="22" max="22" width="11.28515625" style="99" bestFit="1" customWidth="1"/>
    <col min="23" max="23" width="0.5703125" style="13" customWidth="1"/>
    <col min="24" max="24" width="12.7109375" style="99" customWidth="1"/>
    <col min="25" max="25" width="0.5703125" style="13" customWidth="1"/>
    <col min="26" max="26" width="11.7109375" style="17" customWidth="1"/>
    <col min="27" max="27" width="0.5703125" style="13" customWidth="1"/>
    <col min="28" max="28" width="30.7109375" style="14" customWidth="1"/>
    <col min="29" max="29" width="0.5703125" style="13" customWidth="1"/>
    <col min="30" max="30" width="5.7109375" style="16" customWidth="1"/>
    <col min="31" max="31" width="15.7109375" style="16" customWidth="1"/>
    <col min="32" max="32" width="20.7109375" style="16" customWidth="1"/>
    <col min="33" max="33" width="41.28515625" style="16" customWidth="1"/>
    <col min="34" max="34" width="5.7109375" style="16" customWidth="1"/>
    <col min="35" max="35" width="15.7109375" style="16" customWidth="1"/>
    <col min="36" max="36" width="20.7109375" style="16" customWidth="1"/>
    <col min="37" max="37" width="25.7109375" style="16" customWidth="1"/>
    <col min="38" max="38" width="5.7109375" style="16" customWidth="1"/>
    <col min="39" max="39" width="15.7109375" style="16" customWidth="1"/>
    <col min="40" max="40" width="20.7109375" style="16" customWidth="1"/>
    <col min="41" max="41" width="25.7109375" style="16" customWidth="1"/>
    <col min="42" max="42" width="5.7109375" style="16" customWidth="1"/>
    <col min="43" max="43" width="15.7109375" style="16" customWidth="1"/>
    <col min="44" max="44" width="20.7109375" style="16" customWidth="1"/>
    <col min="45" max="45" width="25.7109375" style="16" customWidth="1"/>
    <col min="46" max="46" width="5.7109375" style="16" customWidth="1"/>
    <col min="47" max="47" width="15.7109375" style="16" customWidth="1"/>
    <col min="48" max="48" width="20.7109375" style="16" customWidth="1"/>
    <col min="49" max="49" width="30.42578125" style="16" customWidth="1"/>
    <col min="50" max="50" width="0.5703125" style="13" customWidth="1"/>
    <col min="51" max="61" width="12.7109375" style="440" hidden="1" customWidth="1" outlineLevel="1"/>
    <col min="62" max="90" width="11.42578125" style="440" hidden="1" customWidth="1" outlineLevel="1"/>
    <col min="91" max="91" width="11.42578125" style="440" hidden="1" customWidth="1" outlineLevel="1" collapsed="1"/>
    <col min="92" max="94" width="11.42578125" style="440" hidden="1" customWidth="1" outlineLevel="1"/>
    <col min="95" max="95" width="33.7109375" style="440" hidden="1" customWidth="1" outlineLevel="1"/>
    <col min="96" max="104" width="11.42578125" style="440" hidden="1" customWidth="1" outlineLevel="1"/>
    <col min="105" max="105" width="14.85546875" style="440" hidden="1" customWidth="1" outlineLevel="1"/>
    <col min="106" max="108" width="11.42578125" style="440" hidden="1" customWidth="1" outlineLevel="1"/>
    <col min="109" max="109" width="12.28515625" style="440" hidden="1" customWidth="1" outlineLevel="1"/>
    <col min="110" max="110" width="16.5703125" style="440" hidden="1" customWidth="1" outlineLevel="1"/>
    <col min="111" max="114" width="11.42578125" style="440" hidden="1" customWidth="1" outlineLevel="1"/>
    <col min="115" max="115" width="16.85546875" style="440" hidden="1" customWidth="1" outlineLevel="1"/>
    <col min="116" max="119" width="11.42578125" style="440" hidden="1" customWidth="1" outlineLevel="1"/>
    <col min="120" max="120" width="15" style="440" hidden="1" customWidth="1" outlineLevel="1"/>
    <col min="121" max="125" width="11.42578125" style="440" hidden="1" customWidth="1" outlineLevel="1"/>
    <col min="126" max="126" width="28.7109375" style="440" customWidth="1" collapsed="1"/>
    <col min="127" max="128" width="11.7109375" style="440" customWidth="1"/>
    <col min="129" max="129" width="15.7109375" style="440" customWidth="1"/>
    <col min="130" max="130" width="55.7109375" style="440" customWidth="1"/>
    <col min="131" max="131" width="28.7109375" style="440" customWidth="1"/>
    <col min="132" max="133" width="11.7109375" style="440" customWidth="1"/>
    <col min="134" max="134" width="15.7109375" style="440" customWidth="1"/>
    <col min="135" max="135" width="55.7109375" style="440" customWidth="1"/>
    <col min="136" max="136" width="28.7109375" style="440" customWidth="1"/>
    <col min="137" max="138" width="11.7109375" style="440" customWidth="1"/>
    <col min="139" max="139" width="15.7109375" style="440" customWidth="1"/>
    <col min="140" max="140" width="55.7109375" style="440" customWidth="1"/>
    <col min="141" max="141" width="28.7109375" style="440" customWidth="1"/>
    <col min="142" max="143" width="11.7109375" style="440" customWidth="1"/>
    <col min="144" max="144" width="15.7109375" style="440" customWidth="1"/>
    <col min="145" max="145" width="55.7109375" style="440" customWidth="1"/>
    <col min="146" max="151" width="11.42578125" style="440"/>
    <col min="152" max="16384" width="11.42578125" style="14"/>
  </cols>
  <sheetData>
    <row r="1" spans="1:172" s="16" customFormat="1" ht="16.5" customHeight="1" outlineLevel="1" x14ac:dyDescent="0.25">
      <c r="A1" s="36"/>
      <c r="B1" s="36"/>
      <c r="C1" s="18" t="s">
        <v>663</v>
      </c>
      <c r="D1" s="18"/>
      <c r="E1" s="24"/>
      <c r="F1" s="24"/>
      <c r="G1" s="10">
        <f ca="1">TODAY()</f>
        <v>43183</v>
      </c>
      <c r="H1" s="15"/>
      <c r="J1" s="59"/>
      <c r="K1" s="15"/>
      <c r="N1" s="15"/>
      <c r="O1" s="15"/>
      <c r="P1" s="84"/>
      <c r="Q1" s="59"/>
      <c r="R1" s="59"/>
      <c r="S1" s="15"/>
      <c r="T1" s="84"/>
      <c r="U1" s="84"/>
      <c r="V1" s="84"/>
      <c r="W1" s="84"/>
      <c r="X1" s="84"/>
      <c r="Y1" s="86"/>
      <c r="Z1" s="84"/>
      <c r="AB1" s="59"/>
      <c r="AE1" s="71"/>
      <c r="AX1" s="59"/>
      <c r="AY1" s="433"/>
      <c r="AZ1" s="433"/>
      <c r="BA1" s="433"/>
      <c r="BB1" s="434"/>
      <c r="BC1" s="433"/>
      <c r="BD1" s="433"/>
      <c r="BE1" s="433"/>
      <c r="BF1" s="433"/>
      <c r="BG1" s="433"/>
      <c r="BH1" s="433"/>
      <c r="BI1" s="433"/>
      <c r="BJ1" s="433"/>
      <c r="BK1" s="433"/>
      <c r="BL1" s="433"/>
      <c r="BM1" s="433"/>
      <c r="BN1" s="433"/>
      <c r="BO1" s="433"/>
      <c r="BP1" s="433"/>
      <c r="BQ1" s="433"/>
      <c r="BR1" s="433"/>
      <c r="BS1" s="433"/>
      <c r="BT1" s="433"/>
      <c r="BU1" s="433"/>
      <c r="BV1" s="433"/>
      <c r="BW1" s="433"/>
      <c r="BX1" s="433"/>
      <c r="BY1" s="433"/>
      <c r="BZ1" s="433"/>
      <c r="CA1" s="433"/>
      <c r="CB1" s="433"/>
      <c r="CC1" s="433"/>
      <c r="CD1" s="433"/>
      <c r="CE1" s="433"/>
      <c r="CF1" s="433"/>
      <c r="CG1" s="433"/>
      <c r="CH1" s="433"/>
      <c r="CI1" s="433"/>
      <c r="CJ1" s="433"/>
      <c r="CK1" s="433"/>
      <c r="CL1" s="433"/>
      <c r="CM1" s="433"/>
      <c r="CN1" s="433"/>
      <c r="CO1" s="433"/>
      <c r="CP1" s="433"/>
      <c r="CQ1" s="433"/>
      <c r="CR1" s="433"/>
      <c r="CS1" s="433"/>
      <c r="CT1" s="433"/>
      <c r="CU1" s="433"/>
      <c r="CV1" s="433"/>
      <c r="CW1" s="433"/>
      <c r="CX1" s="433"/>
      <c r="CY1" s="433"/>
      <c r="CZ1" s="433"/>
      <c r="DA1" s="433"/>
      <c r="DB1" s="433"/>
      <c r="DC1" s="433"/>
      <c r="DD1" s="433"/>
      <c r="DE1" s="433"/>
      <c r="DF1" s="433"/>
      <c r="DG1" s="433"/>
      <c r="DH1" s="433"/>
      <c r="DI1" s="433"/>
      <c r="DJ1" s="433"/>
      <c r="DK1" s="433"/>
      <c r="DL1" s="433"/>
      <c r="DM1" s="433"/>
      <c r="DN1" s="433"/>
      <c r="DO1" s="433"/>
      <c r="DP1" s="433"/>
      <c r="DQ1" s="433"/>
      <c r="DR1" s="433"/>
      <c r="DS1" s="433"/>
      <c r="DT1" s="433"/>
      <c r="DU1" s="433"/>
      <c r="DV1" s="433"/>
      <c r="DW1" s="433"/>
      <c r="DX1" s="433"/>
      <c r="DY1" s="433"/>
      <c r="DZ1" s="433"/>
      <c r="EA1" s="433"/>
      <c r="EB1" s="433"/>
      <c r="EC1" s="433"/>
      <c r="ED1" s="433"/>
      <c r="EE1" s="433"/>
      <c r="EF1" s="433"/>
      <c r="EG1" s="433"/>
      <c r="EH1" s="433"/>
      <c r="EI1" s="433"/>
      <c r="EJ1" s="433"/>
      <c r="EK1" s="433"/>
      <c r="EL1" s="433"/>
      <c r="EM1" s="433"/>
      <c r="EN1" s="433"/>
      <c r="EO1" s="433"/>
      <c r="EP1" s="433"/>
      <c r="EQ1" s="433"/>
      <c r="ER1" s="433"/>
      <c r="ES1" s="433"/>
      <c r="ET1" s="433"/>
      <c r="EU1" s="433"/>
    </row>
    <row r="2" spans="1:172" s="16" customFormat="1" ht="15" customHeight="1" outlineLevel="1" x14ac:dyDescent="0.25">
      <c r="A2" s="36"/>
      <c r="B2" s="36"/>
      <c r="C2" s="53" t="s">
        <v>664</v>
      </c>
      <c r="D2" s="53"/>
      <c r="E2" s="25"/>
      <c r="F2" s="25"/>
      <c r="G2" s="72">
        <v>504583</v>
      </c>
      <c r="H2" s="41" t="s">
        <v>518</v>
      </c>
      <c r="I2" s="39" t="e">
        <f>SUMIF(F15:F27,"Perdu",G15:G27)+SUMIF(F28:F50,"Perdu",G28:G50)+SUMIF(#REF!,"Perdu",#REF!)</f>
        <v>#REF!</v>
      </c>
      <c r="J2" s="1172" t="s">
        <v>528</v>
      </c>
      <c r="K2" s="1173"/>
      <c r="L2" s="1173"/>
      <c r="M2" s="90"/>
      <c r="N2" s="1132" t="s">
        <v>537</v>
      </c>
      <c r="O2" s="1133"/>
      <c r="P2" s="1133"/>
      <c r="Q2" s="1133"/>
      <c r="R2" s="1129" t="e">
        <f>SUMIFS($G$15:$G$27,$E$15:$E$27,"dcn",$F$15:$F$27,"")+SUMIFS($G$28:$G$50,$E$28:$E$50,"dcn",$F$28:$F$50,"")+SUMIFS(#REF!,#REF!,"DCn",#REF!,"")</f>
        <v>#REF!</v>
      </c>
      <c r="S2" s="1129"/>
      <c r="T2" s="1129"/>
      <c r="U2" s="103"/>
      <c r="V2" s="104" t="e">
        <f>SUMIFS($G$15:$G$27,$E$15:$E$27,"di",$F$15:$F$27,"")+SUMIFS($G$28:$G$50,$E$28:$E$50,"di",$F$28:$F$50,"")+SUMIFS(#REF!,#REF!,"di",#REF!,"")</f>
        <v>#REF!</v>
      </c>
      <c r="W2" s="1121" t="s">
        <v>583</v>
      </c>
      <c r="X2" s="1122"/>
      <c r="Y2" s="1122"/>
      <c r="Z2" s="1122"/>
      <c r="AA2" s="1122"/>
      <c r="AB2" s="1122"/>
      <c r="AC2" s="90"/>
      <c r="AD2" s="53"/>
      <c r="AE2" s="75"/>
      <c r="AX2" s="435"/>
      <c r="AY2" s="436"/>
      <c r="AZ2" s="436"/>
      <c r="BA2" s="437"/>
      <c r="BB2" s="438"/>
      <c r="BC2" s="433"/>
      <c r="BD2" s="433"/>
      <c r="BE2" s="433"/>
      <c r="BF2" s="433"/>
      <c r="BG2" s="433"/>
      <c r="BH2" s="433"/>
      <c r="BI2" s="433"/>
      <c r="BJ2" s="433"/>
      <c r="BK2" s="433"/>
      <c r="BL2" s="433"/>
      <c r="BM2" s="433"/>
      <c r="BN2" s="433"/>
      <c r="BO2" s="433"/>
      <c r="BP2" s="433"/>
      <c r="BQ2" s="433"/>
      <c r="BR2" s="433"/>
      <c r="BS2" s="433"/>
      <c r="BT2" s="433"/>
      <c r="BU2" s="433"/>
      <c r="BV2" s="433"/>
      <c r="BW2" s="433"/>
      <c r="BX2" s="433"/>
      <c r="BY2" s="433"/>
      <c r="BZ2" s="433"/>
      <c r="CA2" s="433"/>
      <c r="CB2" s="433"/>
      <c r="CC2" s="433"/>
      <c r="CD2" s="433"/>
      <c r="CE2" s="433"/>
      <c r="CF2" s="433"/>
      <c r="CG2" s="433"/>
      <c r="CH2" s="433"/>
      <c r="CI2" s="433"/>
      <c r="CJ2" s="433"/>
      <c r="CK2" s="433"/>
      <c r="CL2" s="433"/>
      <c r="CM2" s="433"/>
      <c r="CN2" s="433"/>
      <c r="CO2" s="433"/>
      <c r="CP2" s="433"/>
      <c r="CQ2" s="433"/>
      <c r="CR2" s="433"/>
      <c r="CS2" s="433"/>
      <c r="CT2" s="433"/>
      <c r="CU2" s="433"/>
      <c r="CV2" s="433"/>
      <c r="CW2" s="433"/>
      <c r="CX2" s="433"/>
      <c r="CY2" s="433"/>
      <c r="CZ2" s="433"/>
      <c r="DA2" s="433"/>
      <c r="DB2" s="433"/>
      <c r="DC2" s="433"/>
      <c r="DD2" s="433"/>
      <c r="DE2" s="433"/>
      <c r="DF2" s="433"/>
      <c r="DG2" s="433"/>
      <c r="DH2" s="433"/>
      <c r="DI2" s="433"/>
      <c r="DJ2" s="433"/>
      <c r="DK2" s="433"/>
      <c r="DL2" s="433"/>
      <c r="DM2" s="433"/>
      <c r="DN2" s="433"/>
      <c r="DO2" s="433"/>
      <c r="DP2" s="433"/>
      <c r="DQ2" s="433"/>
      <c r="DR2" s="433"/>
      <c r="DS2" s="433"/>
      <c r="DT2" s="433"/>
      <c r="DU2" s="433"/>
      <c r="DV2" s="433"/>
      <c r="DW2" s="433"/>
      <c r="DX2" s="433"/>
      <c r="DY2" s="433"/>
      <c r="DZ2" s="433"/>
      <c r="EA2" s="433"/>
      <c r="EB2" s="433"/>
      <c r="EC2" s="433"/>
      <c r="ED2" s="433"/>
      <c r="EE2" s="433"/>
      <c r="EF2" s="433"/>
      <c r="EG2" s="433"/>
      <c r="EH2" s="433"/>
      <c r="EI2" s="433"/>
      <c r="EJ2" s="433"/>
      <c r="EK2" s="433"/>
      <c r="EL2" s="433"/>
      <c r="EM2" s="433"/>
      <c r="EN2" s="433"/>
      <c r="EO2" s="433"/>
      <c r="EP2" s="433"/>
      <c r="EQ2" s="433"/>
      <c r="ER2" s="433"/>
      <c r="ES2" s="433"/>
      <c r="ET2" s="433"/>
      <c r="EU2" s="433"/>
    </row>
    <row r="3" spans="1:172" s="16" customFormat="1" ht="15" customHeight="1" outlineLevel="1" x14ac:dyDescent="0.25">
      <c r="A3" s="36"/>
      <c r="B3" s="36"/>
      <c r="C3" s="53" t="s">
        <v>517</v>
      </c>
      <c r="D3" s="53"/>
      <c r="E3" s="19"/>
      <c r="F3" s="19"/>
      <c r="G3" s="73">
        <v>78</v>
      </c>
      <c r="H3" s="20"/>
      <c r="I3" s="82">
        <f>COUNTA($F$15:$F$27)+COUNTA($F$28:$F$50)+COUNTA(#REF!)</f>
        <v>9</v>
      </c>
      <c r="J3" s="1168" t="s">
        <v>531</v>
      </c>
      <c r="K3" s="1169"/>
      <c r="L3" s="1169"/>
      <c r="M3" s="390"/>
      <c r="N3" s="1127" t="s">
        <v>531</v>
      </c>
      <c r="O3" s="1127"/>
      <c r="P3" s="1127"/>
      <c r="Q3" s="1127"/>
      <c r="R3" s="1130" t="e">
        <f>COUNTIFS($E$15:$E$27,"DCN",F15:F27,"")+COUNTIFS($E$28:$E$50,"DCN",F28:F50,"")+COUNTIFS(#REF!,"DCN",#REF!,"")</f>
        <v>#REF!</v>
      </c>
      <c r="S3" s="1130"/>
      <c r="T3" s="1130"/>
      <c r="U3" s="13"/>
      <c r="V3" s="388" t="e">
        <f>COUNTIFS($E$15:$E$27,"DI",F15:F27,"")+COUNTIFS($E$28:$E$50,"DI",F28:F50,"")+COUNTIFS(#REF!,"DI",#REF!,"")</f>
        <v>#REF!</v>
      </c>
      <c r="W3" s="1123" t="s">
        <v>531</v>
      </c>
      <c r="X3" s="1123"/>
      <c r="Y3" s="1123"/>
      <c r="Z3" s="1123"/>
      <c r="AA3" s="1123"/>
      <c r="AB3" s="1123"/>
      <c r="AC3" s="390"/>
      <c r="AD3" s="14"/>
      <c r="AE3" s="79"/>
      <c r="AX3" s="139"/>
      <c r="AY3" s="439"/>
      <c r="AZ3" s="440"/>
      <c r="BA3" s="440"/>
      <c r="BB3" s="441"/>
      <c r="BC3" s="433"/>
      <c r="BD3" s="433"/>
      <c r="BE3" s="433"/>
      <c r="BF3" s="433"/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/>
      <c r="BU3" s="433"/>
      <c r="BV3" s="433"/>
      <c r="BW3" s="433"/>
      <c r="BX3" s="433"/>
      <c r="BY3" s="433"/>
      <c r="BZ3" s="433"/>
      <c r="CA3" s="433"/>
      <c r="CB3" s="433"/>
      <c r="CC3" s="433"/>
      <c r="CD3" s="433"/>
      <c r="CE3" s="433"/>
      <c r="CF3" s="433"/>
      <c r="CG3" s="433"/>
      <c r="CH3" s="433"/>
      <c r="CI3" s="433"/>
      <c r="CJ3" s="433"/>
      <c r="CK3" s="433"/>
      <c r="CL3" s="433"/>
      <c r="CM3" s="433"/>
      <c r="CN3" s="433"/>
      <c r="CO3" s="433"/>
      <c r="CP3" s="433"/>
      <c r="CQ3" s="433"/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3"/>
      <c r="DF3" s="433"/>
      <c r="DG3" s="433"/>
      <c r="DH3" s="433"/>
      <c r="DI3" s="433"/>
      <c r="DJ3" s="433"/>
      <c r="DK3" s="433"/>
      <c r="DL3" s="433"/>
      <c r="DM3" s="433"/>
      <c r="DN3" s="433"/>
      <c r="DO3" s="433"/>
      <c r="DP3" s="433"/>
      <c r="DQ3" s="433"/>
      <c r="DR3" s="433"/>
      <c r="DS3" s="433"/>
      <c r="DT3" s="433"/>
      <c r="DU3" s="433"/>
      <c r="DV3" s="433"/>
      <c r="DW3" s="433"/>
      <c r="DX3" s="433"/>
      <c r="DY3" s="433"/>
      <c r="DZ3" s="433"/>
      <c r="EA3" s="433"/>
      <c r="EB3" s="433"/>
      <c r="EC3" s="433"/>
      <c r="ED3" s="433"/>
      <c r="EE3" s="433"/>
      <c r="EF3" s="433"/>
      <c r="EG3" s="433"/>
      <c r="EH3" s="433"/>
      <c r="EI3" s="433"/>
      <c r="EJ3" s="433"/>
      <c r="EK3" s="433"/>
      <c r="EL3" s="433"/>
      <c r="EM3" s="433"/>
      <c r="EN3" s="433"/>
      <c r="EO3" s="433"/>
      <c r="EP3" s="433"/>
      <c r="EQ3" s="433"/>
      <c r="ER3" s="433"/>
      <c r="ES3" s="433"/>
      <c r="ET3" s="433"/>
      <c r="EU3" s="433"/>
    </row>
    <row r="4" spans="1:172" s="16" customFormat="1" ht="15" customHeight="1" outlineLevel="1" x14ac:dyDescent="0.25">
      <c r="A4" s="36"/>
      <c r="B4" s="36"/>
      <c r="C4" s="53" t="s">
        <v>526</v>
      </c>
      <c r="D4" s="53"/>
      <c r="E4" s="19"/>
      <c r="F4" s="19"/>
      <c r="G4" s="74">
        <f>COUNTA($C$15:$C$27)/$G$3</f>
        <v>0.16666666666666666</v>
      </c>
      <c r="H4" s="20"/>
      <c r="I4" s="40" t="e">
        <f>$I$2/$G$2</f>
        <v>#REF!</v>
      </c>
      <c r="J4" s="1168" t="s">
        <v>532</v>
      </c>
      <c r="K4" s="1169"/>
      <c r="L4" s="1169"/>
      <c r="M4" s="390"/>
      <c r="N4" s="1127" t="s">
        <v>586</v>
      </c>
      <c r="O4" s="1127"/>
      <c r="P4" s="1127"/>
      <c r="Q4" s="1127"/>
      <c r="R4" s="1131" t="e">
        <f>$R$2/$G$2</f>
        <v>#REF!</v>
      </c>
      <c r="S4" s="1131"/>
      <c r="T4" s="1131"/>
      <c r="U4" s="13"/>
      <c r="V4" s="389" t="e">
        <f>$V$2/$G$2</f>
        <v>#REF!</v>
      </c>
      <c r="W4" s="1123" t="s">
        <v>586</v>
      </c>
      <c r="X4" s="1123"/>
      <c r="Y4" s="1123"/>
      <c r="Z4" s="1123"/>
      <c r="AA4" s="1123"/>
      <c r="AB4" s="1123"/>
      <c r="AC4" s="390"/>
      <c r="AD4" s="14"/>
      <c r="AE4" s="76"/>
      <c r="AX4" s="139"/>
      <c r="AY4" s="433"/>
      <c r="AZ4" s="440"/>
      <c r="BA4" s="440"/>
      <c r="BB4" s="442"/>
      <c r="BC4" s="433"/>
      <c r="BD4" s="433"/>
      <c r="BE4" s="433"/>
      <c r="BF4" s="433"/>
      <c r="BG4" s="433"/>
      <c r="BH4" s="433"/>
      <c r="BI4" s="433"/>
      <c r="BJ4" s="433"/>
      <c r="BK4" s="433"/>
      <c r="BL4" s="433"/>
      <c r="BM4" s="433"/>
      <c r="BN4" s="433"/>
      <c r="BO4" s="433"/>
      <c r="BP4" s="433"/>
      <c r="BQ4" s="433"/>
      <c r="BR4" s="433"/>
      <c r="BS4" s="433"/>
      <c r="BT4" s="433"/>
      <c r="BU4" s="433"/>
      <c r="BV4" s="433"/>
      <c r="BW4" s="433"/>
      <c r="BX4" s="433"/>
      <c r="BY4" s="433"/>
      <c r="BZ4" s="433"/>
      <c r="CA4" s="433"/>
      <c r="CB4" s="433"/>
      <c r="CC4" s="433"/>
      <c r="CD4" s="433"/>
      <c r="CE4" s="433"/>
      <c r="CF4" s="433"/>
      <c r="CG4" s="433"/>
      <c r="CH4" s="433"/>
      <c r="CI4" s="433"/>
      <c r="CJ4" s="433"/>
      <c r="CK4" s="433"/>
      <c r="CL4" s="433"/>
      <c r="CM4" s="433"/>
      <c r="CN4" s="433"/>
      <c r="CO4" s="433"/>
      <c r="CP4" s="433"/>
      <c r="CQ4" s="433"/>
      <c r="CR4" s="433"/>
      <c r="CS4" s="433"/>
      <c r="CT4" s="433"/>
      <c r="CU4" s="433"/>
      <c r="CV4" s="433"/>
      <c r="CW4" s="433"/>
      <c r="CX4" s="433"/>
      <c r="CY4" s="433"/>
      <c r="CZ4" s="433"/>
      <c r="DA4" s="433"/>
      <c r="DB4" s="433"/>
      <c r="DC4" s="433"/>
      <c r="DD4" s="433"/>
      <c r="DE4" s="433"/>
      <c r="DF4" s="433"/>
      <c r="DG4" s="433"/>
      <c r="DH4" s="433"/>
      <c r="DI4" s="433"/>
      <c r="DJ4" s="433"/>
      <c r="DK4" s="433"/>
      <c r="DL4" s="433"/>
      <c r="DM4" s="433"/>
      <c r="DN4" s="433"/>
      <c r="DO4" s="433"/>
      <c r="DP4" s="433"/>
      <c r="DQ4" s="433"/>
      <c r="DR4" s="433"/>
      <c r="DS4" s="433"/>
      <c r="DT4" s="433"/>
      <c r="DU4" s="433"/>
      <c r="DV4" s="433"/>
      <c r="DW4" s="433"/>
      <c r="DX4" s="433"/>
      <c r="DY4" s="433"/>
      <c r="DZ4" s="433"/>
      <c r="EA4" s="433"/>
      <c r="EB4" s="433"/>
      <c r="EC4" s="433"/>
      <c r="ED4" s="433"/>
      <c r="EE4" s="433"/>
      <c r="EF4" s="433"/>
      <c r="EG4" s="433"/>
      <c r="EH4" s="433"/>
      <c r="EI4" s="433"/>
      <c r="EJ4" s="433"/>
      <c r="EK4" s="433"/>
      <c r="EL4" s="433"/>
      <c r="EM4" s="433"/>
      <c r="EN4" s="433"/>
      <c r="EO4" s="433"/>
      <c r="EP4" s="433"/>
      <c r="EQ4" s="433"/>
      <c r="ER4" s="433"/>
      <c r="ES4" s="433"/>
      <c r="ET4" s="433"/>
      <c r="EU4" s="433"/>
    </row>
    <row r="5" spans="1:172" s="16" customFormat="1" ht="5.25" customHeight="1" outlineLevel="1" x14ac:dyDescent="0.25">
      <c r="A5" s="38"/>
      <c r="B5" s="38"/>
      <c r="C5" s="26"/>
      <c r="D5" s="26"/>
      <c r="E5" s="26"/>
      <c r="F5" s="26"/>
      <c r="H5" s="15"/>
      <c r="M5" s="60"/>
      <c r="N5" s="107"/>
      <c r="O5" s="108"/>
      <c r="P5" s="107"/>
      <c r="Q5" s="108"/>
      <c r="R5" s="80"/>
      <c r="T5" s="59"/>
      <c r="U5" s="59"/>
      <c r="V5" s="15"/>
      <c r="W5" s="59"/>
      <c r="Y5" s="15"/>
      <c r="Z5" s="15"/>
      <c r="AA5" s="60"/>
      <c r="AC5" s="60"/>
      <c r="AD5" s="21"/>
      <c r="AE5" s="77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59"/>
      <c r="AY5" s="443"/>
      <c r="AZ5" s="444"/>
      <c r="BA5" s="443"/>
      <c r="BB5" s="445"/>
      <c r="BC5" s="443"/>
      <c r="BD5" s="443"/>
      <c r="BE5" s="443"/>
      <c r="BF5" s="443"/>
      <c r="BG5" s="443"/>
      <c r="BH5" s="443"/>
      <c r="BI5" s="443"/>
      <c r="BJ5" s="443"/>
      <c r="BK5" s="443"/>
      <c r="BL5" s="443"/>
      <c r="BM5" s="433"/>
      <c r="BN5" s="433"/>
      <c r="BO5" s="433"/>
      <c r="BP5" s="433"/>
      <c r="BQ5" s="433"/>
      <c r="BR5" s="433"/>
      <c r="BS5" s="433"/>
      <c r="BT5" s="433"/>
      <c r="BU5" s="433"/>
      <c r="BV5" s="433"/>
      <c r="BW5" s="433"/>
      <c r="BX5" s="433"/>
      <c r="BY5" s="433"/>
      <c r="BZ5" s="433"/>
      <c r="CA5" s="433"/>
      <c r="CB5" s="433"/>
      <c r="CC5" s="433"/>
      <c r="CD5" s="433"/>
      <c r="CE5" s="433"/>
      <c r="CF5" s="433"/>
      <c r="CG5" s="433"/>
      <c r="CH5" s="433"/>
      <c r="CI5" s="433"/>
      <c r="CJ5" s="433"/>
      <c r="CK5" s="433"/>
      <c r="CL5" s="433"/>
      <c r="CM5" s="433"/>
      <c r="CN5" s="433"/>
      <c r="CO5" s="433"/>
      <c r="CP5" s="433"/>
      <c r="CQ5" s="433"/>
      <c r="CR5" s="433"/>
      <c r="CS5" s="433"/>
      <c r="CT5" s="433"/>
      <c r="CU5" s="433"/>
      <c r="CV5" s="433"/>
      <c r="CW5" s="433"/>
      <c r="CX5" s="433"/>
      <c r="CY5" s="433"/>
      <c r="CZ5" s="433"/>
      <c r="DA5" s="433"/>
      <c r="DB5" s="433"/>
      <c r="DC5" s="433"/>
      <c r="DD5" s="433"/>
      <c r="DE5" s="433"/>
      <c r="DF5" s="433"/>
      <c r="DG5" s="433"/>
      <c r="DH5" s="433"/>
      <c r="DI5" s="433"/>
      <c r="DJ5" s="433"/>
      <c r="DK5" s="433"/>
      <c r="DL5" s="433"/>
      <c r="DM5" s="433"/>
      <c r="DN5" s="433"/>
      <c r="DO5" s="433"/>
      <c r="DP5" s="433"/>
      <c r="DQ5" s="433"/>
      <c r="DR5" s="433"/>
      <c r="DS5" s="433"/>
      <c r="DT5" s="433"/>
      <c r="DU5" s="433"/>
      <c r="DV5" s="433"/>
      <c r="DW5" s="433"/>
      <c r="DX5" s="433"/>
      <c r="DY5" s="433"/>
      <c r="DZ5" s="433"/>
      <c r="EA5" s="433"/>
      <c r="EB5" s="433"/>
      <c r="EC5" s="433"/>
      <c r="ED5" s="433"/>
      <c r="EE5" s="433"/>
      <c r="EF5" s="433"/>
      <c r="EG5" s="433"/>
      <c r="EH5" s="433"/>
      <c r="EI5" s="433"/>
      <c r="EJ5" s="433"/>
      <c r="EK5" s="433"/>
      <c r="EL5" s="433"/>
      <c r="EM5" s="433"/>
      <c r="EN5" s="433"/>
      <c r="EO5" s="433"/>
      <c r="EP5" s="433"/>
      <c r="EQ5" s="433"/>
      <c r="ER5" s="433"/>
      <c r="ES5" s="433"/>
      <c r="ET5" s="433"/>
      <c r="EU5" s="433"/>
    </row>
    <row r="6" spans="1:172" s="16" customFormat="1" ht="15" customHeight="1" outlineLevel="1" x14ac:dyDescent="0.25">
      <c r="A6" s="38"/>
      <c r="B6" s="38"/>
      <c r="C6" s="26"/>
      <c r="D6" s="26"/>
      <c r="E6" s="26"/>
      <c r="F6" s="26"/>
      <c r="H6" s="15"/>
      <c r="M6" s="60"/>
      <c r="N6" s="1124" t="s">
        <v>582</v>
      </c>
      <c r="O6" s="1125"/>
      <c r="P6" s="1125"/>
      <c r="Q6" s="1126"/>
      <c r="R6" s="1128" t="e">
        <f>SUMIFS($G$15:$G$27,$E$15:$E$27,"AO",$F$15:$F$27,"")+SUMIFS($G$28:$G$50,$E$28:$E$50,"AO",$F$28:$F$50,"")+SUMIFS(#REF!,#REF!,"AO",#REF!,"")</f>
        <v>#REF!</v>
      </c>
      <c r="S6" s="1129"/>
      <c r="T6" s="1196"/>
      <c r="U6" s="97"/>
      <c r="V6" s="104" t="e">
        <f>SUMIFS($G$15:$G$27,$E$15:$E$27,"REG",$F$15:$F$27,"")+SUMIFS($G$28:$G$50,$E$28:$E$50,"REG",$F$28:$F$50,"")+SUMIFS(#REF!,#REF!,"REG",#REF!,"")</f>
        <v>#REF!</v>
      </c>
      <c r="W6" s="1136" t="s">
        <v>584</v>
      </c>
      <c r="X6" s="1137"/>
      <c r="Y6" s="1137"/>
      <c r="Z6" s="1137"/>
      <c r="AA6" s="1137"/>
      <c r="AB6" s="1137"/>
      <c r="AC6" s="60"/>
      <c r="AD6" s="77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446"/>
      <c r="AY6" s="436"/>
      <c r="AZ6" s="436"/>
      <c r="BA6" s="445"/>
      <c r="BB6" s="443"/>
      <c r="BC6" s="443"/>
      <c r="BD6" s="443"/>
      <c r="BE6" s="443"/>
      <c r="BF6" s="443"/>
      <c r="BG6" s="443"/>
      <c r="BH6" s="443"/>
      <c r="BI6" s="443"/>
      <c r="BJ6" s="443"/>
      <c r="BK6" s="443"/>
      <c r="BL6" s="443"/>
      <c r="BM6" s="433"/>
      <c r="BN6" s="433"/>
      <c r="BO6" s="433"/>
      <c r="BP6" s="433"/>
      <c r="BQ6" s="433"/>
      <c r="BR6" s="433"/>
      <c r="BS6" s="433"/>
      <c r="BT6" s="433"/>
      <c r="BU6" s="433"/>
      <c r="BV6" s="433"/>
      <c r="BW6" s="433"/>
      <c r="BX6" s="433"/>
      <c r="BY6" s="433"/>
      <c r="BZ6" s="433"/>
      <c r="CA6" s="433"/>
      <c r="CB6" s="433"/>
      <c r="CC6" s="433"/>
      <c r="CD6" s="433"/>
      <c r="CE6" s="433"/>
      <c r="CF6" s="433"/>
      <c r="CG6" s="433"/>
      <c r="CH6" s="433"/>
      <c r="CI6" s="433"/>
      <c r="CJ6" s="433"/>
      <c r="CK6" s="433"/>
      <c r="CL6" s="433"/>
      <c r="CM6" s="433"/>
      <c r="CN6" s="433"/>
      <c r="CO6" s="433"/>
      <c r="CP6" s="433"/>
      <c r="CQ6" s="433"/>
      <c r="CR6" s="433"/>
      <c r="CS6" s="433"/>
      <c r="CT6" s="433"/>
      <c r="CU6" s="433"/>
      <c r="CV6" s="433"/>
      <c r="CW6" s="433"/>
      <c r="CX6" s="433"/>
      <c r="CY6" s="433"/>
      <c r="CZ6" s="433"/>
      <c r="DA6" s="433"/>
      <c r="DB6" s="433"/>
      <c r="DC6" s="433"/>
      <c r="DD6" s="433"/>
      <c r="DE6" s="433"/>
      <c r="DF6" s="433"/>
      <c r="DG6" s="433"/>
      <c r="DH6" s="433"/>
      <c r="DI6" s="433"/>
      <c r="DJ6" s="433"/>
      <c r="DK6" s="433"/>
      <c r="DL6" s="433"/>
      <c r="DM6" s="433"/>
      <c r="DN6" s="433"/>
      <c r="DO6" s="433"/>
      <c r="DP6" s="433"/>
      <c r="DQ6" s="433"/>
      <c r="DR6" s="433"/>
      <c r="DS6" s="433"/>
      <c r="DT6" s="433"/>
      <c r="DU6" s="433"/>
      <c r="DV6" s="433"/>
      <c r="DW6" s="433"/>
      <c r="DX6" s="433"/>
      <c r="DY6" s="433"/>
      <c r="DZ6" s="433"/>
      <c r="EA6" s="433"/>
      <c r="EB6" s="433"/>
      <c r="EC6" s="433"/>
      <c r="ED6" s="433"/>
      <c r="EE6" s="433"/>
      <c r="EF6" s="433"/>
      <c r="EG6" s="433"/>
      <c r="EH6" s="433"/>
      <c r="EI6" s="433"/>
      <c r="EJ6" s="433"/>
      <c r="EK6" s="433"/>
      <c r="EL6" s="433"/>
      <c r="EM6" s="433"/>
      <c r="EN6" s="433"/>
      <c r="EO6" s="433"/>
      <c r="EP6" s="433"/>
      <c r="EQ6" s="433"/>
      <c r="ER6" s="433"/>
      <c r="ES6" s="433"/>
      <c r="ET6" s="433"/>
      <c r="EU6" s="433"/>
    </row>
    <row r="7" spans="1:172" s="16" customFormat="1" ht="15" customHeight="1" outlineLevel="1" x14ac:dyDescent="0.25">
      <c r="A7" s="38"/>
      <c r="B7" s="38"/>
      <c r="C7" s="26"/>
      <c r="D7" s="26"/>
      <c r="E7" s="26"/>
      <c r="F7" s="26"/>
      <c r="H7" s="15"/>
      <c r="M7" s="60"/>
      <c r="N7" s="1127" t="s">
        <v>531</v>
      </c>
      <c r="O7" s="1127"/>
      <c r="P7" s="1127"/>
      <c r="Q7" s="1127"/>
      <c r="R7" s="1130" t="e">
        <f>COUNTIFS($E$15:$E$27,"AO",$F$15:$F$27,"")+COUNTIFS($E$28:$E$50,"AO",$F$28:$F$50,"")+COUNTIFS(#REF!,"AO",#REF!,"")</f>
        <v>#REF!</v>
      </c>
      <c r="S7" s="1130"/>
      <c r="T7" s="1130"/>
      <c r="U7" s="13"/>
      <c r="V7" s="388" t="e">
        <f>COUNTIFS($E$15:$E$27,"REG",$F$15:$F$27,"")+COUNTIFS($E$28:$E$50,"REG",$F$28:$F$50,"")+COUNTIFS(#REF!,"REG",#REF!,"")</f>
        <v>#REF!</v>
      </c>
      <c r="W7" s="87"/>
      <c r="X7" s="12" t="s">
        <v>531</v>
      </c>
      <c r="Y7" s="12"/>
      <c r="Z7" s="95"/>
      <c r="AA7" s="12"/>
      <c r="AB7" s="12"/>
      <c r="AC7" s="60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12"/>
      <c r="AY7" s="439"/>
      <c r="AZ7" s="444"/>
      <c r="BA7" s="443"/>
      <c r="BB7" s="443"/>
      <c r="BC7" s="443"/>
      <c r="BD7" s="443"/>
      <c r="BE7" s="443"/>
      <c r="BF7" s="443"/>
      <c r="BG7" s="443"/>
      <c r="BH7" s="443"/>
      <c r="BI7" s="443"/>
      <c r="BJ7" s="443"/>
      <c r="BK7" s="443"/>
      <c r="BL7" s="443"/>
      <c r="BM7" s="433"/>
      <c r="BN7" s="433"/>
      <c r="BO7" s="433"/>
      <c r="BP7" s="433"/>
      <c r="BQ7" s="433"/>
      <c r="BR7" s="433"/>
      <c r="BS7" s="433"/>
      <c r="BT7" s="433"/>
      <c r="BU7" s="433"/>
      <c r="BV7" s="433"/>
      <c r="BW7" s="433"/>
      <c r="BX7" s="433"/>
      <c r="BY7" s="433"/>
      <c r="BZ7" s="433"/>
      <c r="CA7" s="433"/>
      <c r="CB7" s="433"/>
      <c r="CC7" s="433"/>
      <c r="CD7" s="433"/>
      <c r="CE7" s="433"/>
      <c r="CF7" s="433"/>
      <c r="CG7" s="433"/>
      <c r="CH7" s="433"/>
      <c r="CI7" s="433"/>
      <c r="CJ7" s="433"/>
      <c r="CK7" s="433"/>
      <c r="CL7" s="433"/>
      <c r="CM7" s="433"/>
      <c r="CN7" s="433"/>
      <c r="CO7" s="433"/>
      <c r="CP7" s="433"/>
      <c r="CQ7" s="433"/>
      <c r="CR7" s="433"/>
      <c r="CS7" s="433"/>
      <c r="CT7" s="433"/>
      <c r="CU7" s="433"/>
      <c r="CV7" s="433"/>
      <c r="CW7" s="433"/>
      <c r="CX7" s="433"/>
      <c r="CY7" s="433"/>
      <c r="CZ7" s="433"/>
      <c r="DA7" s="433"/>
      <c r="DB7" s="433"/>
      <c r="DC7" s="433"/>
      <c r="DD7" s="433"/>
      <c r="DE7" s="433"/>
      <c r="DF7" s="433"/>
      <c r="DG7" s="433"/>
      <c r="DH7" s="433"/>
      <c r="DI7" s="433"/>
      <c r="DJ7" s="433"/>
      <c r="DK7" s="433"/>
      <c r="DL7" s="433"/>
      <c r="DM7" s="433"/>
      <c r="DN7" s="433"/>
      <c r="DO7" s="433"/>
      <c r="DP7" s="433"/>
      <c r="DQ7" s="433"/>
      <c r="DR7" s="433"/>
      <c r="DS7" s="433"/>
      <c r="DT7" s="433"/>
      <c r="DU7" s="433"/>
      <c r="DV7" s="433"/>
      <c r="DW7" s="433"/>
      <c r="DX7" s="433"/>
      <c r="DY7" s="433"/>
      <c r="DZ7" s="433"/>
      <c r="EA7" s="433"/>
      <c r="EB7" s="433"/>
      <c r="EC7" s="433"/>
      <c r="ED7" s="433"/>
      <c r="EE7" s="433"/>
      <c r="EF7" s="433"/>
      <c r="EG7" s="433"/>
      <c r="EH7" s="433"/>
      <c r="EI7" s="433"/>
      <c r="EJ7" s="433"/>
      <c r="EK7" s="433"/>
      <c r="EL7" s="433"/>
      <c r="EM7" s="433"/>
      <c r="EN7" s="433"/>
      <c r="EO7" s="433"/>
      <c r="EP7" s="433"/>
      <c r="EQ7" s="433"/>
      <c r="ER7" s="433"/>
      <c r="ES7" s="433"/>
      <c r="ET7" s="433"/>
      <c r="EU7" s="433"/>
    </row>
    <row r="8" spans="1:172" s="16" customFormat="1" ht="15" customHeight="1" outlineLevel="1" x14ac:dyDescent="0.25">
      <c r="A8" s="38"/>
      <c r="B8" s="38"/>
      <c r="C8" s="26"/>
      <c r="D8" s="26"/>
      <c r="E8" s="26"/>
      <c r="F8" s="26"/>
      <c r="H8" s="15"/>
      <c r="M8" s="60"/>
      <c r="N8" s="1127" t="s">
        <v>586</v>
      </c>
      <c r="O8" s="1127"/>
      <c r="P8" s="1127"/>
      <c r="Q8" s="1127"/>
      <c r="R8" s="1131" t="e">
        <f>$R$6/$G$2</f>
        <v>#REF!</v>
      </c>
      <c r="S8" s="1131"/>
      <c r="T8" s="1131"/>
      <c r="U8" s="13"/>
      <c r="V8" s="389" t="e">
        <f>$V$6/$G$2</f>
        <v>#REF!</v>
      </c>
      <c r="W8" s="87"/>
      <c r="X8" s="12" t="s">
        <v>586</v>
      </c>
      <c r="Y8" s="12"/>
      <c r="Z8" s="95"/>
      <c r="AA8" s="12"/>
      <c r="AB8" s="12"/>
      <c r="AC8" s="60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12"/>
      <c r="AY8" s="433"/>
      <c r="AZ8" s="444"/>
      <c r="BA8" s="443"/>
      <c r="BB8" s="443"/>
      <c r="BC8" s="443"/>
      <c r="BD8" s="443"/>
      <c r="BE8" s="443"/>
      <c r="BF8" s="443"/>
      <c r="BG8" s="443"/>
      <c r="BH8" s="443"/>
      <c r="BI8" s="443"/>
      <c r="BJ8" s="443"/>
      <c r="BK8" s="443"/>
      <c r="BL8" s="443"/>
      <c r="BM8" s="433"/>
      <c r="BN8" s="433"/>
      <c r="BO8" s="433"/>
      <c r="BP8" s="433"/>
      <c r="BQ8" s="433"/>
      <c r="BR8" s="433"/>
      <c r="BS8" s="433"/>
      <c r="BT8" s="433"/>
      <c r="BU8" s="433"/>
      <c r="BV8" s="433"/>
      <c r="BW8" s="433"/>
      <c r="BX8" s="433"/>
      <c r="BY8" s="433"/>
      <c r="BZ8" s="433"/>
      <c r="CA8" s="433"/>
      <c r="CB8" s="433"/>
      <c r="CC8" s="433"/>
      <c r="CD8" s="433"/>
      <c r="CE8" s="433"/>
      <c r="CF8" s="433"/>
      <c r="CG8" s="433"/>
      <c r="CH8" s="433"/>
      <c r="CI8" s="433"/>
      <c r="CJ8" s="433"/>
      <c r="CK8" s="433"/>
      <c r="CL8" s="433"/>
      <c r="CM8" s="433"/>
      <c r="CN8" s="433"/>
      <c r="CO8" s="433"/>
      <c r="CP8" s="433"/>
      <c r="CQ8" s="433"/>
      <c r="CR8" s="433"/>
      <c r="CS8" s="433"/>
      <c r="CT8" s="433"/>
      <c r="CU8" s="433"/>
      <c r="CV8" s="433"/>
      <c r="CW8" s="433"/>
      <c r="CX8" s="433"/>
      <c r="CY8" s="433"/>
      <c r="CZ8" s="433"/>
      <c r="DA8" s="433"/>
      <c r="DB8" s="433"/>
      <c r="DC8" s="433"/>
      <c r="DD8" s="433"/>
      <c r="DE8" s="433"/>
      <c r="DF8" s="433"/>
      <c r="DG8" s="433"/>
      <c r="DH8" s="433"/>
      <c r="DI8" s="433"/>
      <c r="DJ8" s="433"/>
      <c r="DK8" s="433"/>
      <c r="DL8" s="433"/>
      <c r="DM8" s="433"/>
      <c r="DN8" s="433"/>
      <c r="DO8" s="433"/>
      <c r="DP8" s="433"/>
      <c r="DQ8" s="433"/>
      <c r="DR8" s="433"/>
      <c r="DS8" s="433"/>
      <c r="DT8" s="433"/>
      <c r="DU8" s="433"/>
      <c r="DV8" s="433"/>
      <c r="DW8" s="433"/>
      <c r="DX8" s="433"/>
      <c r="DY8" s="433"/>
      <c r="DZ8" s="433"/>
      <c r="EA8" s="433"/>
      <c r="EB8" s="433"/>
      <c r="EC8" s="433"/>
      <c r="ED8" s="433"/>
      <c r="EE8" s="433"/>
      <c r="EF8" s="433"/>
      <c r="EG8" s="433"/>
      <c r="EH8" s="433"/>
      <c r="EI8" s="433"/>
      <c r="EJ8" s="433"/>
      <c r="EK8" s="433"/>
      <c r="EL8" s="433"/>
      <c r="EM8" s="433"/>
      <c r="EN8" s="433"/>
      <c r="EO8" s="433"/>
      <c r="EP8" s="433"/>
      <c r="EQ8" s="433"/>
      <c r="ER8" s="433"/>
      <c r="ES8" s="433"/>
      <c r="ET8" s="433"/>
      <c r="EU8" s="433"/>
    </row>
    <row r="9" spans="1:172" x14ac:dyDescent="0.25">
      <c r="G9" s="16"/>
      <c r="H9" s="15"/>
      <c r="I9" s="16"/>
      <c r="J9" s="16"/>
      <c r="K9" s="16"/>
      <c r="L9" s="16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AA9" s="447"/>
      <c r="AC9" s="447"/>
      <c r="AY9" s="1210">
        <v>42278</v>
      </c>
      <c r="AZ9" s="1211"/>
      <c r="BA9" s="1211"/>
      <c r="BB9" s="1211"/>
      <c r="BC9" s="1212"/>
      <c r="BD9" s="1210">
        <v>42309</v>
      </c>
      <c r="BE9" s="1211"/>
      <c r="BF9" s="1211"/>
      <c r="BG9" s="1211"/>
      <c r="BH9" s="1212"/>
      <c r="BI9" s="1210">
        <v>42339</v>
      </c>
      <c r="BJ9" s="1211"/>
      <c r="BK9" s="1211"/>
      <c r="BL9" s="1211"/>
      <c r="BM9" s="1212"/>
      <c r="BN9" s="1210">
        <v>42370</v>
      </c>
      <c r="BO9" s="1211"/>
      <c r="BP9" s="1211"/>
      <c r="BQ9" s="1211"/>
      <c r="BR9" s="1212"/>
      <c r="BS9" s="1210">
        <v>42401</v>
      </c>
      <c r="BT9" s="1211"/>
      <c r="BU9" s="1211"/>
      <c r="BV9" s="1211"/>
      <c r="BW9" s="1212"/>
      <c r="BX9" s="1210">
        <v>42430</v>
      </c>
      <c r="BY9" s="1211"/>
      <c r="BZ9" s="1211"/>
      <c r="CA9" s="1211"/>
      <c r="CB9" s="1212"/>
      <c r="CC9" s="1210">
        <v>42461</v>
      </c>
      <c r="CD9" s="1211"/>
      <c r="CE9" s="1211"/>
      <c r="CF9" s="1211"/>
      <c r="CG9" s="1212"/>
      <c r="CH9" s="1210">
        <v>42491</v>
      </c>
      <c r="CI9" s="1211"/>
      <c r="CJ9" s="1211"/>
      <c r="CK9" s="1211"/>
      <c r="CL9" s="1212"/>
      <c r="CM9" s="1210">
        <v>42522</v>
      </c>
      <c r="CN9" s="1211"/>
      <c r="CO9" s="1211"/>
      <c r="CP9" s="1211"/>
      <c r="CQ9" s="1212"/>
      <c r="CR9" s="1210">
        <v>42552</v>
      </c>
      <c r="CS9" s="1211"/>
      <c r="CT9" s="1211"/>
      <c r="CU9" s="1211"/>
      <c r="CV9" s="1212"/>
      <c r="CW9" s="1210">
        <v>42583</v>
      </c>
      <c r="CX9" s="1211"/>
      <c r="CY9" s="1211"/>
      <c r="CZ9" s="1211"/>
      <c r="DA9" s="1212"/>
      <c r="DB9" s="1210">
        <v>42614</v>
      </c>
      <c r="DC9" s="1211"/>
      <c r="DD9" s="1211"/>
      <c r="DE9" s="1211"/>
      <c r="DF9" s="1212"/>
      <c r="DG9" s="1210">
        <v>42644</v>
      </c>
      <c r="DH9" s="1211"/>
      <c r="DI9" s="1211"/>
      <c r="DJ9" s="1211"/>
      <c r="DK9" s="1212"/>
      <c r="DL9" s="1210">
        <v>42675</v>
      </c>
      <c r="DM9" s="1211"/>
      <c r="DN9" s="1211"/>
      <c r="DO9" s="1211"/>
      <c r="DP9" s="1212"/>
      <c r="DQ9" s="1210">
        <v>42705</v>
      </c>
      <c r="DR9" s="1211"/>
      <c r="DS9" s="1211"/>
      <c r="DT9" s="1211"/>
      <c r="DU9" s="1212"/>
      <c r="DV9" s="1210">
        <v>42736</v>
      </c>
      <c r="DW9" s="1211"/>
      <c r="DX9" s="1211"/>
      <c r="DY9" s="1211"/>
      <c r="DZ9" s="1212"/>
      <c r="EA9" s="1210">
        <v>42767</v>
      </c>
      <c r="EB9" s="1211"/>
      <c r="EC9" s="1211"/>
      <c r="ED9" s="1211"/>
      <c r="EE9" s="1212"/>
      <c r="EF9" s="1210">
        <v>42795</v>
      </c>
      <c r="EG9" s="1211"/>
      <c r="EH9" s="1211"/>
      <c r="EI9" s="1211"/>
      <c r="EJ9" s="1212"/>
      <c r="EK9" s="1210">
        <v>42826</v>
      </c>
      <c r="EL9" s="1211"/>
      <c r="EM9" s="1211"/>
      <c r="EN9" s="1211"/>
      <c r="EO9" s="1212"/>
    </row>
    <row r="10" spans="1:172" x14ac:dyDescent="0.25">
      <c r="A10" s="37"/>
      <c r="B10" s="37"/>
      <c r="G10" s="1155" t="s">
        <v>523</v>
      </c>
      <c r="H10" s="1156"/>
      <c r="I10" s="1156"/>
      <c r="J10" s="1157">
        <v>43008</v>
      </c>
      <c r="K10" s="1157"/>
      <c r="L10" s="1157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AA10" s="133"/>
      <c r="AC10" s="133"/>
      <c r="AD10" s="29"/>
      <c r="AE10" s="29"/>
      <c r="AF10" s="11"/>
      <c r="AG10" s="11"/>
      <c r="AH10" s="29"/>
      <c r="AI10" s="29"/>
      <c r="AJ10" s="11"/>
      <c r="AK10" s="11"/>
      <c r="AL10" s="29"/>
      <c r="AM10" s="29"/>
      <c r="AN10" s="11"/>
      <c r="AO10" s="11"/>
      <c r="AP10" s="29"/>
      <c r="AQ10" s="29"/>
      <c r="AR10" s="11"/>
      <c r="AS10" s="11"/>
      <c r="AT10" s="29"/>
      <c r="AU10" s="29"/>
      <c r="AV10" s="11"/>
      <c r="AW10" s="11"/>
      <c r="AY10" s="1213"/>
      <c r="AZ10" s="1214"/>
      <c r="BA10" s="1214"/>
      <c r="BB10" s="1214"/>
      <c r="BC10" s="1215"/>
      <c r="BD10" s="1213"/>
      <c r="BE10" s="1214"/>
      <c r="BF10" s="1214"/>
      <c r="BG10" s="1214"/>
      <c r="BH10" s="1215"/>
      <c r="BI10" s="1213"/>
      <c r="BJ10" s="1214"/>
      <c r="BK10" s="1214"/>
      <c r="BL10" s="1214"/>
      <c r="BM10" s="1215"/>
      <c r="BN10" s="1213"/>
      <c r="BO10" s="1214"/>
      <c r="BP10" s="1214"/>
      <c r="BQ10" s="1214"/>
      <c r="BR10" s="1215"/>
      <c r="BS10" s="1213"/>
      <c r="BT10" s="1214"/>
      <c r="BU10" s="1214"/>
      <c r="BV10" s="1214"/>
      <c r="BW10" s="1215"/>
      <c r="BX10" s="1213"/>
      <c r="BY10" s="1214"/>
      <c r="BZ10" s="1214"/>
      <c r="CA10" s="1214"/>
      <c r="CB10" s="1215"/>
      <c r="CC10" s="1213"/>
      <c r="CD10" s="1214"/>
      <c r="CE10" s="1214"/>
      <c r="CF10" s="1214"/>
      <c r="CG10" s="1215"/>
      <c r="CH10" s="1213"/>
      <c r="CI10" s="1214"/>
      <c r="CJ10" s="1214"/>
      <c r="CK10" s="1214"/>
      <c r="CL10" s="1215"/>
      <c r="CM10" s="1213"/>
      <c r="CN10" s="1214"/>
      <c r="CO10" s="1214"/>
      <c r="CP10" s="1214"/>
      <c r="CQ10" s="1215"/>
      <c r="CR10" s="1213"/>
      <c r="CS10" s="1214"/>
      <c r="CT10" s="1214"/>
      <c r="CU10" s="1214"/>
      <c r="CV10" s="1215"/>
      <c r="CW10" s="1213"/>
      <c r="CX10" s="1214"/>
      <c r="CY10" s="1214"/>
      <c r="CZ10" s="1214"/>
      <c r="DA10" s="1215"/>
      <c r="DB10" s="1213"/>
      <c r="DC10" s="1214"/>
      <c r="DD10" s="1214"/>
      <c r="DE10" s="1214"/>
      <c r="DF10" s="1215"/>
      <c r="DG10" s="1213"/>
      <c r="DH10" s="1214"/>
      <c r="DI10" s="1214"/>
      <c r="DJ10" s="1214"/>
      <c r="DK10" s="1215"/>
      <c r="DL10" s="1213"/>
      <c r="DM10" s="1214"/>
      <c r="DN10" s="1214"/>
      <c r="DO10" s="1214"/>
      <c r="DP10" s="1215"/>
      <c r="DQ10" s="1213"/>
      <c r="DR10" s="1214"/>
      <c r="DS10" s="1214"/>
      <c r="DT10" s="1214"/>
      <c r="DU10" s="1215"/>
      <c r="DV10" s="1213"/>
      <c r="DW10" s="1214"/>
      <c r="DX10" s="1214"/>
      <c r="DY10" s="1214"/>
      <c r="DZ10" s="1215"/>
      <c r="EA10" s="1213"/>
      <c r="EB10" s="1214"/>
      <c r="EC10" s="1214"/>
      <c r="ED10" s="1214"/>
      <c r="EE10" s="1215"/>
      <c r="EF10" s="1213"/>
      <c r="EG10" s="1214"/>
      <c r="EH10" s="1214"/>
      <c r="EI10" s="1214"/>
      <c r="EJ10" s="1215"/>
      <c r="EK10" s="1213"/>
      <c r="EL10" s="1214"/>
      <c r="EM10" s="1214"/>
      <c r="EN10" s="1214"/>
      <c r="EO10" s="1215"/>
    </row>
    <row r="11" spans="1:172" ht="36" customHeight="1" thickBot="1" x14ac:dyDescent="0.3">
      <c r="C11" s="385" t="s">
        <v>638</v>
      </c>
      <c r="D11" s="386" t="s">
        <v>637</v>
      </c>
      <c r="E11" s="78" t="s">
        <v>530</v>
      </c>
      <c r="F11" s="78" t="s">
        <v>529</v>
      </c>
      <c r="G11" s="114" t="s">
        <v>0</v>
      </c>
      <c r="H11" s="22" t="s">
        <v>524</v>
      </c>
      <c r="I11" s="110" t="s">
        <v>1</v>
      </c>
      <c r="J11" s="110" t="s">
        <v>2</v>
      </c>
      <c r="K11" s="110" t="s">
        <v>3</v>
      </c>
      <c r="L11" s="110" t="s">
        <v>4</v>
      </c>
      <c r="M11" s="85"/>
      <c r="N11" s="54" t="s">
        <v>520</v>
      </c>
      <c r="O11" s="54" t="s">
        <v>525</v>
      </c>
      <c r="P11" s="85"/>
      <c r="Q11" s="62" t="s">
        <v>587</v>
      </c>
      <c r="R11" s="85"/>
      <c r="S11" s="105" t="s">
        <v>522</v>
      </c>
      <c r="T11" s="85"/>
      <c r="U11" s="1140" t="s">
        <v>588</v>
      </c>
      <c r="V11" s="1141"/>
      <c r="W11" s="85"/>
      <c r="X11" s="62" t="s">
        <v>593</v>
      </c>
      <c r="Y11" s="85"/>
      <c r="Z11" s="54" t="s">
        <v>23</v>
      </c>
      <c r="AA11" s="85"/>
      <c r="AB11" s="448" t="s">
        <v>594</v>
      </c>
      <c r="AC11" s="85"/>
      <c r="AD11" s="55" t="s">
        <v>533</v>
      </c>
      <c r="AE11" s="56" t="s">
        <v>535</v>
      </c>
      <c r="AF11" s="56" t="s">
        <v>581</v>
      </c>
      <c r="AG11" s="56" t="s">
        <v>556</v>
      </c>
      <c r="AH11" s="57" t="s">
        <v>533</v>
      </c>
      <c r="AI11" s="58" t="s">
        <v>535</v>
      </c>
      <c r="AJ11" s="58" t="s">
        <v>581</v>
      </c>
      <c r="AK11" s="58" t="s">
        <v>556</v>
      </c>
      <c r="AL11" s="140" t="s">
        <v>533</v>
      </c>
      <c r="AM11" s="141" t="s">
        <v>535</v>
      </c>
      <c r="AN11" s="141" t="s">
        <v>581</v>
      </c>
      <c r="AO11" s="141" t="s">
        <v>556</v>
      </c>
      <c r="AP11" s="449" t="s">
        <v>533</v>
      </c>
      <c r="AQ11" s="450" t="s">
        <v>535</v>
      </c>
      <c r="AR11" s="450" t="s">
        <v>581</v>
      </c>
      <c r="AS11" s="450" t="s">
        <v>556</v>
      </c>
      <c r="AT11" s="57" t="s">
        <v>533</v>
      </c>
      <c r="AU11" s="58" t="s">
        <v>535</v>
      </c>
      <c r="AV11" s="58" t="s">
        <v>581</v>
      </c>
      <c r="AW11" s="58" t="s">
        <v>556</v>
      </c>
      <c r="AX11" s="451"/>
      <c r="AY11" s="452" t="s">
        <v>22</v>
      </c>
      <c r="AZ11" s="452" t="s">
        <v>23</v>
      </c>
      <c r="BA11" s="452" t="s">
        <v>24</v>
      </c>
      <c r="BB11" s="452" t="s">
        <v>25</v>
      </c>
      <c r="BC11" s="452" t="s">
        <v>26</v>
      </c>
      <c r="BD11" s="452" t="s">
        <v>22</v>
      </c>
      <c r="BE11" s="452" t="s">
        <v>23</v>
      </c>
      <c r="BF11" s="452" t="s">
        <v>24</v>
      </c>
      <c r="BG11" s="452" t="s">
        <v>25</v>
      </c>
      <c r="BH11" s="452" t="s">
        <v>26</v>
      </c>
      <c r="BI11" s="452" t="s">
        <v>22</v>
      </c>
      <c r="BJ11" s="452" t="s">
        <v>23</v>
      </c>
      <c r="BK11" s="452" t="s">
        <v>24</v>
      </c>
      <c r="BL11" s="452" t="s">
        <v>25</v>
      </c>
      <c r="BM11" s="452" t="s">
        <v>26</v>
      </c>
      <c r="BN11" s="452" t="s">
        <v>22</v>
      </c>
      <c r="BO11" s="452" t="s">
        <v>23</v>
      </c>
      <c r="BP11" s="452" t="s">
        <v>24</v>
      </c>
      <c r="BQ11" s="452" t="s">
        <v>25</v>
      </c>
      <c r="BR11" s="452" t="s">
        <v>26</v>
      </c>
      <c r="BS11" s="452" t="s">
        <v>22</v>
      </c>
      <c r="BT11" s="452" t="s">
        <v>23</v>
      </c>
      <c r="BU11" s="452" t="s">
        <v>24</v>
      </c>
      <c r="BV11" s="452" t="s">
        <v>25</v>
      </c>
      <c r="BW11" s="452" t="s">
        <v>26</v>
      </c>
      <c r="BX11" s="452" t="s">
        <v>22</v>
      </c>
      <c r="BY11" s="452" t="s">
        <v>23</v>
      </c>
      <c r="BZ11" s="452" t="s">
        <v>24</v>
      </c>
      <c r="CA11" s="452" t="s">
        <v>25</v>
      </c>
      <c r="CB11" s="452" t="s">
        <v>26</v>
      </c>
      <c r="CC11" s="452" t="s">
        <v>22</v>
      </c>
      <c r="CD11" s="452" t="s">
        <v>23</v>
      </c>
      <c r="CE11" s="452" t="s">
        <v>24</v>
      </c>
      <c r="CF11" s="452" t="s">
        <v>25</v>
      </c>
      <c r="CG11" s="452" t="s">
        <v>26</v>
      </c>
      <c r="CH11" s="452" t="s">
        <v>22</v>
      </c>
      <c r="CI11" s="452" t="s">
        <v>23</v>
      </c>
      <c r="CJ11" s="452" t="s">
        <v>24</v>
      </c>
      <c r="CK11" s="452" t="s">
        <v>25</v>
      </c>
      <c r="CL11" s="452" t="s">
        <v>26</v>
      </c>
      <c r="CM11" s="452" t="s">
        <v>22</v>
      </c>
      <c r="CN11" s="452" t="s">
        <v>23</v>
      </c>
      <c r="CO11" s="452" t="s">
        <v>24</v>
      </c>
      <c r="CP11" s="452" t="s">
        <v>25</v>
      </c>
      <c r="CQ11" s="452" t="s">
        <v>26</v>
      </c>
      <c r="CR11" s="452" t="s">
        <v>22</v>
      </c>
      <c r="CS11" s="452" t="s">
        <v>23</v>
      </c>
      <c r="CT11" s="452" t="s">
        <v>24</v>
      </c>
      <c r="CU11" s="452" t="s">
        <v>25</v>
      </c>
      <c r="CV11" s="452" t="s">
        <v>26</v>
      </c>
      <c r="CW11" s="452" t="s">
        <v>22</v>
      </c>
      <c r="CX11" s="452" t="s">
        <v>23</v>
      </c>
      <c r="CY11" s="452" t="s">
        <v>24</v>
      </c>
      <c r="CZ11" s="452" t="s">
        <v>25</v>
      </c>
      <c r="DA11" s="452" t="s">
        <v>26</v>
      </c>
      <c r="DB11" s="452" t="s">
        <v>22</v>
      </c>
      <c r="DC11" s="452" t="s">
        <v>23</v>
      </c>
      <c r="DD11" s="452" t="s">
        <v>24</v>
      </c>
      <c r="DE11" s="452" t="s">
        <v>25</v>
      </c>
      <c r="DF11" s="452" t="s">
        <v>26</v>
      </c>
      <c r="DG11" s="452" t="s">
        <v>22</v>
      </c>
      <c r="DH11" s="452" t="s">
        <v>23</v>
      </c>
      <c r="DI11" s="452" t="s">
        <v>24</v>
      </c>
      <c r="DJ11" s="452" t="s">
        <v>25</v>
      </c>
      <c r="DK11" s="452" t="s">
        <v>26</v>
      </c>
      <c r="DL11" s="452" t="s">
        <v>22</v>
      </c>
      <c r="DM11" s="452" t="s">
        <v>23</v>
      </c>
      <c r="DN11" s="452" t="s">
        <v>24</v>
      </c>
      <c r="DO11" s="452" t="s">
        <v>25</v>
      </c>
      <c r="DP11" s="452" t="s">
        <v>26</v>
      </c>
      <c r="DQ11" s="452" t="s">
        <v>22</v>
      </c>
      <c r="DR11" s="452" t="s">
        <v>23</v>
      </c>
      <c r="DS11" s="452" t="s">
        <v>24</v>
      </c>
      <c r="DT11" s="452" t="s">
        <v>25</v>
      </c>
      <c r="DU11" s="452" t="s">
        <v>26</v>
      </c>
      <c r="DV11" s="452" t="s">
        <v>22</v>
      </c>
      <c r="DW11" s="452" t="s">
        <v>23</v>
      </c>
      <c r="DX11" s="452" t="s">
        <v>24</v>
      </c>
      <c r="DY11" s="452" t="s">
        <v>25</v>
      </c>
      <c r="DZ11" s="452" t="s">
        <v>26</v>
      </c>
      <c r="EA11" s="452" t="s">
        <v>22</v>
      </c>
      <c r="EB11" s="452" t="s">
        <v>23</v>
      </c>
      <c r="EC11" s="452" t="s">
        <v>24</v>
      </c>
      <c r="ED11" s="452" t="s">
        <v>25</v>
      </c>
      <c r="EE11" s="452" t="s">
        <v>26</v>
      </c>
      <c r="EF11" s="452" t="s">
        <v>22</v>
      </c>
      <c r="EG11" s="452" t="s">
        <v>23</v>
      </c>
      <c r="EH11" s="452" t="s">
        <v>24</v>
      </c>
      <c r="EI11" s="452" t="s">
        <v>25</v>
      </c>
      <c r="EJ11" s="452" t="s">
        <v>26</v>
      </c>
      <c r="EK11" s="452" t="s">
        <v>22</v>
      </c>
      <c r="EL11" s="452" t="s">
        <v>23</v>
      </c>
      <c r="EM11" s="452" t="s">
        <v>24</v>
      </c>
      <c r="EN11" s="452" t="s">
        <v>25</v>
      </c>
      <c r="EO11" s="452" t="s">
        <v>26</v>
      </c>
    </row>
    <row r="12" spans="1:172" s="455" customFormat="1" ht="5.25" customHeight="1" x14ac:dyDescent="0.25">
      <c r="A12" s="37"/>
      <c r="B12" s="37"/>
      <c r="C12" s="18"/>
      <c r="D12" s="18"/>
      <c r="E12" s="24"/>
      <c r="F12" s="24"/>
      <c r="G12" s="453"/>
      <c r="H12" s="454"/>
      <c r="M12" s="59"/>
      <c r="N12" s="454"/>
      <c r="P12" s="59"/>
      <c r="Q12" s="454"/>
      <c r="R12" s="59"/>
      <c r="T12" s="59"/>
      <c r="U12" s="59"/>
      <c r="V12" s="59"/>
      <c r="W12" s="59"/>
      <c r="X12" s="59"/>
      <c r="Z12" s="454"/>
      <c r="AA12" s="59"/>
      <c r="AC12" s="59"/>
      <c r="AD12" s="456"/>
      <c r="AE12" s="456"/>
      <c r="AF12" s="457"/>
      <c r="AG12" s="457"/>
      <c r="AH12" s="456"/>
      <c r="AI12" s="456"/>
      <c r="AJ12" s="457"/>
      <c r="AK12" s="457"/>
      <c r="AL12" s="456"/>
      <c r="AM12" s="456"/>
      <c r="AN12" s="457"/>
      <c r="AO12" s="457"/>
      <c r="AP12" s="456"/>
      <c r="AQ12" s="456"/>
      <c r="AR12" s="457"/>
      <c r="AS12" s="457"/>
      <c r="AT12" s="456"/>
      <c r="AU12" s="456"/>
      <c r="AV12" s="457"/>
      <c r="AW12" s="457"/>
      <c r="AX12" s="59"/>
      <c r="AY12" s="458"/>
      <c r="AZ12" s="459"/>
      <c r="BA12" s="458"/>
      <c r="BB12" s="458"/>
      <c r="BC12" s="458"/>
      <c r="BD12" s="458"/>
      <c r="BE12" s="458"/>
      <c r="BF12" s="458"/>
      <c r="BG12" s="458"/>
      <c r="BH12" s="458"/>
      <c r="BI12" s="458"/>
      <c r="BJ12" s="458"/>
      <c r="BK12" s="458"/>
      <c r="BL12" s="458"/>
      <c r="BM12" s="458"/>
      <c r="BN12" s="458"/>
      <c r="BO12" s="458"/>
      <c r="BP12" s="458"/>
      <c r="BQ12" s="458"/>
      <c r="BR12" s="458"/>
      <c r="BS12" s="458"/>
      <c r="BT12" s="458"/>
      <c r="BU12" s="458"/>
      <c r="BV12" s="458"/>
      <c r="BW12" s="458"/>
      <c r="BX12" s="458"/>
      <c r="BY12" s="458"/>
      <c r="BZ12" s="458"/>
      <c r="CA12" s="458"/>
      <c r="CB12" s="458"/>
      <c r="CC12" s="458"/>
      <c r="CD12" s="458"/>
      <c r="CE12" s="458"/>
      <c r="CF12" s="458"/>
      <c r="CG12" s="458"/>
      <c r="CH12" s="458"/>
      <c r="CI12" s="458"/>
      <c r="CJ12" s="458"/>
      <c r="CK12" s="458"/>
      <c r="CL12" s="458"/>
      <c r="CM12" s="458"/>
      <c r="CN12" s="458"/>
      <c r="CO12" s="458"/>
      <c r="CP12" s="458"/>
      <c r="CQ12" s="458"/>
      <c r="CR12" s="458"/>
      <c r="CS12" s="458"/>
      <c r="CT12" s="458"/>
      <c r="CU12" s="458"/>
      <c r="CV12" s="458"/>
      <c r="CW12" s="458"/>
      <c r="CX12" s="458"/>
      <c r="CY12" s="458"/>
      <c r="CZ12" s="458"/>
      <c r="DA12" s="458"/>
      <c r="DB12" s="458"/>
      <c r="DC12" s="458"/>
      <c r="DD12" s="458"/>
      <c r="DE12" s="458"/>
      <c r="DF12" s="458"/>
      <c r="DG12" s="458"/>
      <c r="DH12" s="458"/>
      <c r="DI12" s="458"/>
      <c r="DJ12" s="458"/>
      <c r="DK12" s="458"/>
      <c r="DL12" s="458"/>
      <c r="DM12" s="458"/>
      <c r="DN12" s="458"/>
      <c r="DO12" s="458"/>
      <c r="DP12" s="458"/>
      <c r="DQ12" s="458"/>
      <c r="DR12" s="458"/>
      <c r="DS12" s="458"/>
      <c r="DT12" s="458"/>
      <c r="DU12" s="458"/>
      <c r="DV12" s="458"/>
      <c r="DW12" s="458"/>
      <c r="DX12" s="458"/>
      <c r="DY12" s="458"/>
      <c r="DZ12" s="458"/>
      <c r="EA12" s="458"/>
      <c r="EB12" s="458"/>
      <c r="EC12" s="458"/>
      <c r="ED12" s="458"/>
      <c r="EE12" s="458"/>
      <c r="EF12" s="458"/>
      <c r="EG12" s="458"/>
      <c r="EH12" s="458"/>
      <c r="EI12" s="458"/>
      <c r="EJ12" s="458"/>
      <c r="EK12" s="458"/>
      <c r="EL12" s="458"/>
      <c r="EM12" s="458"/>
      <c r="EN12" s="458"/>
      <c r="EO12" s="458"/>
      <c r="EP12" s="458"/>
      <c r="EQ12" s="458"/>
      <c r="ER12" s="458"/>
      <c r="ES12" s="458"/>
      <c r="ET12" s="458"/>
      <c r="EU12" s="458"/>
    </row>
    <row r="13" spans="1:172" s="12" customFormat="1" ht="13.5" outlineLevel="1" x14ac:dyDescent="0.25">
      <c r="A13" s="37"/>
      <c r="B13" s="37"/>
      <c r="C13" s="460"/>
      <c r="D13" s="460"/>
      <c r="E13" s="27"/>
      <c r="F13" s="461"/>
      <c r="G13" s="462">
        <f>SUM($G$15:$G$27)</f>
        <v>334525</v>
      </c>
      <c r="H13" s="463">
        <f>$G$13/$G$2</f>
        <v>0.6629731877609828</v>
      </c>
      <c r="I13" s="464"/>
      <c r="K13" s="465"/>
      <c r="L13" s="466"/>
      <c r="M13" s="460"/>
      <c r="N13" s="464"/>
      <c r="O13" s="467"/>
      <c r="P13" s="467"/>
      <c r="Q13" s="95"/>
      <c r="R13" s="13"/>
      <c r="S13" s="466"/>
      <c r="T13" s="466"/>
      <c r="U13" s="89" t="s">
        <v>589</v>
      </c>
      <c r="V13" s="88" t="s">
        <v>554</v>
      </c>
      <c r="W13" s="468"/>
      <c r="X13" s="468"/>
      <c r="Z13" s="95"/>
      <c r="AA13" s="460"/>
      <c r="AB13" s="29"/>
      <c r="AC13" s="460"/>
      <c r="AD13" s="469"/>
      <c r="AE13" s="470"/>
      <c r="AH13" s="470"/>
      <c r="AI13" s="470"/>
      <c r="AL13" s="470"/>
      <c r="AM13" s="470"/>
      <c r="AP13" s="470"/>
      <c r="AQ13" s="470"/>
      <c r="AT13" s="470"/>
      <c r="AU13" s="470"/>
      <c r="AX13" s="460"/>
      <c r="AY13" s="439"/>
      <c r="AZ13" s="471"/>
      <c r="BA13" s="472"/>
      <c r="BB13" s="472"/>
      <c r="BC13" s="473"/>
      <c r="BD13" s="473"/>
      <c r="BE13" s="472"/>
      <c r="BF13" s="472"/>
      <c r="BG13" s="473"/>
      <c r="BH13" s="473"/>
      <c r="BI13" s="472"/>
      <c r="BJ13" s="472"/>
      <c r="BK13" s="473"/>
      <c r="BL13" s="473"/>
      <c r="BM13" s="439"/>
      <c r="BN13" s="439"/>
      <c r="BO13" s="439"/>
      <c r="BP13" s="439"/>
      <c r="BQ13" s="439"/>
      <c r="BR13" s="439"/>
      <c r="BS13" s="439"/>
      <c r="BT13" s="439"/>
      <c r="BU13" s="439"/>
      <c r="BV13" s="439"/>
      <c r="BW13" s="439"/>
      <c r="BX13" s="439"/>
      <c r="BY13" s="439"/>
      <c r="BZ13" s="439"/>
      <c r="CA13" s="439"/>
      <c r="CB13" s="439"/>
      <c r="CC13" s="439"/>
      <c r="CD13" s="439"/>
      <c r="CE13" s="439"/>
      <c r="CF13" s="439"/>
      <c r="CG13" s="439"/>
      <c r="CH13" s="439"/>
      <c r="CI13" s="439"/>
      <c r="CJ13" s="439"/>
      <c r="CK13" s="439"/>
      <c r="CL13" s="439"/>
      <c r="CM13" s="439"/>
      <c r="CN13" s="439"/>
      <c r="CO13" s="439"/>
      <c r="CP13" s="439"/>
      <c r="CQ13" s="439"/>
      <c r="CR13" s="439"/>
      <c r="CS13" s="439"/>
      <c r="CT13" s="439"/>
      <c r="CU13" s="439"/>
      <c r="CV13" s="439"/>
      <c r="CW13" s="439"/>
      <c r="CX13" s="439"/>
      <c r="CY13" s="439"/>
      <c r="CZ13" s="439"/>
      <c r="DA13" s="439"/>
      <c r="DB13" s="439"/>
      <c r="DC13" s="439"/>
      <c r="DD13" s="439"/>
      <c r="DE13" s="439"/>
      <c r="DF13" s="439"/>
      <c r="DG13" s="439"/>
      <c r="DH13" s="439"/>
      <c r="DI13" s="439"/>
      <c r="DJ13" s="439"/>
      <c r="DK13" s="439"/>
      <c r="DL13" s="439"/>
      <c r="DM13" s="439"/>
      <c r="DN13" s="439"/>
      <c r="DO13" s="439"/>
      <c r="DP13" s="439"/>
      <c r="DQ13" s="439"/>
      <c r="DR13" s="439"/>
      <c r="DS13" s="439"/>
      <c r="DT13" s="439"/>
      <c r="DU13" s="439"/>
      <c r="DV13" s="439"/>
      <c r="DW13" s="439"/>
      <c r="DX13" s="439"/>
      <c r="DY13" s="439"/>
      <c r="DZ13" s="439"/>
      <c r="EA13" s="439"/>
      <c r="EB13" s="439"/>
      <c r="EC13" s="439"/>
      <c r="ED13" s="439"/>
      <c r="EE13" s="439"/>
      <c r="EF13" s="439"/>
      <c r="EG13" s="439"/>
      <c r="EH13" s="439"/>
      <c r="EI13" s="439"/>
      <c r="EJ13" s="439"/>
      <c r="EK13" s="439"/>
      <c r="EL13" s="439"/>
      <c r="EM13" s="439"/>
      <c r="EN13" s="439"/>
      <c r="EO13" s="439"/>
      <c r="EP13" s="439"/>
      <c r="EQ13" s="439"/>
      <c r="ER13" s="439"/>
      <c r="ES13" s="439"/>
      <c r="ET13" s="439"/>
      <c r="EU13" s="439"/>
    </row>
    <row r="14" spans="1:172" s="455" customFormat="1" ht="5.25" customHeight="1" thickBot="1" x14ac:dyDescent="0.3">
      <c r="A14" s="37"/>
      <c r="B14" s="37"/>
      <c r="C14" s="18"/>
      <c r="D14" s="18"/>
      <c r="E14" s="24"/>
      <c r="F14" s="24"/>
      <c r="G14" s="453"/>
      <c r="H14" s="454"/>
      <c r="M14" s="59"/>
      <c r="N14" s="454"/>
      <c r="P14" s="59"/>
      <c r="Q14" s="454"/>
      <c r="R14" s="59"/>
      <c r="T14" s="59"/>
      <c r="U14" s="59"/>
      <c r="V14" s="59"/>
      <c r="W14" s="59"/>
      <c r="X14" s="59"/>
      <c r="Z14" s="454"/>
      <c r="AA14" s="59"/>
      <c r="AC14" s="59"/>
      <c r="AD14" s="474"/>
      <c r="AE14" s="475"/>
      <c r="AF14" s="475"/>
      <c r="AG14" s="475"/>
      <c r="AH14" s="475"/>
      <c r="AI14" s="475"/>
      <c r="AJ14" s="475"/>
      <c r="AK14" s="475"/>
      <c r="AL14" s="475"/>
      <c r="AM14" s="475"/>
      <c r="AN14" s="475"/>
      <c r="AO14" s="475"/>
      <c r="AP14" s="475"/>
      <c r="AQ14" s="475"/>
      <c r="AR14" s="475"/>
      <c r="AS14" s="475"/>
      <c r="AT14" s="475"/>
      <c r="AU14" s="475"/>
      <c r="AV14" s="475"/>
      <c r="AW14" s="475"/>
      <c r="AX14" s="59"/>
      <c r="AY14" s="458"/>
      <c r="AZ14" s="459"/>
      <c r="BA14" s="458"/>
      <c r="BB14" s="458"/>
      <c r="BC14" s="458"/>
      <c r="BD14" s="458"/>
      <c r="BE14" s="458"/>
      <c r="BF14" s="458"/>
      <c r="BG14" s="458"/>
      <c r="BH14" s="458"/>
      <c r="BI14" s="458"/>
      <c r="BJ14" s="458"/>
      <c r="BK14" s="458"/>
      <c r="BL14" s="458"/>
      <c r="BM14" s="458"/>
      <c r="BN14" s="458"/>
      <c r="BO14" s="458"/>
      <c r="BP14" s="458"/>
      <c r="BQ14" s="458"/>
      <c r="BR14" s="458"/>
      <c r="BS14" s="458"/>
      <c r="BT14" s="458"/>
      <c r="BU14" s="458"/>
      <c r="BV14" s="458"/>
      <c r="BW14" s="458"/>
      <c r="BX14" s="458"/>
      <c r="BY14" s="458"/>
      <c r="BZ14" s="458"/>
      <c r="CA14" s="458"/>
      <c r="CB14" s="458"/>
      <c r="CC14" s="458"/>
      <c r="CD14" s="458"/>
      <c r="CE14" s="458"/>
      <c r="CF14" s="458"/>
      <c r="CG14" s="458"/>
      <c r="CH14" s="458"/>
      <c r="CI14" s="458"/>
      <c r="CJ14" s="458"/>
      <c r="CK14" s="458"/>
      <c r="CL14" s="458"/>
      <c r="CM14" s="458"/>
      <c r="CN14" s="458"/>
      <c r="CO14" s="458"/>
      <c r="CP14" s="458"/>
      <c r="CQ14" s="458"/>
      <c r="CR14" s="458"/>
      <c r="CS14" s="458"/>
      <c r="CT14" s="458"/>
      <c r="CU14" s="458"/>
      <c r="CV14" s="458"/>
      <c r="CW14" s="458"/>
      <c r="CX14" s="458"/>
      <c r="CY14" s="458"/>
      <c r="CZ14" s="458"/>
      <c r="DA14" s="458"/>
      <c r="DB14" s="458"/>
      <c r="DC14" s="458"/>
      <c r="DD14" s="458"/>
      <c r="DE14" s="458"/>
      <c r="DF14" s="458"/>
      <c r="DG14" s="458"/>
      <c r="DH14" s="458"/>
      <c r="DI14" s="458"/>
      <c r="DJ14" s="458"/>
      <c r="DK14" s="458"/>
      <c r="DL14" s="458"/>
      <c r="DM14" s="458"/>
      <c r="DN14" s="458"/>
      <c r="DO14" s="458"/>
      <c r="DP14" s="458"/>
      <c r="DQ14" s="458"/>
      <c r="DR14" s="458"/>
      <c r="DS14" s="458"/>
      <c r="DT14" s="458"/>
      <c r="DU14" s="458"/>
      <c r="DV14" s="458"/>
      <c r="DW14" s="458"/>
      <c r="DX14" s="458"/>
      <c r="DY14" s="458"/>
      <c r="DZ14" s="458"/>
      <c r="EA14" s="458"/>
      <c r="EB14" s="458"/>
      <c r="EC14" s="458"/>
      <c r="ED14" s="458"/>
      <c r="EE14" s="458"/>
      <c r="EF14" s="458"/>
      <c r="EG14" s="458"/>
      <c r="EH14" s="458"/>
      <c r="EI14" s="458"/>
      <c r="EJ14" s="458"/>
      <c r="EK14" s="458"/>
      <c r="EL14" s="458"/>
      <c r="EM14" s="458"/>
      <c r="EN14" s="458"/>
      <c r="EO14" s="458"/>
      <c r="EP14" s="458"/>
      <c r="EQ14" s="458"/>
      <c r="ER14" s="458"/>
      <c r="ES14" s="458"/>
      <c r="ET14" s="458"/>
      <c r="EU14" s="458"/>
    </row>
    <row r="15" spans="1:172" ht="18" customHeight="1" x14ac:dyDescent="0.25">
      <c r="A15" s="36">
        <v>1</v>
      </c>
      <c r="B15" s="36">
        <v>1</v>
      </c>
      <c r="C15" s="1070" t="s">
        <v>1239</v>
      </c>
      <c r="D15" s="1071" t="s">
        <v>1246</v>
      </c>
      <c r="E15" s="476" t="s">
        <v>580</v>
      </c>
      <c r="F15" s="477"/>
      <c r="G15" s="478">
        <v>79094</v>
      </c>
      <c r="H15" s="479">
        <f t="shared" ref="H15:H17" si="0">G15/$G$2</f>
        <v>0.1567512183327619</v>
      </c>
      <c r="I15" s="478">
        <v>52163</v>
      </c>
      <c r="J15" s="478">
        <v>15926.1</v>
      </c>
      <c r="K15" s="480">
        <v>12845.5</v>
      </c>
      <c r="L15" s="68">
        <f>K15/G15</f>
        <v>0.16240802083596734</v>
      </c>
      <c r="M15" s="111"/>
      <c r="N15" s="30">
        <v>36892</v>
      </c>
      <c r="O15" s="142">
        <f t="shared" ref="O15:O36" ca="1" si="1">($G$1-N15)/30.33/12</f>
        <v>17.284866468842733</v>
      </c>
      <c r="P15" s="111"/>
      <c r="Q15" s="481" t="s">
        <v>28</v>
      </c>
      <c r="R15" s="111"/>
      <c r="S15" s="63">
        <f ca="1">(X15-$G$1)/30.33</f>
        <v>21.332014507088694</v>
      </c>
      <c r="T15" s="111"/>
      <c r="U15" s="482" t="s">
        <v>591</v>
      </c>
      <c r="V15" s="66">
        <v>12</v>
      </c>
      <c r="W15" s="111"/>
      <c r="X15" s="308">
        <f>IF(OR(U15="",U15="N"),Q15,EDATE(Q15,V15))</f>
        <v>43830</v>
      </c>
      <c r="Y15" s="111"/>
      <c r="Z15" s="483" t="s">
        <v>519</v>
      </c>
      <c r="AA15" s="111"/>
      <c r="AB15" s="484" t="s">
        <v>665</v>
      </c>
      <c r="AC15" s="111"/>
      <c r="AD15" s="34"/>
      <c r="AE15" s="33" t="s">
        <v>666</v>
      </c>
      <c r="AF15" s="33" t="s">
        <v>667</v>
      </c>
      <c r="AG15" s="485" t="s">
        <v>668</v>
      </c>
      <c r="AH15" s="34"/>
      <c r="AI15" s="33" t="s">
        <v>669</v>
      </c>
      <c r="AJ15" s="33" t="s">
        <v>670</v>
      </c>
      <c r="AK15" s="486" t="s">
        <v>671</v>
      </c>
      <c r="AL15" s="34"/>
      <c r="AM15" s="33" t="s">
        <v>672</v>
      </c>
      <c r="AN15" s="33" t="s">
        <v>673</v>
      </c>
      <c r="AO15" s="487" t="s">
        <v>674</v>
      </c>
      <c r="AP15" s="34"/>
      <c r="AQ15" s="33" t="s">
        <v>675</v>
      </c>
      <c r="AR15" s="488" t="s">
        <v>676</v>
      </c>
      <c r="AS15" s="487" t="s">
        <v>677</v>
      </c>
      <c r="AT15" s="34"/>
      <c r="AU15" s="33" t="s">
        <v>678</v>
      </c>
      <c r="AV15" s="33" t="s">
        <v>679</v>
      </c>
      <c r="AW15" s="489" t="s">
        <v>680</v>
      </c>
      <c r="AX15" s="490"/>
      <c r="AY15" s="491" t="s">
        <v>10</v>
      </c>
      <c r="AZ15" s="492" t="s">
        <v>11</v>
      </c>
      <c r="BA15" s="493">
        <v>42286</v>
      </c>
      <c r="BB15" s="494" t="s">
        <v>155</v>
      </c>
      <c r="BC15" s="494" t="s">
        <v>156</v>
      </c>
      <c r="BD15" s="495" t="s">
        <v>10</v>
      </c>
      <c r="BE15" s="492" t="s">
        <v>11</v>
      </c>
      <c r="BF15" s="493">
        <v>42325</v>
      </c>
      <c r="BG15" s="494" t="s">
        <v>155</v>
      </c>
      <c r="BH15" s="494" t="s">
        <v>156</v>
      </c>
      <c r="BI15" s="492"/>
      <c r="BJ15" s="492"/>
      <c r="BK15" s="492"/>
      <c r="BL15" s="492"/>
      <c r="BM15" s="492"/>
      <c r="BN15" s="492" t="s">
        <v>10</v>
      </c>
      <c r="BO15" s="492" t="s">
        <v>11</v>
      </c>
      <c r="BP15" s="492" t="s">
        <v>332</v>
      </c>
      <c r="BQ15" s="496" t="s">
        <v>356</v>
      </c>
      <c r="BR15" s="496" t="s">
        <v>358</v>
      </c>
      <c r="BS15" s="492" t="s">
        <v>10</v>
      </c>
      <c r="BT15" s="492" t="s">
        <v>11</v>
      </c>
      <c r="BU15" s="492" t="s">
        <v>400</v>
      </c>
      <c r="BV15" s="496" t="s">
        <v>356</v>
      </c>
      <c r="BW15" s="496" t="s">
        <v>358</v>
      </c>
      <c r="BX15" s="492" t="s">
        <v>10</v>
      </c>
      <c r="BY15" s="492" t="s">
        <v>11</v>
      </c>
      <c r="BZ15" s="492" t="s">
        <v>355</v>
      </c>
      <c r="CA15" s="496" t="s">
        <v>356</v>
      </c>
      <c r="CB15" s="496" t="s">
        <v>358</v>
      </c>
      <c r="CC15" s="492" t="s">
        <v>10</v>
      </c>
      <c r="CD15" s="492" t="s">
        <v>11</v>
      </c>
      <c r="CE15" s="492" t="s">
        <v>375</v>
      </c>
      <c r="CF15" s="496" t="s">
        <v>356</v>
      </c>
      <c r="CG15" s="496" t="s">
        <v>358</v>
      </c>
      <c r="CH15" s="492" t="s">
        <v>10</v>
      </c>
      <c r="CI15" s="492" t="s">
        <v>11</v>
      </c>
      <c r="CJ15" s="492" t="s">
        <v>416</v>
      </c>
      <c r="CK15" s="496" t="s">
        <v>417</v>
      </c>
      <c r="CL15" s="496" t="s">
        <v>418</v>
      </c>
      <c r="CM15" s="492" t="s">
        <v>10</v>
      </c>
      <c r="CN15" s="495" t="s">
        <v>11</v>
      </c>
      <c r="CO15" s="492" t="s">
        <v>435</v>
      </c>
      <c r="CP15" s="496" t="s">
        <v>356</v>
      </c>
      <c r="CQ15" s="496" t="s">
        <v>681</v>
      </c>
      <c r="CR15" s="492" t="s">
        <v>10</v>
      </c>
      <c r="CS15" s="495" t="s">
        <v>11</v>
      </c>
      <c r="CT15" s="492" t="s">
        <v>437</v>
      </c>
      <c r="CU15" s="496" t="s">
        <v>417</v>
      </c>
      <c r="CV15" s="496" t="s">
        <v>436</v>
      </c>
      <c r="CW15" s="497" t="s">
        <v>682</v>
      </c>
      <c r="CX15" s="495" t="s">
        <v>11</v>
      </c>
      <c r="CY15" s="495" t="s">
        <v>683</v>
      </c>
      <c r="CZ15" s="496" t="s">
        <v>684</v>
      </c>
      <c r="DA15" s="496" t="s">
        <v>685</v>
      </c>
      <c r="DB15" s="497" t="s">
        <v>682</v>
      </c>
      <c r="DC15" s="495" t="s">
        <v>11</v>
      </c>
      <c r="DD15" s="492" t="s">
        <v>686</v>
      </c>
      <c r="DE15" s="496" t="s">
        <v>684</v>
      </c>
      <c r="DF15" s="496" t="s">
        <v>685</v>
      </c>
      <c r="DG15" s="497" t="s">
        <v>682</v>
      </c>
      <c r="DH15" s="495" t="s">
        <v>11</v>
      </c>
      <c r="DI15" s="492" t="s">
        <v>687</v>
      </c>
      <c r="DJ15" s="496" t="s">
        <v>684</v>
      </c>
      <c r="DK15" s="496" t="s">
        <v>688</v>
      </c>
      <c r="DL15" s="497" t="s">
        <v>682</v>
      </c>
      <c r="DM15" s="495" t="s">
        <v>11</v>
      </c>
      <c r="DN15" s="492" t="s">
        <v>689</v>
      </c>
      <c r="DO15" s="496" t="s">
        <v>684</v>
      </c>
      <c r="DP15" s="496" t="s">
        <v>690</v>
      </c>
      <c r="DQ15" s="492"/>
      <c r="DR15" s="492"/>
      <c r="DS15" s="492"/>
      <c r="DT15" s="492"/>
      <c r="DU15" s="498"/>
      <c r="DV15" s="492"/>
      <c r="DW15" s="492"/>
      <c r="DX15" s="492"/>
      <c r="DY15" s="492"/>
      <c r="DZ15" s="498"/>
      <c r="EA15" s="492"/>
      <c r="EB15" s="492"/>
      <c r="EC15" s="492"/>
      <c r="ED15" s="492"/>
      <c r="EE15" s="498"/>
      <c r="EF15" s="492"/>
      <c r="EG15" s="492"/>
      <c r="EH15" s="492"/>
      <c r="EI15" s="492"/>
      <c r="EJ15" s="498"/>
      <c r="EK15" s="492"/>
      <c r="EL15" s="492"/>
      <c r="EM15" s="492"/>
      <c r="EN15" s="492"/>
      <c r="EO15" s="498"/>
      <c r="EP15" s="499"/>
      <c r="EQ15" s="499"/>
      <c r="ER15" s="499"/>
      <c r="ES15" s="499"/>
      <c r="ET15" s="499"/>
      <c r="EU15" s="499"/>
      <c r="EV15" s="440"/>
      <c r="EW15" s="440"/>
      <c r="EX15" s="440"/>
      <c r="EY15" s="440"/>
      <c r="EZ15" s="440"/>
      <c r="FA15" s="440"/>
      <c r="FB15" s="440"/>
      <c r="FC15" s="440"/>
      <c r="FD15" s="440"/>
      <c r="FE15" s="440"/>
      <c r="FF15" s="440"/>
      <c r="FG15" s="440"/>
      <c r="FH15" s="440"/>
      <c r="FI15" s="440"/>
      <c r="FJ15" s="440"/>
      <c r="FK15" s="440"/>
      <c r="FL15" s="440"/>
      <c r="FM15" s="440"/>
      <c r="FN15" s="440"/>
      <c r="FO15" s="440"/>
      <c r="FP15" s="440"/>
    </row>
    <row r="16" spans="1:172" ht="18" customHeight="1" x14ac:dyDescent="0.25">
      <c r="A16" s="36">
        <v>2</v>
      </c>
      <c r="C16" s="601" t="s">
        <v>1240</v>
      </c>
      <c r="D16" s="602" t="s">
        <v>1247</v>
      </c>
      <c r="E16" s="500" t="s">
        <v>548</v>
      </c>
      <c r="F16" s="501"/>
      <c r="G16" s="502">
        <v>45000</v>
      </c>
      <c r="H16" s="479">
        <f t="shared" si="0"/>
        <v>8.918255272175242E-2</v>
      </c>
      <c r="I16" s="502">
        <v>25095</v>
      </c>
      <c r="J16" s="502">
        <v>2530.6999999999998</v>
      </c>
      <c r="K16" s="112">
        <v>10000</v>
      </c>
      <c r="L16" s="69">
        <f>K16/G16</f>
        <v>0.22222222222222221</v>
      </c>
      <c r="M16" s="111"/>
      <c r="N16" s="32">
        <v>38353</v>
      </c>
      <c r="O16" s="143">
        <f ca="1">($G$1-N16)/30.33/12</f>
        <v>13.270689086712826</v>
      </c>
      <c r="P16" s="111"/>
      <c r="Q16" s="503" t="s">
        <v>691</v>
      </c>
      <c r="R16" s="111"/>
      <c r="S16" s="64">
        <f ca="1">(X16-$G$1)/30.33</f>
        <v>45.433564127926147</v>
      </c>
      <c r="T16" s="111"/>
      <c r="U16" s="504"/>
      <c r="V16" s="67"/>
      <c r="W16" s="111"/>
      <c r="X16" s="309" t="str">
        <f>IF(OR(U16="",U16="N"),Q16,EDATE(Q16,V16))</f>
        <v>31/12/2021</v>
      </c>
      <c r="Y16" s="111"/>
      <c r="Z16" s="505" t="s">
        <v>519</v>
      </c>
      <c r="AA16" s="111"/>
      <c r="AB16" s="506" t="s">
        <v>692</v>
      </c>
      <c r="AC16" s="111"/>
      <c r="AD16" s="34"/>
      <c r="AE16" s="33" t="s">
        <v>693</v>
      </c>
      <c r="AF16" s="33" t="s">
        <v>694</v>
      </c>
      <c r="AG16" s="507" t="s">
        <v>695</v>
      </c>
      <c r="AH16" s="34"/>
      <c r="AI16" s="33"/>
      <c r="AJ16" s="33"/>
      <c r="AK16" s="33"/>
      <c r="AL16" s="34"/>
      <c r="AM16" s="33"/>
      <c r="AN16" s="33"/>
      <c r="AO16" s="33"/>
      <c r="AP16" s="34"/>
      <c r="AQ16" s="33"/>
      <c r="AR16" s="488"/>
      <c r="AS16" s="33"/>
      <c r="AT16" s="34"/>
      <c r="AU16" s="33"/>
      <c r="AV16" s="33"/>
      <c r="AW16" s="33"/>
      <c r="AX16" s="490"/>
      <c r="AY16" s="508"/>
      <c r="AZ16" s="509"/>
      <c r="BA16" s="510"/>
      <c r="BB16" s="511"/>
      <c r="BC16" s="511"/>
      <c r="BD16" s="512"/>
      <c r="BE16" s="509"/>
      <c r="BF16" s="510"/>
      <c r="BG16" s="511"/>
      <c r="BH16" s="511"/>
      <c r="BI16" s="509"/>
      <c r="BJ16" s="509"/>
      <c r="BK16" s="509"/>
      <c r="BL16" s="509"/>
      <c r="BM16" s="509"/>
      <c r="BN16" s="509"/>
      <c r="BO16" s="509"/>
      <c r="BP16" s="509"/>
      <c r="BQ16" s="513"/>
      <c r="BR16" s="513"/>
      <c r="BS16" s="509"/>
      <c r="BT16" s="509"/>
      <c r="BU16" s="509"/>
      <c r="BV16" s="513"/>
      <c r="BW16" s="513"/>
      <c r="BX16" s="509"/>
      <c r="BY16" s="509"/>
      <c r="BZ16" s="509"/>
      <c r="CA16" s="513"/>
      <c r="CB16" s="513"/>
      <c r="CC16" s="509"/>
      <c r="CD16" s="509"/>
      <c r="CE16" s="509"/>
      <c r="CF16" s="513"/>
      <c r="CG16" s="513"/>
      <c r="CH16" s="509"/>
      <c r="CI16" s="509"/>
      <c r="CJ16" s="509"/>
      <c r="CK16" s="513"/>
      <c r="CL16" s="513"/>
      <c r="CM16" s="509"/>
      <c r="CN16" s="512"/>
      <c r="CO16" s="509"/>
      <c r="CP16" s="513"/>
      <c r="CQ16" s="513"/>
      <c r="CR16" s="509"/>
      <c r="CS16" s="512"/>
      <c r="CT16" s="509"/>
      <c r="CU16" s="513"/>
      <c r="CV16" s="513"/>
      <c r="CW16" s="497"/>
      <c r="CX16" s="512"/>
      <c r="CY16" s="512"/>
      <c r="CZ16" s="513"/>
      <c r="DA16" s="513"/>
      <c r="DB16" s="497"/>
      <c r="DC16" s="512"/>
      <c r="DD16" s="509"/>
      <c r="DE16" s="513"/>
      <c r="DF16" s="513"/>
      <c r="DG16" s="497"/>
      <c r="DH16" s="512"/>
      <c r="DI16" s="509"/>
      <c r="DJ16" s="513"/>
      <c r="DK16" s="513"/>
      <c r="DL16" s="497"/>
      <c r="DM16" s="512"/>
      <c r="DN16" s="509"/>
      <c r="DO16" s="513"/>
      <c r="DP16" s="513"/>
      <c r="DQ16" s="509"/>
      <c r="DR16" s="509"/>
      <c r="DS16" s="509"/>
      <c r="DT16" s="509"/>
      <c r="DU16" s="514"/>
      <c r="DV16" s="509"/>
      <c r="DW16" s="509"/>
      <c r="DX16" s="509"/>
      <c r="DY16" s="509"/>
      <c r="DZ16" s="514"/>
      <c r="EA16" s="509"/>
      <c r="EB16" s="509"/>
      <c r="EC16" s="509"/>
      <c r="ED16" s="509"/>
      <c r="EE16" s="514"/>
      <c r="EF16" s="509"/>
      <c r="EG16" s="509"/>
      <c r="EH16" s="509"/>
      <c r="EI16" s="509"/>
      <c r="EJ16" s="514"/>
      <c r="EK16" s="509"/>
      <c r="EL16" s="509"/>
      <c r="EM16" s="509"/>
      <c r="EN16" s="509"/>
      <c r="EO16" s="514"/>
      <c r="EP16" s="499"/>
      <c r="EQ16" s="499"/>
      <c r="ER16" s="499"/>
      <c r="ES16" s="499"/>
      <c r="ET16" s="499"/>
      <c r="EU16" s="499"/>
      <c r="EV16" s="440"/>
      <c r="EW16" s="440"/>
      <c r="EX16" s="440"/>
      <c r="EY16" s="440"/>
      <c r="EZ16" s="440"/>
      <c r="FA16" s="440"/>
      <c r="FB16" s="440"/>
      <c r="FC16" s="440"/>
      <c r="FD16" s="440"/>
      <c r="FE16" s="440"/>
      <c r="FF16" s="440"/>
      <c r="FG16" s="440"/>
      <c r="FH16" s="440"/>
      <c r="FI16" s="440"/>
      <c r="FJ16" s="440"/>
      <c r="FK16" s="440"/>
      <c r="FL16" s="440"/>
      <c r="FM16" s="440"/>
      <c r="FN16" s="440"/>
      <c r="FO16" s="440"/>
      <c r="FP16" s="440"/>
    </row>
    <row r="17" spans="1:172" ht="18" customHeight="1" x14ac:dyDescent="0.25">
      <c r="A17" s="36">
        <v>3</v>
      </c>
      <c r="B17" s="36">
        <v>2</v>
      </c>
      <c r="C17" s="601" t="s">
        <v>1241</v>
      </c>
      <c r="D17" s="602" t="s">
        <v>1248</v>
      </c>
      <c r="E17" s="500" t="s">
        <v>548</v>
      </c>
      <c r="F17" s="501"/>
      <c r="G17" s="502">
        <v>32371</v>
      </c>
      <c r="H17" s="479">
        <f t="shared" si="0"/>
        <v>6.4153964759018828E-2</v>
      </c>
      <c r="I17" s="502">
        <v>38650.199999999997</v>
      </c>
      <c r="J17" s="502">
        <v>2187.8000000000002</v>
      </c>
      <c r="K17" s="112">
        <v>10632.3</v>
      </c>
      <c r="L17" s="69">
        <f>K17/G17</f>
        <v>0.32845139167773624</v>
      </c>
      <c r="M17" s="111"/>
      <c r="N17" s="32">
        <v>42005</v>
      </c>
      <c r="O17" s="143">
        <f t="shared" ca="1" si="1"/>
        <v>3.2366194087262339</v>
      </c>
      <c r="P17" s="111"/>
      <c r="Q17" s="515" t="s">
        <v>866</v>
      </c>
      <c r="R17" s="111"/>
      <c r="S17" s="64">
        <f ca="1">(X17-$G$1)/30.33</f>
        <v>21.332014507088694</v>
      </c>
      <c r="T17" s="111"/>
      <c r="U17" s="504"/>
      <c r="V17" s="67"/>
      <c r="W17" s="111"/>
      <c r="X17" s="309" t="str">
        <f>IF(OR(U17="",U17="N"),Q17,EDATE(Q17,V17))</f>
        <v>31/12/2019</v>
      </c>
      <c r="Y17" s="111"/>
      <c r="Z17" s="505" t="s">
        <v>519</v>
      </c>
      <c r="AA17" s="111"/>
      <c r="AB17" s="506" t="s">
        <v>696</v>
      </c>
      <c r="AC17" s="111"/>
      <c r="AD17" s="34" t="s">
        <v>534</v>
      </c>
      <c r="AE17" s="34" t="s">
        <v>697</v>
      </c>
      <c r="AF17" s="3" t="s">
        <v>698</v>
      </c>
      <c r="AG17" s="486" t="s">
        <v>699</v>
      </c>
      <c r="AH17" s="34"/>
      <c r="AI17" s="34"/>
      <c r="AJ17" s="3"/>
      <c r="AK17" s="3"/>
      <c r="AL17" s="34"/>
      <c r="AM17" s="34"/>
      <c r="AN17" s="3"/>
      <c r="AO17" s="3"/>
      <c r="AP17" s="34"/>
      <c r="AQ17" s="34"/>
      <c r="AR17" s="3"/>
      <c r="AS17" s="3"/>
      <c r="AT17" s="34"/>
      <c r="AU17" s="34"/>
      <c r="AV17" s="3"/>
      <c r="AW17" s="3"/>
      <c r="AX17" s="516"/>
      <c r="AY17" s="517" t="s">
        <v>10</v>
      </c>
      <c r="AZ17" s="518" t="s">
        <v>9</v>
      </c>
      <c r="BA17" s="519">
        <v>42285</v>
      </c>
      <c r="BB17" s="520" t="s">
        <v>158</v>
      </c>
      <c r="BC17" s="520" t="s">
        <v>157</v>
      </c>
      <c r="BD17" s="521" t="s">
        <v>10</v>
      </c>
      <c r="BE17" s="518" t="s">
        <v>9</v>
      </c>
      <c r="BF17" s="519">
        <v>40863</v>
      </c>
      <c r="BG17" s="520" t="s">
        <v>167</v>
      </c>
      <c r="BH17" s="520" t="s">
        <v>166</v>
      </c>
      <c r="BI17" s="518"/>
      <c r="BJ17" s="518"/>
      <c r="BK17" s="518"/>
      <c r="BL17" s="518"/>
      <c r="BM17" s="518"/>
      <c r="BN17" s="518" t="s">
        <v>10</v>
      </c>
      <c r="BO17" s="518" t="s">
        <v>11</v>
      </c>
      <c r="BP17" s="518" t="s">
        <v>387</v>
      </c>
      <c r="BQ17" s="522" t="s">
        <v>388</v>
      </c>
      <c r="BR17" s="522" t="s">
        <v>386</v>
      </c>
      <c r="BS17" s="518" t="s">
        <v>10</v>
      </c>
      <c r="BT17" s="518" t="s">
        <v>11</v>
      </c>
      <c r="BU17" s="518" t="s">
        <v>405</v>
      </c>
      <c r="BV17" s="522" t="s">
        <v>137</v>
      </c>
      <c r="BW17" s="522" t="s">
        <v>406</v>
      </c>
      <c r="BX17" s="518" t="s">
        <v>10</v>
      </c>
      <c r="BY17" s="518" t="s">
        <v>11</v>
      </c>
      <c r="BZ17" s="518" t="s">
        <v>357</v>
      </c>
      <c r="CA17" s="518" t="s">
        <v>145</v>
      </c>
      <c r="CB17" s="518" t="s">
        <v>359</v>
      </c>
      <c r="CC17" s="518" t="s">
        <v>10</v>
      </c>
      <c r="CD17" s="518" t="s">
        <v>11</v>
      </c>
      <c r="CE17" s="518" t="s">
        <v>376</v>
      </c>
      <c r="CF17" s="522" t="s">
        <v>137</v>
      </c>
      <c r="CG17" s="522" t="s">
        <v>377</v>
      </c>
      <c r="CH17" s="518" t="s">
        <v>10</v>
      </c>
      <c r="CI17" s="518" t="s">
        <v>11</v>
      </c>
      <c r="CJ17" s="518" t="s">
        <v>415</v>
      </c>
      <c r="CK17" s="522" t="s">
        <v>147</v>
      </c>
      <c r="CL17" s="522" t="s">
        <v>411</v>
      </c>
      <c r="CM17" s="518" t="s">
        <v>10</v>
      </c>
      <c r="CN17" s="521" t="s">
        <v>11</v>
      </c>
      <c r="CO17" s="518" t="s">
        <v>434</v>
      </c>
      <c r="CP17" s="522" t="s">
        <v>356</v>
      </c>
      <c r="CQ17" s="522" t="s">
        <v>411</v>
      </c>
      <c r="CR17" s="518" t="s">
        <v>10</v>
      </c>
      <c r="CS17" s="521" t="s">
        <v>11</v>
      </c>
      <c r="CT17" s="518" t="s">
        <v>438</v>
      </c>
      <c r="CU17" s="522" t="s">
        <v>431</v>
      </c>
      <c r="CV17" s="522" t="s">
        <v>432</v>
      </c>
      <c r="CW17" s="497" t="s">
        <v>682</v>
      </c>
      <c r="CX17" s="521" t="s">
        <v>11</v>
      </c>
      <c r="CY17" s="521" t="s">
        <v>700</v>
      </c>
      <c r="CZ17" s="522" t="s">
        <v>431</v>
      </c>
      <c r="DA17" s="522" t="s">
        <v>432</v>
      </c>
      <c r="DB17" s="497" t="s">
        <v>682</v>
      </c>
      <c r="DC17" s="521" t="s">
        <v>11</v>
      </c>
      <c r="DD17" s="518" t="s">
        <v>701</v>
      </c>
      <c r="DE17" s="522" t="s">
        <v>702</v>
      </c>
      <c r="DF17" s="522" t="s">
        <v>703</v>
      </c>
      <c r="DG17" s="497" t="s">
        <v>682</v>
      </c>
      <c r="DH17" s="521" t="s">
        <v>11</v>
      </c>
      <c r="DI17" s="518" t="s">
        <v>704</v>
      </c>
      <c r="DJ17" s="522" t="s">
        <v>702</v>
      </c>
      <c r="DK17" s="522" t="s">
        <v>703</v>
      </c>
      <c r="DL17" s="497" t="s">
        <v>682</v>
      </c>
      <c r="DM17" s="521" t="s">
        <v>11</v>
      </c>
      <c r="DN17" s="518" t="s">
        <v>705</v>
      </c>
      <c r="DO17" s="522" t="s">
        <v>702</v>
      </c>
      <c r="DP17" s="522" t="s">
        <v>703</v>
      </c>
      <c r="DQ17" s="518"/>
      <c r="DR17" s="518"/>
      <c r="DS17" s="518"/>
      <c r="DT17" s="518"/>
      <c r="DU17" s="523"/>
      <c r="DV17" s="518"/>
      <c r="DW17" s="518"/>
      <c r="DX17" s="518"/>
      <c r="DY17" s="518"/>
      <c r="DZ17" s="523"/>
      <c r="EA17" s="518"/>
      <c r="EB17" s="518"/>
      <c r="EC17" s="518"/>
      <c r="ED17" s="518"/>
      <c r="EE17" s="523"/>
      <c r="EF17" s="518"/>
      <c r="EG17" s="518"/>
      <c r="EH17" s="518"/>
      <c r="EI17" s="518"/>
      <c r="EJ17" s="523"/>
      <c r="EK17" s="518"/>
      <c r="EL17" s="518"/>
      <c r="EM17" s="518"/>
      <c r="EN17" s="518"/>
      <c r="EO17" s="523"/>
      <c r="EP17" s="499"/>
      <c r="EQ17" s="499"/>
      <c r="ER17" s="499"/>
      <c r="ES17" s="499"/>
      <c r="ET17" s="499"/>
      <c r="EU17" s="499"/>
      <c r="EV17" s="440"/>
      <c r="EW17" s="440"/>
      <c r="EX17" s="440"/>
      <c r="EY17" s="440"/>
      <c r="EZ17" s="440"/>
      <c r="FA17" s="440"/>
      <c r="FB17" s="440"/>
      <c r="FC17" s="440"/>
      <c r="FD17" s="440"/>
      <c r="FE17" s="440"/>
      <c r="FF17" s="440"/>
      <c r="FG17" s="440"/>
      <c r="FH17" s="440"/>
      <c r="FI17" s="440"/>
      <c r="FJ17" s="440"/>
      <c r="FK17" s="440"/>
      <c r="FL17" s="440"/>
      <c r="FM17" s="440"/>
      <c r="FN17" s="440"/>
      <c r="FO17" s="440"/>
      <c r="FP17" s="440"/>
    </row>
    <row r="18" spans="1:172" ht="18" customHeight="1" x14ac:dyDescent="0.25">
      <c r="A18" s="36">
        <v>4</v>
      </c>
      <c r="B18" s="36">
        <v>4</v>
      </c>
      <c r="C18" s="601" t="s">
        <v>1242</v>
      </c>
      <c r="D18" s="602"/>
      <c r="E18" s="500" t="s">
        <v>548</v>
      </c>
      <c r="F18" s="501" t="s">
        <v>527</v>
      </c>
      <c r="G18" s="502">
        <v>35000</v>
      </c>
      <c r="H18" s="479">
        <f>G18/$G$2</f>
        <v>6.9364207672474101E-2</v>
      </c>
      <c r="I18" s="502">
        <v>27035</v>
      </c>
      <c r="J18" s="502">
        <v>238.8</v>
      </c>
      <c r="K18" s="112">
        <v>9296.5</v>
      </c>
      <c r="L18" s="69">
        <f>K18/G18</f>
        <v>0.26561428571428569</v>
      </c>
      <c r="M18" s="111"/>
      <c r="N18" s="32">
        <v>40603</v>
      </c>
      <c r="O18" s="143">
        <f ca="1">($G$1-N18)/30.33/12</f>
        <v>7.0886910649521928</v>
      </c>
      <c r="P18" s="111"/>
      <c r="Q18" s="503" t="s">
        <v>80</v>
      </c>
      <c r="R18" s="111"/>
      <c r="S18" s="64">
        <f ca="1">(X18-$G$1)/30.33</f>
        <v>0.23079459281239698</v>
      </c>
      <c r="T18" s="111"/>
      <c r="U18" s="504"/>
      <c r="V18" s="67"/>
      <c r="W18" s="111"/>
      <c r="X18" s="309" t="str">
        <f>IF(OR(U18="",U18="N"),Q18,EDATE(Q18,V18))</f>
        <v>31/03/2018</v>
      </c>
      <c r="Y18" s="111"/>
      <c r="Z18" s="505" t="s">
        <v>519</v>
      </c>
      <c r="AA18" s="111"/>
      <c r="AB18" s="506" t="s">
        <v>692</v>
      </c>
      <c r="AC18" s="111"/>
      <c r="AD18" s="34" t="s">
        <v>534</v>
      </c>
      <c r="AE18" s="33" t="s">
        <v>706</v>
      </c>
      <c r="AF18" s="3" t="s">
        <v>707</v>
      </c>
      <c r="AG18" s="486" t="s">
        <v>708</v>
      </c>
      <c r="AH18" s="34"/>
      <c r="AI18" s="33"/>
      <c r="AJ18" s="3"/>
      <c r="AK18" s="3"/>
      <c r="AL18" s="34"/>
      <c r="AM18" s="33"/>
      <c r="AN18" s="3"/>
      <c r="AO18" s="3"/>
      <c r="AP18" s="34"/>
      <c r="AQ18" s="33"/>
      <c r="AR18" s="3"/>
      <c r="AS18" s="3"/>
      <c r="AT18" s="34"/>
      <c r="AU18" s="33"/>
      <c r="AV18" s="3"/>
      <c r="AW18" s="3"/>
      <c r="AX18" s="524"/>
      <c r="AY18" s="517" t="s">
        <v>10</v>
      </c>
      <c r="AZ18" s="518" t="s">
        <v>9</v>
      </c>
      <c r="BA18" s="519">
        <v>42283</v>
      </c>
      <c r="BB18" s="520" t="s">
        <v>164</v>
      </c>
      <c r="BC18" s="521" t="s">
        <v>140</v>
      </c>
      <c r="BD18" s="521" t="s">
        <v>10</v>
      </c>
      <c r="BE18" s="518" t="s">
        <v>9</v>
      </c>
      <c r="BF18" s="519">
        <v>42327</v>
      </c>
      <c r="BG18" s="520" t="s">
        <v>169</v>
      </c>
      <c r="BH18" s="521" t="s">
        <v>140</v>
      </c>
      <c r="BI18" s="518"/>
      <c r="BJ18" s="518"/>
      <c r="BK18" s="518"/>
      <c r="BL18" s="518"/>
      <c r="BM18" s="518"/>
      <c r="BN18" s="518" t="s">
        <v>10</v>
      </c>
      <c r="BO18" s="518" t="s">
        <v>9</v>
      </c>
      <c r="BP18" s="518" t="s">
        <v>332</v>
      </c>
      <c r="BQ18" s="522" t="s">
        <v>353</v>
      </c>
      <c r="BR18" s="518" t="s">
        <v>389</v>
      </c>
      <c r="BS18" s="518" t="s">
        <v>10</v>
      </c>
      <c r="BT18" s="518" t="s">
        <v>9</v>
      </c>
      <c r="BU18" s="518" t="s">
        <v>407</v>
      </c>
      <c r="BV18" s="518" t="s">
        <v>137</v>
      </c>
      <c r="BW18" s="518" t="s">
        <v>361</v>
      </c>
      <c r="BX18" s="518" t="s">
        <v>10</v>
      </c>
      <c r="BY18" s="518" t="s">
        <v>9</v>
      </c>
      <c r="BZ18" s="518" t="s">
        <v>360</v>
      </c>
      <c r="CA18" s="518" t="s">
        <v>137</v>
      </c>
      <c r="CB18" s="518" t="s">
        <v>361</v>
      </c>
      <c r="CC18" s="518" t="s">
        <v>10</v>
      </c>
      <c r="CD18" s="518" t="s">
        <v>9</v>
      </c>
      <c r="CE18" s="518" t="s">
        <v>378</v>
      </c>
      <c r="CF18" s="518" t="s">
        <v>137</v>
      </c>
      <c r="CG18" s="518" t="s">
        <v>361</v>
      </c>
      <c r="CH18" s="518" t="s">
        <v>10</v>
      </c>
      <c r="CI18" s="518" t="s">
        <v>9</v>
      </c>
      <c r="CJ18" s="518" t="s">
        <v>412</v>
      </c>
      <c r="CK18" s="518" t="s">
        <v>137</v>
      </c>
      <c r="CL18" s="518" t="s">
        <v>413</v>
      </c>
      <c r="CM18" s="518" t="s">
        <v>10</v>
      </c>
      <c r="CN18" s="521" t="s">
        <v>11</v>
      </c>
      <c r="CO18" s="518" t="s">
        <v>433</v>
      </c>
      <c r="CP18" s="518" t="s">
        <v>137</v>
      </c>
      <c r="CQ18" s="522" t="s">
        <v>428</v>
      </c>
      <c r="CR18" s="518" t="s">
        <v>10</v>
      </c>
      <c r="CS18" s="521" t="s">
        <v>11</v>
      </c>
      <c r="CT18" s="518" t="s">
        <v>439</v>
      </c>
      <c r="CU18" s="518" t="s">
        <v>137</v>
      </c>
      <c r="CV18" s="518" t="s">
        <v>413</v>
      </c>
      <c r="CW18" s="497" t="s">
        <v>682</v>
      </c>
      <c r="CX18" s="521" t="s">
        <v>11</v>
      </c>
      <c r="CY18" s="521" t="s">
        <v>709</v>
      </c>
      <c r="CZ18" s="518" t="s">
        <v>137</v>
      </c>
      <c r="DA18" s="518" t="s">
        <v>710</v>
      </c>
      <c r="DB18" s="497" t="s">
        <v>682</v>
      </c>
      <c r="DC18" s="521" t="s">
        <v>11</v>
      </c>
      <c r="DD18" s="525">
        <v>42689</v>
      </c>
      <c r="DE18" s="518" t="s">
        <v>137</v>
      </c>
      <c r="DF18" s="522" t="s">
        <v>711</v>
      </c>
      <c r="DG18" s="497" t="s">
        <v>682</v>
      </c>
      <c r="DH18" s="521" t="s">
        <v>11</v>
      </c>
      <c r="DI18" s="525">
        <v>43083</v>
      </c>
      <c r="DJ18" s="518" t="s">
        <v>137</v>
      </c>
      <c r="DK18" s="522" t="s">
        <v>711</v>
      </c>
      <c r="DL18" s="497" t="s">
        <v>682</v>
      </c>
      <c r="DM18" s="521" t="s">
        <v>11</v>
      </c>
      <c r="DN18" s="525">
        <v>42766</v>
      </c>
      <c r="DO18" s="518" t="s">
        <v>137</v>
      </c>
      <c r="DP18" s="522" t="s">
        <v>711</v>
      </c>
      <c r="DQ18" s="517"/>
      <c r="DR18" s="517"/>
      <c r="DS18" s="517"/>
      <c r="DT18" s="517"/>
      <c r="DU18" s="526"/>
      <c r="DV18" s="517"/>
      <c r="DW18" s="517"/>
      <c r="DX18" s="517"/>
      <c r="DY18" s="517"/>
      <c r="DZ18" s="526"/>
      <c r="EA18" s="517"/>
      <c r="EB18" s="517"/>
      <c r="EC18" s="517"/>
      <c r="ED18" s="517"/>
      <c r="EE18" s="526"/>
      <c r="EF18" s="517"/>
      <c r="EG18" s="517"/>
      <c r="EH18" s="517"/>
      <c r="EI18" s="517"/>
      <c r="EJ18" s="526"/>
      <c r="EK18" s="517"/>
      <c r="EL18" s="517"/>
      <c r="EM18" s="517"/>
      <c r="EN18" s="517"/>
      <c r="EO18" s="526"/>
      <c r="EP18" s="499"/>
      <c r="EQ18" s="499"/>
      <c r="ER18" s="499"/>
      <c r="ES18" s="499"/>
      <c r="ET18" s="499"/>
      <c r="EU18" s="499"/>
      <c r="EV18" s="440"/>
      <c r="EW18" s="440"/>
      <c r="EX18" s="440"/>
      <c r="EY18" s="440"/>
      <c r="EZ18" s="440"/>
      <c r="FA18" s="440"/>
      <c r="FB18" s="440"/>
      <c r="FC18" s="440"/>
      <c r="FD18" s="440"/>
      <c r="FE18" s="440"/>
      <c r="FF18" s="440"/>
      <c r="FG18" s="440"/>
      <c r="FH18" s="440"/>
      <c r="FI18" s="440"/>
      <c r="FJ18" s="440"/>
      <c r="FK18" s="440"/>
      <c r="FL18" s="440"/>
      <c r="FM18" s="440"/>
      <c r="FN18" s="440"/>
      <c r="FO18" s="440"/>
      <c r="FP18" s="440"/>
    </row>
    <row r="19" spans="1:172" ht="18" customHeight="1" x14ac:dyDescent="0.25">
      <c r="A19" s="36">
        <v>5</v>
      </c>
      <c r="B19" s="36">
        <v>5</v>
      </c>
      <c r="C19" s="601" t="s">
        <v>1243</v>
      </c>
      <c r="D19" s="602"/>
      <c r="E19" s="500" t="s">
        <v>548</v>
      </c>
      <c r="F19" s="501"/>
      <c r="G19" s="502">
        <v>31713</v>
      </c>
      <c r="H19" s="479">
        <f t="shared" ref="H19:H21" si="2">G19/$G$2</f>
        <v>6.2849917654776322E-2</v>
      </c>
      <c r="I19" s="502">
        <v>24081.3</v>
      </c>
      <c r="J19" s="502">
        <v>689.9</v>
      </c>
      <c r="K19" s="112">
        <v>5358.1</v>
      </c>
      <c r="L19" s="69">
        <f t="shared" ref="L19:L50" si="3">K19/G19</f>
        <v>0.16895594866458552</v>
      </c>
      <c r="M19" s="111"/>
      <c r="N19" s="32">
        <v>41821</v>
      </c>
      <c r="O19" s="143">
        <f t="shared" ca="1" si="1"/>
        <v>3.7421694691724365</v>
      </c>
      <c r="P19" s="111"/>
      <c r="Q19" s="503" t="s">
        <v>712</v>
      </c>
      <c r="R19" s="111"/>
      <c r="S19" s="64">
        <f t="shared" ref="S19:S46" ca="1" si="4">(X19-$G$1)/30.33</f>
        <v>6.2644246620507751</v>
      </c>
      <c r="T19" s="111"/>
      <c r="U19" s="504"/>
      <c r="V19" s="67"/>
      <c r="W19" s="111"/>
      <c r="X19" s="309" t="str">
        <f t="shared" ref="X19:X26" si="5">IF(OR(U19="",U19="N"),Q19,EDATE(Q19,V19))</f>
        <v>30/09/2018</v>
      </c>
      <c r="Y19" s="111"/>
      <c r="Z19" s="505" t="s">
        <v>519</v>
      </c>
      <c r="AA19" s="111"/>
      <c r="AB19" s="506" t="s">
        <v>713</v>
      </c>
      <c r="AC19" s="111"/>
      <c r="AD19" s="34" t="s">
        <v>536</v>
      </c>
      <c r="AE19" s="33" t="s">
        <v>714</v>
      </c>
      <c r="AF19" s="33" t="s">
        <v>715</v>
      </c>
      <c r="AG19" s="507" t="s">
        <v>716</v>
      </c>
      <c r="AH19" s="34"/>
      <c r="AI19" s="33"/>
      <c r="AJ19" s="33"/>
      <c r="AK19" s="33"/>
      <c r="AL19" s="34"/>
      <c r="AM19" s="33"/>
      <c r="AN19" s="33"/>
      <c r="AO19" s="33"/>
      <c r="AP19" s="34"/>
      <c r="AQ19" s="33"/>
      <c r="AR19" s="33"/>
      <c r="AS19" s="33"/>
      <c r="AT19" s="34"/>
      <c r="AU19" s="33"/>
      <c r="AV19" s="33"/>
      <c r="AW19" s="33"/>
      <c r="AX19" s="516"/>
      <c r="AY19" s="517" t="s">
        <v>10</v>
      </c>
      <c r="AZ19" s="518" t="s">
        <v>9</v>
      </c>
      <c r="BA19" s="519">
        <v>42293</v>
      </c>
      <c r="BB19" s="520" t="s">
        <v>165</v>
      </c>
      <c r="BC19" s="521" t="s">
        <v>161</v>
      </c>
      <c r="BD19" s="521" t="s">
        <v>10</v>
      </c>
      <c r="BE19" s="518" t="s">
        <v>9</v>
      </c>
      <c r="BF19" s="519">
        <v>42318</v>
      </c>
      <c r="BG19" s="520" t="s">
        <v>165</v>
      </c>
      <c r="BH19" s="521" t="s">
        <v>161</v>
      </c>
      <c r="BI19" s="518"/>
      <c r="BJ19" s="518"/>
      <c r="BK19" s="518"/>
      <c r="BL19" s="518"/>
      <c r="BM19" s="518"/>
      <c r="BN19" s="518" t="s">
        <v>10</v>
      </c>
      <c r="BO19" s="518" t="s">
        <v>11</v>
      </c>
      <c r="BP19" s="518" t="s">
        <v>392</v>
      </c>
      <c r="BQ19" s="522" t="s">
        <v>147</v>
      </c>
      <c r="BR19" s="518" t="s">
        <v>366</v>
      </c>
      <c r="BS19" s="518" t="s">
        <v>10</v>
      </c>
      <c r="BT19" s="518" t="s">
        <v>11</v>
      </c>
      <c r="BU19" s="518" t="s">
        <v>409</v>
      </c>
      <c r="BV19" s="522" t="s">
        <v>147</v>
      </c>
      <c r="BW19" s="518" t="s">
        <v>366</v>
      </c>
      <c r="BX19" s="518" t="s">
        <v>10</v>
      </c>
      <c r="BY19" s="518" t="s">
        <v>11</v>
      </c>
      <c r="BZ19" s="518" t="s">
        <v>365</v>
      </c>
      <c r="CA19" s="522" t="s">
        <v>147</v>
      </c>
      <c r="CB19" s="518" t="s">
        <v>366</v>
      </c>
      <c r="CC19" s="518" t="s">
        <v>10</v>
      </c>
      <c r="CD19" s="518" t="s">
        <v>11</v>
      </c>
      <c r="CE19" s="518" t="s">
        <v>378</v>
      </c>
      <c r="CF19" s="522" t="s">
        <v>147</v>
      </c>
      <c r="CG19" s="518" t="s">
        <v>366</v>
      </c>
      <c r="CH19" s="518" t="s">
        <v>10</v>
      </c>
      <c r="CI19" s="518" t="s">
        <v>11</v>
      </c>
      <c r="CJ19" s="518" t="s">
        <v>420</v>
      </c>
      <c r="CK19" s="522" t="s">
        <v>354</v>
      </c>
      <c r="CL19" s="518" t="s">
        <v>419</v>
      </c>
      <c r="CM19" s="518" t="s">
        <v>10</v>
      </c>
      <c r="CN19" s="521" t="s">
        <v>11</v>
      </c>
      <c r="CO19" s="518" t="s">
        <v>341</v>
      </c>
      <c r="CP19" s="522" t="s">
        <v>147</v>
      </c>
      <c r="CQ19" s="518" t="s">
        <v>440</v>
      </c>
      <c r="CR19" s="518" t="s">
        <v>10</v>
      </c>
      <c r="CS19" s="521" t="s">
        <v>11</v>
      </c>
      <c r="CT19" s="518"/>
      <c r="CU19" s="522" t="s">
        <v>354</v>
      </c>
      <c r="CV19" s="518" t="s">
        <v>419</v>
      </c>
      <c r="CW19" s="497" t="s">
        <v>682</v>
      </c>
      <c r="CX19" s="521" t="s">
        <v>11</v>
      </c>
      <c r="CY19" s="521" t="s">
        <v>717</v>
      </c>
      <c r="CZ19" s="522" t="s">
        <v>354</v>
      </c>
      <c r="DA19" s="518" t="s">
        <v>419</v>
      </c>
      <c r="DB19" s="497" t="s">
        <v>682</v>
      </c>
      <c r="DC19" s="521" t="s">
        <v>11</v>
      </c>
      <c r="DD19" s="525">
        <v>42696</v>
      </c>
      <c r="DE19" s="522" t="s">
        <v>354</v>
      </c>
      <c r="DF19" s="518" t="s">
        <v>419</v>
      </c>
      <c r="DG19" s="497" t="s">
        <v>682</v>
      </c>
      <c r="DH19" s="521" t="s">
        <v>11</v>
      </c>
      <c r="DI19" s="525">
        <v>43082</v>
      </c>
      <c r="DJ19" s="522" t="s">
        <v>354</v>
      </c>
      <c r="DK19" s="518" t="s">
        <v>419</v>
      </c>
      <c r="DL19" s="497" t="s">
        <v>682</v>
      </c>
      <c r="DM19" s="521" t="s">
        <v>11</v>
      </c>
      <c r="DN19" s="525">
        <v>42752</v>
      </c>
      <c r="DO19" s="522" t="s">
        <v>354</v>
      </c>
      <c r="DP19" s="522" t="s">
        <v>718</v>
      </c>
      <c r="DQ19" s="517"/>
      <c r="DR19" s="517"/>
      <c r="DS19" s="517"/>
      <c r="DT19" s="517"/>
      <c r="DU19" s="526"/>
      <c r="DV19" s="517"/>
      <c r="DW19" s="517"/>
      <c r="DX19" s="517"/>
      <c r="DY19" s="517"/>
      <c r="DZ19" s="526"/>
      <c r="EA19" s="517"/>
      <c r="EB19" s="517"/>
      <c r="EC19" s="517"/>
      <c r="ED19" s="517"/>
      <c r="EE19" s="526"/>
      <c r="EF19" s="517"/>
      <c r="EG19" s="517"/>
      <c r="EH19" s="517"/>
      <c r="EI19" s="517"/>
      <c r="EJ19" s="526"/>
      <c r="EK19" s="517"/>
      <c r="EL19" s="517"/>
      <c r="EM19" s="517"/>
      <c r="EN19" s="517"/>
      <c r="EO19" s="526"/>
      <c r="EP19" s="499"/>
      <c r="EQ19" s="499"/>
      <c r="ER19" s="499"/>
      <c r="ES19" s="499"/>
      <c r="ET19" s="499"/>
      <c r="EU19" s="499"/>
      <c r="EV19" s="440"/>
      <c r="EW19" s="440"/>
      <c r="EX19" s="440"/>
      <c r="EY19" s="440"/>
      <c r="EZ19" s="440"/>
      <c r="FA19" s="440"/>
      <c r="FB19" s="440"/>
      <c r="FC19" s="440"/>
      <c r="FD19" s="440"/>
      <c r="FE19" s="440"/>
      <c r="FF19" s="440"/>
      <c r="FG19" s="440"/>
      <c r="FH19" s="440"/>
      <c r="FI19" s="440"/>
      <c r="FJ19" s="440"/>
      <c r="FK19" s="440"/>
      <c r="FL19" s="440"/>
      <c r="FM19" s="440"/>
      <c r="FN19" s="440"/>
      <c r="FO19" s="440"/>
      <c r="FP19" s="440"/>
    </row>
    <row r="20" spans="1:172" ht="18" customHeight="1" x14ac:dyDescent="0.25">
      <c r="A20" s="36">
        <v>6</v>
      </c>
      <c r="B20" s="36">
        <v>6</v>
      </c>
      <c r="C20" s="636" t="s">
        <v>1244</v>
      </c>
      <c r="D20" s="637"/>
      <c r="E20" s="500" t="s">
        <v>548</v>
      </c>
      <c r="F20" s="501"/>
      <c r="G20" s="502">
        <v>28316</v>
      </c>
      <c r="H20" s="479">
        <f t="shared" si="2"/>
        <v>5.6117625841536477E-2</v>
      </c>
      <c r="I20" s="502">
        <v>21639.7</v>
      </c>
      <c r="J20" s="502">
        <v>827.3</v>
      </c>
      <c r="K20" s="112">
        <v>5587.2</v>
      </c>
      <c r="L20" s="69">
        <f t="shared" si="3"/>
        <v>0.19731600508546404</v>
      </c>
      <c r="M20" s="111"/>
      <c r="N20" s="32">
        <v>42675</v>
      </c>
      <c r="O20" s="143">
        <f t="shared" ca="1" si="1"/>
        <v>1.3957577755797341</v>
      </c>
      <c r="P20" s="111"/>
      <c r="Q20" s="503" t="s">
        <v>28</v>
      </c>
      <c r="R20" s="111"/>
      <c r="S20" s="64">
        <f t="shared" ca="1" si="4"/>
        <v>9.2977250247279919</v>
      </c>
      <c r="T20" s="111"/>
      <c r="U20" s="504"/>
      <c r="V20" s="67"/>
      <c r="W20" s="111"/>
      <c r="X20" s="309" t="str">
        <f t="shared" si="5"/>
        <v>31/12/2018</v>
      </c>
      <c r="Y20" s="111"/>
      <c r="Z20" s="505" t="s">
        <v>135</v>
      </c>
      <c r="AA20" s="111"/>
      <c r="AB20" s="506" t="s">
        <v>719</v>
      </c>
      <c r="AC20" s="111"/>
      <c r="AD20" s="34" t="s">
        <v>536</v>
      </c>
      <c r="AE20" s="33" t="s">
        <v>720</v>
      </c>
      <c r="AF20" s="3" t="s">
        <v>721</v>
      </c>
      <c r="AG20" s="486" t="s">
        <v>722</v>
      </c>
      <c r="AH20" s="34"/>
      <c r="AI20" s="33"/>
      <c r="AJ20" s="3"/>
      <c r="AK20" s="3"/>
      <c r="AL20" s="34"/>
      <c r="AM20" s="33"/>
      <c r="AN20" s="3"/>
      <c r="AO20" s="3"/>
      <c r="AP20" s="34"/>
      <c r="AQ20" s="33"/>
      <c r="AR20" s="3"/>
      <c r="AS20" s="3"/>
      <c r="AT20" s="34"/>
      <c r="AU20" s="33"/>
      <c r="AV20" s="3"/>
      <c r="AW20" s="3"/>
      <c r="AX20" s="516"/>
      <c r="AY20" s="517"/>
      <c r="AZ20" s="518"/>
      <c r="BA20" s="519"/>
      <c r="BB20" s="520"/>
      <c r="BC20" s="521"/>
      <c r="BD20" s="521"/>
      <c r="BE20" s="518"/>
      <c r="BF20" s="519"/>
      <c r="BG20" s="520"/>
      <c r="BH20" s="521"/>
      <c r="BI20" s="518"/>
      <c r="BJ20" s="518"/>
      <c r="BK20" s="518"/>
      <c r="BL20" s="518"/>
      <c r="BM20" s="518"/>
      <c r="BN20" s="518"/>
      <c r="BO20" s="518"/>
      <c r="BP20" s="518"/>
      <c r="BQ20" s="522"/>
      <c r="BR20" s="518"/>
      <c r="BS20" s="518"/>
      <c r="BT20" s="518"/>
      <c r="BU20" s="518"/>
      <c r="BV20" s="522"/>
      <c r="BW20" s="518"/>
      <c r="BX20" s="518"/>
      <c r="BY20" s="518"/>
      <c r="BZ20" s="518"/>
      <c r="CA20" s="522"/>
      <c r="CB20" s="518"/>
      <c r="CC20" s="518"/>
      <c r="CD20" s="518"/>
      <c r="CE20" s="518"/>
      <c r="CF20" s="522"/>
      <c r="CG20" s="518"/>
      <c r="CH20" s="518"/>
      <c r="CI20" s="518"/>
      <c r="CJ20" s="518"/>
      <c r="CK20" s="522"/>
      <c r="CL20" s="518"/>
      <c r="CM20" s="518"/>
      <c r="CN20" s="521" t="s">
        <v>723</v>
      </c>
      <c r="CO20" s="518"/>
      <c r="CP20" s="522"/>
      <c r="CQ20" s="518"/>
      <c r="CR20" s="518"/>
      <c r="CS20" s="521" t="s">
        <v>723</v>
      </c>
      <c r="CT20" s="518"/>
      <c r="CU20" s="522"/>
      <c r="CV20" s="518"/>
      <c r="CW20" s="497"/>
      <c r="CX20" s="521" t="s">
        <v>723</v>
      </c>
      <c r="CY20" s="521"/>
      <c r="CZ20" s="522"/>
      <c r="DA20" s="518"/>
      <c r="DB20" s="497" t="s">
        <v>724</v>
      </c>
      <c r="DC20" s="521" t="s">
        <v>723</v>
      </c>
      <c r="DD20" s="525">
        <v>42688</v>
      </c>
      <c r="DE20" s="522" t="s">
        <v>725</v>
      </c>
      <c r="DF20" s="518" t="s">
        <v>726</v>
      </c>
      <c r="DG20" s="497" t="s">
        <v>724</v>
      </c>
      <c r="DH20" s="521" t="s">
        <v>723</v>
      </c>
      <c r="DI20" s="525">
        <v>43074</v>
      </c>
      <c r="DJ20" s="522" t="s">
        <v>725</v>
      </c>
      <c r="DK20" s="518" t="s">
        <v>726</v>
      </c>
      <c r="DL20" s="497" t="s">
        <v>724</v>
      </c>
      <c r="DM20" s="521" t="s">
        <v>723</v>
      </c>
      <c r="DN20" s="525">
        <v>42754</v>
      </c>
      <c r="DO20" s="522" t="s">
        <v>725</v>
      </c>
      <c r="DP20" s="518" t="s">
        <v>727</v>
      </c>
      <c r="DQ20" s="517"/>
      <c r="DR20" s="517"/>
      <c r="DS20" s="517"/>
      <c r="DT20" s="517"/>
      <c r="DU20" s="526"/>
      <c r="DV20" s="517"/>
      <c r="DW20" s="517"/>
      <c r="DX20" s="517"/>
      <c r="DY20" s="517"/>
      <c r="DZ20" s="526"/>
      <c r="EA20" s="517"/>
      <c r="EB20" s="517"/>
      <c r="EC20" s="517"/>
      <c r="ED20" s="517"/>
      <c r="EE20" s="526"/>
      <c r="EF20" s="517"/>
      <c r="EG20" s="517"/>
      <c r="EH20" s="517"/>
      <c r="EI20" s="517"/>
      <c r="EJ20" s="526"/>
      <c r="EK20" s="517"/>
      <c r="EL20" s="517"/>
      <c r="EM20" s="517"/>
      <c r="EN20" s="517"/>
      <c r="EO20" s="526"/>
      <c r="EP20" s="499"/>
      <c r="EQ20" s="499"/>
      <c r="ER20" s="499"/>
      <c r="ES20" s="499"/>
      <c r="ET20" s="499"/>
      <c r="EU20" s="499"/>
      <c r="EV20" s="440"/>
      <c r="EW20" s="440"/>
      <c r="EX20" s="440"/>
      <c r="EY20" s="440"/>
      <c r="EZ20" s="440"/>
      <c r="FA20" s="440"/>
      <c r="FB20" s="440"/>
      <c r="FC20" s="440"/>
      <c r="FD20" s="440"/>
      <c r="FE20" s="440"/>
      <c r="FF20" s="440"/>
      <c r="FG20" s="440"/>
      <c r="FH20" s="440"/>
      <c r="FI20" s="440"/>
      <c r="FJ20" s="440"/>
      <c r="FK20" s="440"/>
      <c r="FL20" s="440"/>
      <c r="FM20" s="440"/>
      <c r="FN20" s="440"/>
      <c r="FO20" s="440"/>
      <c r="FP20" s="440"/>
    </row>
    <row r="21" spans="1:172" ht="18" customHeight="1" x14ac:dyDescent="0.2">
      <c r="A21" s="36">
        <v>7</v>
      </c>
      <c r="B21" s="36">
        <v>7</v>
      </c>
      <c r="C21" s="636" t="s">
        <v>1245</v>
      </c>
      <c r="D21" s="637"/>
      <c r="E21" s="500" t="s">
        <v>548</v>
      </c>
      <c r="F21" s="501"/>
      <c r="G21" s="502">
        <v>26273</v>
      </c>
      <c r="H21" s="479">
        <f t="shared" si="2"/>
        <v>5.2068737947968916E-2</v>
      </c>
      <c r="I21" s="502">
        <v>20474.599999999999</v>
      </c>
      <c r="J21" s="502">
        <v>2048.5</v>
      </c>
      <c r="K21" s="112">
        <v>3414.6</v>
      </c>
      <c r="L21" s="69">
        <f t="shared" si="3"/>
        <v>0.12996612491911849</v>
      </c>
      <c r="M21" s="111"/>
      <c r="N21" s="32">
        <v>42461</v>
      </c>
      <c r="O21" s="143">
        <f t="shared" ca="1" si="1"/>
        <v>1.9837344763160789</v>
      </c>
      <c r="P21" s="111"/>
      <c r="Q21" s="503" t="s">
        <v>728</v>
      </c>
      <c r="R21" s="111"/>
      <c r="S21" s="64">
        <f t="shared" ca="1" si="4"/>
        <v>24.332344213649854</v>
      </c>
      <c r="T21" s="111"/>
      <c r="U21" s="504"/>
      <c r="V21" s="67"/>
      <c r="W21" s="111"/>
      <c r="X21" s="309" t="str">
        <f t="shared" si="5"/>
        <v>31/03/2020</v>
      </c>
      <c r="Y21" s="111"/>
      <c r="Z21" s="505" t="s">
        <v>519</v>
      </c>
      <c r="AA21" s="111"/>
      <c r="AB21" s="506" t="s">
        <v>692</v>
      </c>
      <c r="AC21" s="111"/>
      <c r="AD21" s="34"/>
      <c r="AE21" s="33" t="s">
        <v>729</v>
      </c>
      <c r="AF21" s="3" t="s">
        <v>730</v>
      </c>
      <c r="AG21" s="507" t="s">
        <v>731</v>
      </c>
      <c r="AH21" s="34"/>
      <c r="AI21" s="33"/>
      <c r="AJ21" s="3"/>
      <c r="AK21" s="3"/>
      <c r="AL21" s="34"/>
      <c r="AM21" s="33"/>
      <c r="AN21" s="3"/>
      <c r="AO21" s="3"/>
      <c r="AP21" s="34"/>
      <c r="AQ21" s="33"/>
      <c r="AR21" s="527"/>
      <c r="AS21" s="528"/>
      <c r="AT21" s="34"/>
      <c r="AU21" s="33"/>
      <c r="AV21" s="3"/>
      <c r="AW21" s="3"/>
      <c r="AX21" s="524"/>
      <c r="AY21" s="517"/>
      <c r="AZ21" s="518"/>
      <c r="BA21" s="519"/>
      <c r="BB21" s="520"/>
      <c r="BC21" s="521"/>
      <c r="BD21" s="521"/>
      <c r="BE21" s="518"/>
      <c r="BF21" s="519"/>
      <c r="BG21" s="520"/>
      <c r="BH21" s="521"/>
      <c r="BI21" s="518"/>
      <c r="BJ21" s="518"/>
      <c r="BK21" s="518"/>
      <c r="BL21" s="518"/>
      <c r="BM21" s="518"/>
      <c r="BN21" s="518"/>
      <c r="BO21" s="518"/>
      <c r="BP21" s="518"/>
      <c r="BQ21" s="522"/>
      <c r="BR21" s="518"/>
      <c r="BS21" s="518"/>
      <c r="BT21" s="518"/>
      <c r="BU21" s="518"/>
      <c r="BV21" s="522"/>
      <c r="BW21" s="518"/>
      <c r="BX21" s="518"/>
      <c r="BY21" s="518"/>
      <c r="BZ21" s="518"/>
      <c r="CA21" s="522"/>
      <c r="CB21" s="518"/>
      <c r="CC21" s="518"/>
      <c r="CD21" s="518"/>
      <c r="CE21" s="518"/>
      <c r="CF21" s="522"/>
      <c r="CG21" s="518"/>
      <c r="CH21" s="518" t="s">
        <v>10</v>
      </c>
      <c r="CI21" s="518" t="s">
        <v>9</v>
      </c>
      <c r="CJ21" s="518" t="s">
        <v>412</v>
      </c>
      <c r="CK21" s="522" t="s">
        <v>353</v>
      </c>
      <c r="CL21" s="518" t="s">
        <v>414</v>
      </c>
      <c r="CM21" s="518" t="s">
        <v>10</v>
      </c>
      <c r="CN21" s="521" t="s">
        <v>11</v>
      </c>
      <c r="CO21" s="518" t="s">
        <v>429</v>
      </c>
      <c r="CP21" s="522" t="s">
        <v>417</v>
      </c>
      <c r="CQ21" s="518" t="s">
        <v>414</v>
      </c>
      <c r="CR21" s="518" t="s">
        <v>10</v>
      </c>
      <c r="CS21" s="521" t="s">
        <v>11</v>
      </c>
      <c r="CT21" s="518" t="s">
        <v>441</v>
      </c>
      <c r="CU21" s="522" t="s">
        <v>417</v>
      </c>
      <c r="CV21" s="518" t="s">
        <v>414</v>
      </c>
      <c r="CW21" s="497" t="s">
        <v>682</v>
      </c>
      <c r="CX21" s="521" t="s">
        <v>11</v>
      </c>
      <c r="CY21" s="521" t="s">
        <v>732</v>
      </c>
      <c r="CZ21" s="522" t="s">
        <v>733</v>
      </c>
      <c r="DA21" s="518" t="s">
        <v>414</v>
      </c>
      <c r="DB21" s="497" t="s">
        <v>682</v>
      </c>
      <c r="DC21" s="521" t="s">
        <v>11</v>
      </c>
      <c r="DD21" s="525">
        <v>42688</v>
      </c>
      <c r="DE21" s="522" t="s">
        <v>734</v>
      </c>
      <c r="DF21" s="522" t="s">
        <v>735</v>
      </c>
      <c r="DG21" s="497" t="s">
        <v>682</v>
      </c>
      <c r="DH21" s="521" t="s">
        <v>11</v>
      </c>
      <c r="DI21" s="525">
        <v>43089</v>
      </c>
      <c r="DJ21" s="522" t="s">
        <v>734</v>
      </c>
      <c r="DK21" s="522" t="s">
        <v>736</v>
      </c>
      <c r="DL21" s="497" t="s">
        <v>682</v>
      </c>
      <c r="DM21" s="521" t="s">
        <v>11</v>
      </c>
      <c r="DN21" s="525">
        <v>42758</v>
      </c>
      <c r="DO21" s="522" t="s">
        <v>737</v>
      </c>
      <c r="DP21" s="522" t="s">
        <v>738</v>
      </c>
      <c r="DQ21" s="517"/>
      <c r="DR21" s="517"/>
      <c r="DS21" s="517"/>
      <c r="DT21" s="517"/>
      <c r="DU21" s="526"/>
      <c r="DV21" s="517"/>
      <c r="DW21" s="517"/>
      <c r="DX21" s="517"/>
      <c r="DY21" s="517"/>
      <c r="DZ21" s="526"/>
      <c r="EA21" s="517"/>
      <c r="EB21" s="517"/>
      <c r="EC21" s="517"/>
      <c r="ED21" s="517"/>
      <c r="EE21" s="526"/>
      <c r="EF21" s="517"/>
      <c r="EG21" s="517"/>
      <c r="EH21" s="517"/>
      <c r="EI21" s="517"/>
      <c r="EJ21" s="526"/>
      <c r="EK21" s="517"/>
      <c r="EL21" s="517"/>
      <c r="EM21" s="517"/>
      <c r="EN21" s="517"/>
      <c r="EO21" s="526"/>
      <c r="EP21" s="499"/>
      <c r="EQ21" s="499"/>
      <c r="ER21" s="499"/>
      <c r="ES21" s="499"/>
      <c r="ET21" s="499"/>
      <c r="EU21" s="499"/>
      <c r="EV21" s="440"/>
      <c r="EW21" s="440"/>
      <c r="EX21" s="440"/>
      <c r="EY21" s="440"/>
      <c r="EZ21" s="440"/>
      <c r="FA21" s="440"/>
      <c r="FB21" s="440"/>
      <c r="FC21" s="440"/>
      <c r="FD21" s="440"/>
      <c r="FE21" s="440"/>
      <c r="FF21" s="440"/>
      <c r="FG21" s="440"/>
      <c r="FH21" s="440"/>
      <c r="FI21" s="440"/>
      <c r="FJ21" s="440"/>
      <c r="FK21" s="440"/>
      <c r="FL21" s="440"/>
      <c r="FM21" s="440"/>
      <c r="FN21" s="440"/>
      <c r="FO21" s="440"/>
      <c r="FP21" s="440"/>
    </row>
    <row r="22" spans="1:172" ht="18" customHeight="1" x14ac:dyDescent="0.25">
      <c r="A22" s="36">
        <v>8</v>
      </c>
      <c r="B22" s="36">
        <v>8</v>
      </c>
      <c r="C22" s="636" t="s">
        <v>1249</v>
      </c>
      <c r="D22" s="637"/>
      <c r="E22" s="500" t="s">
        <v>548</v>
      </c>
      <c r="F22" s="501"/>
      <c r="G22" s="502">
        <v>21795</v>
      </c>
      <c r="H22" s="479" t="s">
        <v>739</v>
      </c>
      <c r="I22" s="502">
        <v>17213.099999999999</v>
      </c>
      <c r="J22" s="502">
        <v>136.5</v>
      </c>
      <c r="K22" s="112">
        <v>3673.5</v>
      </c>
      <c r="L22" s="69">
        <f t="shared" si="3"/>
        <v>0.16854783207157606</v>
      </c>
      <c r="M22" s="111"/>
      <c r="N22" s="32">
        <v>42905</v>
      </c>
      <c r="O22" s="143">
        <f t="shared" ca="1" si="1"/>
        <v>0.76382020002198059</v>
      </c>
      <c r="P22" s="111"/>
      <c r="Q22" s="503" t="s">
        <v>740</v>
      </c>
      <c r="R22" s="111"/>
      <c r="S22" s="64">
        <f t="shared" ca="1" si="4"/>
        <v>38.97131552917903</v>
      </c>
      <c r="T22" s="111"/>
      <c r="U22" s="504"/>
      <c r="V22" s="67"/>
      <c r="W22" s="111"/>
      <c r="X22" s="309" t="str">
        <f t="shared" si="5"/>
        <v>18/06/2021</v>
      </c>
      <c r="Y22" s="111"/>
      <c r="Z22" s="505"/>
      <c r="AA22" s="111"/>
      <c r="AB22" s="529" t="s">
        <v>148</v>
      </c>
      <c r="AC22" s="111"/>
      <c r="AD22" s="34"/>
      <c r="AE22" s="33" t="s">
        <v>741</v>
      </c>
      <c r="AF22" s="3" t="s">
        <v>742</v>
      </c>
      <c r="AG22" s="530" t="s">
        <v>743</v>
      </c>
      <c r="AH22" s="34"/>
      <c r="AI22" s="33"/>
      <c r="AJ22" s="3"/>
      <c r="AK22" s="3"/>
      <c r="AL22" s="34"/>
      <c r="AM22" s="33"/>
      <c r="AN22" s="3"/>
      <c r="AO22" s="3"/>
      <c r="AP22" s="34"/>
      <c r="AQ22" s="33"/>
      <c r="AR22" s="3"/>
      <c r="AS22" s="3"/>
      <c r="AT22" s="34"/>
      <c r="AU22" s="33"/>
      <c r="AV22" s="3"/>
      <c r="AW22" s="3"/>
      <c r="AX22" s="524"/>
      <c r="AY22" s="517"/>
      <c r="AZ22" s="518"/>
      <c r="BA22" s="519"/>
      <c r="BB22" s="520"/>
      <c r="BC22" s="521"/>
      <c r="BD22" s="521"/>
      <c r="BE22" s="518"/>
      <c r="BF22" s="519"/>
      <c r="BG22" s="520"/>
      <c r="BH22" s="521"/>
      <c r="BI22" s="518"/>
      <c r="BJ22" s="518"/>
      <c r="BK22" s="518"/>
      <c r="BL22" s="518"/>
      <c r="BM22" s="518"/>
      <c r="BN22" s="518"/>
      <c r="BO22" s="518"/>
      <c r="BP22" s="518"/>
      <c r="BQ22" s="522"/>
      <c r="BR22" s="518"/>
      <c r="BS22" s="518"/>
      <c r="BT22" s="518"/>
      <c r="BU22" s="518"/>
      <c r="BV22" s="522"/>
      <c r="BW22" s="518"/>
      <c r="BX22" s="518"/>
      <c r="BY22" s="518"/>
      <c r="BZ22" s="518"/>
      <c r="CA22" s="522"/>
      <c r="CB22" s="518"/>
      <c r="CC22" s="518"/>
      <c r="CD22" s="518"/>
      <c r="CE22" s="518"/>
      <c r="CF22" s="522"/>
      <c r="CG22" s="518"/>
      <c r="CH22" s="518"/>
      <c r="CI22" s="518"/>
      <c r="CJ22" s="518"/>
      <c r="CK22" s="522"/>
      <c r="CL22" s="518"/>
      <c r="CM22" s="518"/>
      <c r="CN22" s="521"/>
      <c r="CO22" s="518"/>
      <c r="CP22" s="522"/>
      <c r="CQ22" s="518"/>
      <c r="CR22" s="518"/>
      <c r="CS22" s="521"/>
      <c r="CT22" s="518"/>
      <c r="CU22" s="522"/>
      <c r="CV22" s="518"/>
      <c r="CW22" s="497"/>
      <c r="CX22" s="521"/>
      <c r="CY22" s="521"/>
      <c r="CZ22" s="522"/>
      <c r="DA22" s="518"/>
      <c r="DB22" s="497"/>
      <c r="DC22" s="521"/>
      <c r="DD22" s="525"/>
      <c r="DE22" s="522"/>
      <c r="DF22" s="522"/>
      <c r="DG22" s="497"/>
      <c r="DH22" s="521"/>
      <c r="DI22" s="525"/>
      <c r="DJ22" s="522"/>
      <c r="DK22" s="522"/>
      <c r="DL22" s="497"/>
      <c r="DM22" s="521"/>
      <c r="DN22" s="525"/>
      <c r="DO22" s="522"/>
      <c r="DP22" s="522"/>
      <c r="DQ22" s="517"/>
      <c r="DR22" s="517"/>
      <c r="DS22" s="517"/>
      <c r="DT22" s="517"/>
      <c r="DU22" s="526"/>
      <c r="DV22" s="517"/>
      <c r="DW22" s="517"/>
      <c r="DX22" s="517"/>
      <c r="DY22" s="517"/>
      <c r="DZ22" s="526"/>
      <c r="EA22" s="517"/>
      <c r="EB22" s="517"/>
      <c r="EC22" s="517"/>
      <c r="ED22" s="517"/>
      <c r="EE22" s="526"/>
      <c r="EF22" s="517"/>
      <c r="EG22" s="517"/>
      <c r="EH22" s="517"/>
      <c r="EI22" s="517"/>
      <c r="EJ22" s="526"/>
      <c r="EK22" s="517"/>
      <c r="EL22" s="517"/>
      <c r="EM22" s="517"/>
      <c r="EN22" s="517"/>
      <c r="EO22" s="526"/>
      <c r="EP22" s="499"/>
      <c r="EQ22" s="499"/>
      <c r="ER22" s="499"/>
      <c r="ES22" s="499"/>
      <c r="ET22" s="499"/>
      <c r="EU22" s="499"/>
      <c r="EV22" s="440"/>
      <c r="EW22" s="440"/>
      <c r="EX22" s="440"/>
      <c r="EY22" s="440"/>
      <c r="EZ22" s="440"/>
      <c r="FA22" s="440"/>
      <c r="FB22" s="440"/>
      <c r="FC22" s="440"/>
      <c r="FD22" s="440"/>
      <c r="FE22" s="440"/>
      <c r="FF22" s="440"/>
      <c r="FG22" s="440"/>
      <c r="FH22" s="440"/>
      <c r="FI22" s="440"/>
      <c r="FJ22" s="440"/>
      <c r="FK22" s="440"/>
      <c r="FL22" s="440"/>
      <c r="FM22" s="440"/>
      <c r="FN22" s="440"/>
      <c r="FO22" s="440"/>
      <c r="FP22" s="440"/>
    </row>
    <row r="23" spans="1:172" ht="18" customHeight="1" x14ac:dyDescent="0.25">
      <c r="A23" s="36">
        <v>9</v>
      </c>
      <c r="B23" s="36">
        <v>9</v>
      </c>
      <c r="C23" s="636" t="s">
        <v>1250</v>
      </c>
      <c r="D23" s="637"/>
      <c r="E23" s="500" t="s">
        <v>548</v>
      </c>
      <c r="F23" s="501"/>
      <c r="G23" s="502">
        <v>19741</v>
      </c>
      <c r="H23" s="479">
        <f t="shared" ref="H23:H50" si="6">G23/$G$2</f>
        <v>3.9123394961780321E-2</v>
      </c>
      <c r="I23" s="502">
        <v>15944.3</v>
      </c>
      <c r="J23" s="502">
        <v>544.4</v>
      </c>
      <c r="K23" s="112">
        <v>4026.7</v>
      </c>
      <c r="L23" s="69">
        <f t="shared" si="3"/>
        <v>0.2039764956182564</v>
      </c>
      <c r="M23" s="111"/>
      <c r="N23" s="32">
        <v>37564</v>
      </c>
      <c r="O23" s="143">
        <f t="shared" ca="1" si="1"/>
        <v>15.438509726343554</v>
      </c>
      <c r="P23" s="111"/>
      <c r="Q23" s="503" t="s">
        <v>744</v>
      </c>
      <c r="R23" s="111"/>
      <c r="S23" s="64">
        <f t="shared" ca="1" si="4"/>
        <v>23.277283217936038</v>
      </c>
      <c r="T23" s="111"/>
      <c r="U23" s="504"/>
      <c r="V23" s="67"/>
      <c r="W23" s="111"/>
      <c r="X23" s="309" t="str">
        <f t="shared" si="5"/>
        <v>28/02/2020</v>
      </c>
      <c r="Y23" s="111"/>
      <c r="Z23" s="505" t="s">
        <v>135</v>
      </c>
      <c r="AA23" s="111"/>
      <c r="AB23" s="506" t="s">
        <v>139</v>
      </c>
      <c r="AC23" s="111"/>
      <c r="AD23" s="34" t="s">
        <v>534</v>
      </c>
      <c r="AE23" s="33" t="s">
        <v>693</v>
      </c>
      <c r="AF23" s="3" t="s">
        <v>745</v>
      </c>
      <c r="AG23" s="507" t="s">
        <v>746</v>
      </c>
      <c r="AH23" s="34"/>
      <c r="AI23" s="33"/>
      <c r="AJ23" s="3"/>
      <c r="AK23" s="3"/>
      <c r="AL23" s="34"/>
      <c r="AM23" s="33"/>
      <c r="AN23" s="3"/>
      <c r="AO23" s="3"/>
      <c r="AP23" s="34"/>
      <c r="AQ23" s="33"/>
      <c r="AR23" s="3"/>
      <c r="AS23" s="3"/>
      <c r="AT23" s="34"/>
      <c r="AU23" s="33"/>
      <c r="AV23" s="3"/>
      <c r="AW23" s="3"/>
      <c r="AX23" s="516"/>
      <c r="AY23" s="517" t="s">
        <v>10</v>
      </c>
      <c r="AZ23" s="518" t="s">
        <v>11</v>
      </c>
      <c r="BA23" s="519">
        <v>42293</v>
      </c>
      <c r="BB23" s="521" t="s">
        <v>148</v>
      </c>
      <c r="BC23" s="521" t="s">
        <v>160</v>
      </c>
      <c r="BD23" s="521" t="s">
        <v>10</v>
      </c>
      <c r="BE23" s="518" t="s">
        <v>11</v>
      </c>
      <c r="BF23" s="519">
        <v>42333</v>
      </c>
      <c r="BG23" s="520" t="s">
        <v>171</v>
      </c>
      <c r="BH23" s="520" t="s">
        <v>170</v>
      </c>
      <c r="BI23" s="518"/>
      <c r="BJ23" s="518"/>
      <c r="BK23" s="518"/>
      <c r="BL23" s="518"/>
      <c r="BM23" s="518"/>
      <c r="BN23" s="518" t="s">
        <v>10</v>
      </c>
      <c r="BO23" s="518" t="s">
        <v>9</v>
      </c>
      <c r="BP23" s="518" t="s">
        <v>394</v>
      </c>
      <c r="BQ23" s="522" t="s">
        <v>402</v>
      </c>
      <c r="BR23" s="522" t="s">
        <v>393</v>
      </c>
      <c r="BS23" s="518" t="s">
        <v>10</v>
      </c>
      <c r="BT23" s="518" t="s">
        <v>9</v>
      </c>
      <c r="BU23" s="518" t="s">
        <v>401</v>
      </c>
      <c r="BV23" s="522" t="s">
        <v>402</v>
      </c>
      <c r="BW23" s="522" t="s">
        <v>393</v>
      </c>
      <c r="BX23" s="518" t="s">
        <v>10</v>
      </c>
      <c r="BY23" s="518" t="s">
        <v>9</v>
      </c>
      <c r="BZ23" s="518" t="s">
        <v>363</v>
      </c>
      <c r="CA23" s="518" t="s">
        <v>148</v>
      </c>
      <c r="CB23" s="518" t="s">
        <v>364</v>
      </c>
      <c r="CC23" s="518" t="s">
        <v>10</v>
      </c>
      <c r="CD23" s="518" t="s">
        <v>9</v>
      </c>
      <c r="CE23" s="518" t="s">
        <v>382</v>
      </c>
      <c r="CF23" s="518" t="s">
        <v>148</v>
      </c>
      <c r="CG23" s="522" t="s">
        <v>384</v>
      </c>
      <c r="CH23" s="518" t="s">
        <v>10</v>
      </c>
      <c r="CI23" s="518" t="s">
        <v>9</v>
      </c>
      <c r="CJ23" s="518"/>
      <c r="CK23" s="518" t="s">
        <v>148</v>
      </c>
      <c r="CL23" s="522" t="s">
        <v>384</v>
      </c>
      <c r="CM23" s="518" t="s">
        <v>10</v>
      </c>
      <c r="CN23" s="521" t="s">
        <v>723</v>
      </c>
      <c r="CO23" s="518" t="s">
        <v>443</v>
      </c>
      <c r="CP23" s="518" t="s">
        <v>148</v>
      </c>
      <c r="CQ23" s="522" t="s">
        <v>364</v>
      </c>
      <c r="CR23" s="518" t="s">
        <v>10</v>
      </c>
      <c r="CS23" s="521" t="s">
        <v>723</v>
      </c>
      <c r="CT23" s="518"/>
      <c r="CU23" s="518" t="s">
        <v>148</v>
      </c>
      <c r="CV23" s="522" t="s">
        <v>384</v>
      </c>
      <c r="CW23" s="497" t="s">
        <v>682</v>
      </c>
      <c r="CX23" s="521" t="s">
        <v>723</v>
      </c>
      <c r="CY23" s="521" t="s">
        <v>732</v>
      </c>
      <c r="CZ23" s="518" t="s">
        <v>139</v>
      </c>
      <c r="DA23" s="522" t="s">
        <v>747</v>
      </c>
      <c r="DB23" s="497" t="s">
        <v>682</v>
      </c>
      <c r="DC23" s="521" t="s">
        <v>723</v>
      </c>
      <c r="DD23" s="518" t="s">
        <v>748</v>
      </c>
      <c r="DE23" s="522" t="s">
        <v>353</v>
      </c>
      <c r="DF23" s="522" t="s">
        <v>749</v>
      </c>
      <c r="DG23" s="497" t="s">
        <v>682</v>
      </c>
      <c r="DH23" s="521" t="s">
        <v>723</v>
      </c>
      <c r="DI23" s="518" t="s">
        <v>750</v>
      </c>
      <c r="DJ23" s="522" t="s">
        <v>353</v>
      </c>
      <c r="DK23" s="522" t="s">
        <v>751</v>
      </c>
      <c r="DL23" s="497" t="s">
        <v>682</v>
      </c>
      <c r="DM23" s="521" t="s">
        <v>723</v>
      </c>
      <c r="DN23" s="518" t="s">
        <v>752</v>
      </c>
      <c r="DO23" s="522" t="s">
        <v>353</v>
      </c>
      <c r="DP23" s="522" t="s">
        <v>749</v>
      </c>
      <c r="DQ23" s="518"/>
      <c r="DR23" s="518"/>
      <c r="DS23" s="518"/>
      <c r="DT23" s="518"/>
      <c r="DU23" s="523"/>
      <c r="DV23" s="518"/>
      <c r="DW23" s="518"/>
      <c r="DX23" s="518"/>
      <c r="DY23" s="518"/>
      <c r="DZ23" s="523"/>
      <c r="EA23" s="518"/>
      <c r="EB23" s="518"/>
      <c r="EC23" s="518"/>
      <c r="ED23" s="518"/>
      <c r="EE23" s="523"/>
      <c r="EF23" s="518"/>
      <c r="EG23" s="518"/>
      <c r="EH23" s="518"/>
      <c r="EI23" s="518"/>
      <c r="EJ23" s="523"/>
      <c r="EK23" s="518"/>
      <c r="EL23" s="518"/>
      <c r="EM23" s="518"/>
      <c r="EN23" s="518"/>
      <c r="EO23" s="523"/>
      <c r="EP23" s="499"/>
      <c r="EQ23" s="499"/>
      <c r="ER23" s="499"/>
      <c r="ES23" s="499"/>
      <c r="ET23" s="499"/>
      <c r="EU23" s="499"/>
      <c r="EV23" s="440"/>
      <c r="EW23" s="440"/>
      <c r="EX23" s="440"/>
      <c r="EY23" s="440"/>
      <c r="EZ23" s="440"/>
      <c r="FA23" s="440"/>
      <c r="FB23" s="440"/>
      <c r="FC23" s="440"/>
      <c r="FD23" s="440"/>
      <c r="FE23" s="440"/>
      <c r="FF23" s="440"/>
      <c r="FG23" s="440"/>
      <c r="FH23" s="440"/>
      <c r="FI23" s="440"/>
      <c r="FJ23" s="440"/>
      <c r="FK23" s="440"/>
      <c r="FL23" s="440"/>
      <c r="FM23" s="440"/>
      <c r="FN23" s="440"/>
      <c r="FO23" s="440"/>
      <c r="FP23" s="440"/>
    </row>
    <row r="24" spans="1:172" ht="18" customHeight="1" x14ac:dyDescent="0.25">
      <c r="A24" s="36">
        <v>10</v>
      </c>
      <c r="B24" s="36">
        <v>10</v>
      </c>
      <c r="C24" s="664" t="s">
        <v>1251</v>
      </c>
      <c r="D24" s="665"/>
      <c r="E24" s="500" t="s">
        <v>548</v>
      </c>
      <c r="F24" s="501" t="s">
        <v>527</v>
      </c>
      <c r="G24" s="502">
        <v>0</v>
      </c>
      <c r="H24" s="479">
        <f t="shared" si="6"/>
        <v>0</v>
      </c>
      <c r="I24" s="502">
        <v>10432.799999999999</v>
      </c>
      <c r="J24" s="502">
        <v>1120.9000000000001</v>
      </c>
      <c r="K24" s="112">
        <v>5706.5</v>
      </c>
      <c r="L24" s="69" t="e">
        <f t="shared" si="3"/>
        <v>#DIV/0!</v>
      </c>
      <c r="M24" s="111"/>
      <c r="N24" s="32">
        <v>40909</v>
      </c>
      <c r="O24" s="143">
        <f t="shared" ca="1" si="1"/>
        <v>6.2479393339927469</v>
      </c>
      <c r="P24" s="111"/>
      <c r="Q24" s="515" t="s">
        <v>29</v>
      </c>
      <c r="R24" s="111"/>
      <c r="S24" s="64">
        <f t="shared" ca="1" si="4"/>
        <v>-2.7365644576327068</v>
      </c>
      <c r="T24" s="111"/>
      <c r="U24" s="504"/>
      <c r="V24" s="67"/>
      <c r="W24" s="111"/>
      <c r="X24" s="309" t="str">
        <f t="shared" si="5"/>
        <v>31/12/2017</v>
      </c>
      <c r="Y24" s="111"/>
      <c r="Z24" s="505" t="s">
        <v>519</v>
      </c>
      <c r="AA24" s="111"/>
      <c r="AB24" s="531"/>
      <c r="AC24" s="111"/>
      <c r="AD24" s="34"/>
      <c r="AE24" s="33" t="s">
        <v>753</v>
      </c>
      <c r="AF24" s="3" t="s">
        <v>754</v>
      </c>
      <c r="AG24" s="2"/>
      <c r="AH24" s="34"/>
      <c r="AI24" s="33"/>
      <c r="AJ24" s="3"/>
      <c r="AK24" s="3"/>
      <c r="AL24" s="34"/>
      <c r="AM24" s="33"/>
      <c r="AN24" s="3"/>
      <c r="AO24" s="3"/>
      <c r="AP24" s="34"/>
      <c r="AQ24" s="33"/>
      <c r="AR24" s="3"/>
      <c r="AS24" s="3"/>
      <c r="AT24" s="34"/>
      <c r="AU24" s="33"/>
      <c r="AV24" s="3"/>
      <c r="AW24" s="3"/>
      <c r="AX24" s="516"/>
      <c r="AY24" s="517" t="s">
        <v>10</v>
      </c>
      <c r="AZ24" s="518" t="s">
        <v>9</v>
      </c>
      <c r="BA24" s="519">
        <v>42293</v>
      </c>
      <c r="BB24" s="520" t="s">
        <v>147</v>
      </c>
      <c r="BC24" s="521" t="s">
        <v>162</v>
      </c>
      <c r="BD24" s="521" t="s">
        <v>10</v>
      </c>
      <c r="BE24" s="518" t="s">
        <v>9</v>
      </c>
      <c r="BF24" s="519">
        <v>42335</v>
      </c>
      <c r="BG24" s="520" t="s">
        <v>172</v>
      </c>
      <c r="BH24" s="521" t="s">
        <v>173</v>
      </c>
      <c r="BI24" s="518"/>
      <c r="BJ24" s="518"/>
      <c r="BK24" s="518"/>
      <c r="BL24" s="518"/>
      <c r="BM24" s="518"/>
      <c r="BN24" s="518" t="s">
        <v>10</v>
      </c>
      <c r="BO24" s="518" t="s">
        <v>11</v>
      </c>
      <c r="BP24" s="518" t="s">
        <v>395</v>
      </c>
      <c r="BQ24" s="522" t="s">
        <v>388</v>
      </c>
      <c r="BR24" s="522" t="s">
        <v>399</v>
      </c>
      <c r="BS24" s="518" t="s">
        <v>10</v>
      </c>
      <c r="BT24" s="518" t="s">
        <v>11</v>
      </c>
      <c r="BU24" s="518" t="s">
        <v>404</v>
      </c>
      <c r="BV24" s="518" t="s">
        <v>145</v>
      </c>
      <c r="BW24" s="522" t="s">
        <v>403</v>
      </c>
      <c r="BX24" s="518" t="s">
        <v>10</v>
      </c>
      <c r="BY24" s="518" t="s">
        <v>11</v>
      </c>
      <c r="BZ24" s="518" t="s">
        <v>360</v>
      </c>
      <c r="CA24" s="518" t="s">
        <v>145</v>
      </c>
      <c r="CB24" s="518" t="s">
        <v>373</v>
      </c>
      <c r="CC24" s="518" t="s">
        <v>10</v>
      </c>
      <c r="CD24" s="518" t="s">
        <v>11</v>
      </c>
      <c r="CE24" s="518" t="s">
        <v>380</v>
      </c>
      <c r="CF24" s="518" t="s">
        <v>145</v>
      </c>
      <c r="CG24" s="522" t="s">
        <v>381</v>
      </c>
      <c r="CH24" s="518" t="s">
        <v>10</v>
      </c>
      <c r="CI24" s="518" t="s">
        <v>11</v>
      </c>
      <c r="CJ24" s="522" t="s">
        <v>423</v>
      </c>
      <c r="CK24" s="522" t="s">
        <v>422</v>
      </c>
      <c r="CL24" s="522" t="s">
        <v>421</v>
      </c>
      <c r="CM24" s="518" t="s">
        <v>10</v>
      </c>
      <c r="CN24" s="521" t="s">
        <v>11</v>
      </c>
      <c r="CO24" s="518" t="s">
        <v>444</v>
      </c>
      <c r="CP24" s="522" t="s">
        <v>172</v>
      </c>
      <c r="CQ24" s="522" t="s">
        <v>373</v>
      </c>
      <c r="CR24" s="518" t="s">
        <v>10</v>
      </c>
      <c r="CS24" s="521" t="s">
        <v>11</v>
      </c>
      <c r="CT24" s="522"/>
      <c r="CU24" s="522" t="s">
        <v>422</v>
      </c>
      <c r="CV24" s="522" t="s">
        <v>421</v>
      </c>
      <c r="CW24" s="497" t="s">
        <v>682</v>
      </c>
      <c r="CX24" s="521" t="s">
        <v>11</v>
      </c>
      <c r="CY24" s="520" t="s">
        <v>755</v>
      </c>
      <c r="CZ24" s="522" t="s">
        <v>172</v>
      </c>
      <c r="DA24" s="522" t="s">
        <v>756</v>
      </c>
      <c r="DB24" s="497" t="s">
        <v>682</v>
      </c>
      <c r="DC24" s="521" t="s">
        <v>11</v>
      </c>
      <c r="DD24" s="518" t="s">
        <v>757</v>
      </c>
      <c r="DE24" s="522" t="s">
        <v>172</v>
      </c>
      <c r="DF24" s="522" t="s">
        <v>756</v>
      </c>
      <c r="DG24" s="497" t="s">
        <v>682</v>
      </c>
      <c r="DH24" s="521" t="s">
        <v>11</v>
      </c>
      <c r="DI24" s="518" t="s">
        <v>758</v>
      </c>
      <c r="DJ24" s="522" t="s">
        <v>759</v>
      </c>
      <c r="DK24" s="522" t="s">
        <v>760</v>
      </c>
      <c r="DL24" s="497" t="s">
        <v>682</v>
      </c>
      <c r="DM24" s="521" t="s">
        <v>11</v>
      </c>
      <c r="DN24" s="518" t="s">
        <v>705</v>
      </c>
      <c r="DO24" s="522" t="s">
        <v>172</v>
      </c>
      <c r="DP24" s="522" t="s">
        <v>756</v>
      </c>
      <c r="DQ24" s="518"/>
      <c r="DR24" s="518"/>
      <c r="DS24" s="518"/>
      <c r="DT24" s="518"/>
      <c r="DU24" s="523"/>
      <c r="DV24" s="518"/>
      <c r="DW24" s="518"/>
      <c r="DX24" s="518"/>
      <c r="DY24" s="518"/>
      <c r="DZ24" s="523"/>
      <c r="EA24" s="518"/>
      <c r="EB24" s="518"/>
      <c r="EC24" s="518"/>
      <c r="ED24" s="518"/>
      <c r="EE24" s="523"/>
      <c r="EF24" s="518"/>
      <c r="EG24" s="518"/>
      <c r="EH24" s="518"/>
      <c r="EI24" s="518"/>
      <c r="EJ24" s="523"/>
      <c r="EK24" s="518"/>
      <c r="EL24" s="518"/>
      <c r="EM24" s="518"/>
      <c r="EN24" s="518"/>
      <c r="EO24" s="523"/>
      <c r="EP24" s="499"/>
      <c r="EQ24" s="499"/>
      <c r="ER24" s="499"/>
      <c r="ES24" s="499"/>
      <c r="ET24" s="499"/>
      <c r="EU24" s="499"/>
      <c r="EV24" s="440"/>
      <c r="EW24" s="440"/>
      <c r="EX24" s="440"/>
      <c r="EY24" s="440"/>
      <c r="EZ24" s="440"/>
      <c r="FA24" s="440"/>
      <c r="FB24" s="440"/>
      <c r="FC24" s="440"/>
      <c r="FD24" s="440"/>
      <c r="FE24" s="440"/>
      <c r="FF24" s="440"/>
      <c r="FG24" s="440"/>
      <c r="FH24" s="440"/>
      <c r="FI24" s="440"/>
      <c r="FJ24" s="440"/>
      <c r="FK24" s="440"/>
      <c r="FL24" s="440"/>
      <c r="FM24" s="440"/>
      <c r="FN24" s="440"/>
      <c r="FO24" s="440"/>
      <c r="FP24" s="440"/>
    </row>
    <row r="25" spans="1:172" ht="18" customHeight="1" x14ac:dyDescent="0.25">
      <c r="A25" s="36">
        <v>11</v>
      </c>
      <c r="B25" s="36">
        <v>11</v>
      </c>
      <c r="C25" s="675" t="s">
        <v>1252</v>
      </c>
      <c r="D25" s="676"/>
      <c r="E25" s="500" t="s">
        <v>548</v>
      </c>
      <c r="F25" s="501"/>
      <c r="G25" s="502">
        <v>15222</v>
      </c>
      <c r="H25" s="479">
        <f t="shared" si="6"/>
        <v>3.0167484834011452E-2</v>
      </c>
      <c r="I25" s="502"/>
      <c r="J25" s="502"/>
      <c r="K25" s="112"/>
      <c r="L25" s="69">
        <f t="shared" si="3"/>
        <v>0</v>
      </c>
      <c r="M25" s="111"/>
      <c r="N25" s="32">
        <v>42887</v>
      </c>
      <c r="O25" s="143">
        <f t="shared" ca="1" si="1"/>
        <v>0.81327618419606562</v>
      </c>
      <c r="P25" s="111"/>
      <c r="Q25" s="515" t="s">
        <v>761</v>
      </c>
      <c r="R25" s="111"/>
      <c r="S25" s="64">
        <f t="shared" ca="1" si="4"/>
        <v>50.412133201450715</v>
      </c>
      <c r="T25" s="111"/>
      <c r="U25" s="504"/>
      <c r="V25" s="67"/>
      <c r="W25" s="111"/>
      <c r="X25" s="309" t="str">
        <f t="shared" si="5"/>
        <v>31/05/2022</v>
      </c>
      <c r="Y25" s="111"/>
      <c r="Z25" s="505"/>
      <c r="AA25" s="111"/>
      <c r="AB25" s="506" t="s">
        <v>762</v>
      </c>
      <c r="AC25" s="111"/>
      <c r="AD25" s="34"/>
      <c r="AE25" s="33" t="s">
        <v>763</v>
      </c>
      <c r="AF25" s="3" t="s">
        <v>764</v>
      </c>
      <c r="AG25" s="532" t="s">
        <v>765</v>
      </c>
      <c r="AH25" s="34"/>
      <c r="AI25" s="33"/>
      <c r="AJ25" s="3"/>
      <c r="AK25" s="3"/>
      <c r="AL25" s="34"/>
      <c r="AM25" s="33"/>
      <c r="AN25" s="3"/>
      <c r="AO25" s="3"/>
      <c r="AP25" s="34"/>
      <c r="AQ25" s="33"/>
      <c r="AR25" s="3"/>
      <c r="AS25" s="3"/>
      <c r="AT25" s="34"/>
      <c r="AU25" s="33"/>
      <c r="AV25" s="3"/>
      <c r="AW25" s="3"/>
      <c r="AX25" s="516"/>
      <c r="AY25" s="517"/>
      <c r="AZ25" s="518"/>
      <c r="BA25" s="519"/>
      <c r="BB25" s="520"/>
      <c r="BC25" s="521"/>
      <c r="BD25" s="521"/>
      <c r="BE25" s="518"/>
      <c r="BF25" s="519"/>
      <c r="BG25" s="520"/>
      <c r="BH25" s="521"/>
      <c r="BI25" s="518"/>
      <c r="BJ25" s="518"/>
      <c r="BK25" s="518"/>
      <c r="BL25" s="518"/>
      <c r="BM25" s="518"/>
      <c r="BN25" s="518"/>
      <c r="BO25" s="518"/>
      <c r="BP25" s="518"/>
      <c r="BQ25" s="522"/>
      <c r="BR25" s="522"/>
      <c r="BS25" s="518"/>
      <c r="BT25" s="518"/>
      <c r="BU25" s="518"/>
      <c r="BV25" s="518"/>
      <c r="BW25" s="522"/>
      <c r="BX25" s="518"/>
      <c r="BY25" s="518"/>
      <c r="BZ25" s="518"/>
      <c r="CA25" s="518"/>
      <c r="CB25" s="518"/>
      <c r="CC25" s="518"/>
      <c r="CD25" s="518"/>
      <c r="CE25" s="518"/>
      <c r="CF25" s="518"/>
      <c r="CG25" s="522"/>
      <c r="CH25" s="518"/>
      <c r="CI25" s="518"/>
      <c r="CJ25" s="522"/>
      <c r="CK25" s="522"/>
      <c r="CL25" s="522"/>
      <c r="CM25" s="518"/>
      <c r="CN25" s="521"/>
      <c r="CO25" s="518"/>
      <c r="CP25" s="522"/>
      <c r="CQ25" s="522"/>
      <c r="CR25" s="518"/>
      <c r="CS25" s="521"/>
      <c r="CT25" s="522"/>
      <c r="CU25" s="522"/>
      <c r="CV25" s="522"/>
      <c r="CW25" s="497"/>
      <c r="CX25" s="521"/>
      <c r="CY25" s="520"/>
      <c r="CZ25" s="522"/>
      <c r="DA25" s="522"/>
      <c r="DB25" s="497"/>
      <c r="DC25" s="521"/>
      <c r="DD25" s="518"/>
      <c r="DE25" s="522"/>
      <c r="DF25" s="522"/>
      <c r="DG25" s="497"/>
      <c r="DH25" s="521"/>
      <c r="DI25" s="518"/>
      <c r="DJ25" s="522"/>
      <c r="DK25" s="522"/>
      <c r="DL25" s="497"/>
      <c r="DM25" s="521"/>
      <c r="DN25" s="518"/>
      <c r="DO25" s="522"/>
      <c r="DP25" s="522"/>
      <c r="DQ25" s="518"/>
      <c r="DR25" s="518"/>
      <c r="DS25" s="518"/>
      <c r="DT25" s="518"/>
      <c r="DU25" s="523"/>
      <c r="DV25" s="518"/>
      <c r="DW25" s="518"/>
      <c r="DX25" s="518"/>
      <c r="DY25" s="518"/>
      <c r="DZ25" s="523"/>
      <c r="EA25" s="518"/>
      <c r="EB25" s="518"/>
      <c r="EC25" s="518"/>
      <c r="ED25" s="518"/>
      <c r="EE25" s="523"/>
      <c r="EF25" s="518"/>
      <c r="EG25" s="518"/>
      <c r="EH25" s="518"/>
      <c r="EI25" s="518"/>
      <c r="EJ25" s="523"/>
      <c r="EK25" s="518"/>
      <c r="EL25" s="518"/>
      <c r="EM25" s="518"/>
      <c r="EN25" s="518"/>
      <c r="EO25" s="523"/>
      <c r="EP25" s="499"/>
      <c r="EQ25" s="499"/>
      <c r="ER25" s="499"/>
      <c r="ES25" s="499"/>
      <c r="ET25" s="499"/>
      <c r="EU25" s="499"/>
      <c r="EV25" s="440"/>
      <c r="EW25" s="440"/>
      <c r="EX25" s="440"/>
      <c r="EY25" s="440"/>
      <c r="EZ25" s="440"/>
      <c r="FA25" s="440"/>
      <c r="FB25" s="440"/>
      <c r="FC25" s="440"/>
      <c r="FD25" s="440"/>
      <c r="FE25" s="440"/>
      <c r="FF25" s="440"/>
      <c r="FG25" s="440"/>
      <c r="FH25" s="440"/>
      <c r="FI25" s="440"/>
      <c r="FJ25" s="440"/>
      <c r="FK25" s="440"/>
      <c r="FL25" s="440"/>
      <c r="FM25" s="440"/>
      <c r="FN25" s="440"/>
      <c r="FO25" s="440"/>
      <c r="FP25" s="440"/>
    </row>
    <row r="26" spans="1:172" ht="18" customHeight="1" x14ac:dyDescent="0.25">
      <c r="A26" s="36">
        <v>12</v>
      </c>
      <c r="B26" s="36">
        <v>12</v>
      </c>
      <c r="C26" s="636" t="s">
        <v>1253</v>
      </c>
      <c r="D26" s="637"/>
      <c r="E26" s="500" t="s">
        <v>521</v>
      </c>
      <c r="F26" s="501" t="s">
        <v>527</v>
      </c>
      <c r="G26" s="502">
        <v>0</v>
      </c>
      <c r="H26" s="479">
        <f t="shared" si="6"/>
        <v>0</v>
      </c>
      <c r="I26" s="502">
        <v>7802.3</v>
      </c>
      <c r="J26" s="502">
        <v>431.7</v>
      </c>
      <c r="K26" s="112">
        <v>3281.2</v>
      </c>
      <c r="L26" s="69" t="e">
        <f t="shared" si="3"/>
        <v>#DIV/0!</v>
      </c>
      <c r="M26" s="111"/>
      <c r="N26" s="32"/>
      <c r="O26" s="143">
        <f t="shared" ca="1" si="1"/>
        <v>118.64765358830641</v>
      </c>
      <c r="P26" s="111"/>
      <c r="Q26" s="503" t="s">
        <v>177</v>
      </c>
      <c r="R26" s="111"/>
      <c r="S26" s="64">
        <f t="shared" ca="1" si="4"/>
        <v>-1.714474118034949</v>
      </c>
      <c r="T26" s="111"/>
      <c r="U26" s="504"/>
      <c r="V26" s="67"/>
      <c r="W26" s="111"/>
      <c r="X26" s="309" t="str">
        <f t="shared" si="5"/>
        <v>31/01/2018</v>
      </c>
      <c r="Y26" s="111"/>
      <c r="Z26" s="505" t="s">
        <v>519</v>
      </c>
      <c r="AA26" s="111"/>
      <c r="AB26" s="531"/>
      <c r="AC26" s="111"/>
      <c r="AD26" s="34" t="s">
        <v>534</v>
      </c>
      <c r="AE26" s="33" t="s">
        <v>766</v>
      </c>
      <c r="AF26" s="3" t="s">
        <v>767</v>
      </c>
      <c r="AG26" s="2"/>
      <c r="AH26" s="34"/>
      <c r="AI26" s="33"/>
      <c r="AJ26" s="3"/>
      <c r="AK26" s="3"/>
      <c r="AL26" s="34"/>
      <c r="AM26" s="33"/>
      <c r="AN26" s="3"/>
      <c r="AO26" s="3"/>
      <c r="AP26" s="34"/>
      <c r="AQ26" s="33"/>
      <c r="AR26" s="3"/>
      <c r="AS26" s="3"/>
      <c r="AT26" s="34"/>
      <c r="AU26" s="33"/>
      <c r="AV26" s="3"/>
      <c r="AW26" s="3"/>
      <c r="AX26" s="516"/>
      <c r="AY26" s="517" t="s">
        <v>10</v>
      </c>
      <c r="AZ26" s="518" t="s">
        <v>9</v>
      </c>
      <c r="BA26" s="519">
        <v>42283</v>
      </c>
      <c r="BB26" s="521" t="s">
        <v>139</v>
      </c>
      <c r="BC26" s="521" t="s">
        <v>144</v>
      </c>
      <c r="BD26" s="521" t="s">
        <v>10</v>
      </c>
      <c r="BE26" s="518" t="s">
        <v>9</v>
      </c>
      <c r="BF26" s="519">
        <v>42318</v>
      </c>
      <c r="BG26" s="521" t="s">
        <v>139</v>
      </c>
      <c r="BH26" s="521" t="s">
        <v>144</v>
      </c>
      <c r="BI26" s="518"/>
      <c r="BJ26" s="518"/>
      <c r="BK26" s="518"/>
      <c r="BL26" s="518"/>
      <c r="BM26" s="518"/>
      <c r="BN26" s="518" t="s">
        <v>10</v>
      </c>
      <c r="BO26" s="518" t="s">
        <v>9</v>
      </c>
      <c r="BP26" s="518" t="s">
        <v>395</v>
      </c>
      <c r="BQ26" s="522" t="s">
        <v>353</v>
      </c>
      <c r="BR26" s="518" t="s">
        <v>144</v>
      </c>
      <c r="BS26" s="518" t="s">
        <v>10</v>
      </c>
      <c r="BT26" s="518" t="s">
        <v>9</v>
      </c>
      <c r="BU26" s="518" t="s">
        <v>410</v>
      </c>
      <c r="BV26" s="518" t="s">
        <v>139</v>
      </c>
      <c r="BW26" s="518" t="s">
        <v>144</v>
      </c>
      <c r="BX26" s="518" t="s">
        <v>10</v>
      </c>
      <c r="BY26" s="518" t="s">
        <v>9</v>
      </c>
      <c r="BZ26" s="518" t="s">
        <v>371</v>
      </c>
      <c r="CA26" s="518" t="s">
        <v>145</v>
      </c>
      <c r="CB26" s="518" t="s">
        <v>370</v>
      </c>
      <c r="CC26" s="518" t="s">
        <v>10</v>
      </c>
      <c r="CD26" s="518" t="s">
        <v>9</v>
      </c>
      <c r="CE26" s="518" t="s">
        <v>382</v>
      </c>
      <c r="CF26" s="518" t="s">
        <v>139</v>
      </c>
      <c r="CG26" s="518" t="s">
        <v>144</v>
      </c>
      <c r="CH26" s="518" t="s">
        <v>10</v>
      </c>
      <c r="CI26" s="518" t="s">
        <v>9</v>
      </c>
      <c r="CJ26" s="518" t="s">
        <v>420</v>
      </c>
      <c r="CK26" s="518" t="s">
        <v>139</v>
      </c>
      <c r="CL26" s="518" t="s">
        <v>144</v>
      </c>
      <c r="CM26" s="518" t="s">
        <v>10</v>
      </c>
      <c r="CN26" s="521" t="s">
        <v>11</v>
      </c>
      <c r="CO26" s="518" t="s">
        <v>449</v>
      </c>
      <c r="CP26" s="518" t="s">
        <v>139</v>
      </c>
      <c r="CQ26" s="518" t="s">
        <v>144</v>
      </c>
      <c r="CR26" s="518" t="s">
        <v>10</v>
      </c>
      <c r="CS26" s="521" t="s">
        <v>11</v>
      </c>
      <c r="CT26" s="518"/>
      <c r="CU26" s="518" t="s">
        <v>139</v>
      </c>
      <c r="CV26" s="518" t="s">
        <v>144</v>
      </c>
      <c r="CW26" s="497" t="s">
        <v>682</v>
      </c>
      <c r="CX26" s="521" t="s">
        <v>11</v>
      </c>
      <c r="CY26" s="521" t="s">
        <v>768</v>
      </c>
      <c r="CZ26" s="518" t="s">
        <v>139</v>
      </c>
      <c r="DA26" s="518" t="s">
        <v>144</v>
      </c>
      <c r="DB26" s="497" t="s">
        <v>682</v>
      </c>
      <c r="DC26" s="521" t="s">
        <v>11</v>
      </c>
      <c r="DD26" s="518" t="s">
        <v>769</v>
      </c>
      <c r="DE26" s="518" t="s">
        <v>139</v>
      </c>
      <c r="DF26" s="518" t="s">
        <v>144</v>
      </c>
      <c r="DG26" s="497" t="s">
        <v>682</v>
      </c>
      <c r="DH26" s="521" t="s">
        <v>11</v>
      </c>
      <c r="DI26" s="518" t="s">
        <v>770</v>
      </c>
      <c r="DJ26" s="518" t="s">
        <v>139</v>
      </c>
      <c r="DK26" s="518" t="s">
        <v>144</v>
      </c>
      <c r="DL26" s="497" t="s">
        <v>682</v>
      </c>
      <c r="DM26" s="521" t="s">
        <v>11</v>
      </c>
      <c r="DN26" s="518" t="s">
        <v>392</v>
      </c>
      <c r="DO26" s="522" t="s">
        <v>771</v>
      </c>
      <c r="DP26" s="518" t="s">
        <v>772</v>
      </c>
      <c r="DQ26" s="518"/>
      <c r="DR26" s="518"/>
      <c r="DS26" s="518"/>
      <c r="DT26" s="518"/>
      <c r="DU26" s="523"/>
      <c r="DV26" s="518"/>
      <c r="DW26" s="518"/>
      <c r="DX26" s="518"/>
      <c r="DY26" s="518"/>
      <c r="DZ26" s="523"/>
      <c r="EA26" s="518"/>
      <c r="EB26" s="518"/>
      <c r="EC26" s="518"/>
      <c r="ED26" s="518"/>
      <c r="EE26" s="523"/>
      <c r="EF26" s="518"/>
      <c r="EG26" s="518"/>
      <c r="EH26" s="518"/>
      <c r="EI26" s="518"/>
      <c r="EJ26" s="523"/>
      <c r="EK26" s="518"/>
      <c r="EL26" s="518"/>
      <c r="EM26" s="518"/>
      <c r="EN26" s="518"/>
      <c r="EO26" s="523"/>
      <c r="EP26" s="499"/>
      <c r="EQ26" s="499"/>
      <c r="ER26" s="499"/>
      <c r="ES26" s="499"/>
      <c r="ET26" s="499"/>
      <c r="EU26" s="499"/>
      <c r="EV26" s="440"/>
      <c r="EW26" s="440"/>
      <c r="EX26" s="440"/>
      <c r="EY26" s="440"/>
      <c r="EZ26" s="440"/>
      <c r="FA26" s="440"/>
      <c r="FB26" s="440"/>
      <c r="FC26" s="440"/>
      <c r="FD26" s="440"/>
      <c r="FE26" s="440"/>
      <c r="FF26" s="440"/>
      <c r="FG26" s="440"/>
      <c r="FH26" s="440"/>
      <c r="FI26" s="440"/>
      <c r="FJ26" s="440"/>
      <c r="FK26" s="440"/>
      <c r="FL26" s="440"/>
      <c r="FM26" s="440"/>
      <c r="FN26" s="440"/>
      <c r="FO26" s="440"/>
      <c r="FP26" s="440"/>
    </row>
    <row r="27" spans="1:172" ht="18" customHeight="1" x14ac:dyDescent="0.25">
      <c r="A27" s="36">
        <v>13</v>
      </c>
      <c r="B27" s="36">
        <v>13</v>
      </c>
      <c r="C27" s="696" t="s">
        <v>1254</v>
      </c>
      <c r="D27" s="697" t="s">
        <v>1255</v>
      </c>
      <c r="E27" s="500" t="s">
        <v>580</v>
      </c>
      <c r="F27" s="501" t="s">
        <v>527</v>
      </c>
      <c r="G27" s="502">
        <v>0</v>
      </c>
      <c r="H27" s="479">
        <f t="shared" si="6"/>
        <v>0</v>
      </c>
      <c r="I27" s="502">
        <v>6699.6</v>
      </c>
      <c r="J27" s="502">
        <v>1071.0999999999999</v>
      </c>
      <c r="K27" s="112">
        <v>3650.7</v>
      </c>
      <c r="L27" s="69" t="e">
        <f t="shared" si="3"/>
        <v>#DIV/0!</v>
      </c>
      <c r="M27" s="111"/>
      <c r="N27" s="32">
        <v>39295</v>
      </c>
      <c r="O27" s="143">
        <f t="shared" ca="1" si="1"/>
        <v>10.682492581602375</v>
      </c>
      <c r="P27" s="111"/>
      <c r="Q27" s="503" t="s">
        <v>177</v>
      </c>
      <c r="R27" s="111"/>
      <c r="S27" s="64">
        <f t="shared" ca="1" si="4"/>
        <v>-1.714474118034949</v>
      </c>
      <c r="T27" s="111"/>
      <c r="U27" s="504"/>
      <c r="V27" s="67"/>
      <c r="W27" s="111"/>
      <c r="X27" s="309" t="str">
        <f>IF(OR(U27="",U27="N"),Q27,EDATE(Q27,V27))</f>
        <v>31/01/2018</v>
      </c>
      <c r="Y27" s="111"/>
      <c r="Z27" s="505" t="s">
        <v>519</v>
      </c>
      <c r="AA27" s="111"/>
      <c r="AB27" s="533"/>
      <c r="AC27" s="111"/>
      <c r="AD27" s="34"/>
      <c r="AE27" s="33" t="s">
        <v>697</v>
      </c>
      <c r="AF27" s="3" t="s">
        <v>773</v>
      </c>
      <c r="AG27" s="2"/>
      <c r="AH27" s="34"/>
      <c r="AI27" s="33"/>
      <c r="AJ27" s="3"/>
      <c r="AK27" s="3"/>
      <c r="AL27" s="34"/>
      <c r="AM27" s="33"/>
      <c r="AN27" s="3"/>
      <c r="AO27" s="3"/>
      <c r="AP27" s="34"/>
      <c r="AQ27" s="33"/>
      <c r="AR27" s="3"/>
      <c r="AS27" s="3"/>
      <c r="AT27" s="34"/>
      <c r="AU27" s="33"/>
      <c r="AV27" s="3"/>
      <c r="AW27" s="3"/>
      <c r="AX27" s="524"/>
      <c r="AY27" s="517" t="s">
        <v>10</v>
      </c>
      <c r="AZ27" s="518" t="s">
        <v>9</v>
      </c>
      <c r="BA27" s="519">
        <v>42290</v>
      </c>
      <c r="BB27" s="520" t="s">
        <v>145</v>
      </c>
      <c r="BC27" s="521" t="s">
        <v>163</v>
      </c>
      <c r="BD27" s="521" t="s">
        <v>10</v>
      </c>
      <c r="BE27" s="518" t="s">
        <v>9</v>
      </c>
      <c r="BF27" s="519">
        <v>42314</v>
      </c>
      <c r="BG27" s="520" t="s">
        <v>145</v>
      </c>
      <c r="BH27" s="521" t="s">
        <v>163</v>
      </c>
      <c r="BI27" s="518"/>
      <c r="BJ27" s="518"/>
      <c r="BK27" s="518"/>
      <c r="BL27" s="518"/>
      <c r="BM27" s="518"/>
      <c r="BN27" s="518" t="s">
        <v>10</v>
      </c>
      <c r="BO27" s="518" t="s">
        <v>9</v>
      </c>
      <c r="BP27" s="518" t="s">
        <v>396</v>
      </c>
      <c r="BQ27" s="522" t="s">
        <v>374</v>
      </c>
      <c r="BR27" s="518" t="s">
        <v>369</v>
      </c>
      <c r="BS27" s="518" t="s">
        <v>10</v>
      </c>
      <c r="BT27" s="518" t="s">
        <v>9</v>
      </c>
      <c r="BU27" s="518" t="s">
        <v>407</v>
      </c>
      <c r="BV27" s="522" t="s">
        <v>374</v>
      </c>
      <c r="BW27" s="518" t="s">
        <v>369</v>
      </c>
      <c r="BX27" s="518" t="s">
        <v>10</v>
      </c>
      <c r="BY27" s="518" t="s">
        <v>9</v>
      </c>
      <c r="BZ27" s="518" t="s">
        <v>372</v>
      </c>
      <c r="CA27" s="522" t="s">
        <v>374</v>
      </c>
      <c r="CB27" s="518" t="s">
        <v>369</v>
      </c>
      <c r="CC27" s="518" t="s">
        <v>10</v>
      </c>
      <c r="CD27" s="518" t="s">
        <v>9</v>
      </c>
      <c r="CE27" s="518" t="s">
        <v>385</v>
      </c>
      <c r="CF27" s="522" t="s">
        <v>374</v>
      </c>
      <c r="CG27" s="518" t="s">
        <v>369</v>
      </c>
      <c r="CH27" s="518" t="s">
        <v>10</v>
      </c>
      <c r="CI27" s="518" t="s">
        <v>9</v>
      </c>
      <c r="CJ27" s="518" t="s">
        <v>424</v>
      </c>
      <c r="CK27" s="522" t="s">
        <v>374</v>
      </c>
      <c r="CL27" s="518" t="s">
        <v>369</v>
      </c>
      <c r="CM27" s="518" t="s">
        <v>10</v>
      </c>
      <c r="CN27" s="521" t="s">
        <v>11</v>
      </c>
      <c r="CO27" s="518" t="s">
        <v>444</v>
      </c>
      <c r="CP27" s="522" t="s">
        <v>374</v>
      </c>
      <c r="CQ27" s="518" t="s">
        <v>448</v>
      </c>
      <c r="CR27" s="518" t="s">
        <v>10</v>
      </c>
      <c r="CS27" s="521" t="s">
        <v>11</v>
      </c>
      <c r="CT27" s="518" t="s">
        <v>446</v>
      </c>
      <c r="CU27" s="522" t="s">
        <v>374</v>
      </c>
      <c r="CV27" s="518" t="s">
        <v>447</v>
      </c>
      <c r="CW27" s="497" t="s">
        <v>682</v>
      </c>
      <c r="CX27" s="521" t="s">
        <v>11</v>
      </c>
      <c r="CY27" s="521" t="s">
        <v>700</v>
      </c>
      <c r="CZ27" s="522" t="s">
        <v>374</v>
      </c>
      <c r="DA27" s="518" t="s">
        <v>447</v>
      </c>
      <c r="DB27" s="497" t="s">
        <v>682</v>
      </c>
      <c r="DC27" s="521" t="s">
        <v>11</v>
      </c>
      <c r="DD27" s="525" t="s">
        <v>774</v>
      </c>
      <c r="DE27" s="522" t="s">
        <v>775</v>
      </c>
      <c r="DF27" s="522" t="s">
        <v>448</v>
      </c>
      <c r="DG27" s="497" t="s">
        <v>682</v>
      </c>
      <c r="DH27" s="521" t="s">
        <v>11</v>
      </c>
      <c r="DI27" s="525" t="s">
        <v>776</v>
      </c>
      <c r="DJ27" s="522" t="s">
        <v>777</v>
      </c>
      <c r="DK27" s="522" t="s">
        <v>778</v>
      </c>
      <c r="DL27" s="497" t="s">
        <v>682</v>
      </c>
      <c r="DM27" s="521" t="s">
        <v>11</v>
      </c>
      <c r="DN27" s="525" t="s">
        <v>387</v>
      </c>
      <c r="DO27" s="522" t="s">
        <v>775</v>
      </c>
      <c r="DP27" s="522" t="s">
        <v>448</v>
      </c>
      <c r="DQ27" s="517"/>
      <c r="DR27" s="517"/>
      <c r="DS27" s="517"/>
      <c r="DT27" s="517"/>
      <c r="DU27" s="526"/>
      <c r="DV27" s="517"/>
      <c r="DW27" s="517"/>
      <c r="DX27" s="517"/>
      <c r="DY27" s="517"/>
      <c r="DZ27" s="526"/>
      <c r="EA27" s="517"/>
      <c r="EB27" s="517"/>
      <c r="EC27" s="517"/>
      <c r="ED27" s="517"/>
      <c r="EE27" s="526"/>
      <c r="EF27" s="517"/>
      <c r="EG27" s="517"/>
      <c r="EH27" s="517"/>
      <c r="EI27" s="517"/>
      <c r="EJ27" s="526"/>
      <c r="EK27" s="517"/>
      <c r="EL27" s="517"/>
      <c r="EM27" s="517"/>
      <c r="EN27" s="517"/>
      <c r="EO27" s="526"/>
      <c r="EP27" s="499"/>
      <c r="EQ27" s="499"/>
      <c r="ER27" s="499"/>
      <c r="ES27" s="499"/>
      <c r="ET27" s="499"/>
      <c r="EU27" s="499"/>
      <c r="EV27" s="440"/>
      <c r="EW27" s="440"/>
      <c r="EX27" s="440"/>
      <c r="EY27" s="440"/>
      <c r="EZ27" s="440"/>
      <c r="FA27" s="440"/>
      <c r="FB27" s="440"/>
      <c r="FC27" s="440"/>
      <c r="FD27" s="440"/>
      <c r="FE27" s="440"/>
      <c r="FF27" s="440"/>
      <c r="FG27" s="440"/>
      <c r="FH27" s="440"/>
      <c r="FI27" s="440"/>
      <c r="FJ27" s="440"/>
      <c r="FK27" s="440"/>
      <c r="FL27" s="440"/>
      <c r="FM27" s="440"/>
      <c r="FN27" s="440"/>
      <c r="FO27" s="440"/>
      <c r="FP27" s="440"/>
    </row>
    <row r="28" spans="1:172" ht="18" customHeight="1" x14ac:dyDescent="0.25">
      <c r="A28" s="36">
        <v>14</v>
      </c>
      <c r="B28" s="36">
        <v>12</v>
      </c>
      <c r="C28" s="708" t="s">
        <v>1256</v>
      </c>
      <c r="D28" s="709"/>
      <c r="E28" s="500" t="s">
        <v>521</v>
      </c>
      <c r="F28" s="501"/>
      <c r="G28" s="502">
        <v>9334</v>
      </c>
      <c r="H28" s="479">
        <f t="shared" si="6"/>
        <v>1.8498443268996381E-2</v>
      </c>
      <c r="I28" s="502">
        <v>7478</v>
      </c>
      <c r="J28" s="502">
        <v>0</v>
      </c>
      <c r="K28" s="112">
        <v>1856.4</v>
      </c>
      <c r="L28" s="69">
        <f t="shared" si="3"/>
        <v>0.19888579387186631</v>
      </c>
      <c r="M28" s="111"/>
      <c r="N28" s="32">
        <v>40809</v>
      </c>
      <c r="O28" s="143">
        <f t="shared" ca="1" si="1"/>
        <v>6.5226948016265531</v>
      </c>
      <c r="P28" s="111"/>
      <c r="Q28" s="503" t="s">
        <v>28</v>
      </c>
      <c r="R28" s="111"/>
      <c r="S28" s="64">
        <f t="shared" ca="1" si="4"/>
        <v>45.433564127926147</v>
      </c>
      <c r="T28" s="111"/>
      <c r="U28" s="504" t="s">
        <v>591</v>
      </c>
      <c r="V28" s="67">
        <v>36</v>
      </c>
      <c r="W28" s="111"/>
      <c r="X28" s="309">
        <f t="shared" ref="X28:X36" si="7">IF(OR(U28="",U28="N"),Q28,EDATE(Q28,V28))</f>
        <v>44561</v>
      </c>
      <c r="Y28" s="111"/>
      <c r="Z28" s="505" t="s">
        <v>135</v>
      </c>
      <c r="AA28" s="111"/>
      <c r="AB28" s="529" t="s">
        <v>779</v>
      </c>
      <c r="AC28" s="111"/>
      <c r="AD28" s="34"/>
      <c r="AE28" s="33" t="s">
        <v>780</v>
      </c>
      <c r="AF28" s="3" t="s">
        <v>781</v>
      </c>
      <c r="AG28" s="2" t="s">
        <v>782</v>
      </c>
      <c r="AH28" s="34"/>
      <c r="AI28" s="33"/>
      <c r="AJ28" s="3"/>
      <c r="AK28" s="3"/>
      <c r="AL28" s="34"/>
      <c r="AM28" s="33"/>
      <c r="AN28" s="3"/>
      <c r="AO28" s="3"/>
      <c r="AP28" s="34"/>
      <c r="AQ28" s="33"/>
      <c r="AR28" s="3"/>
      <c r="AS28" s="3"/>
      <c r="AT28" s="34"/>
      <c r="AU28" s="33"/>
      <c r="AV28" s="3"/>
      <c r="AW28" s="3"/>
      <c r="AX28" s="524"/>
      <c r="AY28" s="517"/>
      <c r="AZ28" s="518"/>
      <c r="BA28" s="519"/>
      <c r="BB28" s="520"/>
      <c r="BC28" s="521"/>
      <c r="BD28" s="521"/>
      <c r="BE28" s="518"/>
      <c r="BF28" s="519"/>
      <c r="BG28" s="520"/>
      <c r="BH28" s="521"/>
      <c r="BI28" s="518"/>
      <c r="BJ28" s="518"/>
      <c r="BK28" s="518"/>
      <c r="BL28" s="518"/>
      <c r="BM28" s="518"/>
      <c r="BN28" s="518" t="s">
        <v>10</v>
      </c>
      <c r="BO28" s="518" t="s">
        <v>9</v>
      </c>
      <c r="BP28" s="518" t="s">
        <v>397</v>
      </c>
      <c r="BQ28" s="522" t="s">
        <v>383</v>
      </c>
      <c r="BR28" s="518" t="s">
        <v>398</v>
      </c>
      <c r="BS28" s="518" t="s">
        <v>10</v>
      </c>
      <c r="BT28" s="518" t="s">
        <v>9</v>
      </c>
      <c r="BU28" s="518" t="s">
        <v>407</v>
      </c>
      <c r="BV28" s="522" t="s">
        <v>383</v>
      </c>
      <c r="BW28" s="518" t="s">
        <v>367</v>
      </c>
      <c r="BX28" s="518" t="s">
        <v>10</v>
      </c>
      <c r="BY28" s="518" t="s">
        <v>9</v>
      </c>
      <c r="BZ28" s="518"/>
      <c r="CA28" s="522" t="s">
        <v>368</v>
      </c>
      <c r="CB28" s="518" t="s">
        <v>367</v>
      </c>
      <c r="CC28" s="518" t="s">
        <v>10</v>
      </c>
      <c r="CD28" s="518" t="s">
        <v>9</v>
      </c>
      <c r="CE28" s="518" t="s">
        <v>376</v>
      </c>
      <c r="CF28" s="522" t="s">
        <v>383</v>
      </c>
      <c r="CG28" s="518" t="s">
        <v>367</v>
      </c>
      <c r="CH28" s="518" t="s">
        <v>10</v>
      </c>
      <c r="CI28" s="518" t="s">
        <v>9</v>
      </c>
      <c r="CJ28" s="518" t="s">
        <v>416</v>
      </c>
      <c r="CK28" s="522" t="s">
        <v>383</v>
      </c>
      <c r="CL28" s="518" t="s">
        <v>367</v>
      </c>
      <c r="CM28" s="518" t="s">
        <v>10</v>
      </c>
      <c r="CN28" s="521" t="s">
        <v>723</v>
      </c>
      <c r="CO28" s="518" t="s">
        <v>445</v>
      </c>
      <c r="CP28" s="522" t="s">
        <v>383</v>
      </c>
      <c r="CQ28" s="518" t="s">
        <v>367</v>
      </c>
      <c r="CR28" s="518" t="s">
        <v>10</v>
      </c>
      <c r="CS28" s="521" t="s">
        <v>723</v>
      </c>
      <c r="CT28" s="518" t="s">
        <v>442</v>
      </c>
      <c r="CU28" s="522" t="s">
        <v>383</v>
      </c>
      <c r="CV28" s="518" t="s">
        <v>367</v>
      </c>
      <c r="CW28" s="497" t="s">
        <v>682</v>
      </c>
      <c r="CX28" s="521" t="s">
        <v>723</v>
      </c>
      <c r="CY28" s="521" t="s">
        <v>783</v>
      </c>
      <c r="CZ28" s="522" t="s">
        <v>383</v>
      </c>
      <c r="DA28" s="518" t="s">
        <v>367</v>
      </c>
      <c r="DB28" s="497" t="s">
        <v>682</v>
      </c>
      <c r="DC28" s="521" t="s">
        <v>723</v>
      </c>
      <c r="DD28" s="525"/>
      <c r="DE28" s="522" t="s">
        <v>383</v>
      </c>
      <c r="DF28" s="522" t="s">
        <v>367</v>
      </c>
      <c r="DG28" s="497" t="s">
        <v>682</v>
      </c>
      <c r="DH28" s="521" t="s">
        <v>723</v>
      </c>
      <c r="DI28" s="525"/>
      <c r="DJ28" s="522" t="s">
        <v>383</v>
      </c>
      <c r="DK28" s="522" t="s">
        <v>367</v>
      </c>
      <c r="DL28" s="497" t="s">
        <v>682</v>
      </c>
      <c r="DM28" s="521" t="s">
        <v>723</v>
      </c>
      <c r="DN28" s="525" t="s">
        <v>752</v>
      </c>
      <c r="DO28" s="522" t="s">
        <v>784</v>
      </c>
      <c r="DP28" s="522" t="s">
        <v>367</v>
      </c>
      <c r="DQ28" s="517"/>
      <c r="DR28" s="517"/>
      <c r="DS28" s="517"/>
      <c r="DT28" s="517"/>
      <c r="DU28" s="526"/>
      <c r="DV28" s="517"/>
      <c r="DW28" s="517"/>
      <c r="DX28" s="517"/>
      <c r="DY28" s="517"/>
      <c r="DZ28" s="526"/>
      <c r="EA28" s="517"/>
      <c r="EB28" s="517"/>
      <c r="EC28" s="517"/>
      <c r="ED28" s="517"/>
      <c r="EE28" s="526"/>
      <c r="EF28" s="517"/>
      <c r="EG28" s="517"/>
      <c r="EH28" s="517"/>
      <c r="EI28" s="517"/>
      <c r="EJ28" s="526"/>
      <c r="EK28" s="517"/>
      <c r="EL28" s="517"/>
      <c r="EM28" s="517"/>
      <c r="EN28" s="517"/>
      <c r="EO28" s="526"/>
      <c r="EP28" s="499"/>
      <c r="EQ28" s="499"/>
      <c r="ER28" s="499"/>
      <c r="ES28" s="499"/>
      <c r="ET28" s="499"/>
      <c r="EU28" s="499"/>
      <c r="EV28" s="440"/>
      <c r="EW28" s="440"/>
      <c r="EX28" s="440"/>
      <c r="EY28" s="440"/>
      <c r="EZ28" s="440"/>
      <c r="FA28" s="440"/>
      <c r="FB28" s="440"/>
      <c r="FC28" s="440"/>
      <c r="FD28" s="440"/>
      <c r="FE28" s="440"/>
      <c r="FF28" s="440"/>
      <c r="FG28" s="440"/>
      <c r="FH28" s="440"/>
      <c r="FI28" s="440"/>
      <c r="FJ28" s="440"/>
      <c r="FK28" s="440"/>
      <c r="FL28" s="440"/>
      <c r="FM28" s="440"/>
      <c r="FN28" s="440"/>
      <c r="FO28" s="440"/>
      <c r="FP28" s="440"/>
    </row>
    <row r="29" spans="1:172" ht="18" customHeight="1" x14ac:dyDescent="0.25">
      <c r="A29" s="36">
        <v>15</v>
      </c>
      <c r="B29" s="36">
        <v>13</v>
      </c>
      <c r="C29" s="708" t="s">
        <v>1257</v>
      </c>
      <c r="D29" s="709"/>
      <c r="E29" s="500" t="s">
        <v>521</v>
      </c>
      <c r="F29" s="501"/>
      <c r="G29" s="502">
        <v>9388</v>
      </c>
      <c r="H29" s="479">
        <f t="shared" si="6"/>
        <v>1.8605462332262481E-2</v>
      </c>
      <c r="I29" s="502">
        <v>6362.2</v>
      </c>
      <c r="J29" s="502">
        <v>375.1</v>
      </c>
      <c r="K29" s="112">
        <v>2522.3000000000002</v>
      </c>
      <c r="L29" s="69">
        <f t="shared" si="3"/>
        <v>0.26867277375372817</v>
      </c>
      <c r="M29" s="111"/>
      <c r="N29" s="32">
        <v>42278</v>
      </c>
      <c r="O29" s="143">
        <f t="shared" ca="1" si="1"/>
        <v>2.4865369820859438</v>
      </c>
      <c r="P29" s="111"/>
      <c r="Q29" s="567" t="s">
        <v>712</v>
      </c>
      <c r="R29" s="111"/>
      <c r="S29" s="64">
        <f t="shared" ca="1" si="4"/>
        <v>6.2644246620507751</v>
      </c>
      <c r="T29" s="111"/>
      <c r="U29" s="504"/>
      <c r="V29" s="67"/>
      <c r="W29" s="111"/>
      <c r="X29" s="309" t="str">
        <f t="shared" si="7"/>
        <v>30/09/2018</v>
      </c>
      <c r="Y29" s="111"/>
      <c r="Z29" s="505" t="s">
        <v>519</v>
      </c>
      <c r="AA29" s="111"/>
      <c r="AB29" s="529" t="s">
        <v>785</v>
      </c>
      <c r="AC29" s="111"/>
      <c r="AD29" s="34"/>
      <c r="AE29" s="33" t="s">
        <v>780</v>
      </c>
      <c r="AF29" s="3" t="s">
        <v>786</v>
      </c>
      <c r="AG29" s="507" t="s">
        <v>787</v>
      </c>
      <c r="AH29" s="34"/>
      <c r="AI29" s="33" t="s">
        <v>788</v>
      </c>
      <c r="AJ29" s="3" t="s">
        <v>789</v>
      </c>
      <c r="AK29" s="3"/>
      <c r="AL29" s="34"/>
      <c r="AM29" s="33" t="s">
        <v>790</v>
      </c>
      <c r="AN29" s="3" t="s">
        <v>791</v>
      </c>
      <c r="AO29" s="3"/>
      <c r="AP29" s="34"/>
      <c r="AQ29" s="33"/>
      <c r="AR29" s="3"/>
      <c r="AS29" s="3"/>
      <c r="AT29" s="34"/>
      <c r="AU29" s="33"/>
      <c r="AV29" s="3"/>
      <c r="AW29" s="3"/>
      <c r="AX29" s="524"/>
      <c r="AY29" s="517"/>
      <c r="AZ29" s="518"/>
      <c r="BA29" s="519"/>
      <c r="BB29" s="520"/>
      <c r="BC29" s="521"/>
      <c r="BD29" s="521"/>
      <c r="BE29" s="518"/>
      <c r="BF29" s="519"/>
      <c r="BG29" s="520"/>
      <c r="BH29" s="521"/>
      <c r="BI29" s="518"/>
      <c r="BJ29" s="518"/>
      <c r="BK29" s="518"/>
      <c r="BL29" s="518"/>
      <c r="BM29" s="518"/>
      <c r="BN29" s="518"/>
      <c r="BO29" s="518"/>
      <c r="BP29" s="518"/>
      <c r="BQ29" s="522"/>
      <c r="BR29" s="518"/>
      <c r="BS29" s="518"/>
      <c r="BT29" s="518"/>
      <c r="BU29" s="518"/>
      <c r="BV29" s="522"/>
      <c r="BW29" s="518"/>
      <c r="BX29" s="518"/>
      <c r="BY29" s="518"/>
      <c r="BZ29" s="518"/>
      <c r="CA29" s="522"/>
      <c r="CB29" s="518"/>
      <c r="CC29" s="518"/>
      <c r="CD29" s="518"/>
      <c r="CE29" s="518"/>
      <c r="CF29" s="522"/>
      <c r="CG29" s="518"/>
      <c r="CH29" s="518"/>
      <c r="CI29" s="518"/>
      <c r="CJ29" s="518"/>
      <c r="CK29" s="522"/>
      <c r="CL29" s="518"/>
      <c r="CM29" s="518"/>
      <c r="CN29" s="521" t="s">
        <v>11</v>
      </c>
      <c r="CO29" s="518"/>
      <c r="CP29" s="522"/>
      <c r="CQ29" s="518"/>
      <c r="CR29" s="518"/>
      <c r="CS29" s="521" t="s">
        <v>11</v>
      </c>
      <c r="CT29" s="518"/>
      <c r="CU29" s="522"/>
      <c r="CV29" s="518"/>
      <c r="CW29" s="497" t="s">
        <v>682</v>
      </c>
      <c r="CX29" s="521" t="s">
        <v>11</v>
      </c>
      <c r="CY29" s="521" t="s">
        <v>792</v>
      </c>
      <c r="CZ29" s="522" t="s">
        <v>793</v>
      </c>
      <c r="DA29" s="518" t="s">
        <v>794</v>
      </c>
      <c r="DB29" s="497" t="s">
        <v>682</v>
      </c>
      <c r="DC29" s="521" t="s">
        <v>11</v>
      </c>
      <c r="DD29" s="525">
        <v>42684</v>
      </c>
      <c r="DE29" s="522" t="s">
        <v>793</v>
      </c>
      <c r="DF29" s="522" t="s">
        <v>794</v>
      </c>
      <c r="DG29" s="497" t="s">
        <v>682</v>
      </c>
      <c r="DH29" s="521" t="s">
        <v>11</v>
      </c>
      <c r="DI29" s="525"/>
      <c r="DJ29" s="522" t="s">
        <v>793</v>
      </c>
      <c r="DK29" s="522" t="s">
        <v>794</v>
      </c>
      <c r="DL29" s="497" t="s">
        <v>682</v>
      </c>
      <c r="DM29" s="521" t="s">
        <v>11</v>
      </c>
      <c r="DN29" s="525">
        <v>42739</v>
      </c>
      <c r="DO29" s="522" t="s">
        <v>793</v>
      </c>
      <c r="DP29" s="522" t="s">
        <v>794</v>
      </c>
      <c r="DQ29" s="517"/>
      <c r="DR29" s="517"/>
      <c r="DS29" s="517"/>
      <c r="DT29" s="517"/>
      <c r="DU29" s="526"/>
      <c r="DV29" s="517"/>
      <c r="DW29" s="517"/>
      <c r="DX29" s="517"/>
      <c r="DY29" s="517"/>
      <c r="DZ29" s="526"/>
      <c r="EA29" s="517"/>
      <c r="EB29" s="517"/>
      <c r="EC29" s="517"/>
      <c r="ED29" s="517"/>
      <c r="EE29" s="526"/>
      <c r="EF29" s="517"/>
      <c r="EG29" s="517"/>
      <c r="EH29" s="517"/>
      <c r="EI29" s="517"/>
      <c r="EJ29" s="526"/>
      <c r="EK29" s="517"/>
      <c r="EL29" s="517"/>
      <c r="EM29" s="517"/>
      <c r="EN29" s="517"/>
      <c r="EO29" s="526"/>
      <c r="EP29" s="499"/>
      <c r="EQ29" s="499"/>
      <c r="ER29" s="499"/>
      <c r="ES29" s="499"/>
      <c r="ET29" s="499"/>
      <c r="EU29" s="499"/>
      <c r="EV29" s="440"/>
      <c r="EW29" s="440"/>
      <c r="EX29" s="440"/>
      <c r="EY29" s="440"/>
      <c r="EZ29" s="440"/>
      <c r="FA29" s="440"/>
      <c r="FB29" s="440"/>
      <c r="FC29" s="440"/>
      <c r="FD29" s="440"/>
      <c r="FE29" s="440"/>
      <c r="FF29" s="440"/>
      <c r="FG29" s="440"/>
      <c r="FH29" s="440"/>
      <c r="FI29" s="440"/>
      <c r="FJ29" s="440"/>
      <c r="FK29" s="440"/>
      <c r="FL29" s="440"/>
      <c r="FM29" s="440"/>
      <c r="FN29" s="440"/>
      <c r="FO29" s="440"/>
      <c r="FP29" s="440"/>
    </row>
    <row r="30" spans="1:172" ht="18" customHeight="1" x14ac:dyDescent="0.25">
      <c r="A30" s="36">
        <v>16</v>
      </c>
      <c r="C30" s="636" t="s">
        <v>1258</v>
      </c>
      <c r="D30" s="637"/>
      <c r="E30" s="500" t="s">
        <v>521</v>
      </c>
      <c r="F30" s="501"/>
      <c r="G30" s="502">
        <v>8462</v>
      </c>
      <c r="H30" s="479">
        <v>0.11</v>
      </c>
      <c r="I30" s="502"/>
      <c r="J30" s="502"/>
      <c r="K30" s="112"/>
      <c r="L30" s="69"/>
      <c r="M30" s="111"/>
      <c r="N30" s="32">
        <v>42979</v>
      </c>
      <c r="O30" s="143">
        <f t="shared" ca="1" si="1"/>
        <v>0.56050115397296407</v>
      </c>
      <c r="P30" s="111"/>
      <c r="Q30" s="503" t="s">
        <v>795</v>
      </c>
      <c r="R30" s="111"/>
      <c r="S30" s="64">
        <f t="shared" ca="1" si="4"/>
        <v>29.376854599406531</v>
      </c>
      <c r="T30" s="111"/>
      <c r="U30" s="504"/>
      <c r="V30" s="67"/>
      <c r="W30" s="111"/>
      <c r="X30" s="309" t="str">
        <f t="shared" si="7"/>
        <v>31/08/2020</v>
      </c>
      <c r="Y30" s="111"/>
      <c r="Z30" s="505"/>
      <c r="AA30" s="111"/>
      <c r="AB30" s="529" t="s">
        <v>713</v>
      </c>
      <c r="AC30" s="111"/>
      <c r="AD30" s="34"/>
      <c r="AE30" s="33" t="s">
        <v>796</v>
      </c>
      <c r="AF30" s="3" t="s">
        <v>797</v>
      </c>
      <c r="AG30" s="534" t="s">
        <v>798</v>
      </c>
      <c r="AH30" s="34"/>
      <c r="AI30" s="33"/>
      <c r="AJ30" s="3"/>
      <c r="AK30" s="3"/>
      <c r="AL30" s="34"/>
      <c r="AM30" s="33"/>
      <c r="AN30" s="3"/>
      <c r="AO30" s="3"/>
      <c r="AP30" s="34"/>
      <c r="AQ30" s="33"/>
      <c r="AR30" s="3"/>
      <c r="AS30" s="3"/>
      <c r="AT30" s="34"/>
      <c r="AU30" s="33"/>
      <c r="AV30" s="3"/>
      <c r="AW30" s="3"/>
      <c r="AX30" s="524"/>
      <c r="AY30" s="517"/>
      <c r="AZ30" s="518"/>
      <c r="BA30" s="519"/>
      <c r="BB30" s="520"/>
      <c r="BC30" s="521"/>
      <c r="BD30" s="521"/>
      <c r="BE30" s="518"/>
      <c r="BF30" s="519"/>
      <c r="BG30" s="520"/>
      <c r="BH30" s="521"/>
      <c r="BI30" s="518"/>
      <c r="BJ30" s="518"/>
      <c r="BK30" s="518"/>
      <c r="BL30" s="518"/>
      <c r="BM30" s="518"/>
      <c r="BN30" s="518"/>
      <c r="BO30" s="518"/>
      <c r="BP30" s="518"/>
      <c r="BQ30" s="522"/>
      <c r="BR30" s="518"/>
      <c r="BS30" s="518"/>
      <c r="BT30" s="518"/>
      <c r="BU30" s="518"/>
      <c r="BV30" s="522"/>
      <c r="BW30" s="518"/>
      <c r="BX30" s="518"/>
      <c r="BY30" s="518"/>
      <c r="BZ30" s="518"/>
      <c r="CA30" s="522"/>
      <c r="CB30" s="518"/>
      <c r="CC30" s="518"/>
      <c r="CD30" s="518"/>
      <c r="CE30" s="518"/>
      <c r="CF30" s="522"/>
      <c r="CG30" s="518"/>
      <c r="CH30" s="518"/>
      <c r="CI30" s="518"/>
      <c r="CJ30" s="518"/>
      <c r="CK30" s="522"/>
      <c r="CL30" s="518"/>
      <c r="CM30" s="518"/>
      <c r="CN30" s="521"/>
      <c r="CO30" s="518"/>
      <c r="CP30" s="522"/>
      <c r="CQ30" s="518"/>
      <c r="CR30" s="518"/>
      <c r="CS30" s="521"/>
      <c r="CT30" s="518"/>
      <c r="CU30" s="522"/>
      <c r="CV30" s="518"/>
      <c r="CW30" s="497"/>
      <c r="CX30" s="521"/>
      <c r="CY30" s="521"/>
      <c r="CZ30" s="522"/>
      <c r="DA30" s="518"/>
      <c r="DB30" s="497"/>
      <c r="DC30" s="521"/>
      <c r="DD30" s="525"/>
      <c r="DE30" s="522"/>
      <c r="DF30" s="522"/>
      <c r="DG30" s="497"/>
      <c r="DH30" s="521"/>
      <c r="DI30" s="525"/>
      <c r="DJ30" s="522"/>
      <c r="DK30" s="522"/>
      <c r="DL30" s="497"/>
      <c r="DM30" s="521"/>
      <c r="DN30" s="525"/>
      <c r="DO30" s="522"/>
      <c r="DP30" s="522"/>
      <c r="DQ30" s="517"/>
      <c r="DR30" s="517"/>
      <c r="DS30" s="517"/>
      <c r="DT30" s="517"/>
      <c r="DU30" s="526"/>
      <c r="DV30" s="517"/>
      <c r="DW30" s="517"/>
      <c r="DX30" s="517"/>
      <c r="DY30" s="517"/>
      <c r="DZ30" s="526"/>
      <c r="EA30" s="517"/>
      <c r="EB30" s="517"/>
      <c r="EC30" s="517"/>
      <c r="ED30" s="517"/>
      <c r="EE30" s="526"/>
      <c r="EF30" s="517"/>
      <c r="EG30" s="517"/>
      <c r="EH30" s="517"/>
      <c r="EI30" s="517"/>
      <c r="EJ30" s="526"/>
      <c r="EK30" s="517"/>
      <c r="EL30" s="517"/>
      <c r="EM30" s="517"/>
      <c r="EN30" s="517"/>
      <c r="EO30" s="526"/>
      <c r="EP30" s="499"/>
      <c r="EQ30" s="499"/>
      <c r="ER30" s="499"/>
      <c r="ES30" s="499"/>
      <c r="ET30" s="499"/>
      <c r="EU30" s="499"/>
      <c r="EV30" s="440"/>
      <c r="EW30" s="440"/>
      <c r="EX30" s="440"/>
      <c r="EY30" s="440"/>
      <c r="EZ30" s="440"/>
      <c r="FA30" s="440"/>
      <c r="FB30" s="440"/>
      <c r="FC30" s="440"/>
      <c r="FD30" s="440"/>
      <c r="FE30" s="440"/>
      <c r="FF30" s="440"/>
      <c r="FG30" s="440"/>
      <c r="FH30" s="440"/>
      <c r="FI30" s="440"/>
      <c r="FJ30" s="440"/>
      <c r="FK30" s="440"/>
      <c r="FL30" s="440"/>
      <c r="FM30" s="440"/>
      <c r="FN30" s="440"/>
      <c r="FO30" s="440"/>
      <c r="FP30" s="440"/>
    </row>
    <row r="31" spans="1:172" ht="18" customHeight="1" x14ac:dyDescent="0.25">
      <c r="A31" s="36">
        <v>17</v>
      </c>
      <c r="B31" s="36">
        <v>14</v>
      </c>
      <c r="C31" s="636" t="s">
        <v>1259</v>
      </c>
      <c r="D31" s="637"/>
      <c r="E31" s="500" t="s">
        <v>548</v>
      </c>
      <c r="F31" s="501"/>
      <c r="G31" s="502">
        <v>5942</v>
      </c>
      <c r="H31" s="479">
        <f t="shared" si="6"/>
        <v>1.1776060628281175E-2</v>
      </c>
      <c r="I31" s="502">
        <v>4618.8999999999996</v>
      </c>
      <c r="J31" s="502">
        <v>940.6</v>
      </c>
      <c r="K31" s="112">
        <v>382.2</v>
      </c>
      <c r="L31" s="69">
        <f t="shared" si="3"/>
        <v>6.432177717940088E-2</v>
      </c>
      <c r="M31" s="111"/>
      <c r="N31" s="32">
        <v>41821</v>
      </c>
      <c r="O31" s="143">
        <f t="shared" ca="1" si="1"/>
        <v>3.7421694691724365</v>
      </c>
      <c r="P31" s="111"/>
      <c r="Q31" s="503" t="s">
        <v>799</v>
      </c>
      <c r="R31" s="111"/>
      <c r="S31" s="64">
        <f t="shared" ca="1" si="4"/>
        <v>3.2311242993735578</v>
      </c>
      <c r="T31" s="111"/>
      <c r="U31" s="504"/>
      <c r="V31" s="67"/>
      <c r="W31" s="111"/>
      <c r="X31" s="309" t="str">
        <f t="shared" si="7"/>
        <v>30/06/2018</v>
      </c>
      <c r="Y31" s="111"/>
      <c r="Z31" s="505" t="s">
        <v>519</v>
      </c>
      <c r="AA31" s="111"/>
      <c r="AB31" s="506" t="s">
        <v>139</v>
      </c>
      <c r="AC31" s="111"/>
      <c r="AD31" s="34"/>
      <c r="AE31" s="33" t="s">
        <v>800</v>
      </c>
      <c r="AF31" s="3" t="s">
        <v>801</v>
      </c>
      <c r="AG31" s="2"/>
      <c r="AH31" s="34"/>
      <c r="AI31" s="33"/>
      <c r="AJ31" s="3"/>
      <c r="AK31" s="3"/>
      <c r="AL31" s="34"/>
      <c r="AM31" s="33"/>
      <c r="AN31" s="3"/>
      <c r="AO31" s="3"/>
      <c r="AP31" s="34"/>
      <c r="AQ31" s="33"/>
      <c r="AR31" s="3"/>
      <c r="AS31" s="3"/>
      <c r="AT31" s="34"/>
      <c r="AU31" s="33"/>
      <c r="AV31" s="3"/>
      <c r="AW31" s="3"/>
      <c r="AX31" s="524"/>
      <c r="AY31" s="517"/>
      <c r="AZ31" s="518"/>
      <c r="BA31" s="519"/>
      <c r="BB31" s="520"/>
      <c r="BC31" s="521"/>
      <c r="BD31" s="521"/>
      <c r="BE31" s="518"/>
      <c r="BF31" s="519"/>
      <c r="BG31" s="520"/>
      <c r="BH31" s="521"/>
      <c r="BI31" s="518"/>
      <c r="BJ31" s="518"/>
      <c r="BK31" s="518"/>
      <c r="BL31" s="518"/>
      <c r="BM31" s="518"/>
      <c r="BN31" s="518"/>
      <c r="BO31" s="518"/>
      <c r="BP31" s="518"/>
      <c r="BQ31" s="522"/>
      <c r="BR31" s="518"/>
      <c r="BS31" s="518"/>
      <c r="BT31" s="518"/>
      <c r="BU31" s="518"/>
      <c r="BV31" s="522"/>
      <c r="BW31" s="518"/>
      <c r="BX31" s="518"/>
      <c r="BY31" s="518"/>
      <c r="BZ31" s="518"/>
      <c r="CA31" s="522"/>
      <c r="CB31" s="518"/>
      <c r="CC31" s="518"/>
      <c r="CD31" s="518"/>
      <c r="CE31" s="518"/>
      <c r="CF31" s="522"/>
      <c r="CG31" s="518"/>
      <c r="CH31" s="518"/>
      <c r="CI31" s="518"/>
      <c r="CJ31" s="518"/>
      <c r="CK31" s="522"/>
      <c r="CL31" s="518"/>
      <c r="CM31" s="518"/>
      <c r="CN31" s="521" t="s">
        <v>11</v>
      </c>
      <c r="CO31" s="518"/>
      <c r="CP31" s="522"/>
      <c r="CQ31" s="518"/>
      <c r="CR31" s="518"/>
      <c r="CS31" s="521" t="s">
        <v>11</v>
      </c>
      <c r="CT31" s="518"/>
      <c r="CU31" s="522"/>
      <c r="CV31" s="518"/>
      <c r="CW31" s="497" t="s">
        <v>682</v>
      </c>
      <c r="CX31" s="521" t="s">
        <v>11</v>
      </c>
      <c r="CY31" s="521" t="s">
        <v>709</v>
      </c>
      <c r="CZ31" s="522" t="s">
        <v>802</v>
      </c>
      <c r="DA31" s="518" t="s">
        <v>803</v>
      </c>
      <c r="DB31" s="497" t="s">
        <v>682</v>
      </c>
      <c r="DC31" s="521" t="s">
        <v>11</v>
      </c>
      <c r="DD31" s="525">
        <v>42678</v>
      </c>
      <c r="DE31" s="522" t="s">
        <v>802</v>
      </c>
      <c r="DF31" s="522" t="s">
        <v>803</v>
      </c>
      <c r="DG31" s="497" t="s">
        <v>682</v>
      </c>
      <c r="DH31" s="521" t="s">
        <v>11</v>
      </c>
      <c r="DI31" s="525">
        <v>43088</v>
      </c>
      <c r="DJ31" s="522" t="s">
        <v>802</v>
      </c>
      <c r="DK31" s="522" t="s">
        <v>803</v>
      </c>
      <c r="DL31" s="497" t="s">
        <v>682</v>
      </c>
      <c r="DM31" s="521" t="s">
        <v>11</v>
      </c>
      <c r="DN31" s="525">
        <v>42761</v>
      </c>
      <c r="DO31" s="522" t="s">
        <v>802</v>
      </c>
      <c r="DP31" s="522" t="s">
        <v>803</v>
      </c>
      <c r="DQ31" s="517"/>
      <c r="DR31" s="517"/>
      <c r="DS31" s="517"/>
      <c r="DT31" s="517"/>
      <c r="DU31" s="526"/>
      <c r="DV31" s="517"/>
      <c r="DW31" s="517"/>
      <c r="DX31" s="517"/>
      <c r="DY31" s="517"/>
      <c r="DZ31" s="526"/>
      <c r="EA31" s="517"/>
      <c r="EB31" s="517"/>
      <c r="EC31" s="517"/>
      <c r="ED31" s="517"/>
      <c r="EE31" s="526"/>
      <c r="EF31" s="517"/>
      <c r="EG31" s="517"/>
      <c r="EH31" s="517"/>
      <c r="EI31" s="517"/>
      <c r="EJ31" s="526"/>
      <c r="EK31" s="517"/>
      <c r="EL31" s="517"/>
      <c r="EM31" s="517"/>
      <c r="EN31" s="517"/>
      <c r="EO31" s="526"/>
      <c r="EP31" s="499"/>
      <c r="EQ31" s="499"/>
      <c r="ER31" s="499"/>
      <c r="ES31" s="499"/>
      <c r="ET31" s="499"/>
      <c r="EU31" s="499"/>
      <c r="EV31" s="440"/>
      <c r="EW31" s="440"/>
      <c r="EX31" s="440"/>
      <c r="EY31" s="440"/>
      <c r="EZ31" s="440"/>
      <c r="FA31" s="440"/>
      <c r="FB31" s="440"/>
      <c r="FC31" s="440"/>
      <c r="FD31" s="440"/>
      <c r="FE31" s="440"/>
      <c r="FF31" s="440"/>
      <c r="FG31" s="440"/>
      <c r="FH31" s="440"/>
      <c r="FI31" s="440"/>
      <c r="FJ31" s="440"/>
      <c r="FK31" s="440"/>
      <c r="FL31" s="440"/>
      <c r="FM31" s="440"/>
      <c r="FN31" s="440"/>
      <c r="FO31" s="440"/>
      <c r="FP31" s="440"/>
    </row>
    <row r="32" spans="1:172" ht="18" customHeight="1" x14ac:dyDescent="0.25">
      <c r="A32" s="36">
        <v>18</v>
      </c>
      <c r="C32" s="636" t="s">
        <v>1260</v>
      </c>
      <c r="D32" s="637"/>
      <c r="E32" s="500" t="s">
        <v>521</v>
      </c>
      <c r="F32" s="535"/>
      <c r="G32" s="502">
        <v>5672</v>
      </c>
      <c r="H32" s="479">
        <f t="shared" si="6"/>
        <v>1.124096531195066E-2</v>
      </c>
      <c r="I32" s="502">
        <v>3405.6</v>
      </c>
      <c r="J32" s="502">
        <v>831.5</v>
      </c>
      <c r="K32" s="536">
        <v>1434.5</v>
      </c>
      <c r="L32" s="69">
        <f t="shared" si="3"/>
        <v>0.25290902679830746</v>
      </c>
      <c r="M32" s="111"/>
      <c r="N32" s="32">
        <v>39904</v>
      </c>
      <c r="O32" s="143">
        <f t="shared" ca="1" si="1"/>
        <v>9.0092317837124956</v>
      </c>
      <c r="P32" s="111"/>
      <c r="Q32" s="4">
        <v>43282</v>
      </c>
      <c r="R32" s="111"/>
      <c r="S32" s="64">
        <f t="shared" ca="1" si="4"/>
        <v>15.298384437850315</v>
      </c>
      <c r="T32" s="111"/>
      <c r="U32" s="504" t="s">
        <v>591</v>
      </c>
      <c r="V32" s="504">
        <v>12</v>
      </c>
      <c r="W32" s="111"/>
      <c r="X32" s="309">
        <f t="shared" si="7"/>
        <v>43647</v>
      </c>
      <c r="Y32" s="111"/>
      <c r="Z32" s="505" t="s">
        <v>519</v>
      </c>
      <c r="AA32" s="111"/>
      <c r="AB32" s="506" t="s">
        <v>139</v>
      </c>
      <c r="AC32" s="111"/>
      <c r="AD32" s="34"/>
      <c r="AE32" s="33" t="s">
        <v>693</v>
      </c>
      <c r="AF32" s="3" t="s">
        <v>804</v>
      </c>
      <c r="AG32" s="507" t="s">
        <v>805</v>
      </c>
      <c r="AH32" s="34"/>
      <c r="AI32" s="33"/>
      <c r="AJ32" s="3"/>
      <c r="AK32" s="3"/>
      <c r="AL32" s="34"/>
      <c r="AM32" s="33"/>
      <c r="AN32" s="3"/>
      <c r="AO32" s="3"/>
      <c r="AP32" s="34"/>
      <c r="AQ32" s="33"/>
      <c r="AR32" s="3"/>
      <c r="AS32" s="3"/>
      <c r="AT32" s="34"/>
      <c r="AU32" s="33"/>
      <c r="AV32" s="3"/>
      <c r="AW32" s="3"/>
      <c r="AX32" s="537"/>
      <c r="AY32" s="517"/>
      <c r="AZ32" s="518"/>
      <c r="BA32" s="519"/>
      <c r="BB32" s="520"/>
      <c r="BC32" s="521"/>
      <c r="BD32" s="521"/>
      <c r="BE32" s="518"/>
      <c r="BF32" s="519"/>
      <c r="BG32" s="520"/>
      <c r="BH32" s="521"/>
      <c r="BI32" s="518"/>
      <c r="BJ32" s="518"/>
      <c r="BK32" s="518"/>
      <c r="BL32" s="518"/>
      <c r="BM32" s="518"/>
      <c r="BN32" s="518"/>
      <c r="BO32" s="518"/>
      <c r="BP32" s="518"/>
      <c r="BQ32" s="522"/>
      <c r="BR32" s="518"/>
      <c r="BS32" s="518"/>
      <c r="BT32" s="518"/>
      <c r="BU32" s="518"/>
      <c r="BV32" s="522"/>
      <c r="BW32" s="518"/>
      <c r="BX32" s="518"/>
      <c r="BY32" s="518"/>
      <c r="BZ32" s="518"/>
      <c r="CA32" s="522"/>
      <c r="CB32" s="518"/>
      <c r="CC32" s="518"/>
      <c r="CD32" s="518"/>
      <c r="CE32" s="518"/>
      <c r="CF32" s="522"/>
      <c r="CG32" s="518"/>
      <c r="CH32" s="518"/>
      <c r="CI32" s="518"/>
      <c r="CJ32" s="518"/>
      <c r="CK32" s="522"/>
      <c r="CL32" s="518"/>
      <c r="CM32" s="518"/>
      <c r="CN32" s="521"/>
      <c r="CO32" s="518"/>
      <c r="CP32" s="522"/>
      <c r="CQ32" s="518"/>
      <c r="CR32" s="518"/>
      <c r="CS32" s="521"/>
      <c r="CT32" s="518"/>
      <c r="CU32" s="522"/>
      <c r="CV32" s="518"/>
      <c r="CW32" s="497"/>
      <c r="CX32" s="521"/>
      <c r="CY32" s="538"/>
      <c r="CZ32" s="522"/>
      <c r="DA32" s="539"/>
      <c r="DB32" s="497"/>
      <c r="DC32" s="521"/>
      <c r="DD32" s="525"/>
      <c r="DE32" s="522"/>
      <c r="DF32" s="540"/>
      <c r="DG32" s="497"/>
      <c r="DH32" s="521"/>
      <c r="DI32" s="525"/>
      <c r="DJ32" s="522"/>
      <c r="DK32" s="540"/>
      <c r="DL32" s="497"/>
      <c r="DM32" s="521"/>
      <c r="DN32" s="525"/>
      <c r="DO32" s="522"/>
      <c r="DP32" s="540"/>
      <c r="DQ32" s="517"/>
      <c r="DR32" s="517"/>
      <c r="DS32" s="517"/>
      <c r="DT32" s="517"/>
      <c r="DU32" s="526"/>
      <c r="DV32" s="517"/>
      <c r="DW32" s="517"/>
      <c r="DX32" s="517"/>
      <c r="DY32" s="517"/>
      <c r="DZ32" s="526"/>
      <c r="EA32" s="517"/>
      <c r="EB32" s="517"/>
      <c r="EC32" s="517"/>
      <c r="ED32" s="517"/>
      <c r="EE32" s="526"/>
      <c r="EF32" s="517"/>
      <c r="EG32" s="517"/>
      <c r="EH32" s="517"/>
      <c r="EI32" s="517"/>
      <c r="EJ32" s="526"/>
      <c r="EK32" s="517"/>
      <c r="EL32" s="517"/>
      <c r="EM32" s="517"/>
      <c r="EN32" s="517"/>
      <c r="EO32" s="526"/>
      <c r="EP32" s="499"/>
      <c r="EQ32" s="499"/>
      <c r="ER32" s="499"/>
      <c r="ES32" s="499"/>
      <c r="ET32" s="499"/>
      <c r="EU32" s="499"/>
      <c r="EV32" s="440"/>
      <c r="EW32" s="440"/>
      <c r="EX32" s="440"/>
      <c r="EY32" s="440"/>
      <c r="EZ32" s="440"/>
      <c r="FA32" s="440"/>
      <c r="FB32" s="440"/>
      <c r="FC32" s="440"/>
      <c r="FD32" s="440"/>
      <c r="FE32" s="440"/>
      <c r="FF32" s="440"/>
      <c r="FG32" s="440"/>
      <c r="FH32" s="440"/>
      <c r="FI32" s="440"/>
      <c r="FJ32" s="440"/>
      <c r="FK32" s="440"/>
      <c r="FL32" s="440"/>
      <c r="FM32" s="440"/>
      <c r="FN32" s="440"/>
      <c r="FO32" s="440"/>
      <c r="FP32" s="440"/>
    </row>
    <row r="33" spans="1:172" ht="18" customHeight="1" x14ac:dyDescent="0.25">
      <c r="A33" s="36">
        <v>19</v>
      </c>
      <c r="C33" s="636" t="s">
        <v>1261</v>
      </c>
      <c r="D33" s="637"/>
      <c r="E33" s="500" t="s">
        <v>580</v>
      </c>
      <c r="F33" s="535"/>
      <c r="G33" s="502">
        <v>5407</v>
      </c>
      <c r="H33" s="479">
        <f t="shared" si="6"/>
        <v>1.0715779168144784E-2</v>
      </c>
      <c r="I33" s="502">
        <v>3519.6</v>
      </c>
      <c r="J33" s="502">
        <v>100</v>
      </c>
      <c r="K33" s="536">
        <v>2041.8</v>
      </c>
      <c r="L33" s="69">
        <f t="shared" si="3"/>
        <v>0.3776216016275199</v>
      </c>
      <c r="M33" s="111"/>
      <c r="N33" s="32">
        <v>36892</v>
      </c>
      <c r="O33" s="143">
        <f t="shared" ca="1" si="1"/>
        <v>17.284866468842733</v>
      </c>
      <c r="P33" s="111"/>
      <c r="Q33" s="566">
        <v>38352</v>
      </c>
      <c r="R33" s="111"/>
      <c r="S33" s="64">
        <f t="shared" ca="1" si="4"/>
        <v>9.2977250247279919</v>
      </c>
      <c r="T33" s="111"/>
      <c r="U33" s="504" t="s">
        <v>591</v>
      </c>
      <c r="V33" s="565">
        <f>14*12</f>
        <v>168</v>
      </c>
      <c r="W33" s="111"/>
      <c r="X33" s="309">
        <f t="shared" si="7"/>
        <v>43465</v>
      </c>
      <c r="Y33" s="111"/>
      <c r="Z33" s="505" t="s">
        <v>519</v>
      </c>
      <c r="AA33" s="111"/>
      <c r="AB33" s="542" t="s">
        <v>762</v>
      </c>
      <c r="AC33" s="111"/>
      <c r="AD33" s="34"/>
      <c r="AE33" s="33" t="s">
        <v>806</v>
      </c>
      <c r="AF33" s="3" t="s">
        <v>807</v>
      </c>
      <c r="AG33" s="486" t="s">
        <v>805</v>
      </c>
      <c r="AH33" s="34"/>
      <c r="AI33" s="33"/>
      <c r="AJ33" s="3"/>
      <c r="AK33" s="3"/>
      <c r="AL33" s="34"/>
      <c r="AM33" s="33"/>
      <c r="AN33" s="3"/>
      <c r="AO33" s="3"/>
      <c r="AP33" s="34"/>
      <c r="AQ33" s="33"/>
      <c r="AR33" s="3"/>
      <c r="AS33" s="3"/>
      <c r="AT33" s="34"/>
      <c r="AU33" s="33"/>
      <c r="AV33" s="3"/>
      <c r="AW33" s="3"/>
      <c r="AX33" s="537"/>
      <c r="AY33" s="517"/>
      <c r="AZ33" s="518"/>
      <c r="BA33" s="519"/>
      <c r="BB33" s="520"/>
      <c r="BC33" s="521"/>
      <c r="BD33" s="521"/>
      <c r="BE33" s="518"/>
      <c r="BF33" s="519"/>
      <c r="BG33" s="520"/>
      <c r="BH33" s="521"/>
      <c r="BI33" s="518"/>
      <c r="BJ33" s="518"/>
      <c r="BK33" s="518"/>
      <c r="BL33" s="518"/>
      <c r="BM33" s="518"/>
      <c r="BN33" s="518"/>
      <c r="BO33" s="518"/>
      <c r="BP33" s="518"/>
      <c r="BQ33" s="522"/>
      <c r="BR33" s="518"/>
      <c r="BS33" s="518"/>
      <c r="BT33" s="518"/>
      <c r="BU33" s="518"/>
      <c r="BV33" s="522"/>
      <c r="BW33" s="518"/>
      <c r="BX33" s="518"/>
      <c r="BY33" s="518"/>
      <c r="BZ33" s="518"/>
      <c r="CA33" s="522"/>
      <c r="CB33" s="518"/>
      <c r="CC33" s="518"/>
      <c r="CD33" s="518"/>
      <c r="CE33" s="518"/>
      <c r="CF33" s="522"/>
      <c r="CG33" s="518"/>
      <c r="CH33" s="518"/>
      <c r="CI33" s="518"/>
      <c r="CJ33" s="518"/>
      <c r="CK33" s="522"/>
      <c r="CL33" s="518"/>
      <c r="CM33" s="518"/>
      <c r="CN33" s="521"/>
      <c r="CO33" s="518"/>
      <c r="CP33" s="522"/>
      <c r="CQ33" s="518"/>
      <c r="CR33" s="518"/>
      <c r="CS33" s="521"/>
      <c r="CT33" s="518"/>
      <c r="CU33" s="522"/>
      <c r="CV33" s="518"/>
      <c r="CW33" s="497"/>
      <c r="CX33" s="521"/>
      <c r="CY33" s="538"/>
      <c r="CZ33" s="522"/>
      <c r="DA33" s="539"/>
      <c r="DB33" s="497"/>
      <c r="DC33" s="521"/>
      <c r="DD33" s="525"/>
      <c r="DE33" s="522"/>
      <c r="DF33" s="540"/>
      <c r="DG33" s="497"/>
      <c r="DH33" s="521"/>
      <c r="DI33" s="525"/>
      <c r="DJ33" s="522"/>
      <c r="DK33" s="540"/>
      <c r="DL33" s="497"/>
      <c r="DM33" s="521"/>
      <c r="DN33" s="525"/>
      <c r="DO33" s="522"/>
      <c r="DP33" s="540"/>
      <c r="DQ33" s="517"/>
      <c r="DR33" s="517"/>
      <c r="DS33" s="517"/>
      <c r="DT33" s="517"/>
      <c r="DU33" s="526"/>
      <c r="DV33" s="517"/>
      <c r="DW33" s="517"/>
      <c r="DX33" s="517"/>
      <c r="DY33" s="517"/>
      <c r="DZ33" s="526"/>
      <c r="EA33" s="517"/>
      <c r="EB33" s="517"/>
      <c r="EC33" s="517"/>
      <c r="ED33" s="517"/>
      <c r="EE33" s="526"/>
      <c r="EF33" s="517"/>
      <c r="EG33" s="517"/>
      <c r="EH33" s="517"/>
      <c r="EI33" s="517"/>
      <c r="EJ33" s="526"/>
      <c r="EK33" s="517"/>
      <c r="EL33" s="517"/>
      <c r="EM33" s="517"/>
      <c r="EN33" s="517"/>
      <c r="EO33" s="526"/>
      <c r="EP33" s="499"/>
      <c r="EQ33" s="499"/>
      <c r="ER33" s="499"/>
      <c r="ES33" s="499"/>
      <c r="ET33" s="499"/>
      <c r="EU33" s="499"/>
      <c r="EV33" s="440"/>
      <c r="EW33" s="440"/>
      <c r="EX33" s="440"/>
      <c r="EY33" s="440"/>
      <c r="EZ33" s="440"/>
      <c r="FA33" s="440"/>
      <c r="FB33" s="440"/>
      <c r="FC33" s="440"/>
      <c r="FD33" s="440"/>
      <c r="FE33" s="440"/>
      <c r="FF33" s="440"/>
      <c r="FG33" s="440"/>
      <c r="FH33" s="440"/>
      <c r="FI33" s="440"/>
      <c r="FJ33" s="440"/>
      <c r="FK33" s="440"/>
      <c r="FL33" s="440"/>
      <c r="FM33" s="440"/>
      <c r="FN33" s="440"/>
      <c r="FO33" s="440"/>
      <c r="FP33" s="440"/>
    </row>
    <row r="34" spans="1:172" ht="18" customHeight="1" x14ac:dyDescent="0.25">
      <c r="A34" s="36">
        <v>20</v>
      </c>
      <c r="C34" s="636" t="s">
        <v>1262</v>
      </c>
      <c r="D34" s="637"/>
      <c r="E34" s="500" t="s">
        <v>580</v>
      </c>
      <c r="F34" s="535"/>
      <c r="G34" s="502">
        <v>4595</v>
      </c>
      <c r="H34" s="479">
        <f t="shared" si="6"/>
        <v>9.1065295501433861E-3</v>
      </c>
      <c r="I34" s="502">
        <v>3569.8</v>
      </c>
      <c r="J34" s="502">
        <v>802.9</v>
      </c>
      <c r="K34" s="536">
        <v>221.9</v>
      </c>
      <c r="L34" s="69">
        <f t="shared" si="3"/>
        <v>4.8291621327529927E-2</v>
      </c>
      <c r="M34" s="111"/>
      <c r="N34" s="32">
        <v>42614</v>
      </c>
      <c r="O34" s="143">
        <f t="shared" ca="1" si="1"/>
        <v>1.5633586108363557</v>
      </c>
      <c r="P34" s="111"/>
      <c r="Q34" s="4">
        <v>43615</v>
      </c>
      <c r="R34" s="111"/>
      <c r="S34" s="64"/>
      <c r="T34" s="111"/>
      <c r="U34" s="504"/>
      <c r="V34" s="504"/>
      <c r="W34" s="111"/>
      <c r="X34" s="309">
        <f t="shared" si="7"/>
        <v>43615</v>
      </c>
      <c r="Y34" s="111"/>
      <c r="Z34" s="505"/>
      <c r="AA34" s="111"/>
      <c r="AB34" s="3" t="s">
        <v>145</v>
      </c>
      <c r="AC34" s="111"/>
      <c r="AD34" s="34"/>
      <c r="AE34" s="33" t="s">
        <v>808</v>
      </c>
      <c r="AF34" s="3" t="s">
        <v>809</v>
      </c>
      <c r="AG34" s="534" t="s">
        <v>810</v>
      </c>
      <c r="AH34" s="34"/>
      <c r="AI34" s="33"/>
      <c r="AJ34" s="3"/>
      <c r="AK34" s="3"/>
      <c r="AL34" s="34"/>
      <c r="AM34" s="33"/>
      <c r="AN34" s="3"/>
      <c r="AO34" s="3"/>
      <c r="AP34" s="34"/>
      <c r="AQ34" s="33"/>
      <c r="AR34" s="3"/>
      <c r="AS34" s="3"/>
      <c r="AT34" s="34"/>
      <c r="AU34" s="33"/>
      <c r="AV34" s="3"/>
      <c r="AW34" s="3"/>
      <c r="AX34" s="537"/>
      <c r="AY34" s="517"/>
      <c r="AZ34" s="518"/>
      <c r="BA34" s="519"/>
      <c r="BB34" s="520"/>
      <c r="BC34" s="521"/>
      <c r="BD34" s="521"/>
      <c r="BE34" s="518"/>
      <c r="BF34" s="519"/>
      <c r="BG34" s="520"/>
      <c r="BH34" s="521"/>
      <c r="BI34" s="518"/>
      <c r="BJ34" s="518"/>
      <c r="BK34" s="518"/>
      <c r="BL34" s="518"/>
      <c r="BM34" s="518"/>
      <c r="BN34" s="518"/>
      <c r="BO34" s="518"/>
      <c r="BP34" s="518"/>
      <c r="BQ34" s="522"/>
      <c r="BR34" s="518"/>
      <c r="BS34" s="518"/>
      <c r="BT34" s="518"/>
      <c r="BU34" s="518"/>
      <c r="BV34" s="522"/>
      <c r="BW34" s="518"/>
      <c r="BX34" s="518"/>
      <c r="BY34" s="518"/>
      <c r="BZ34" s="518"/>
      <c r="CA34" s="522"/>
      <c r="CB34" s="518"/>
      <c r="CC34" s="518"/>
      <c r="CD34" s="518"/>
      <c r="CE34" s="518"/>
      <c r="CF34" s="522"/>
      <c r="CG34" s="518"/>
      <c r="CH34" s="518"/>
      <c r="CI34" s="518"/>
      <c r="CJ34" s="518"/>
      <c r="CK34" s="522"/>
      <c r="CL34" s="518"/>
      <c r="CM34" s="518"/>
      <c r="CN34" s="521"/>
      <c r="CO34" s="518"/>
      <c r="CP34" s="522"/>
      <c r="CQ34" s="518"/>
      <c r="CR34" s="518"/>
      <c r="CS34" s="521"/>
      <c r="CT34" s="518"/>
      <c r="CU34" s="522"/>
      <c r="CV34" s="518"/>
      <c r="CW34" s="497"/>
      <c r="CX34" s="521"/>
      <c r="CY34" s="538"/>
      <c r="CZ34" s="522"/>
      <c r="DA34" s="539"/>
      <c r="DB34" s="497"/>
      <c r="DC34" s="521"/>
      <c r="DD34" s="525"/>
      <c r="DE34" s="522"/>
      <c r="DF34" s="540"/>
      <c r="DG34" s="497"/>
      <c r="DH34" s="521"/>
      <c r="DI34" s="525"/>
      <c r="DJ34" s="522"/>
      <c r="DK34" s="540"/>
      <c r="DL34" s="497"/>
      <c r="DM34" s="521"/>
      <c r="DN34" s="525"/>
      <c r="DO34" s="522"/>
      <c r="DP34" s="540"/>
      <c r="DQ34" s="517"/>
      <c r="DR34" s="517"/>
      <c r="DS34" s="517"/>
      <c r="DT34" s="517"/>
      <c r="DU34" s="526"/>
      <c r="DV34" s="517"/>
      <c r="DW34" s="517"/>
      <c r="DX34" s="517"/>
      <c r="DY34" s="517"/>
      <c r="DZ34" s="526"/>
      <c r="EA34" s="517"/>
      <c r="EB34" s="517"/>
      <c r="EC34" s="517"/>
      <c r="ED34" s="517"/>
      <c r="EE34" s="526"/>
      <c r="EF34" s="517"/>
      <c r="EG34" s="517"/>
      <c r="EH34" s="517"/>
      <c r="EI34" s="517"/>
      <c r="EJ34" s="526"/>
      <c r="EK34" s="517"/>
      <c r="EL34" s="517"/>
      <c r="EM34" s="517"/>
      <c r="EN34" s="517"/>
      <c r="EO34" s="526"/>
      <c r="EP34" s="499"/>
      <c r="EQ34" s="499"/>
      <c r="ER34" s="499"/>
      <c r="ES34" s="499"/>
      <c r="ET34" s="499"/>
      <c r="EU34" s="499"/>
      <c r="EV34" s="440"/>
      <c r="EW34" s="440"/>
      <c r="EX34" s="440"/>
      <c r="EY34" s="440"/>
      <c r="EZ34" s="440"/>
      <c r="FA34" s="440"/>
      <c r="FB34" s="440"/>
      <c r="FC34" s="440"/>
      <c r="FD34" s="440"/>
      <c r="FE34" s="440"/>
      <c r="FF34" s="440"/>
      <c r="FG34" s="440"/>
      <c r="FH34" s="440"/>
      <c r="FI34" s="440"/>
      <c r="FJ34" s="440"/>
      <c r="FK34" s="440"/>
      <c r="FL34" s="440"/>
      <c r="FM34" s="440"/>
      <c r="FN34" s="440"/>
      <c r="FO34" s="440"/>
      <c r="FP34" s="440"/>
    </row>
    <row r="35" spans="1:172" ht="18" customHeight="1" thickBot="1" x14ac:dyDescent="0.3">
      <c r="A35" s="36">
        <v>21</v>
      </c>
      <c r="B35" s="36">
        <v>15</v>
      </c>
      <c r="C35" s="636" t="s">
        <v>1263</v>
      </c>
      <c r="D35" s="637"/>
      <c r="E35" s="500" t="s">
        <v>580</v>
      </c>
      <c r="F35" s="535"/>
      <c r="G35" s="502">
        <v>3882</v>
      </c>
      <c r="H35" s="479">
        <f t="shared" si="6"/>
        <v>7.6934815481298421E-3</v>
      </c>
      <c r="I35" s="502">
        <v>2634.9</v>
      </c>
      <c r="J35" s="502">
        <v>0</v>
      </c>
      <c r="K35" s="536">
        <v>3095</v>
      </c>
      <c r="L35" s="69">
        <f t="shared" si="3"/>
        <v>0.79726944873776406</v>
      </c>
      <c r="M35" s="111"/>
      <c r="N35" s="32">
        <v>36892</v>
      </c>
      <c r="O35" s="143">
        <f t="shared" ca="1" si="1"/>
        <v>17.284866468842733</v>
      </c>
      <c r="P35" s="111"/>
      <c r="Q35" s="566">
        <v>38352</v>
      </c>
      <c r="R35" s="111"/>
      <c r="S35" s="64">
        <f t="shared" ca="1" si="4"/>
        <v>21.332014507088694</v>
      </c>
      <c r="T35" s="111"/>
      <c r="U35" s="504" t="s">
        <v>591</v>
      </c>
      <c r="V35" s="565">
        <v>180</v>
      </c>
      <c r="W35" s="111"/>
      <c r="X35" s="309">
        <f t="shared" si="7"/>
        <v>43830</v>
      </c>
      <c r="Y35" s="111"/>
      <c r="Z35" s="505" t="s">
        <v>135</v>
      </c>
      <c r="AA35" s="111"/>
      <c r="AB35" s="542" t="s">
        <v>811</v>
      </c>
      <c r="AC35" s="173"/>
      <c r="AD35" s="52"/>
      <c r="AE35" s="52" t="s">
        <v>812</v>
      </c>
      <c r="AF35" s="6" t="s">
        <v>813</v>
      </c>
      <c r="AG35" s="507" t="s">
        <v>814</v>
      </c>
      <c r="AH35" s="52"/>
      <c r="AI35" s="52"/>
      <c r="AJ35" s="6"/>
      <c r="AK35" s="6"/>
      <c r="AL35" s="52"/>
      <c r="AM35" s="52"/>
      <c r="AN35" s="6"/>
      <c r="AO35" s="6"/>
      <c r="AP35" s="52"/>
      <c r="AQ35" s="52"/>
      <c r="AR35" s="6"/>
      <c r="AS35" s="6"/>
      <c r="AT35" s="52"/>
      <c r="AU35" s="52"/>
      <c r="AV35" s="6"/>
      <c r="AW35" s="6"/>
      <c r="AX35" s="543"/>
      <c r="AY35" s="517"/>
      <c r="AZ35" s="517"/>
      <c r="BA35" s="517"/>
      <c r="BB35" s="517"/>
      <c r="BC35" s="517"/>
      <c r="BD35" s="517"/>
      <c r="BE35" s="517"/>
      <c r="BF35" s="517"/>
      <c r="BG35" s="517"/>
      <c r="BH35" s="517"/>
      <c r="BI35" s="517"/>
      <c r="BJ35" s="517"/>
      <c r="BK35" s="517"/>
      <c r="BL35" s="517"/>
      <c r="BM35" s="517"/>
      <c r="BN35" s="517"/>
      <c r="BO35" s="517"/>
      <c r="BP35" s="517"/>
      <c r="BQ35" s="517"/>
      <c r="BR35" s="517"/>
      <c r="BS35" s="517"/>
      <c r="BT35" s="517"/>
      <c r="BU35" s="517"/>
      <c r="BV35" s="517"/>
      <c r="BW35" s="517"/>
      <c r="BX35" s="517"/>
      <c r="BY35" s="517"/>
      <c r="BZ35" s="517"/>
      <c r="CA35" s="517"/>
      <c r="CB35" s="517"/>
      <c r="CC35" s="517"/>
      <c r="CD35" s="517"/>
      <c r="CE35" s="517"/>
      <c r="CF35" s="517"/>
      <c r="CG35" s="517"/>
      <c r="CH35" s="517"/>
      <c r="CI35" s="517"/>
      <c r="CJ35" s="517"/>
      <c r="CK35" s="517"/>
      <c r="CL35" s="517"/>
      <c r="CM35" s="517"/>
      <c r="CN35" s="521" t="s">
        <v>723</v>
      </c>
      <c r="CO35" s="517"/>
      <c r="CP35" s="517"/>
      <c r="CQ35" s="517"/>
      <c r="CR35" s="517"/>
      <c r="CS35" s="521" t="s">
        <v>723</v>
      </c>
      <c r="CT35" s="517"/>
      <c r="CU35" s="517"/>
      <c r="CV35" s="517"/>
      <c r="CW35" s="497" t="s">
        <v>682</v>
      </c>
      <c r="CX35" s="521" t="s">
        <v>723</v>
      </c>
      <c r="CY35" s="544"/>
      <c r="CZ35" s="545" t="s">
        <v>725</v>
      </c>
      <c r="DA35" s="546" t="s">
        <v>815</v>
      </c>
      <c r="DB35" s="497" t="s">
        <v>682</v>
      </c>
      <c r="DC35" s="521" t="s">
        <v>723</v>
      </c>
      <c r="DD35" s="517"/>
      <c r="DE35" s="545" t="s">
        <v>725</v>
      </c>
      <c r="DF35" s="546" t="s">
        <v>815</v>
      </c>
      <c r="DG35" s="497" t="s">
        <v>682</v>
      </c>
      <c r="DH35" s="521" t="s">
        <v>723</v>
      </c>
      <c r="DI35" s="517"/>
      <c r="DJ35" s="545" t="s">
        <v>725</v>
      </c>
      <c r="DK35" s="546" t="s">
        <v>815</v>
      </c>
      <c r="DL35" s="497" t="s">
        <v>682</v>
      </c>
      <c r="DM35" s="521" t="s">
        <v>723</v>
      </c>
      <c r="DN35" s="525">
        <v>42746</v>
      </c>
      <c r="DO35" s="545" t="s">
        <v>816</v>
      </c>
      <c r="DP35" s="546" t="s">
        <v>815</v>
      </c>
      <c r="DQ35" s="517"/>
      <c r="DR35" s="517"/>
      <c r="DS35" s="517"/>
      <c r="DT35" s="517"/>
      <c r="DU35" s="526"/>
      <c r="DV35" s="517"/>
      <c r="DW35" s="517"/>
      <c r="DX35" s="517"/>
      <c r="DY35" s="517"/>
      <c r="DZ35" s="526"/>
      <c r="EA35" s="517"/>
      <c r="EB35" s="517"/>
      <c r="EC35" s="517"/>
      <c r="ED35" s="517"/>
      <c r="EE35" s="526"/>
      <c r="EF35" s="517"/>
      <c r="EG35" s="517"/>
      <c r="EH35" s="517"/>
      <c r="EI35" s="517"/>
      <c r="EJ35" s="526"/>
      <c r="EK35" s="517"/>
      <c r="EL35" s="517"/>
      <c r="EM35" s="517"/>
      <c r="EN35" s="517"/>
      <c r="EO35" s="526"/>
      <c r="EP35" s="499"/>
      <c r="EQ35" s="499"/>
      <c r="ER35" s="499"/>
      <c r="ES35" s="499"/>
      <c r="ET35" s="499"/>
      <c r="EU35" s="499"/>
      <c r="EV35" s="440"/>
      <c r="EW35" s="440"/>
      <c r="EX35" s="440"/>
      <c r="EY35" s="440"/>
      <c r="EZ35" s="440"/>
      <c r="FA35" s="440"/>
      <c r="FB35" s="440"/>
      <c r="FC35" s="440"/>
      <c r="FD35" s="440"/>
      <c r="FE35" s="440"/>
      <c r="FF35" s="440"/>
      <c r="FG35" s="440"/>
      <c r="FH35" s="440"/>
      <c r="FI35" s="440"/>
      <c r="FJ35" s="440"/>
      <c r="FK35" s="440"/>
      <c r="FL35" s="440"/>
      <c r="FM35" s="440"/>
      <c r="FN35" s="440"/>
      <c r="FO35" s="440"/>
      <c r="FP35" s="440"/>
    </row>
    <row r="36" spans="1:172" ht="18" customHeight="1" thickBot="1" x14ac:dyDescent="0.3">
      <c r="A36" s="36">
        <v>22</v>
      </c>
      <c r="B36" s="36">
        <v>18</v>
      </c>
      <c r="C36" s="636" t="s">
        <v>1264</v>
      </c>
      <c r="D36" s="637"/>
      <c r="E36" s="500" t="s">
        <v>521</v>
      </c>
      <c r="F36" s="535" t="s">
        <v>527</v>
      </c>
      <c r="G36" s="502">
        <v>0</v>
      </c>
      <c r="H36" s="479">
        <f t="shared" si="6"/>
        <v>0</v>
      </c>
      <c r="I36" s="502">
        <v>4049.2</v>
      </c>
      <c r="J36" s="502">
        <v>0</v>
      </c>
      <c r="K36" s="536">
        <v>846.4</v>
      </c>
      <c r="L36" s="69" t="e">
        <f t="shared" si="3"/>
        <v>#DIV/0!</v>
      </c>
      <c r="M36" s="111"/>
      <c r="N36" s="32"/>
      <c r="O36" s="143">
        <f t="shared" ca="1" si="1"/>
        <v>118.64765358830641</v>
      </c>
      <c r="P36" s="111"/>
      <c r="Q36" s="4">
        <v>43100</v>
      </c>
      <c r="R36" s="111"/>
      <c r="S36" s="64">
        <f t="shared" ca="1" si="4"/>
        <v>-2.7365644576327068</v>
      </c>
      <c r="T36" s="111"/>
      <c r="U36" s="504"/>
      <c r="V36" s="504"/>
      <c r="W36" s="111"/>
      <c r="X36" s="309">
        <f t="shared" si="7"/>
        <v>43100</v>
      </c>
      <c r="Y36" s="111"/>
      <c r="Z36" s="505" t="s">
        <v>519</v>
      </c>
      <c r="AA36" s="111"/>
      <c r="AB36" s="547"/>
      <c r="AC36" s="173"/>
      <c r="AD36" s="52"/>
      <c r="AE36" s="52"/>
      <c r="AF36" s="6"/>
      <c r="AG36" s="548"/>
      <c r="AH36" s="52"/>
      <c r="AI36" s="52"/>
      <c r="AJ36" s="6"/>
      <c r="AK36" s="6"/>
      <c r="AL36" s="52"/>
      <c r="AM36" s="52"/>
      <c r="AN36" s="6"/>
      <c r="AO36" s="6"/>
      <c r="AP36" s="52"/>
      <c r="AQ36" s="52"/>
      <c r="AR36" s="6"/>
      <c r="AS36" s="6"/>
      <c r="AT36" s="52"/>
      <c r="AU36" s="52"/>
      <c r="AV36" s="6"/>
      <c r="AW36" s="6"/>
      <c r="AX36" s="549"/>
      <c r="AY36" s="517"/>
      <c r="AZ36" s="517"/>
      <c r="BA36" s="517"/>
      <c r="BB36" s="517"/>
      <c r="BC36" s="517"/>
      <c r="BD36" s="517"/>
      <c r="BE36" s="517"/>
      <c r="BF36" s="517"/>
      <c r="BG36" s="517"/>
      <c r="BH36" s="517"/>
      <c r="BI36" s="517"/>
      <c r="BJ36" s="517"/>
      <c r="BK36" s="517"/>
      <c r="BL36" s="517"/>
      <c r="BM36" s="517"/>
      <c r="BN36" s="517"/>
      <c r="BO36" s="517"/>
      <c r="BP36" s="517"/>
      <c r="BQ36" s="517"/>
      <c r="BR36" s="517"/>
      <c r="BS36" s="517"/>
      <c r="BT36" s="517"/>
      <c r="BU36" s="517"/>
      <c r="BV36" s="517"/>
      <c r="BW36" s="517"/>
      <c r="BX36" s="517"/>
      <c r="BY36" s="517"/>
      <c r="BZ36" s="517"/>
      <c r="CA36" s="517"/>
      <c r="CB36" s="517"/>
      <c r="CC36" s="517"/>
      <c r="CD36" s="517"/>
      <c r="CE36" s="517"/>
      <c r="CF36" s="517"/>
      <c r="CG36" s="517"/>
      <c r="CH36" s="517"/>
      <c r="CI36" s="517"/>
      <c r="CJ36" s="517"/>
      <c r="CK36" s="517"/>
      <c r="CL36" s="517"/>
      <c r="CM36" s="517"/>
      <c r="CN36" s="521" t="s">
        <v>11</v>
      </c>
      <c r="CO36" s="517"/>
      <c r="CP36" s="517"/>
      <c r="CQ36" s="517"/>
      <c r="CR36" s="517"/>
      <c r="CS36" s="521" t="s">
        <v>11</v>
      </c>
      <c r="CT36" s="517"/>
      <c r="CU36" s="517"/>
      <c r="CV36" s="517"/>
      <c r="CW36" s="497" t="s">
        <v>682</v>
      </c>
      <c r="CX36" s="521" t="s">
        <v>11</v>
      </c>
      <c r="CY36" s="544"/>
      <c r="CZ36" s="517"/>
      <c r="DA36" s="546"/>
      <c r="DB36" s="497" t="s">
        <v>682</v>
      </c>
      <c r="DC36" s="521" t="s">
        <v>11</v>
      </c>
      <c r="DD36" s="517"/>
      <c r="DE36" s="517"/>
      <c r="DF36" s="546"/>
      <c r="DG36" s="497" t="s">
        <v>682</v>
      </c>
      <c r="DH36" s="521" t="s">
        <v>11</v>
      </c>
      <c r="DI36" s="525">
        <v>43090</v>
      </c>
      <c r="DJ36" s="517" t="s">
        <v>148</v>
      </c>
      <c r="DK36" s="546"/>
      <c r="DL36" s="497" t="s">
        <v>682</v>
      </c>
      <c r="DM36" s="521" t="s">
        <v>11</v>
      </c>
      <c r="DN36" s="525">
        <v>42751</v>
      </c>
      <c r="DO36" s="517" t="s">
        <v>148</v>
      </c>
      <c r="DP36" s="546"/>
      <c r="DQ36" s="517"/>
      <c r="DR36" s="517"/>
      <c r="DS36" s="517"/>
      <c r="DT36" s="517"/>
      <c r="DU36" s="526"/>
      <c r="DV36" s="517"/>
      <c r="DW36" s="517"/>
      <c r="DX36" s="517"/>
      <c r="DY36" s="517"/>
      <c r="DZ36" s="526"/>
      <c r="EA36" s="517"/>
      <c r="EB36" s="517"/>
      <c r="EC36" s="517"/>
      <c r="ED36" s="517"/>
      <c r="EE36" s="526"/>
      <c r="EF36" s="517"/>
      <c r="EG36" s="517"/>
      <c r="EH36" s="517"/>
      <c r="EI36" s="517"/>
      <c r="EJ36" s="526"/>
      <c r="EK36" s="517"/>
      <c r="EL36" s="517"/>
      <c r="EM36" s="517"/>
      <c r="EN36" s="517"/>
      <c r="EO36" s="526"/>
      <c r="EP36" s="499"/>
      <c r="EQ36" s="499"/>
      <c r="ER36" s="499"/>
      <c r="ES36" s="499"/>
      <c r="ET36" s="499"/>
      <c r="EU36" s="499"/>
      <c r="EV36" s="440"/>
      <c r="EW36" s="440"/>
      <c r="EX36" s="440"/>
      <c r="EY36" s="440"/>
      <c r="EZ36" s="440"/>
      <c r="FA36" s="440"/>
      <c r="FB36" s="440"/>
      <c r="FC36" s="440"/>
      <c r="FD36" s="440"/>
      <c r="FE36" s="440"/>
      <c r="FF36" s="440"/>
      <c r="FG36" s="440"/>
      <c r="FH36" s="440"/>
      <c r="FI36" s="440"/>
      <c r="FJ36" s="440"/>
      <c r="FK36" s="440"/>
      <c r="FL36" s="440"/>
      <c r="FM36" s="440"/>
      <c r="FN36" s="440"/>
      <c r="FO36" s="440"/>
      <c r="FP36" s="440"/>
    </row>
    <row r="37" spans="1:172" ht="18" customHeight="1" thickBot="1" x14ac:dyDescent="0.3">
      <c r="A37" s="36">
        <v>23</v>
      </c>
      <c r="C37" s="696" t="s">
        <v>1265</v>
      </c>
      <c r="D37" s="697"/>
      <c r="E37" s="500" t="s">
        <v>580</v>
      </c>
      <c r="F37" s="535"/>
      <c r="G37" s="502">
        <v>3526</v>
      </c>
      <c r="H37" s="479">
        <f t="shared" si="6"/>
        <v>6.9879484643755336E-3</v>
      </c>
      <c r="I37" s="502">
        <v>2326</v>
      </c>
      <c r="J37" s="502">
        <v>38.799999999999997</v>
      </c>
      <c r="K37" s="536">
        <v>1099</v>
      </c>
      <c r="L37" s="69">
        <f t="shared" si="3"/>
        <v>0.31168462847419171</v>
      </c>
      <c r="M37" s="111"/>
      <c r="N37" s="32">
        <v>37622</v>
      </c>
      <c r="O37" s="143">
        <f ca="1">($G$1-N37)/30.33/12</f>
        <v>15.279151555115947</v>
      </c>
      <c r="P37" s="111"/>
      <c r="Q37" s="566">
        <v>39082</v>
      </c>
      <c r="R37" s="111"/>
      <c r="S37" s="64">
        <f t="shared" ca="1" si="4"/>
        <v>1.2199142762940984</v>
      </c>
      <c r="T37" s="111"/>
      <c r="U37" s="504" t="s">
        <v>591</v>
      </c>
      <c r="V37" s="504">
        <v>136</v>
      </c>
      <c r="W37" s="111"/>
      <c r="X37" s="309">
        <f>IF(OR(U37="",U37="N"),Q37,EDATE(Q37,V37))</f>
        <v>43220</v>
      </c>
      <c r="Y37" s="111"/>
      <c r="Z37" s="505" t="s">
        <v>519</v>
      </c>
      <c r="AA37" s="111"/>
      <c r="AB37" s="506" t="s">
        <v>762</v>
      </c>
      <c r="AC37" s="173"/>
      <c r="AD37" s="52"/>
      <c r="AE37" s="52" t="s">
        <v>817</v>
      </c>
      <c r="AF37" s="6" t="s">
        <v>818</v>
      </c>
      <c r="AG37" s="486" t="s">
        <v>805</v>
      </c>
      <c r="AH37" s="52"/>
      <c r="AI37" s="52"/>
      <c r="AJ37" s="6"/>
      <c r="AK37" s="6"/>
      <c r="AL37" s="52"/>
      <c r="AM37" s="52"/>
      <c r="AN37" s="6"/>
      <c r="AO37" s="6"/>
      <c r="AP37" s="52"/>
      <c r="AQ37" s="52"/>
      <c r="AR37" s="6"/>
      <c r="AS37" s="6"/>
      <c r="AT37" s="52"/>
      <c r="AU37" s="52"/>
      <c r="AV37" s="6"/>
      <c r="AW37" s="6"/>
      <c r="AX37" s="549"/>
      <c r="AY37" s="517"/>
      <c r="AZ37" s="517"/>
      <c r="BA37" s="517"/>
      <c r="BB37" s="517"/>
      <c r="BC37" s="517"/>
      <c r="BD37" s="517"/>
      <c r="BE37" s="517"/>
      <c r="BF37" s="517"/>
      <c r="BG37" s="517"/>
      <c r="BH37" s="517"/>
      <c r="BI37" s="517"/>
      <c r="BJ37" s="517"/>
      <c r="BK37" s="517"/>
      <c r="BL37" s="517"/>
      <c r="BM37" s="517"/>
      <c r="BN37" s="517"/>
      <c r="BO37" s="517"/>
      <c r="BP37" s="517"/>
      <c r="BQ37" s="517"/>
      <c r="BR37" s="517"/>
      <c r="BS37" s="517"/>
      <c r="BT37" s="517"/>
      <c r="BU37" s="517"/>
      <c r="BV37" s="517"/>
      <c r="BW37" s="517"/>
      <c r="BX37" s="517"/>
      <c r="BY37" s="517"/>
      <c r="BZ37" s="517"/>
      <c r="CA37" s="517"/>
      <c r="CB37" s="517"/>
      <c r="CC37" s="517"/>
      <c r="CD37" s="517"/>
      <c r="CE37" s="517"/>
      <c r="CF37" s="517"/>
      <c r="CG37" s="517"/>
      <c r="CH37" s="517"/>
      <c r="CI37" s="517"/>
      <c r="CJ37" s="517"/>
      <c r="CK37" s="517"/>
      <c r="CL37" s="517"/>
      <c r="CM37" s="517"/>
      <c r="CN37" s="521"/>
      <c r="CO37" s="517"/>
      <c r="CP37" s="517"/>
      <c r="CQ37" s="517"/>
      <c r="CR37" s="517"/>
      <c r="CS37" s="521"/>
      <c r="CT37" s="517"/>
      <c r="CU37" s="517"/>
      <c r="CV37" s="517"/>
      <c r="CW37" s="497"/>
      <c r="CX37" s="521"/>
      <c r="CY37" s="544"/>
      <c r="CZ37" s="517"/>
      <c r="DA37" s="546"/>
      <c r="DB37" s="497"/>
      <c r="DC37" s="521"/>
      <c r="DD37" s="517"/>
      <c r="DE37" s="517"/>
      <c r="DF37" s="546"/>
      <c r="DG37" s="497"/>
      <c r="DH37" s="521"/>
      <c r="DI37" s="525"/>
      <c r="DJ37" s="517"/>
      <c r="DK37" s="546"/>
      <c r="DL37" s="497"/>
      <c r="DM37" s="521"/>
      <c r="DN37" s="525"/>
      <c r="DO37" s="517"/>
      <c r="DP37" s="546"/>
      <c r="DQ37" s="517"/>
      <c r="DR37" s="517"/>
      <c r="DS37" s="517"/>
      <c r="DT37" s="517"/>
      <c r="DU37" s="526"/>
      <c r="DV37" s="517"/>
      <c r="DW37" s="517"/>
      <c r="DX37" s="517"/>
      <c r="DY37" s="517"/>
      <c r="DZ37" s="526"/>
      <c r="EA37" s="517"/>
      <c r="EB37" s="517"/>
      <c r="EC37" s="517"/>
      <c r="ED37" s="517"/>
      <c r="EE37" s="526"/>
      <c r="EF37" s="517"/>
      <c r="EG37" s="517"/>
      <c r="EH37" s="517"/>
      <c r="EI37" s="517"/>
      <c r="EJ37" s="526"/>
      <c r="EK37" s="517"/>
      <c r="EL37" s="517"/>
      <c r="EM37" s="517"/>
      <c r="EN37" s="517"/>
      <c r="EO37" s="526"/>
      <c r="EP37" s="499"/>
      <c r="EQ37" s="499"/>
      <c r="ER37" s="499"/>
      <c r="ES37" s="499"/>
      <c r="ET37" s="499"/>
      <c r="EU37" s="499"/>
      <c r="EV37" s="440"/>
      <c r="EW37" s="440"/>
      <c r="EX37" s="440"/>
      <c r="EY37" s="440"/>
      <c r="EZ37" s="440"/>
      <c r="FA37" s="440"/>
      <c r="FB37" s="440"/>
      <c r="FC37" s="440"/>
      <c r="FD37" s="440"/>
      <c r="FE37" s="440"/>
      <c r="FF37" s="440"/>
      <c r="FG37" s="440"/>
      <c r="FH37" s="440"/>
      <c r="FI37" s="440"/>
      <c r="FJ37" s="440"/>
      <c r="FK37" s="440"/>
      <c r="FL37" s="440"/>
      <c r="FM37" s="440"/>
      <c r="FN37" s="440"/>
      <c r="FO37" s="440"/>
      <c r="FP37" s="440"/>
    </row>
    <row r="38" spans="1:172" ht="18" customHeight="1" thickBot="1" x14ac:dyDescent="0.3">
      <c r="A38" s="36">
        <v>24</v>
      </c>
      <c r="C38" s="675" t="s">
        <v>1266</v>
      </c>
      <c r="D38" s="676"/>
      <c r="E38" s="500" t="s">
        <v>580</v>
      </c>
      <c r="F38" s="535"/>
      <c r="G38" s="502">
        <v>3251</v>
      </c>
      <c r="H38" s="479">
        <f>G38/$G$2</f>
        <v>6.4429439755203802E-3</v>
      </c>
      <c r="I38" s="502">
        <v>1704.4</v>
      </c>
      <c r="J38" s="502">
        <v>0</v>
      </c>
      <c r="K38" s="536">
        <v>1251.5999999999999</v>
      </c>
      <c r="L38" s="69">
        <f>K38/G38</f>
        <v>0.38498923408182095</v>
      </c>
      <c r="M38" s="111"/>
      <c r="N38" s="32">
        <v>36526</v>
      </c>
      <c r="O38" s="143">
        <f ca="1">($G$1-N38)/30.33/12</f>
        <v>18.290471480382461</v>
      </c>
      <c r="P38" s="111"/>
      <c r="Q38" s="566">
        <v>37986</v>
      </c>
      <c r="R38" s="111"/>
      <c r="S38" s="64">
        <f t="shared" ca="1" si="4"/>
        <v>9.2977250247279919</v>
      </c>
      <c r="T38" s="111"/>
      <c r="U38" s="504" t="s">
        <v>591</v>
      </c>
      <c r="V38" s="568">
        <f>12*15</f>
        <v>180</v>
      </c>
      <c r="W38" s="111"/>
      <c r="X38" s="309">
        <f>IF(OR(U38="",U38="N"),Q38,EDATE(Q38,V38))</f>
        <v>43465</v>
      </c>
      <c r="Y38" s="111"/>
      <c r="Z38" s="505" t="s">
        <v>519</v>
      </c>
      <c r="AA38" s="111"/>
      <c r="AB38" s="506" t="s">
        <v>762</v>
      </c>
      <c r="AC38" s="173"/>
      <c r="AD38" s="52"/>
      <c r="AE38" s="52"/>
      <c r="AF38" s="6" t="s">
        <v>819</v>
      </c>
      <c r="AG38" s="548" t="s">
        <v>782</v>
      </c>
      <c r="AH38" s="52"/>
      <c r="AI38" s="52"/>
      <c r="AJ38" s="6"/>
      <c r="AK38" s="6"/>
      <c r="AL38" s="52"/>
      <c r="AM38" s="52"/>
      <c r="AN38" s="6"/>
      <c r="AO38" s="6"/>
      <c r="AP38" s="52"/>
      <c r="AQ38" s="52"/>
      <c r="AR38" s="6"/>
      <c r="AS38" s="6"/>
      <c r="AT38" s="52"/>
      <c r="AU38" s="52"/>
      <c r="AV38" s="6"/>
      <c r="AW38" s="6"/>
      <c r="AX38" s="549"/>
      <c r="AY38" s="517"/>
      <c r="AZ38" s="517"/>
      <c r="BA38" s="517"/>
      <c r="BB38" s="517"/>
      <c r="BC38" s="517"/>
      <c r="BD38" s="517"/>
      <c r="BE38" s="517"/>
      <c r="BF38" s="517"/>
      <c r="BG38" s="517"/>
      <c r="BH38" s="517"/>
      <c r="BI38" s="517"/>
      <c r="BJ38" s="517"/>
      <c r="BK38" s="517"/>
      <c r="BL38" s="517"/>
      <c r="BM38" s="517"/>
      <c r="BN38" s="517"/>
      <c r="BO38" s="517"/>
      <c r="BP38" s="517"/>
      <c r="BQ38" s="517"/>
      <c r="BR38" s="517"/>
      <c r="BS38" s="517"/>
      <c r="BT38" s="517"/>
      <c r="BU38" s="517"/>
      <c r="BV38" s="517"/>
      <c r="BW38" s="517"/>
      <c r="BX38" s="517"/>
      <c r="BY38" s="517"/>
      <c r="BZ38" s="517"/>
      <c r="CA38" s="517"/>
      <c r="CB38" s="517"/>
      <c r="CC38" s="517"/>
      <c r="CD38" s="517"/>
      <c r="CE38" s="517"/>
      <c r="CF38" s="517"/>
      <c r="CG38" s="517"/>
      <c r="CH38" s="517"/>
      <c r="CI38" s="517"/>
      <c r="CJ38" s="517"/>
      <c r="CK38" s="517"/>
      <c r="CL38" s="517"/>
      <c r="CM38" s="517"/>
      <c r="CN38" s="521"/>
      <c r="CO38" s="517"/>
      <c r="CP38" s="517"/>
      <c r="CQ38" s="517"/>
      <c r="CR38" s="517"/>
      <c r="CS38" s="521"/>
      <c r="CT38" s="517"/>
      <c r="CU38" s="517"/>
      <c r="CV38" s="517"/>
      <c r="CW38" s="497"/>
      <c r="CX38" s="521"/>
      <c r="CY38" s="544"/>
      <c r="CZ38" s="517"/>
      <c r="DA38" s="546"/>
      <c r="DB38" s="497"/>
      <c r="DC38" s="521"/>
      <c r="DD38" s="517"/>
      <c r="DE38" s="517"/>
      <c r="DF38" s="546"/>
      <c r="DG38" s="497"/>
      <c r="DH38" s="521"/>
      <c r="DI38" s="525"/>
      <c r="DJ38" s="517"/>
      <c r="DK38" s="546"/>
      <c r="DL38" s="497"/>
      <c r="DM38" s="521"/>
      <c r="DN38" s="525"/>
      <c r="DO38" s="517"/>
      <c r="DP38" s="546"/>
      <c r="DQ38" s="517"/>
      <c r="DR38" s="517"/>
      <c r="DS38" s="517"/>
      <c r="DT38" s="517"/>
      <c r="DU38" s="526"/>
      <c r="DV38" s="517"/>
      <c r="DW38" s="517"/>
      <c r="DX38" s="517"/>
      <c r="DY38" s="517"/>
      <c r="DZ38" s="526"/>
      <c r="EA38" s="517"/>
      <c r="EB38" s="517"/>
      <c r="EC38" s="517"/>
      <c r="ED38" s="517"/>
      <c r="EE38" s="526"/>
      <c r="EF38" s="517"/>
      <c r="EG38" s="517"/>
      <c r="EH38" s="517"/>
      <c r="EI38" s="517"/>
      <c r="EJ38" s="526"/>
      <c r="EK38" s="517"/>
      <c r="EL38" s="517"/>
      <c r="EM38" s="517"/>
      <c r="EN38" s="517"/>
      <c r="EO38" s="526"/>
      <c r="EP38" s="499"/>
      <c r="EQ38" s="499"/>
      <c r="ER38" s="499"/>
      <c r="ES38" s="499"/>
      <c r="ET38" s="499"/>
      <c r="EU38" s="499"/>
      <c r="EV38" s="440"/>
      <c r="EW38" s="440"/>
      <c r="EX38" s="440"/>
      <c r="EY38" s="440"/>
      <c r="EZ38" s="440"/>
      <c r="FA38" s="440"/>
      <c r="FB38" s="440"/>
      <c r="FC38" s="440"/>
      <c r="FD38" s="440"/>
      <c r="FE38" s="440"/>
      <c r="FF38" s="440"/>
      <c r="FG38" s="440"/>
      <c r="FH38" s="440"/>
      <c r="FI38" s="440"/>
      <c r="FJ38" s="440"/>
      <c r="FK38" s="440"/>
      <c r="FL38" s="440"/>
      <c r="FM38" s="440"/>
      <c r="FN38" s="440"/>
      <c r="FO38" s="440"/>
      <c r="FP38" s="440"/>
    </row>
    <row r="39" spans="1:172" ht="18" customHeight="1" thickBot="1" x14ac:dyDescent="0.3">
      <c r="A39" s="36">
        <v>25</v>
      </c>
      <c r="C39" s="708" t="s">
        <v>1267</v>
      </c>
      <c r="D39" s="709"/>
      <c r="E39" s="500" t="s">
        <v>580</v>
      </c>
      <c r="F39" s="535"/>
      <c r="G39" s="502">
        <v>3070</v>
      </c>
      <c r="H39" s="479">
        <f t="shared" ref="H39:H40" si="8">G39/$G$2</f>
        <v>6.0842319301284429E-3</v>
      </c>
      <c r="I39" s="502">
        <v>2314.6999999999998</v>
      </c>
      <c r="J39" s="502">
        <v>59.3</v>
      </c>
      <c r="K39" s="536">
        <v>701.3</v>
      </c>
      <c r="L39" s="69">
        <f t="shared" ref="L39" si="9">K39/G39</f>
        <v>0.22843648208469053</v>
      </c>
      <c r="M39" s="111"/>
      <c r="N39" s="32">
        <v>38353</v>
      </c>
      <c r="O39" s="143">
        <f ca="1">($G$1-N39)/30.33/12</f>
        <v>13.270689086712826</v>
      </c>
      <c r="P39" s="111"/>
      <c r="Q39" s="566">
        <v>39813</v>
      </c>
      <c r="R39" s="111"/>
      <c r="S39" s="64">
        <f t="shared" ca="1" si="4"/>
        <v>9.2977250247279919</v>
      </c>
      <c r="T39" s="111"/>
      <c r="U39" s="504" t="s">
        <v>591</v>
      </c>
      <c r="V39" s="568">
        <f>108+12</f>
        <v>120</v>
      </c>
      <c r="W39" s="111"/>
      <c r="X39" s="309">
        <f t="shared" ref="X39" si="10">IF(OR(U39="",U39="N"),Q39,EDATE(Q39,V39))</f>
        <v>43465</v>
      </c>
      <c r="Y39" s="111"/>
      <c r="Z39" s="505" t="s">
        <v>519</v>
      </c>
      <c r="AA39" s="111"/>
      <c r="AB39" s="506" t="s">
        <v>762</v>
      </c>
      <c r="AC39" s="173"/>
      <c r="AD39" s="52"/>
      <c r="AE39" s="52" t="s">
        <v>820</v>
      </c>
      <c r="AF39" s="6" t="s">
        <v>745</v>
      </c>
      <c r="AG39" s="486" t="s">
        <v>821</v>
      </c>
      <c r="AH39" s="52"/>
      <c r="AI39" s="52"/>
      <c r="AJ39" s="6"/>
      <c r="AK39" s="6"/>
      <c r="AL39" s="52"/>
      <c r="AM39" s="52"/>
      <c r="AN39" s="6"/>
      <c r="AO39" s="6"/>
      <c r="AP39" s="52"/>
      <c r="AQ39" s="52"/>
      <c r="AR39" s="6"/>
      <c r="AS39" s="6"/>
      <c r="AT39" s="52"/>
      <c r="AU39" s="52"/>
      <c r="AV39" s="6"/>
      <c r="AW39" s="6"/>
      <c r="AX39" s="549"/>
      <c r="AY39" s="517"/>
      <c r="AZ39" s="517"/>
      <c r="BA39" s="517"/>
      <c r="BB39" s="517"/>
      <c r="BC39" s="517"/>
      <c r="BD39" s="517"/>
      <c r="BE39" s="517"/>
      <c r="BF39" s="517"/>
      <c r="BG39" s="517"/>
      <c r="BH39" s="517"/>
      <c r="BI39" s="517"/>
      <c r="BJ39" s="517"/>
      <c r="BK39" s="517"/>
      <c r="BL39" s="517"/>
      <c r="BM39" s="517"/>
      <c r="BN39" s="517"/>
      <c r="BO39" s="517"/>
      <c r="BP39" s="517"/>
      <c r="BQ39" s="517"/>
      <c r="BR39" s="517"/>
      <c r="BS39" s="517"/>
      <c r="BT39" s="517"/>
      <c r="BU39" s="517"/>
      <c r="BV39" s="517"/>
      <c r="BW39" s="517"/>
      <c r="BX39" s="517"/>
      <c r="BY39" s="517"/>
      <c r="BZ39" s="517"/>
      <c r="CA39" s="517"/>
      <c r="CB39" s="517"/>
      <c r="CC39" s="517"/>
      <c r="CD39" s="517"/>
      <c r="CE39" s="517"/>
      <c r="CF39" s="517"/>
      <c r="CG39" s="517"/>
      <c r="CH39" s="517"/>
      <c r="CI39" s="517"/>
      <c r="CJ39" s="517"/>
      <c r="CK39" s="517"/>
      <c r="CL39" s="517"/>
      <c r="CM39" s="517"/>
      <c r="CN39" s="521"/>
      <c r="CO39" s="517"/>
      <c r="CP39" s="517"/>
      <c r="CQ39" s="517"/>
      <c r="CR39" s="517"/>
      <c r="CS39" s="521"/>
      <c r="CT39" s="517"/>
      <c r="CU39" s="517"/>
      <c r="CV39" s="517"/>
      <c r="CW39" s="497"/>
      <c r="CX39" s="521"/>
      <c r="CY39" s="544"/>
      <c r="CZ39" s="517"/>
      <c r="DA39" s="546"/>
      <c r="DB39" s="497"/>
      <c r="DC39" s="521"/>
      <c r="DD39" s="517"/>
      <c r="DE39" s="517"/>
      <c r="DF39" s="546"/>
      <c r="DG39" s="497"/>
      <c r="DH39" s="521"/>
      <c r="DI39" s="525"/>
      <c r="DJ39" s="517"/>
      <c r="DK39" s="546"/>
      <c r="DL39" s="497"/>
      <c r="DM39" s="521"/>
      <c r="DN39" s="525"/>
      <c r="DO39" s="517"/>
      <c r="DP39" s="546"/>
      <c r="DQ39" s="517"/>
      <c r="DR39" s="517"/>
      <c r="DS39" s="517"/>
      <c r="DT39" s="517"/>
      <c r="DU39" s="526"/>
      <c r="DV39" s="517"/>
      <c r="DW39" s="517"/>
      <c r="DX39" s="517"/>
      <c r="DY39" s="517"/>
      <c r="DZ39" s="526"/>
      <c r="EA39" s="517"/>
      <c r="EB39" s="517"/>
      <c r="EC39" s="517"/>
      <c r="ED39" s="517"/>
      <c r="EE39" s="526"/>
      <c r="EF39" s="517"/>
      <c r="EG39" s="517"/>
      <c r="EH39" s="517"/>
      <c r="EI39" s="517"/>
      <c r="EJ39" s="526"/>
      <c r="EK39" s="517"/>
      <c r="EL39" s="517"/>
      <c r="EM39" s="517"/>
      <c r="EN39" s="517"/>
      <c r="EO39" s="526"/>
      <c r="EP39" s="499"/>
      <c r="EQ39" s="499"/>
      <c r="ER39" s="499"/>
      <c r="ES39" s="499"/>
      <c r="ET39" s="499"/>
      <c r="EU39" s="499"/>
      <c r="EV39" s="440"/>
      <c r="EW39" s="440"/>
      <c r="EX39" s="440"/>
      <c r="EY39" s="440"/>
      <c r="EZ39" s="440"/>
      <c r="FA39" s="440"/>
      <c r="FB39" s="440"/>
      <c r="FC39" s="440"/>
      <c r="FD39" s="440"/>
      <c r="FE39" s="440"/>
      <c r="FF39" s="440"/>
      <c r="FG39" s="440"/>
      <c r="FH39" s="440"/>
      <c r="FI39" s="440"/>
      <c r="FJ39" s="440"/>
      <c r="FK39" s="440"/>
      <c r="FL39" s="440"/>
      <c r="FM39" s="440"/>
      <c r="FN39" s="440"/>
      <c r="FO39" s="440"/>
      <c r="FP39" s="440"/>
    </row>
    <row r="40" spans="1:172" ht="18" customHeight="1" thickBot="1" x14ac:dyDescent="0.3">
      <c r="A40" s="36">
        <v>26</v>
      </c>
      <c r="C40" s="636" t="s">
        <v>1268</v>
      </c>
      <c r="D40" s="637"/>
      <c r="E40" s="500" t="s">
        <v>521</v>
      </c>
      <c r="F40" s="535"/>
      <c r="G40" s="502">
        <v>2288</v>
      </c>
      <c r="H40" s="479">
        <f t="shared" si="8"/>
        <v>4.5344373472748787E-3</v>
      </c>
      <c r="I40" s="502">
        <v>1359.9</v>
      </c>
      <c r="J40" s="502">
        <v>0</v>
      </c>
      <c r="K40" s="536">
        <v>1061.5</v>
      </c>
      <c r="L40" s="69">
        <f>K40/G40</f>
        <v>0.46394230769230771</v>
      </c>
      <c r="M40" s="111"/>
      <c r="N40" s="32">
        <v>42186</v>
      </c>
      <c r="O40" s="143">
        <f t="shared" ref="O40:O55" ca="1" si="11">($G$1-N40)/30.33/12</f>
        <v>2.7393120123090449</v>
      </c>
      <c r="P40" s="111"/>
      <c r="Q40" s="566">
        <v>43281</v>
      </c>
      <c r="R40" s="111"/>
      <c r="S40" s="64">
        <f t="shared" ca="1" si="4"/>
        <v>3.2311242993735578</v>
      </c>
      <c r="T40" s="111"/>
      <c r="U40" s="504" t="s">
        <v>591</v>
      </c>
      <c r="V40" s="568"/>
      <c r="W40" s="111"/>
      <c r="X40" s="309">
        <f>IF(OR(U40="",U40="N"),Q40,EDATE(Q40,V40))</f>
        <v>43281</v>
      </c>
      <c r="Y40" s="111"/>
      <c r="Z40" s="505" t="s">
        <v>519</v>
      </c>
      <c r="AA40" s="111"/>
      <c r="AB40" s="506" t="s">
        <v>762</v>
      </c>
      <c r="AC40" s="173"/>
      <c r="AD40" s="52"/>
      <c r="AE40" s="52" t="s">
        <v>822</v>
      </c>
      <c r="AF40" s="6" t="s">
        <v>823</v>
      </c>
      <c r="AG40" s="548" t="s">
        <v>824</v>
      </c>
      <c r="AH40" s="52"/>
      <c r="AI40" s="52"/>
      <c r="AJ40" s="6"/>
      <c r="AK40" s="6"/>
      <c r="AL40" s="52"/>
      <c r="AM40" s="52"/>
      <c r="AN40" s="6"/>
      <c r="AO40" s="6"/>
      <c r="AP40" s="52"/>
      <c r="AQ40" s="52"/>
      <c r="AR40" s="6"/>
      <c r="AS40" s="6"/>
      <c r="AT40" s="52"/>
      <c r="AU40" s="52"/>
      <c r="AV40" s="6"/>
      <c r="AW40" s="6"/>
      <c r="AX40" s="549"/>
      <c r="AY40" s="517"/>
      <c r="AZ40" s="517"/>
      <c r="BA40" s="517"/>
      <c r="BB40" s="517"/>
      <c r="BC40" s="517"/>
      <c r="BD40" s="517"/>
      <c r="BE40" s="517"/>
      <c r="BF40" s="517"/>
      <c r="BG40" s="517"/>
      <c r="BH40" s="517"/>
      <c r="BI40" s="517"/>
      <c r="BJ40" s="517"/>
      <c r="BK40" s="517"/>
      <c r="BL40" s="517"/>
      <c r="BM40" s="517"/>
      <c r="BN40" s="517"/>
      <c r="BO40" s="517"/>
      <c r="BP40" s="517"/>
      <c r="BQ40" s="517"/>
      <c r="BR40" s="517"/>
      <c r="BS40" s="517"/>
      <c r="BT40" s="517"/>
      <c r="BU40" s="517"/>
      <c r="BV40" s="517"/>
      <c r="BW40" s="517"/>
      <c r="BX40" s="517"/>
      <c r="BY40" s="517"/>
      <c r="BZ40" s="517"/>
      <c r="CA40" s="517"/>
      <c r="CB40" s="517"/>
      <c r="CC40" s="517"/>
      <c r="CD40" s="517"/>
      <c r="CE40" s="517"/>
      <c r="CF40" s="517"/>
      <c r="CG40" s="517"/>
      <c r="CH40" s="517"/>
      <c r="CI40" s="517"/>
      <c r="CJ40" s="517"/>
      <c r="CK40" s="517"/>
      <c r="CL40" s="517"/>
      <c r="CM40" s="517"/>
      <c r="CN40" s="521"/>
      <c r="CO40" s="517"/>
      <c r="CP40" s="517"/>
      <c r="CQ40" s="517"/>
      <c r="CR40" s="517"/>
      <c r="CS40" s="521"/>
      <c r="CT40" s="517"/>
      <c r="CU40" s="517"/>
      <c r="CV40" s="517"/>
      <c r="CW40" s="497"/>
      <c r="CX40" s="521"/>
      <c r="CY40" s="544"/>
      <c r="CZ40" s="517"/>
      <c r="DA40" s="546"/>
      <c r="DB40" s="497"/>
      <c r="DC40" s="521"/>
      <c r="DD40" s="517"/>
      <c r="DE40" s="517"/>
      <c r="DF40" s="546"/>
      <c r="DG40" s="497"/>
      <c r="DH40" s="521"/>
      <c r="DI40" s="525"/>
      <c r="DJ40" s="517"/>
      <c r="DK40" s="546"/>
      <c r="DL40" s="497"/>
      <c r="DM40" s="521"/>
      <c r="DN40" s="525"/>
      <c r="DO40" s="517"/>
      <c r="DP40" s="546"/>
      <c r="DQ40" s="517"/>
      <c r="DR40" s="517"/>
      <c r="DS40" s="517"/>
      <c r="DT40" s="517"/>
      <c r="DU40" s="526"/>
      <c r="DV40" s="517"/>
      <c r="DW40" s="517"/>
      <c r="DX40" s="517"/>
      <c r="DY40" s="517"/>
      <c r="DZ40" s="526"/>
      <c r="EA40" s="517"/>
      <c r="EB40" s="517"/>
      <c r="EC40" s="517"/>
      <c r="ED40" s="517"/>
      <c r="EE40" s="526"/>
      <c r="EF40" s="517"/>
      <c r="EG40" s="517"/>
      <c r="EH40" s="517"/>
      <c r="EI40" s="517"/>
      <c r="EJ40" s="526"/>
      <c r="EK40" s="517"/>
      <c r="EL40" s="517"/>
      <c r="EM40" s="517"/>
      <c r="EN40" s="517"/>
      <c r="EO40" s="526"/>
      <c r="EP40" s="499"/>
      <c r="EQ40" s="499"/>
      <c r="ER40" s="499"/>
      <c r="ES40" s="499"/>
      <c r="ET40" s="499"/>
      <c r="EU40" s="499"/>
      <c r="EV40" s="440"/>
      <c r="EW40" s="440"/>
      <c r="EX40" s="440"/>
      <c r="EY40" s="440"/>
      <c r="EZ40" s="440"/>
      <c r="FA40" s="440"/>
      <c r="FB40" s="440"/>
      <c r="FC40" s="440"/>
      <c r="FD40" s="440"/>
      <c r="FE40" s="440"/>
      <c r="FF40" s="440"/>
      <c r="FG40" s="440"/>
      <c r="FH40" s="440"/>
      <c r="FI40" s="440"/>
      <c r="FJ40" s="440"/>
      <c r="FK40" s="440"/>
      <c r="FL40" s="440"/>
      <c r="FM40" s="440"/>
      <c r="FN40" s="440"/>
      <c r="FO40" s="440"/>
      <c r="FP40" s="440"/>
    </row>
    <row r="41" spans="1:172" ht="18" customHeight="1" thickBot="1" x14ac:dyDescent="0.3">
      <c r="A41" s="36">
        <v>27</v>
      </c>
      <c r="B41" s="36">
        <v>20</v>
      </c>
      <c r="C41" s="636" t="s">
        <v>1269</v>
      </c>
      <c r="D41" s="637"/>
      <c r="E41" s="500" t="s">
        <v>547</v>
      </c>
      <c r="F41" s="535"/>
      <c r="G41" s="502">
        <v>2942</v>
      </c>
      <c r="H41" s="479">
        <f t="shared" si="6"/>
        <v>5.8305571134976801E-3</v>
      </c>
      <c r="I41" s="502">
        <v>3074.4</v>
      </c>
      <c r="J41" s="502">
        <v>0</v>
      </c>
      <c r="K41" s="536">
        <v>1461.9</v>
      </c>
      <c r="L41" s="69">
        <f t="shared" si="3"/>
        <v>0.49690686607749834</v>
      </c>
      <c r="M41" s="111"/>
      <c r="N41" s="32">
        <v>41030</v>
      </c>
      <c r="O41" s="143">
        <f t="shared" ca="1" si="11"/>
        <v>5.9154852181558413</v>
      </c>
      <c r="P41" s="111"/>
      <c r="Q41" s="4">
        <v>42124</v>
      </c>
      <c r="R41" s="111"/>
      <c r="S41" s="64">
        <f t="shared" ca="1" si="4"/>
        <v>1.2199142762940984</v>
      </c>
      <c r="T41" s="111"/>
      <c r="U41" s="504" t="s">
        <v>591</v>
      </c>
      <c r="V41" s="504">
        <v>36</v>
      </c>
      <c r="W41" s="111"/>
      <c r="X41" s="309">
        <f t="shared" ref="X41:X55" si="12">IF(OR(U41="",U41="N"),Q41,EDATE(Q41,V41))</f>
        <v>43220</v>
      </c>
      <c r="Y41" s="111"/>
      <c r="Z41" s="505" t="s">
        <v>519</v>
      </c>
      <c r="AA41" s="111"/>
      <c r="AB41" s="542" t="s">
        <v>825</v>
      </c>
      <c r="AC41" s="173"/>
      <c r="AD41" s="3"/>
      <c r="AE41" s="3" t="s">
        <v>826</v>
      </c>
      <c r="AF41" s="3" t="s">
        <v>827</v>
      </c>
      <c r="AG41" s="2" t="s">
        <v>828</v>
      </c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543"/>
      <c r="AY41" s="517"/>
      <c r="AZ41" s="517"/>
      <c r="BA41" s="517"/>
      <c r="BB41" s="517"/>
      <c r="BC41" s="517"/>
      <c r="BD41" s="517"/>
      <c r="BE41" s="517"/>
      <c r="BF41" s="517"/>
      <c r="BG41" s="517"/>
      <c r="BH41" s="517"/>
      <c r="BI41" s="517"/>
      <c r="BJ41" s="517"/>
      <c r="BK41" s="517"/>
      <c r="BL41" s="517"/>
      <c r="BM41" s="517"/>
      <c r="BN41" s="517"/>
      <c r="BO41" s="517"/>
      <c r="BP41" s="517"/>
      <c r="BQ41" s="517"/>
      <c r="BR41" s="517"/>
      <c r="BS41" s="517"/>
      <c r="BT41" s="517"/>
      <c r="BU41" s="517"/>
      <c r="BV41" s="517"/>
      <c r="BW41" s="517"/>
      <c r="BX41" s="517"/>
      <c r="BY41" s="517"/>
      <c r="BZ41" s="517"/>
      <c r="CA41" s="517"/>
      <c r="CB41" s="517"/>
      <c r="CC41" s="517"/>
      <c r="CD41" s="517"/>
      <c r="CE41" s="517"/>
      <c r="CF41" s="517"/>
      <c r="CG41" s="517"/>
      <c r="CH41" s="517"/>
      <c r="CI41" s="517"/>
      <c r="CJ41" s="517"/>
      <c r="CK41" s="517"/>
      <c r="CL41" s="517"/>
      <c r="CM41" s="517"/>
      <c r="CN41" s="521" t="s">
        <v>11</v>
      </c>
      <c r="CO41" s="517"/>
      <c r="CP41" s="517"/>
      <c r="CQ41" s="517"/>
      <c r="CR41" s="517"/>
      <c r="CS41" s="521" t="s">
        <v>11</v>
      </c>
      <c r="CT41" s="517"/>
      <c r="CU41" s="517"/>
      <c r="CV41" s="517"/>
      <c r="CW41" s="497" t="s">
        <v>682</v>
      </c>
      <c r="CX41" s="521" t="s">
        <v>11</v>
      </c>
      <c r="CY41" s="544"/>
      <c r="CZ41" s="545" t="s">
        <v>388</v>
      </c>
      <c r="DA41" s="546" t="s">
        <v>829</v>
      </c>
      <c r="DB41" s="497" t="s">
        <v>682</v>
      </c>
      <c r="DC41" s="521" t="s">
        <v>11</v>
      </c>
      <c r="DD41" s="517"/>
      <c r="DE41" s="545" t="s">
        <v>388</v>
      </c>
      <c r="DF41" s="546" t="s">
        <v>829</v>
      </c>
      <c r="DG41" s="497" t="s">
        <v>682</v>
      </c>
      <c r="DH41" s="521" t="s">
        <v>11</v>
      </c>
      <c r="DI41" s="517"/>
      <c r="DJ41" s="545" t="s">
        <v>388</v>
      </c>
      <c r="DK41" s="546" t="s">
        <v>829</v>
      </c>
      <c r="DL41" s="497" t="s">
        <v>682</v>
      </c>
      <c r="DM41" s="521" t="s">
        <v>11</v>
      </c>
      <c r="DN41" s="517"/>
      <c r="DO41" s="545" t="s">
        <v>388</v>
      </c>
      <c r="DP41" s="546" t="s">
        <v>829</v>
      </c>
      <c r="DQ41" s="517"/>
      <c r="DR41" s="517"/>
      <c r="DS41" s="517"/>
      <c r="DT41" s="517"/>
      <c r="DU41" s="526"/>
      <c r="DV41" s="517"/>
      <c r="DW41" s="517"/>
      <c r="DX41" s="517"/>
      <c r="DY41" s="517"/>
      <c r="DZ41" s="526"/>
      <c r="EA41" s="517"/>
      <c r="EB41" s="517"/>
      <c r="EC41" s="517"/>
      <c r="ED41" s="517"/>
      <c r="EE41" s="526"/>
      <c r="EF41" s="517"/>
      <c r="EG41" s="517"/>
      <c r="EH41" s="517"/>
      <c r="EI41" s="517"/>
      <c r="EJ41" s="526"/>
      <c r="EK41" s="517"/>
      <c r="EL41" s="517"/>
      <c r="EM41" s="517"/>
      <c r="EN41" s="517"/>
      <c r="EO41" s="526"/>
      <c r="EP41" s="499"/>
      <c r="EQ41" s="499"/>
      <c r="ER41" s="499"/>
      <c r="ES41" s="499"/>
      <c r="ET41" s="499"/>
      <c r="EU41" s="499"/>
      <c r="EV41" s="440"/>
      <c r="EW41" s="440"/>
      <c r="EX41" s="440"/>
      <c r="EY41" s="440"/>
      <c r="EZ41" s="440"/>
      <c r="FA41" s="440"/>
      <c r="FB41" s="440"/>
      <c r="FC41" s="440"/>
      <c r="FD41" s="440"/>
      <c r="FE41" s="440"/>
      <c r="FF41" s="440"/>
      <c r="FG41" s="440"/>
      <c r="FH41" s="440"/>
      <c r="FI41" s="440"/>
      <c r="FJ41" s="440"/>
      <c r="FK41" s="440"/>
      <c r="FL41" s="440"/>
      <c r="FM41" s="440"/>
      <c r="FN41" s="440"/>
      <c r="FO41" s="440"/>
      <c r="FP41" s="440"/>
    </row>
    <row r="42" spans="1:172" ht="18" customHeight="1" thickBot="1" x14ac:dyDescent="0.3">
      <c r="A42" s="36">
        <v>28</v>
      </c>
      <c r="B42" s="36">
        <v>21</v>
      </c>
      <c r="C42" s="636" t="s">
        <v>1270</v>
      </c>
      <c r="D42" s="637"/>
      <c r="E42" s="500" t="s">
        <v>548</v>
      </c>
      <c r="F42" s="535" t="s">
        <v>527</v>
      </c>
      <c r="G42" s="502">
        <v>0</v>
      </c>
      <c r="H42" s="479">
        <f t="shared" si="6"/>
        <v>0</v>
      </c>
      <c r="I42" s="502"/>
      <c r="J42" s="502"/>
      <c r="K42" s="536"/>
      <c r="L42" s="69" t="e">
        <f t="shared" si="3"/>
        <v>#DIV/0!</v>
      </c>
      <c r="M42" s="111"/>
      <c r="N42" s="32">
        <v>40909</v>
      </c>
      <c r="O42" s="143">
        <f t="shared" ca="1" si="11"/>
        <v>6.2479393339927469</v>
      </c>
      <c r="P42" s="111"/>
      <c r="Q42" s="4">
        <v>42947</v>
      </c>
      <c r="R42" s="111"/>
      <c r="S42" s="64">
        <f t="shared" ca="1" si="4"/>
        <v>4.2532146389713157</v>
      </c>
      <c r="T42" s="111"/>
      <c r="U42" s="504" t="s">
        <v>591</v>
      </c>
      <c r="V42" s="504">
        <v>12</v>
      </c>
      <c r="W42" s="111"/>
      <c r="X42" s="309">
        <f t="shared" si="12"/>
        <v>43312</v>
      </c>
      <c r="Y42" s="111"/>
      <c r="Z42" s="505" t="s">
        <v>519</v>
      </c>
      <c r="AA42" s="111"/>
      <c r="AB42" s="550"/>
      <c r="AC42" s="173"/>
      <c r="AD42" s="52"/>
      <c r="AE42" s="52"/>
      <c r="AF42" s="3"/>
      <c r="AG42" s="2"/>
      <c r="AH42" s="52"/>
      <c r="AI42" s="52"/>
      <c r="AJ42" s="3"/>
      <c r="AK42" s="3"/>
      <c r="AL42" s="52"/>
      <c r="AM42" s="52"/>
      <c r="AN42" s="3"/>
      <c r="AO42" s="3"/>
      <c r="AP42" s="52"/>
      <c r="AQ42" s="52"/>
      <c r="AR42" s="3"/>
      <c r="AS42" s="3"/>
      <c r="AT42" s="52"/>
      <c r="AU42" s="52"/>
      <c r="AV42" s="3"/>
      <c r="AW42" s="3"/>
      <c r="AX42" s="543"/>
      <c r="AY42" s="517"/>
      <c r="AZ42" s="517"/>
      <c r="BA42" s="517"/>
      <c r="BB42" s="517"/>
      <c r="BC42" s="517"/>
      <c r="BD42" s="517"/>
      <c r="BE42" s="517"/>
      <c r="BF42" s="517"/>
      <c r="BG42" s="517"/>
      <c r="BH42" s="517"/>
      <c r="BI42" s="517"/>
      <c r="BJ42" s="517"/>
      <c r="BK42" s="517"/>
      <c r="BL42" s="517"/>
      <c r="BM42" s="517"/>
      <c r="BN42" s="517"/>
      <c r="BO42" s="517"/>
      <c r="BP42" s="517"/>
      <c r="BQ42" s="517"/>
      <c r="BR42" s="517"/>
      <c r="BS42" s="517"/>
      <c r="BT42" s="517"/>
      <c r="BU42" s="517"/>
      <c r="BV42" s="517"/>
      <c r="BW42" s="517"/>
      <c r="BX42" s="517"/>
      <c r="BY42" s="517"/>
      <c r="BZ42" s="517"/>
      <c r="CA42" s="517"/>
      <c r="CB42" s="517"/>
      <c r="CC42" s="517"/>
      <c r="CD42" s="517"/>
      <c r="CE42" s="517"/>
      <c r="CF42" s="517"/>
      <c r="CG42" s="517"/>
      <c r="CH42" s="517"/>
      <c r="CI42" s="517"/>
      <c r="CJ42" s="517"/>
      <c r="CK42" s="517"/>
      <c r="CL42" s="517"/>
      <c r="CM42" s="517"/>
      <c r="CN42" s="521" t="s">
        <v>11</v>
      </c>
      <c r="CO42" s="517"/>
      <c r="CP42" s="517"/>
      <c r="CQ42" s="517"/>
      <c r="CR42" s="517"/>
      <c r="CS42" s="521" t="s">
        <v>11</v>
      </c>
      <c r="CT42" s="517"/>
      <c r="CU42" s="517"/>
      <c r="CV42" s="517"/>
      <c r="CW42" s="497" t="s">
        <v>682</v>
      </c>
      <c r="CX42" s="521" t="s">
        <v>11</v>
      </c>
      <c r="CY42" s="544" t="s">
        <v>709</v>
      </c>
      <c r="CZ42" s="545" t="s">
        <v>354</v>
      </c>
      <c r="DA42" s="546" t="s">
        <v>830</v>
      </c>
      <c r="DB42" s="497" t="s">
        <v>682</v>
      </c>
      <c r="DC42" s="521" t="s">
        <v>11</v>
      </c>
      <c r="DD42" s="525">
        <v>42698</v>
      </c>
      <c r="DE42" s="545" t="s">
        <v>354</v>
      </c>
      <c r="DF42" s="546" t="s">
        <v>830</v>
      </c>
      <c r="DG42" s="497" t="s">
        <v>682</v>
      </c>
      <c r="DH42" s="521" t="s">
        <v>11</v>
      </c>
      <c r="DI42" s="525">
        <v>43089</v>
      </c>
      <c r="DJ42" s="545" t="s">
        <v>354</v>
      </c>
      <c r="DK42" s="546" t="s">
        <v>830</v>
      </c>
      <c r="DL42" s="497" t="s">
        <v>682</v>
      </c>
      <c r="DM42" s="521" t="s">
        <v>11</v>
      </c>
      <c r="DN42" s="525">
        <v>42755</v>
      </c>
      <c r="DO42" s="545" t="s">
        <v>147</v>
      </c>
      <c r="DP42" s="546" t="s">
        <v>830</v>
      </c>
      <c r="DQ42" s="517"/>
      <c r="DR42" s="517"/>
      <c r="DS42" s="517"/>
      <c r="DT42" s="517"/>
      <c r="DU42" s="526"/>
      <c r="DV42" s="517"/>
      <c r="DW42" s="517"/>
      <c r="DX42" s="517"/>
      <c r="DY42" s="517"/>
      <c r="DZ42" s="526"/>
      <c r="EA42" s="517"/>
      <c r="EB42" s="517"/>
      <c r="EC42" s="517"/>
      <c r="ED42" s="517"/>
      <c r="EE42" s="526"/>
      <c r="EF42" s="517"/>
      <c r="EG42" s="517"/>
      <c r="EH42" s="517"/>
      <c r="EI42" s="517"/>
      <c r="EJ42" s="526"/>
      <c r="EK42" s="517"/>
      <c r="EL42" s="517"/>
      <c r="EM42" s="517"/>
      <c r="EN42" s="517"/>
      <c r="EO42" s="526"/>
      <c r="EP42" s="499"/>
      <c r="EQ42" s="499"/>
      <c r="ER42" s="499"/>
      <c r="ES42" s="499"/>
      <c r="ET42" s="499"/>
      <c r="EU42" s="499"/>
      <c r="EV42" s="440"/>
      <c r="EW42" s="440"/>
      <c r="EX42" s="440"/>
      <c r="EY42" s="440"/>
      <c r="EZ42" s="440"/>
      <c r="FA42" s="440"/>
      <c r="FB42" s="440"/>
      <c r="FC42" s="440"/>
      <c r="FD42" s="440"/>
      <c r="FE42" s="440"/>
      <c r="FF42" s="440"/>
      <c r="FG42" s="440"/>
      <c r="FH42" s="440"/>
      <c r="FI42" s="440"/>
      <c r="FJ42" s="440"/>
      <c r="FK42" s="440"/>
      <c r="FL42" s="440"/>
      <c r="FM42" s="440"/>
      <c r="FN42" s="440"/>
      <c r="FO42" s="440"/>
      <c r="FP42" s="440"/>
    </row>
    <row r="43" spans="1:172" ht="18" customHeight="1" thickBot="1" x14ac:dyDescent="0.3">
      <c r="A43" s="36">
        <v>29</v>
      </c>
      <c r="B43" s="36">
        <v>23</v>
      </c>
      <c r="C43" s="636" t="s">
        <v>1271</v>
      </c>
      <c r="D43" s="637"/>
      <c r="E43" s="500" t="s">
        <v>521</v>
      </c>
      <c r="F43" s="535"/>
      <c r="G43" s="502">
        <v>2930</v>
      </c>
      <c r="H43" s="479">
        <f t="shared" si="6"/>
        <v>5.8067750994385461E-3</v>
      </c>
      <c r="I43" s="502">
        <v>1478</v>
      </c>
      <c r="J43" s="502">
        <v>0</v>
      </c>
      <c r="K43" s="536">
        <v>1951.7</v>
      </c>
      <c r="L43" s="69">
        <f t="shared" si="3"/>
        <v>0.66610921501706488</v>
      </c>
      <c r="M43" s="111"/>
      <c r="N43" s="32">
        <v>40544</v>
      </c>
      <c r="O43" s="143">
        <f t="shared" ca="1" si="11"/>
        <v>7.2507967908561382</v>
      </c>
      <c r="P43" s="111"/>
      <c r="Q43" s="4">
        <v>43465</v>
      </c>
      <c r="R43" s="111"/>
      <c r="S43" s="64">
        <f t="shared" ca="1" si="4"/>
        <v>9.2977250247279919</v>
      </c>
      <c r="T43" s="111"/>
      <c r="U43" s="504"/>
      <c r="V43" s="504"/>
      <c r="W43" s="111"/>
      <c r="X43" s="309">
        <f t="shared" si="12"/>
        <v>43465</v>
      </c>
      <c r="Y43" s="111"/>
      <c r="Z43" s="505" t="s">
        <v>519</v>
      </c>
      <c r="AA43" s="111"/>
      <c r="AB43" s="542" t="s">
        <v>831</v>
      </c>
      <c r="AC43" s="173"/>
      <c r="AD43" s="52"/>
      <c r="AE43" s="52" t="s">
        <v>832</v>
      </c>
      <c r="AF43" s="551" t="s">
        <v>833</v>
      </c>
      <c r="AG43" s="507" t="s">
        <v>834</v>
      </c>
      <c r="AH43" s="52"/>
      <c r="AI43" s="52"/>
      <c r="AJ43" s="551"/>
      <c r="AK43" s="551"/>
      <c r="AL43" s="52"/>
      <c r="AM43" s="52"/>
      <c r="AN43" s="551"/>
      <c r="AO43" s="551"/>
      <c r="AP43" s="52"/>
      <c r="AQ43" s="52"/>
      <c r="AR43" s="551"/>
      <c r="AS43" s="551"/>
      <c r="AT43" s="52"/>
      <c r="AU43" s="52"/>
      <c r="AV43" s="551"/>
      <c r="AW43" s="551"/>
      <c r="AX43" s="543"/>
      <c r="AY43" s="517"/>
      <c r="AZ43" s="517"/>
      <c r="BA43" s="517"/>
      <c r="BB43" s="517"/>
      <c r="BC43" s="517"/>
      <c r="BD43" s="517"/>
      <c r="BE43" s="517"/>
      <c r="BF43" s="517"/>
      <c r="BG43" s="517"/>
      <c r="BH43" s="517"/>
      <c r="BI43" s="517"/>
      <c r="BJ43" s="517"/>
      <c r="BK43" s="517"/>
      <c r="BL43" s="517"/>
      <c r="BM43" s="517"/>
      <c r="BN43" s="517"/>
      <c r="BO43" s="517"/>
      <c r="BP43" s="517"/>
      <c r="BQ43" s="517"/>
      <c r="BR43" s="517"/>
      <c r="BS43" s="517"/>
      <c r="BT43" s="517"/>
      <c r="BU43" s="517"/>
      <c r="BV43" s="517"/>
      <c r="BW43" s="517"/>
      <c r="BX43" s="517"/>
      <c r="BY43" s="517"/>
      <c r="BZ43" s="517"/>
      <c r="CA43" s="517"/>
      <c r="CB43" s="517"/>
      <c r="CC43" s="517"/>
      <c r="CD43" s="517"/>
      <c r="CE43" s="517"/>
      <c r="CF43" s="517"/>
      <c r="CG43" s="517"/>
      <c r="CH43" s="517"/>
      <c r="CI43" s="517"/>
      <c r="CJ43" s="517"/>
      <c r="CK43" s="517"/>
      <c r="CL43" s="517"/>
      <c r="CM43" s="517"/>
      <c r="CN43" s="521" t="s">
        <v>11</v>
      </c>
      <c r="CO43" s="517"/>
      <c r="CP43" s="517"/>
      <c r="CQ43" s="517"/>
      <c r="CR43" s="517"/>
      <c r="CS43" s="521" t="s">
        <v>11</v>
      </c>
      <c r="CT43" s="517"/>
      <c r="CU43" s="517"/>
      <c r="CV43" s="517"/>
      <c r="CW43" s="497" t="s">
        <v>682</v>
      </c>
      <c r="CX43" s="521" t="s">
        <v>11</v>
      </c>
      <c r="CY43" s="544" t="s">
        <v>709</v>
      </c>
      <c r="CZ43" s="545" t="s">
        <v>835</v>
      </c>
      <c r="DA43" s="546" t="s">
        <v>836</v>
      </c>
      <c r="DB43" s="497" t="s">
        <v>682</v>
      </c>
      <c r="DC43" s="521" t="s">
        <v>11</v>
      </c>
      <c r="DD43" s="525">
        <v>42697</v>
      </c>
      <c r="DE43" s="545" t="s">
        <v>835</v>
      </c>
      <c r="DF43" s="546" t="s">
        <v>836</v>
      </c>
      <c r="DG43" s="497" t="s">
        <v>682</v>
      </c>
      <c r="DH43" s="521" t="s">
        <v>11</v>
      </c>
      <c r="DI43" s="525">
        <v>21.12</v>
      </c>
      <c r="DJ43" s="545" t="s">
        <v>835</v>
      </c>
      <c r="DK43" s="546" t="s">
        <v>836</v>
      </c>
      <c r="DL43" s="497" t="s">
        <v>682</v>
      </c>
      <c r="DM43" s="521" t="s">
        <v>11</v>
      </c>
      <c r="DN43" s="525">
        <v>42751</v>
      </c>
      <c r="DO43" s="545" t="s">
        <v>835</v>
      </c>
      <c r="DP43" s="546" t="s">
        <v>836</v>
      </c>
      <c r="DQ43" s="517"/>
      <c r="DR43" s="517"/>
      <c r="DS43" s="517"/>
      <c r="DT43" s="517"/>
      <c r="DU43" s="526"/>
      <c r="DV43" s="517"/>
      <c r="DW43" s="517"/>
      <c r="DX43" s="517"/>
      <c r="DY43" s="517"/>
      <c r="DZ43" s="526"/>
      <c r="EA43" s="517"/>
      <c r="EB43" s="517"/>
      <c r="EC43" s="517"/>
      <c r="ED43" s="517"/>
      <c r="EE43" s="526"/>
      <c r="EF43" s="517"/>
      <c r="EG43" s="517"/>
      <c r="EH43" s="517"/>
      <c r="EI43" s="517"/>
      <c r="EJ43" s="526"/>
      <c r="EK43" s="517"/>
      <c r="EL43" s="517"/>
      <c r="EM43" s="517"/>
      <c r="EN43" s="517"/>
      <c r="EO43" s="526"/>
      <c r="EP43" s="499"/>
      <c r="EQ43" s="499"/>
      <c r="ER43" s="499"/>
      <c r="ES43" s="499"/>
      <c r="ET43" s="499"/>
      <c r="EU43" s="499"/>
      <c r="EV43" s="440"/>
      <c r="EW43" s="440"/>
      <c r="EX43" s="440"/>
      <c r="EY43" s="440"/>
      <c r="EZ43" s="440"/>
      <c r="FA43" s="440"/>
      <c r="FB43" s="440"/>
      <c r="FC43" s="440"/>
      <c r="FD43" s="440"/>
      <c r="FE43" s="440"/>
      <c r="FF43" s="440"/>
      <c r="FG43" s="440"/>
      <c r="FH43" s="440"/>
      <c r="FI43" s="440"/>
      <c r="FJ43" s="440"/>
      <c r="FK43" s="440"/>
      <c r="FL43" s="440"/>
      <c r="FM43" s="440"/>
      <c r="FN43" s="440"/>
      <c r="FO43" s="440"/>
      <c r="FP43" s="440"/>
    </row>
    <row r="44" spans="1:172" ht="18" customHeight="1" thickBot="1" x14ac:dyDescent="0.3">
      <c r="A44" s="36">
        <v>30</v>
      </c>
      <c r="C44" s="636" t="s">
        <v>1272</v>
      </c>
      <c r="D44" s="637"/>
      <c r="E44" s="500" t="s">
        <v>521</v>
      </c>
      <c r="F44" s="535"/>
      <c r="G44" s="502">
        <v>2411</v>
      </c>
      <c r="H44" s="479"/>
      <c r="I44" s="502"/>
      <c r="J44" s="502"/>
      <c r="K44" s="536"/>
      <c r="L44" s="69"/>
      <c r="M44" s="111"/>
      <c r="N44" s="32">
        <v>40969</v>
      </c>
      <c r="O44" s="143">
        <f t="shared" ca="1" si="11"/>
        <v>6.0830860534124627</v>
      </c>
      <c r="P44" s="111"/>
      <c r="Q44" s="566">
        <v>42063</v>
      </c>
      <c r="R44" s="111"/>
      <c r="S44" s="64">
        <f t="shared" ca="1" si="4"/>
        <v>-0.79129574678536108</v>
      </c>
      <c r="T44" s="111"/>
      <c r="U44" s="504" t="s">
        <v>591</v>
      </c>
      <c r="V44" s="568">
        <f>12*3</f>
        <v>36</v>
      </c>
      <c r="W44" s="111"/>
      <c r="X44" s="309">
        <f t="shared" si="12"/>
        <v>43159</v>
      </c>
      <c r="Y44" s="111"/>
      <c r="Z44" s="505"/>
      <c r="AA44" s="111"/>
      <c r="AB44" s="542" t="s">
        <v>145</v>
      </c>
      <c r="AC44" s="173"/>
      <c r="AD44" s="52"/>
      <c r="AE44" s="52" t="s">
        <v>837</v>
      </c>
      <c r="AF44" s="551" t="s">
        <v>838</v>
      </c>
      <c r="AG44" s="486" t="s">
        <v>839</v>
      </c>
      <c r="AH44" s="52"/>
      <c r="AI44" s="52"/>
      <c r="AJ44" s="551"/>
      <c r="AK44" s="551"/>
      <c r="AL44" s="52"/>
      <c r="AM44" s="52"/>
      <c r="AN44" s="551"/>
      <c r="AO44" s="551"/>
      <c r="AP44" s="52"/>
      <c r="AQ44" s="52"/>
      <c r="AR44" s="551"/>
      <c r="AS44" s="551"/>
      <c r="AT44" s="52"/>
      <c r="AU44" s="52"/>
      <c r="AV44" s="551"/>
      <c r="AW44" s="551"/>
      <c r="AX44" s="543"/>
      <c r="AY44" s="517"/>
      <c r="AZ44" s="517"/>
      <c r="BA44" s="517"/>
      <c r="BB44" s="517"/>
      <c r="BC44" s="517"/>
      <c r="BD44" s="517"/>
      <c r="BE44" s="517"/>
      <c r="BF44" s="517"/>
      <c r="BG44" s="517"/>
      <c r="BH44" s="517"/>
      <c r="BI44" s="517"/>
      <c r="BJ44" s="517"/>
      <c r="BK44" s="517"/>
      <c r="BL44" s="517"/>
      <c r="BM44" s="517"/>
      <c r="BN44" s="517"/>
      <c r="BO44" s="517"/>
      <c r="BP44" s="517"/>
      <c r="BQ44" s="517"/>
      <c r="BR44" s="517"/>
      <c r="BS44" s="517"/>
      <c r="BT44" s="517"/>
      <c r="BU44" s="517"/>
      <c r="BV44" s="517"/>
      <c r="BW44" s="517"/>
      <c r="BX44" s="517"/>
      <c r="BY44" s="517"/>
      <c r="BZ44" s="517"/>
      <c r="CA44" s="517"/>
      <c r="CB44" s="517"/>
      <c r="CC44" s="517"/>
      <c r="CD44" s="517"/>
      <c r="CE44" s="517"/>
      <c r="CF44" s="517"/>
      <c r="CG44" s="517"/>
      <c r="CH44" s="517"/>
      <c r="CI44" s="517"/>
      <c r="CJ44" s="517"/>
      <c r="CK44" s="517"/>
      <c r="CL44" s="517"/>
      <c r="CM44" s="517"/>
      <c r="CN44" s="521"/>
      <c r="CO44" s="517"/>
      <c r="CP44" s="517"/>
      <c r="CQ44" s="517"/>
      <c r="CR44" s="517"/>
      <c r="CS44" s="521"/>
      <c r="CT44" s="517"/>
      <c r="CU44" s="517"/>
      <c r="CV44" s="517"/>
      <c r="CW44" s="497"/>
      <c r="CX44" s="521"/>
      <c r="CY44" s="544"/>
      <c r="CZ44" s="545"/>
      <c r="DA44" s="546"/>
      <c r="DB44" s="497"/>
      <c r="DC44" s="521"/>
      <c r="DD44" s="525"/>
      <c r="DE44" s="545"/>
      <c r="DF44" s="546"/>
      <c r="DG44" s="497"/>
      <c r="DH44" s="521"/>
      <c r="DI44" s="525"/>
      <c r="DJ44" s="545"/>
      <c r="DK44" s="546"/>
      <c r="DL44" s="497"/>
      <c r="DM44" s="521"/>
      <c r="DN44" s="525"/>
      <c r="DO44" s="545"/>
      <c r="DP44" s="546"/>
      <c r="DQ44" s="517"/>
      <c r="DR44" s="517"/>
      <c r="DS44" s="517"/>
      <c r="DT44" s="517"/>
      <c r="DU44" s="526"/>
      <c r="DV44" s="517"/>
      <c r="DW44" s="517"/>
      <c r="DX44" s="517"/>
      <c r="DY44" s="517"/>
      <c r="DZ44" s="526"/>
      <c r="EA44" s="517"/>
      <c r="EB44" s="517"/>
      <c r="EC44" s="517"/>
      <c r="ED44" s="517"/>
      <c r="EE44" s="526"/>
      <c r="EF44" s="517"/>
      <c r="EG44" s="517"/>
      <c r="EH44" s="517"/>
      <c r="EI44" s="517"/>
      <c r="EJ44" s="526"/>
      <c r="EK44" s="517"/>
      <c r="EL44" s="517"/>
      <c r="EM44" s="517"/>
      <c r="EN44" s="517"/>
      <c r="EO44" s="526"/>
      <c r="EP44" s="499"/>
      <c r="EQ44" s="499"/>
      <c r="ER44" s="499"/>
      <c r="ES44" s="499"/>
      <c r="ET44" s="499"/>
      <c r="EU44" s="499"/>
      <c r="EV44" s="440"/>
      <c r="EW44" s="440"/>
      <c r="EX44" s="440"/>
      <c r="EY44" s="440"/>
      <c r="EZ44" s="440"/>
      <c r="FA44" s="440"/>
      <c r="FB44" s="440"/>
      <c r="FC44" s="440"/>
      <c r="FD44" s="440"/>
      <c r="FE44" s="440"/>
      <c r="FF44" s="440"/>
      <c r="FG44" s="440"/>
      <c r="FH44" s="440"/>
      <c r="FI44" s="440"/>
      <c r="FJ44" s="440"/>
      <c r="FK44" s="440"/>
      <c r="FL44" s="440"/>
      <c r="FM44" s="440"/>
      <c r="FN44" s="440"/>
      <c r="FO44" s="440"/>
      <c r="FP44" s="440"/>
    </row>
    <row r="45" spans="1:172" ht="18" customHeight="1" thickBot="1" x14ac:dyDescent="0.3">
      <c r="A45" s="36">
        <v>31</v>
      </c>
      <c r="C45" s="675" t="s">
        <v>231</v>
      </c>
      <c r="D45" s="676"/>
      <c r="E45" s="500" t="s">
        <v>548</v>
      </c>
      <c r="F45" s="535"/>
      <c r="G45" s="502">
        <v>2048</v>
      </c>
      <c r="H45" s="479"/>
      <c r="I45" s="502"/>
      <c r="J45" s="502"/>
      <c r="K45" s="536"/>
      <c r="L45" s="69"/>
      <c r="M45" s="111"/>
      <c r="N45" s="32">
        <v>36526</v>
      </c>
      <c r="O45" s="143">
        <f t="shared" ca="1" si="11"/>
        <v>18.290471480382461</v>
      </c>
      <c r="P45" s="111"/>
      <c r="Q45" s="566">
        <v>37986</v>
      </c>
      <c r="R45" s="111"/>
      <c r="S45" s="64">
        <f t="shared" ca="1" si="4"/>
        <v>9.2977250247279919</v>
      </c>
      <c r="T45" s="111"/>
      <c r="U45" s="504" t="s">
        <v>591</v>
      </c>
      <c r="V45" s="568">
        <f>12*15</f>
        <v>180</v>
      </c>
      <c r="W45" s="111"/>
      <c r="X45" s="309">
        <f>IF(OR(U45="",U45="N"),Q45,EDATE(Q45,V45))</f>
        <v>43465</v>
      </c>
      <c r="Y45" s="111"/>
      <c r="Z45" s="505"/>
      <c r="AA45" s="111"/>
      <c r="AB45" s="542" t="s">
        <v>762</v>
      </c>
      <c r="AC45" s="173"/>
      <c r="AD45" s="52"/>
      <c r="AE45" s="52" t="s">
        <v>840</v>
      </c>
      <c r="AF45" s="551" t="s">
        <v>841</v>
      </c>
      <c r="AG45" s="552" t="s">
        <v>842</v>
      </c>
      <c r="AH45" s="52"/>
      <c r="AI45" s="52"/>
      <c r="AJ45" s="551"/>
      <c r="AK45" s="551"/>
      <c r="AL45" s="52"/>
      <c r="AM45" s="52"/>
      <c r="AN45" s="551"/>
      <c r="AO45" s="551"/>
      <c r="AP45" s="52"/>
      <c r="AQ45" s="52"/>
      <c r="AR45" s="551"/>
      <c r="AS45" s="551"/>
      <c r="AT45" s="52"/>
      <c r="AU45" s="52"/>
      <c r="AV45" s="551"/>
      <c r="AW45" s="551"/>
      <c r="AX45" s="543"/>
      <c r="AY45" s="517"/>
      <c r="AZ45" s="517"/>
      <c r="BA45" s="517"/>
      <c r="BB45" s="517"/>
      <c r="BC45" s="517"/>
      <c r="BD45" s="517"/>
      <c r="BE45" s="517"/>
      <c r="BF45" s="517"/>
      <c r="BG45" s="517"/>
      <c r="BH45" s="517"/>
      <c r="BI45" s="517"/>
      <c r="BJ45" s="517"/>
      <c r="BK45" s="517"/>
      <c r="BL45" s="517"/>
      <c r="BM45" s="517"/>
      <c r="BN45" s="517"/>
      <c r="BO45" s="517"/>
      <c r="BP45" s="517"/>
      <c r="BQ45" s="517"/>
      <c r="BR45" s="517"/>
      <c r="BS45" s="517"/>
      <c r="BT45" s="517"/>
      <c r="BU45" s="517"/>
      <c r="BV45" s="517"/>
      <c r="BW45" s="517"/>
      <c r="BX45" s="517"/>
      <c r="BY45" s="517"/>
      <c r="BZ45" s="517"/>
      <c r="CA45" s="517"/>
      <c r="CB45" s="517"/>
      <c r="CC45" s="517"/>
      <c r="CD45" s="517"/>
      <c r="CE45" s="517"/>
      <c r="CF45" s="517"/>
      <c r="CG45" s="517"/>
      <c r="CH45" s="517"/>
      <c r="CI45" s="517"/>
      <c r="CJ45" s="517"/>
      <c r="CK45" s="517"/>
      <c r="CL45" s="517"/>
      <c r="CM45" s="517"/>
      <c r="CN45" s="521"/>
      <c r="CO45" s="517"/>
      <c r="CP45" s="517"/>
      <c r="CQ45" s="517"/>
      <c r="CR45" s="517"/>
      <c r="CS45" s="521"/>
      <c r="CT45" s="517"/>
      <c r="CU45" s="517"/>
      <c r="CV45" s="517"/>
      <c r="CW45" s="497"/>
      <c r="CX45" s="521"/>
      <c r="CY45" s="544"/>
      <c r="CZ45" s="545"/>
      <c r="DA45" s="546"/>
      <c r="DB45" s="497"/>
      <c r="DC45" s="521"/>
      <c r="DD45" s="525"/>
      <c r="DE45" s="545"/>
      <c r="DF45" s="546"/>
      <c r="DG45" s="497"/>
      <c r="DH45" s="521"/>
      <c r="DI45" s="525"/>
      <c r="DJ45" s="545"/>
      <c r="DK45" s="546"/>
      <c r="DL45" s="497"/>
      <c r="DM45" s="521"/>
      <c r="DN45" s="525"/>
      <c r="DO45" s="545"/>
      <c r="DP45" s="546"/>
      <c r="DQ45" s="517"/>
      <c r="DR45" s="517"/>
      <c r="DS45" s="517"/>
      <c r="DT45" s="517"/>
      <c r="DU45" s="526"/>
      <c r="DV45" s="517"/>
      <c r="DW45" s="517"/>
      <c r="DX45" s="517"/>
      <c r="DY45" s="517"/>
      <c r="DZ45" s="526"/>
      <c r="EA45" s="517"/>
      <c r="EB45" s="517"/>
      <c r="EC45" s="517"/>
      <c r="ED45" s="517"/>
      <c r="EE45" s="526"/>
      <c r="EF45" s="517"/>
      <c r="EG45" s="517"/>
      <c r="EH45" s="517"/>
      <c r="EI45" s="517"/>
      <c r="EJ45" s="526"/>
      <c r="EK45" s="517"/>
      <c r="EL45" s="517"/>
      <c r="EM45" s="517"/>
      <c r="EN45" s="517"/>
      <c r="EO45" s="526"/>
      <c r="EP45" s="499"/>
      <c r="EQ45" s="499"/>
      <c r="ER45" s="499"/>
      <c r="ES45" s="499"/>
      <c r="ET45" s="499"/>
      <c r="EU45" s="499"/>
      <c r="EV45" s="440"/>
      <c r="EW45" s="440"/>
      <c r="EX45" s="440"/>
      <c r="EY45" s="440"/>
      <c r="EZ45" s="440"/>
      <c r="FA45" s="440"/>
      <c r="FB45" s="440"/>
      <c r="FC45" s="440"/>
      <c r="FD45" s="440"/>
      <c r="FE45" s="440"/>
      <c r="FF45" s="440"/>
      <c r="FG45" s="440"/>
      <c r="FH45" s="440"/>
      <c r="FI45" s="440"/>
      <c r="FJ45" s="440"/>
      <c r="FK45" s="440"/>
      <c r="FL45" s="440"/>
      <c r="FM45" s="440"/>
      <c r="FN45" s="440"/>
      <c r="FO45" s="440"/>
      <c r="FP45" s="440"/>
    </row>
    <row r="46" spans="1:172" ht="18" customHeight="1" thickBot="1" x14ac:dyDescent="0.3">
      <c r="A46" s="36">
        <v>32</v>
      </c>
      <c r="C46" s="636" t="s">
        <v>1273</v>
      </c>
      <c r="D46" s="637"/>
      <c r="E46" s="500" t="s">
        <v>580</v>
      </c>
      <c r="F46" s="535"/>
      <c r="G46" s="502"/>
      <c r="H46" s="479"/>
      <c r="I46" s="502"/>
      <c r="J46" s="502"/>
      <c r="K46" s="536"/>
      <c r="L46" s="69"/>
      <c r="M46" s="111"/>
      <c r="N46" s="32">
        <v>40179</v>
      </c>
      <c r="O46" s="143">
        <f t="shared" ca="1" si="11"/>
        <v>8.2536542477195294</v>
      </c>
      <c r="P46" s="111"/>
      <c r="Q46" s="566">
        <v>41639</v>
      </c>
      <c r="R46" s="111"/>
      <c r="S46" s="64">
        <f t="shared" ca="1" si="4"/>
        <v>9.2977250247279919</v>
      </c>
      <c r="T46" s="111"/>
      <c r="U46" s="504" t="s">
        <v>591</v>
      </c>
      <c r="V46" s="568">
        <f>12*5</f>
        <v>60</v>
      </c>
      <c r="W46" s="111"/>
      <c r="X46" s="309">
        <f t="shared" si="12"/>
        <v>43465</v>
      </c>
      <c r="Y46" s="111"/>
      <c r="Z46" s="505"/>
      <c r="AA46" s="111"/>
      <c r="AB46" s="542" t="s">
        <v>145</v>
      </c>
      <c r="AC46" s="173"/>
      <c r="AD46" s="52"/>
      <c r="AE46" s="52" t="s">
        <v>808</v>
      </c>
      <c r="AF46" s="551" t="s">
        <v>843</v>
      </c>
      <c r="AG46" s="507" t="s">
        <v>844</v>
      </c>
      <c r="AH46" s="52"/>
      <c r="AI46" s="52"/>
      <c r="AJ46" s="551"/>
      <c r="AK46" s="551"/>
      <c r="AL46" s="52"/>
      <c r="AM46" s="52"/>
      <c r="AN46" s="551"/>
      <c r="AO46" s="551"/>
      <c r="AP46" s="52"/>
      <c r="AQ46" s="52"/>
      <c r="AR46" s="551"/>
      <c r="AS46" s="551"/>
      <c r="AT46" s="52"/>
      <c r="AU46" s="52"/>
      <c r="AV46" s="551"/>
      <c r="AW46" s="551"/>
      <c r="AX46" s="543"/>
      <c r="AY46" s="517"/>
      <c r="AZ46" s="517"/>
      <c r="BA46" s="517"/>
      <c r="BB46" s="517"/>
      <c r="BC46" s="517"/>
      <c r="BD46" s="517"/>
      <c r="BE46" s="517"/>
      <c r="BF46" s="517"/>
      <c r="BG46" s="517"/>
      <c r="BH46" s="517"/>
      <c r="BI46" s="517"/>
      <c r="BJ46" s="517"/>
      <c r="BK46" s="517"/>
      <c r="BL46" s="517"/>
      <c r="BM46" s="517"/>
      <c r="BN46" s="517"/>
      <c r="BO46" s="517"/>
      <c r="BP46" s="517"/>
      <c r="BQ46" s="517"/>
      <c r="BR46" s="517"/>
      <c r="BS46" s="517"/>
      <c r="BT46" s="517"/>
      <c r="BU46" s="517"/>
      <c r="BV46" s="517"/>
      <c r="BW46" s="517"/>
      <c r="BX46" s="517"/>
      <c r="BY46" s="517"/>
      <c r="BZ46" s="517"/>
      <c r="CA46" s="517"/>
      <c r="CB46" s="517"/>
      <c r="CC46" s="517"/>
      <c r="CD46" s="517"/>
      <c r="CE46" s="517"/>
      <c r="CF46" s="517"/>
      <c r="CG46" s="517"/>
      <c r="CH46" s="517"/>
      <c r="CI46" s="517"/>
      <c r="CJ46" s="517"/>
      <c r="CK46" s="517"/>
      <c r="CL46" s="517"/>
      <c r="CM46" s="517"/>
      <c r="CN46" s="521"/>
      <c r="CO46" s="517"/>
      <c r="CP46" s="517"/>
      <c r="CQ46" s="517"/>
      <c r="CR46" s="517"/>
      <c r="CS46" s="521"/>
      <c r="CT46" s="517"/>
      <c r="CU46" s="517"/>
      <c r="CV46" s="517"/>
      <c r="CW46" s="497"/>
      <c r="CX46" s="521"/>
      <c r="CY46" s="544"/>
      <c r="CZ46" s="545"/>
      <c r="DA46" s="546"/>
      <c r="DB46" s="497"/>
      <c r="DC46" s="521"/>
      <c r="DD46" s="525"/>
      <c r="DE46" s="545"/>
      <c r="DF46" s="546"/>
      <c r="DG46" s="497"/>
      <c r="DH46" s="521"/>
      <c r="DI46" s="525"/>
      <c r="DJ46" s="545"/>
      <c r="DK46" s="546"/>
      <c r="DL46" s="497"/>
      <c r="DM46" s="521"/>
      <c r="DN46" s="525"/>
      <c r="DO46" s="545"/>
      <c r="DP46" s="546"/>
      <c r="DQ46" s="517"/>
      <c r="DR46" s="517"/>
      <c r="DS46" s="517"/>
      <c r="DT46" s="517"/>
      <c r="DU46" s="526"/>
      <c r="DV46" s="517"/>
      <c r="DW46" s="517"/>
      <c r="DX46" s="517"/>
      <c r="DY46" s="517"/>
      <c r="DZ46" s="526"/>
      <c r="EA46" s="517"/>
      <c r="EB46" s="517"/>
      <c r="EC46" s="517"/>
      <c r="ED46" s="517"/>
      <c r="EE46" s="526"/>
      <c r="EF46" s="517"/>
      <c r="EG46" s="517"/>
      <c r="EH46" s="517"/>
      <c r="EI46" s="517"/>
      <c r="EJ46" s="526"/>
      <c r="EK46" s="517"/>
      <c r="EL46" s="517"/>
      <c r="EM46" s="517"/>
      <c r="EN46" s="517"/>
      <c r="EO46" s="526"/>
      <c r="EP46" s="499"/>
      <c r="EQ46" s="499"/>
      <c r="ER46" s="499"/>
      <c r="ES46" s="499"/>
      <c r="ET46" s="499"/>
      <c r="EU46" s="499"/>
      <c r="EV46" s="440"/>
      <c r="EW46" s="440"/>
      <c r="EX46" s="440"/>
      <c r="EY46" s="440"/>
      <c r="EZ46" s="440"/>
      <c r="FA46" s="440"/>
      <c r="FB46" s="440"/>
      <c r="FC46" s="440"/>
      <c r="FD46" s="440"/>
      <c r="FE46" s="440"/>
      <c r="FF46" s="440"/>
      <c r="FG46" s="440"/>
      <c r="FH46" s="440"/>
      <c r="FI46" s="440"/>
      <c r="FJ46" s="440"/>
      <c r="FK46" s="440"/>
      <c r="FL46" s="440"/>
      <c r="FM46" s="440"/>
      <c r="FN46" s="440"/>
      <c r="FO46" s="440"/>
      <c r="FP46" s="440"/>
    </row>
    <row r="47" spans="1:172" ht="18" customHeight="1" thickBot="1" x14ac:dyDescent="0.3">
      <c r="A47" s="36">
        <v>33</v>
      </c>
      <c r="C47" s="675" t="s">
        <v>1274</v>
      </c>
      <c r="D47" s="676"/>
      <c r="E47" s="500" t="s">
        <v>580</v>
      </c>
      <c r="F47" s="535"/>
      <c r="G47" s="502">
        <v>1889</v>
      </c>
      <c r="H47" s="479">
        <f t="shared" ref="H47" si="13">G47/$G$2</f>
        <v>3.7436853798086737E-3</v>
      </c>
      <c r="I47" s="502">
        <v>1080.3</v>
      </c>
      <c r="J47" s="502">
        <v>0</v>
      </c>
      <c r="K47" s="536">
        <v>2287.9</v>
      </c>
      <c r="L47" s="69">
        <f t="shared" ref="L47" si="14">K47/G47</f>
        <v>1.2111699311805189</v>
      </c>
      <c r="M47" s="111"/>
      <c r="N47" s="32">
        <v>39083</v>
      </c>
      <c r="O47" s="143">
        <f t="shared" ca="1" si="11"/>
        <v>11.264974172986044</v>
      </c>
      <c r="P47" s="111"/>
      <c r="Q47" s="566">
        <v>40359</v>
      </c>
      <c r="R47" s="111"/>
      <c r="S47" s="64">
        <f ca="1">(X47-$G$1)/30.33</f>
        <v>3.2311242993735578</v>
      </c>
      <c r="T47" s="111"/>
      <c r="U47" s="504" t="s">
        <v>591</v>
      </c>
      <c r="V47" s="568">
        <v>96</v>
      </c>
      <c r="W47" s="111"/>
      <c r="X47" s="309">
        <f t="shared" ref="X47" si="15">IF(OR(U47="",U47="N"),Q47,EDATE(Q47,V47))</f>
        <v>43281</v>
      </c>
      <c r="Y47" s="111"/>
      <c r="Z47" s="505" t="s">
        <v>519</v>
      </c>
      <c r="AA47" s="111"/>
      <c r="AB47" s="542" t="s">
        <v>762</v>
      </c>
      <c r="AC47" s="173"/>
      <c r="AD47" s="52"/>
      <c r="AE47" s="52" t="s">
        <v>845</v>
      </c>
      <c r="AF47" s="551" t="s">
        <v>846</v>
      </c>
      <c r="AG47" s="507" t="s">
        <v>834</v>
      </c>
      <c r="AH47" s="52"/>
      <c r="AI47" s="52"/>
      <c r="AJ47" s="551"/>
      <c r="AK47" s="551"/>
      <c r="AL47" s="52"/>
      <c r="AM47" s="52"/>
      <c r="AN47" s="551"/>
      <c r="AO47" s="551"/>
      <c r="AP47" s="52"/>
      <c r="AQ47" s="52"/>
      <c r="AR47" s="551"/>
      <c r="AS47" s="551"/>
      <c r="AT47" s="52"/>
      <c r="AU47" s="52"/>
      <c r="AV47" s="551"/>
      <c r="AW47" s="551"/>
      <c r="AX47" s="543"/>
      <c r="AY47" s="517"/>
      <c r="AZ47" s="517"/>
      <c r="BA47" s="517"/>
      <c r="BB47" s="517"/>
      <c r="BC47" s="517"/>
      <c r="BD47" s="517"/>
      <c r="BE47" s="517"/>
      <c r="BF47" s="517"/>
      <c r="BG47" s="517"/>
      <c r="BH47" s="517"/>
      <c r="BI47" s="517"/>
      <c r="BJ47" s="517"/>
      <c r="BK47" s="517"/>
      <c r="BL47" s="517"/>
      <c r="BM47" s="517"/>
      <c r="BN47" s="517"/>
      <c r="BO47" s="517"/>
      <c r="BP47" s="517"/>
      <c r="BQ47" s="517"/>
      <c r="BR47" s="517"/>
      <c r="BS47" s="517"/>
      <c r="BT47" s="517"/>
      <c r="BU47" s="517"/>
      <c r="BV47" s="517"/>
      <c r="BW47" s="517"/>
      <c r="BX47" s="517"/>
      <c r="BY47" s="517"/>
      <c r="BZ47" s="517"/>
      <c r="CA47" s="517"/>
      <c r="CB47" s="517"/>
      <c r="CC47" s="517"/>
      <c r="CD47" s="517"/>
      <c r="CE47" s="517"/>
      <c r="CF47" s="517"/>
      <c r="CG47" s="517"/>
      <c r="CH47" s="517"/>
      <c r="CI47" s="517"/>
      <c r="CJ47" s="517"/>
      <c r="CK47" s="517"/>
      <c r="CL47" s="517"/>
      <c r="CM47" s="517"/>
      <c r="CN47" s="521"/>
      <c r="CO47" s="517"/>
      <c r="CP47" s="517"/>
      <c r="CQ47" s="517"/>
      <c r="CR47" s="517"/>
      <c r="CS47" s="521"/>
      <c r="CT47" s="517"/>
      <c r="CU47" s="517"/>
      <c r="CV47" s="517"/>
      <c r="CW47" s="497"/>
      <c r="CX47" s="521"/>
      <c r="CY47" s="544"/>
      <c r="CZ47" s="545"/>
      <c r="DA47" s="546"/>
      <c r="DB47" s="497"/>
      <c r="DC47" s="521"/>
      <c r="DD47" s="525"/>
      <c r="DE47" s="545"/>
      <c r="DF47" s="546"/>
      <c r="DG47" s="497"/>
      <c r="DH47" s="521"/>
      <c r="DI47" s="525"/>
      <c r="DJ47" s="545"/>
      <c r="DK47" s="546"/>
      <c r="DL47" s="497"/>
      <c r="DM47" s="521"/>
      <c r="DN47" s="525"/>
      <c r="DO47" s="545"/>
      <c r="DP47" s="546"/>
      <c r="DQ47" s="517"/>
      <c r="DR47" s="517"/>
      <c r="DS47" s="517"/>
      <c r="DT47" s="517"/>
      <c r="DU47" s="526"/>
      <c r="DV47" s="517"/>
      <c r="DW47" s="517"/>
      <c r="DX47" s="517"/>
      <c r="DY47" s="517"/>
      <c r="DZ47" s="526"/>
      <c r="EA47" s="517"/>
      <c r="EB47" s="517"/>
      <c r="EC47" s="517"/>
      <c r="ED47" s="517"/>
      <c r="EE47" s="526"/>
      <c r="EF47" s="517"/>
      <c r="EG47" s="517"/>
      <c r="EH47" s="517"/>
      <c r="EI47" s="517"/>
      <c r="EJ47" s="526"/>
      <c r="EK47" s="517"/>
      <c r="EL47" s="517"/>
      <c r="EM47" s="517"/>
      <c r="EN47" s="517"/>
      <c r="EO47" s="526"/>
      <c r="EP47" s="499"/>
      <c r="EQ47" s="499"/>
      <c r="ER47" s="499"/>
      <c r="ES47" s="499"/>
      <c r="ET47" s="499"/>
      <c r="EU47" s="499"/>
      <c r="EV47" s="440"/>
      <c r="EW47" s="440"/>
      <c r="EX47" s="440"/>
      <c r="EY47" s="440"/>
      <c r="EZ47" s="440"/>
      <c r="FA47" s="440"/>
      <c r="FB47" s="440"/>
      <c r="FC47" s="440"/>
      <c r="FD47" s="440"/>
      <c r="FE47" s="440"/>
      <c r="FF47" s="440"/>
      <c r="FG47" s="440"/>
      <c r="FH47" s="440"/>
      <c r="FI47" s="440"/>
      <c r="FJ47" s="440"/>
      <c r="FK47" s="440"/>
      <c r="FL47" s="440"/>
      <c r="FM47" s="440"/>
      <c r="FN47" s="440"/>
      <c r="FO47" s="440"/>
      <c r="FP47" s="440"/>
    </row>
    <row r="48" spans="1:172" ht="18" customHeight="1" thickBot="1" x14ac:dyDescent="0.3">
      <c r="A48" s="36">
        <v>34</v>
      </c>
      <c r="B48" s="36">
        <v>24</v>
      </c>
      <c r="C48" s="636" t="s">
        <v>1275</v>
      </c>
      <c r="D48" s="637"/>
      <c r="E48" s="500" t="s">
        <v>521</v>
      </c>
      <c r="F48" s="535"/>
      <c r="G48" s="502">
        <v>1643</v>
      </c>
      <c r="H48" s="479">
        <f t="shared" si="6"/>
        <v>3.2561540915964273E-3</v>
      </c>
      <c r="I48" s="502">
        <v>2344.3000000000002</v>
      </c>
      <c r="J48" s="502">
        <v>0</v>
      </c>
      <c r="K48" s="536">
        <v>1045.0999999999999</v>
      </c>
      <c r="L48" s="69">
        <f t="shared" si="3"/>
        <v>0.63609251369446129</v>
      </c>
      <c r="M48" s="111"/>
      <c r="N48" s="32">
        <v>41730</v>
      </c>
      <c r="O48" s="143">
        <f t="shared" ca="1" si="11"/>
        <v>3.9921969447192001</v>
      </c>
      <c r="P48" s="111"/>
      <c r="Q48" s="566">
        <v>42825</v>
      </c>
      <c r="R48" s="111"/>
      <c r="S48" s="64">
        <f ca="1">(X48-$G$1)/30.33</f>
        <v>0.23079459281239698</v>
      </c>
      <c r="T48" s="111"/>
      <c r="U48" s="504" t="s">
        <v>591</v>
      </c>
      <c r="V48" s="568">
        <v>12</v>
      </c>
      <c r="W48" s="111"/>
      <c r="X48" s="309">
        <f t="shared" si="12"/>
        <v>43190</v>
      </c>
      <c r="Y48" s="111"/>
      <c r="Z48" s="505"/>
      <c r="AA48" s="111"/>
      <c r="AB48" s="542" t="s">
        <v>139</v>
      </c>
      <c r="AC48" s="173"/>
      <c r="AD48" s="52"/>
      <c r="AE48" s="52"/>
      <c r="AF48" s="551" t="s">
        <v>847</v>
      </c>
      <c r="AG48" s="507" t="s">
        <v>844</v>
      </c>
      <c r="AH48" s="52"/>
      <c r="AI48" s="52"/>
      <c r="AJ48" s="551"/>
      <c r="AK48" s="551"/>
      <c r="AL48" s="52"/>
      <c r="AM48" s="52"/>
      <c r="AN48" s="551"/>
      <c r="AO48" s="551"/>
      <c r="AP48" s="52"/>
      <c r="AQ48" s="52"/>
      <c r="AR48" s="551"/>
      <c r="AS48" s="551"/>
      <c r="AT48" s="52"/>
      <c r="AU48" s="52"/>
      <c r="AV48" s="551"/>
      <c r="AW48" s="551"/>
      <c r="AX48" s="543"/>
      <c r="AY48" s="517"/>
      <c r="AZ48" s="517"/>
      <c r="BA48" s="517"/>
      <c r="BB48" s="517"/>
      <c r="BC48" s="517"/>
      <c r="BD48" s="517"/>
      <c r="BE48" s="517"/>
      <c r="BF48" s="517"/>
      <c r="BG48" s="517"/>
      <c r="BH48" s="517"/>
      <c r="BI48" s="517"/>
      <c r="BJ48" s="517"/>
      <c r="BK48" s="517"/>
      <c r="BL48" s="517"/>
      <c r="BM48" s="517"/>
      <c r="BN48" s="517"/>
      <c r="BO48" s="517"/>
      <c r="BP48" s="517"/>
      <c r="BQ48" s="517"/>
      <c r="BR48" s="517"/>
      <c r="BS48" s="517"/>
      <c r="BT48" s="517"/>
      <c r="BU48" s="517"/>
      <c r="BV48" s="517"/>
      <c r="BW48" s="517"/>
      <c r="BX48" s="517"/>
      <c r="BY48" s="517"/>
      <c r="BZ48" s="517"/>
      <c r="CA48" s="517"/>
      <c r="CB48" s="517"/>
      <c r="CC48" s="517"/>
      <c r="CD48" s="517"/>
      <c r="CE48" s="517"/>
      <c r="CF48" s="517"/>
      <c r="CG48" s="517"/>
      <c r="CH48" s="517"/>
      <c r="CI48" s="517"/>
      <c r="CJ48" s="517"/>
      <c r="CK48" s="517"/>
      <c r="CL48" s="517"/>
      <c r="CM48" s="517"/>
      <c r="CN48" s="521"/>
      <c r="CO48" s="517"/>
      <c r="CP48" s="517"/>
      <c r="CQ48" s="517"/>
      <c r="CR48" s="517"/>
      <c r="CS48" s="521"/>
      <c r="CT48" s="517"/>
      <c r="CU48" s="517"/>
      <c r="CV48" s="517"/>
      <c r="CW48" s="497"/>
      <c r="CX48" s="521"/>
      <c r="CY48" s="544"/>
      <c r="CZ48" s="545"/>
      <c r="DA48" s="546"/>
      <c r="DB48" s="497"/>
      <c r="DC48" s="521"/>
      <c r="DD48" s="525"/>
      <c r="DE48" s="545"/>
      <c r="DF48" s="546"/>
      <c r="DG48" s="497"/>
      <c r="DH48" s="521"/>
      <c r="DI48" s="525"/>
      <c r="DJ48" s="545"/>
      <c r="DK48" s="546"/>
      <c r="DL48" s="497"/>
      <c r="DM48" s="521"/>
      <c r="DN48" s="525"/>
      <c r="DO48" s="545"/>
      <c r="DP48" s="546"/>
      <c r="DQ48" s="517"/>
      <c r="DR48" s="517"/>
      <c r="DS48" s="517"/>
      <c r="DT48" s="517"/>
      <c r="DU48" s="526"/>
      <c r="DV48" s="517"/>
      <c r="DW48" s="517"/>
      <c r="DX48" s="517"/>
      <c r="DY48" s="517"/>
      <c r="DZ48" s="526"/>
      <c r="EA48" s="517"/>
      <c r="EB48" s="517"/>
      <c r="EC48" s="517"/>
      <c r="ED48" s="517"/>
      <c r="EE48" s="526"/>
      <c r="EF48" s="517"/>
      <c r="EG48" s="517"/>
      <c r="EH48" s="517"/>
      <c r="EI48" s="517"/>
      <c r="EJ48" s="526"/>
      <c r="EK48" s="517"/>
      <c r="EL48" s="517"/>
      <c r="EM48" s="517"/>
      <c r="EN48" s="517"/>
      <c r="EO48" s="526"/>
      <c r="EP48" s="499"/>
      <c r="EQ48" s="499"/>
      <c r="ER48" s="499"/>
      <c r="ES48" s="499"/>
      <c r="ET48" s="499"/>
      <c r="EU48" s="499"/>
      <c r="EV48" s="440"/>
      <c r="EW48" s="440"/>
      <c r="EX48" s="440"/>
      <c r="EY48" s="440"/>
      <c r="EZ48" s="440"/>
      <c r="FA48" s="440"/>
      <c r="FB48" s="440"/>
      <c r="FC48" s="440"/>
      <c r="FD48" s="440"/>
      <c r="FE48" s="440"/>
      <c r="FF48" s="440"/>
      <c r="FG48" s="440"/>
      <c r="FH48" s="440"/>
      <c r="FI48" s="440"/>
      <c r="FJ48" s="440"/>
      <c r="FK48" s="440"/>
      <c r="FL48" s="440"/>
      <c r="FM48" s="440"/>
      <c r="FN48" s="440"/>
      <c r="FO48" s="440"/>
      <c r="FP48" s="440"/>
    </row>
    <row r="49" spans="1:172" ht="18" customHeight="1" thickBot="1" x14ac:dyDescent="0.3">
      <c r="A49" s="36">
        <v>35</v>
      </c>
      <c r="B49" s="36">
        <v>26</v>
      </c>
      <c r="C49" s="675" t="s">
        <v>1276</v>
      </c>
      <c r="D49" s="676"/>
      <c r="E49" s="500" t="s">
        <v>548</v>
      </c>
      <c r="F49" s="535" t="s">
        <v>527</v>
      </c>
      <c r="G49" s="502">
        <v>0</v>
      </c>
      <c r="H49" s="479">
        <f t="shared" si="6"/>
        <v>0</v>
      </c>
      <c r="I49" s="502">
        <v>2162</v>
      </c>
      <c r="J49" s="502">
        <v>140.80000000000001</v>
      </c>
      <c r="K49" s="536">
        <v>942.6</v>
      </c>
      <c r="L49" s="69" t="e">
        <f t="shared" si="3"/>
        <v>#DIV/0!</v>
      </c>
      <c r="M49" s="111"/>
      <c r="N49" s="32">
        <v>38261</v>
      </c>
      <c r="O49" s="143">
        <f t="shared" ca="1" si="11"/>
        <v>13.523464116935928</v>
      </c>
      <c r="P49" s="111"/>
      <c r="Q49" s="4">
        <v>43144</v>
      </c>
      <c r="R49" s="111"/>
      <c r="S49" s="64">
        <f ca="1">(X49-$G$1)/30.33</f>
        <v>-1.2858555885262117</v>
      </c>
      <c r="T49" s="111"/>
      <c r="U49" s="504"/>
      <c r="V49" s="504"/>
      <c r="W49" s="111"/>
      <c r="X49" s="309">
        <f t="shared" si="12"/>
        <v>43144</v>
      </c>
      <c r="Y49" s="111"/>
      <c r="Z49" s="505" t="s">
        <v>519</v>
      </c>
      <c r="AA49" s="111"/>
      <c r="AB49" s="542" t="s">
        <v>713</v>
      </c>
      <c r="AC49" s="173"/>
      <c r="AD49" s="3"/>
      <c r="AE49" s="3"/>
      <c r="AF49" s="3"/>
      <c r="AG49" s="2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543"/>
      <c r="AY49" s="517"/>
      <c r="AZ49" s="517"/>
      <c r="BA49" s="517"/>
      <c r="BB49" s="517"/>
      <c r="BC49" s="517"/>
      <c r="BD49" s="517"/>
      <c r="BE49" s="517"/>
      <c r="BF49" s="517"/>
      <c r="BG49" s="517"/>
      <c r="BH49" s="517"/>
      <c r="BI49" s="517"/>
      <c r="BJ49" s="517"/>
      <c r="BK49" s="517"/>
      <c r="BL49" s="517"/>
      <c r="BM49" s="517"/>
      <c r="BN49" s="517"/>
      <c r="BO49" s="517"/>
      <c r="BP49" s="517"/>
      <c r="BQ49" s="517"/>
      <c r="BR49" s="517"/>
      <c r="BS49" s="517"/>
      <c r="BT49" s="517"/>
      <c r="BU49" s="517"/>
      <c r="BV49" s="517"/>
      <c r="BW49" s="517"/>
      <c r="BX49" s="517"/>
      <c r="BY49" s="517"/>
      <c r="BZ49" s="517"/>
      <c r="CA49" s="517"/>
      <c r="CB49" s="517"/>
      <c r="CC49" s="517"/>
      <c r="CD49" s="517"/>
      <c r="CE49" s="517"/>
      <c r="CF49" s="517"/>
      <c r="CG49" s="517"/>
      <c r="CH49" s="517"/>
      <c r="CI49" s="517"/>
      <c r="CJ49" s="517"/>
      <c r="CK49" s="517"/>
      <c r="CL49" s="517"/>
      <c r="CM49" s="517"/>
      <c r="CN49" s="521" t="s">
        <v>11</v>
      </c>
      <c r="CO49" s="517"/>
      <c r="CP49" s="517"/>
      <c r="CQ49" s="517"/>
      <c r="CR49" s="517"/>
      <c r="CS49" s="521" t="s">
        <v>11</v>
      </c>
      <c r="CT49" s="517"/>
      <c r="CU49" s="517"/>
      <c r="CV49" s="517"/>
      <c r="CW49" s="497" t="s">
        <v>682</v>
      </c>
      <c r="CX49" s="521" t="s">
        <v>11</v>
      </c>
      <c r="CY49" s="544" t="s">
        <v>848</v>
      </c>
      <c r="CZ49" s="545" t="s">
        <v>147</v>
      </c>
      <c r="DA49" s="546" t="s">
        <v>849</v>
      </c>
      <c r="DB49" s="497" t="s">
        <v>682</v>
      </c>
      <c r="DC49" s="521" t="s">
        <v>11</v>
      </c>
      <c r="DD49" s="525">
        <v>42682</v>
      </c>
      <c r="DE49" s="545" t="s">
        <v>713</v>
      </c>
      <c r="DF49" s="546" t="s">
        <v>850</v>
      </c>
      <c r="DG49" s="497" t="s">
        <v>682</v>
      </c>
      <c r="DH49" s="521" t="s">
        <v>11</v>
      </c>
      <c r="DI49" s="525">
        <v>43099</v>
      </c>
      <c r="DJ49" s="545" t="s">
        <v>147</v>
      </c>
      <c r="DK49" s="546" t="s">
        <v>851</v>
      </c>
      <c r="DL49" s="497" t="s">
        <v>682</v>
      </c>
      <c r="DM49" s="521" t="s">
        <v>11</v>
      </c>
      <c r="DN49" s="525">
        <v>42765</v>
      </c>
      <c r="DO49" s="545" t="s">
        <v>852</v>
      </c>
      <c r="DP49" s="546" t="s">
        <v>853</v>
      </c>
      <c r="DQ49" s="517"/>
      <c r="DR49" s="517"/>
      <c r="DS49" s="517"/>
      <c r="DT49" s="517"/>
      <c r="DU49" s="526"/>
      <c r="DV49" s="517"/>
      <c r="DW49" s="517"/>
      <c r="DX49" s="517"/>
      <c r="DY49" s="517"/>
      <c r="DZ49" s="526"/>
      <c r="EA49" s="517"/>
      <c r="EB49" s="517"/>
      <c r="EC49" s="517"/>
      <c r="ED49" s="517"/>
      <c r="EE49" s="526"/>
      <c r="EF49" s="517"/>
      <c r="EG49" s="517"/>
      <c r="EH49" s="517"/>
      <c r="EI49" s="517"/>
      <c r="EJ49" s="526"/>
      <c r="EK49" s="517"/>
      <c r="EL49" s="517"/>
      <c r="EM49" s="517"/>
      <c r="EN49" s="517"/>
      <c r="EO49" s="526"/>
      <c r="EP49" s="499"/>
      <c r="EQ49" s="499"/>
      <c r="ER49" s="499"/>
      <c r="ES49" s="499"/>
      <c r="ET49" s="499"/>
      <c r="EU49" s="499"/>
      <c r="EV49" s="440"/>
      <c r="EW49" s="440"/>
      <c r="EX49" s="440"/>
      <c r="EY49" s="440"/>
      <c r="EZ49" s="440"/>
      <c r="FA49" s="440"/>
      <c r="FB49" s="440"/>
      <c r="FC49" s="440"/>
      <c r="FD49" s="440"/>
      <c r="FE49" s="440"/>
      <c r="FF49" s="440"/>
      <c r="FG49" s="440"/>
      <c r="FH49" s="440"/>
      <c r="FI49" s="440"/>
      <c r="FJ49" s="440"/>
      <c r="FK49" s="440"/>
      <c r="FL49" s="440"/>
      <c r="FM49" s="440"/>
      <c r="FN49" s="440"/>
      <c r="FO49" s="440"/>
      <c r="FP49" s="440"/>
    </row>
    <row r="50" spans="1:172" ht="18" customHeight="1" thickBot="1" x14ac:dyDescent="0.3">
      <c r="A50" s="36">
        <v>36</v>
      </c>
      <c r="B50" s="36">
        <v>27</v>
      </c>
      <c r="C50" s="636" t="s">
        <v>1277</v>
      </c>
      <c r="D50" s="637"/>
      <c r="E50" s="500" t="s">
        <v>521</v>
      </c>
      <c r="F50" s="535" t="s">
        <v>527</v>
      </c>
      <c r="G50" s="502">
        <v>0</v>
      </c>
      <c r="H50" s="479">
        <f t="shared" si="6"/>
        <v>0</v>
      </c>
      <c r="I50" s="502">
        <v>1447.8</v>
      </c>
      <c r="J50" s="502">
        <v>118.4</v>
      </c>
      <c r="K50" s="536">
        <v>1541.3</v>
      </c>
      <c r="L50" s="69" t="e">
        <f t="shared" si="3"/>
        <v>#DIV/0!</v>
      </c>
      <c r="M50" s="111"/>
      <c r="N50" s="32"/>
      <c r="O50" s="143">
        <f t="shared" ca="1" si="11"/>
        <v>118.64765358830641</v>
      </c>
      <c r="P50" s="111"/>
      <c r="Q50" s="4">
        <v>43190</v>
      </c>
      <c r="R50" s="111"/>
      <c r="S50" s="64">
        <f ca="1">(X50-$G$1)/30.33</f>
        <v>0.23079459281239698</v>
      </c>
      <c r="T50" s="111"/>
      <c r="U50" s="504"/>
      <c r="V50" s="504"/>
      <c r="W50" s="111"/>
      <c r="X50" s="309">
        <f t="shared" si="12"/>
        <v>43190</v>
      </c>
      <c r="Y50" s="111"/>
      <c r="Z50" s="505" t="s">
        <v>519</v>
      </c>
      <c r="AA50" s="111"/>
      <c r="AB50" s="542" t="s">
        <v>148</v>
      </c>
      <c r="AC50" s="173"/>
      <c r="AD50" s="3"/>
      <c r="AE50" s="3"/>
      <c r="AF50" s="3"/>
      <c r="AG50" s="2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543"/>
      <c r="AY50" s="517"/>
      <c r="AZ50" s="517"/>
      <c r="BA50" s="517"/>
      <c r="BB50" s="517"/>
      <c r="BC50" s="517"/>
      <c r="BD50" s="517"/>
      <c r="BE50" s="517"/>
      <c r="BF50" s="517"/>
      <c r="BG50" s="517"/>
      <c r="BH50" s="517"/>
      <c r="BI50" s="517"/>
      <c r="BJ50" s="517"/>
      <c r="BK50" s="517"/>
      <c r="BL50" s="517"/>
      <c r="BM50" s="517"/>
      <c r="BN50" s="517"/>
      <c r="BO50" s="517"/>
      <c r="BP50" s="517"/>
      <c r="BQ50" s="517"/>
      <c r="BR50" s="517"/>
      <c r="BS50" s="517"/>
      <c r="BT50" s="517"/>
      <c r="BU50" s="517"/>
      <c r="BV50" s="517"/>
      <c r="BW50" s="517"/>
      <c r="BX50" s="517"/>
      <c r="BY50" s="517"/>
      <c r="BZ50" s="517"/>
      <c r="CA50" s="517"/>
      <c r="CB50" s="517"/>
      <c r="CC50" s="517"/>
      <c r="CD50" s="517"/>
      <c r="CE50" s="517"/>
      <c r="CF50" s="517"/>
      <c r="CG50" s="517"/>
      <c r="CH50" s="517"/>
      <c r="CI50" s="517"/>
      <c r="CJ50" s="517"/>
      <c r="CK50" s="517"/>
      <c r="CL50" s="517"/>
      <c r="CM50" s="517"/>
      <c r="CN50" s="521" t="s">
        <v>11</v>
      </c>
      <c r="CO50" s="517"/>
      <c r="CP50" s="517"/>
      <c r="CQ50" s="517"/>
      <c r="CR50" s="517"/>
      <c r="CS50" s="521" t="s">
        <v>11</v>
      </c>
      <c r="CT50" s="517"/>
      <c r="CU50" s="517"/>
      <c r="CV50" s="517"/>
      <c r="CW50" s="497" t="s">
        <v>682</v>
      </c>
      <c r="CX50" s="521" t="s">
        <v>11</v>
      </c>
      <c r="CY50" s="544" t="s">
        <v>709</v>
      </c>
      <c r="CZ50" s="545" t="s">
        <v>835</v>
      </c>
      <c r="DA50" s="546" t="s">
        <v>854</v>
      </c>
      <c r="DB50" s="497" t="s">
        <v>682</v>
      </c>
      <c r="DC50" s="521" t="s">
        <v>11</v>
      </c>
      <c r="DD50" s="517"/>
      <c r="DE50" s="545" t="s">
        <v>835</v>
      </c>
      <c r="DF50" s="546" t="s">
        <v>854</v>
      </c>
      <c r="DG50" s="497" t="s">
        <v>682</v>
      </c>
      <c r="DH50" s="521" t="s">
        <v>11</v>
      </c>
      <c r="DI50" s="525">
        <v>43090</v>
      </c>
      <c r="DJ50" s="545" t="s">
        <v>835</v>
      </c>
      <c r="DK50" s="546" t="s">
        <v>854</v>
      </c>
      <c r="DL50" s="497" t="s">
        <v>682</v>
      </c>
      <c r="DM50" s="521" t="s">
        <v>11</v>
      </c>
      <c r="DN50" s="525">
        <v>42751</v>
      </c>
      <c r="DO50" s="545" t="s">
        <v>835</v>
      </c>
      <c r="DP50" s="546" t="s">
        <v>854</v>
      </c>
      <c r="DQ50" s="517"/>
      <c r="DR50" s="517"/>
      <c r="DS50" s="517"/>
      <c r="DT50" s="517"/>
      <c r="DU50" s="526"/>
      <c r="DV50" s="517"/>
      <c r="DW50" s="517"/>
      <c r="DX50" s="517"/>
      <c r="DY50" s="517"/>
      <c r="DZ50" s="526"/>
      <c r="EA50" s="517"/>
      <c r="EB50" s="517"/>
      <c r="EC50" s="517"/>
      <c r="ED50" s="517"/>
      <c r="EE50" s="526"/>
      <c r="EF50" s="517"/>
      <c r="EG50" s="517"/>
      <c r="EH50" s="517"/>
      <c r="EI50" s="517"/>
      <c r="EJ50" s="526"/>
      <c r="EK50" s="517"/>
      <c r="EL50" s="517"/>
      <c r="EM50" s="517"/>
      <c r="EN50" s="517"/>
      <c r="EO50" s="526"/>
      <c r="EP50" s="499"/>
      <c r="EQ50" s="499"/>
      <c r="ER50" s="499"/>
      <c r="ES50" s="499"/>
      <c r="ET50" s="499"/>
      <c r="EU50" s="499"/>
      <c r="EV50" s="440"/>
      <c r="EW50" s="440"/>
      <c r="EX50" s="440"/>
      <c r="EY50" s="440"/>
      <c r="EZ50" s="440"/>
      <c r="FA50" s="440"/>
      <c r="FB50" s="440"/>
      <c r="FC50" s="440"/>
      <c r="FD50" s="440"/>
      <c r="FE50" s="440"/>
      <c r="FF50" s="440"/>
      <c r="FG50" s="440"/>
      <c r="FH50" s="440"/>
      <c r="FI50" s="440"/>
      <c r="FJ50" s="440"/>
      <c r="FK50" s="440"/>
      <c r="FL50" s="440"/>
      <c r="FM50" s="440"/>
      <c r="FN50" s="440"/>
      <c r="FO50" s="440"/>
      <c r="FP50" s="440"/>
    </row>
    <row r="51" spans="1:172" ht="18" customHeight="1" thickBot="1" x14ac:dyDescent="0.3">
      <c r="A51" s="36">
        <v>37</v>
      </c>
      <c r="C51" s="636" t="s">
        <v>1278</v>
      </c>
      <c r="D51" s="637"/>
      <c r="E51" s="500" t="s">
        <v>521</v>
      </c>
      <c r="F51" s="535"/>
      <c r="G51" s="502">
        <v>1607</v>
      </c>
      <c r="H51" s="479"/>
      <c r="I51" s="502"/>
      <c r="J51" s="502"/>
      <c r="K51" s="536"/>
      <c r="L51" s="69"/>
      <c r="M51" s="111"/>
      <c r="N51" s="32">
        <v>42644</v>
      </c>
      <c r="O51" s="143">
        <f t="shared" ca="1" si="11"/>
        <v>1.4809319705462141</v>
      </c>
      <c r="P51" s="111"/>
      <c r="Q51" s="541">
        <v>43738</v>
      </c>
      <c r="R51" s="111"/>
      <c r="S51" s="64">
        <f t="shared" ref="S51:S55" ca="1" si="16">(X51-$G$1)/30.33</f>
        <v>18.298714144411473</v>
      </c>
      <c r="T51" s="111"/>
      <c r="U51" s="504"/>
      <c r="V51" s="504"/>
      <c r="W51" s="111"/>
      <c r="X51" s="309">
        <f t="shared" si="12"/>
        <v>43738</v>
      </c>
      <c r="Y51" s="111"/>
      <c r="Z51" s="505"/>
      <c r="AA51" s="111"/>
      <c r="AB51" s="542" t="s">
        <v>713</v>
      </c>
      <c r="AC51" s="173"/>
      <c r="AD51" s="3"/>
      <c r="AE51" s="3"/>
      <c r="AF51" s="3" t="s">
        <v>855</v>
      </c>
      <c r="AG51" s="2" t="s">
        <v>856</v>
      </c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543"/>
      <c r="AY51" s="517"/>
      <c r="AZ51" s="517"/>
      <c r="BA51" s="517"/>
      <c r="BB51" s="517"/>
      <c r="BC51" s="517"/>
      <c r="BD51" s="517"/>
      <c r="BE51" s="517"/>
      <c r="BF51" s="517"/>
      <c r="BG51" s="517"/>
      <c r="BH51" s="517"/>
      <c r="BI51" s="517"/>
      <c r="BJ51" s="517"/>
      <c r="BK51" s="517"/>
      <c r="BL51" s="517"/>
      <c r="BM51" s="517"/>
      <c r="BN51" s="517"/>
      <c r="BO51" s="517"/>
      <c r="BP51" s="517"/>
      <c r="BQ51" s="517"/>
      <c r="BR51" s="517"/>
      <c r="BS51" s="517"/>
      <c r="BT51" s="517"/>
      <c r="BU51" s="517"/>
      <c r="BV51" s="517"/>
      <c r="BW51" s="517"/>
      <c r="BX51" s="517"/>
      <c r="BY51" s="517"/>
      <c r="BZ51" s="517"/>
      <c r="CA51" s="517"/>
      <c r="CB51" s="517"/>
      <c r="CC51" s="517"/>
      <c r="CD51" s="517"/>
      <c r="CE51" s="517"/>
      <c r="CF51" s="517"/>
      <c r="CG51" s="517"/>
      <c r="CH51" s="517"/>
      <c r="CI51" s="517"/>
      <c r="CJ51" s="517"/>
      <c r="CK51" s="517"/>
      <c r="CL51" s="517"/>
      <c r="CM51" s="517"/>
      <c r="CN51" s="521"/>
      <c r="CO51" s="517"/>
      <c r="CP51" s="517"/>
      <c r="CQ51" s="517"/>
      <c r="CR51" s="517"/>
      <c r="CS51" s="521"/>
      <c r="CT51" s="517"/>
      <c r="CU51" s="517"/>
      <c r="CV51" s="517"/>
      <c r="CW51" s="497"/>
      <c r="CX51" s="521"/>
      <c r="CY51" s="544"/>
      <c r="CZ51" s="545"/>
      <c r="DA51" s="546"/>
      <c r="DB51" s="497"/>
      <c r="DC51" s="521"/>
      <c r="DD51" s="517"/>
      <c r="DE51" s="545"/>
      <c r="DF51" s="546"/>
      <c r="DG51" s="497"/>
      <c r="DH51" s="521"/>
      <c r="DI51" s="517"/>
      <c r="DJ51" s="545"/>
      <c r="DK51" s="546"/>
      <c r="DL51" s="497"/>
      <c r="DM51" s="521"/>
      <c r="DN51" s="517"/>
      <c r="DO51" s="545"/>
      <c r="DP51" s="546"/>
      <c r="DQ51" s="517"/>
      <c r="DR51" s="517"/>
      <c r="DS51" s="517"/>
      <c r="DT51" s="517"/>
      <c r="DU51" s="526"/>
      <c r="DV51" s="517"/>
      <c r="DW51" s="517"/>
      <c r="DX51" s="517"/>
      <c r="DY51" s="517"/>
      <c r="DZ51" s="526"/>
      <c r="EA51" s="517"/>
      <c r="EB51" s="517"/>
      <c r="EC51" s="517"/>
      <c r="ED51" s="517"/>
      <c r="EE51" s="526"/>
      <c r="EF51" s="517"/>
      <c r="EG51" s="517"/>
      <c r="EH51" s="517"/>
      <c r="EI51" s="517"/>
      <c r="EJ51" s="526"/>
      <c r="EK51" s="517"/>
      <c r="EL51" s="517"/>
      <c r="EM51" s="517"/>
      <c r="EN51" s="517"/>
      <c r="EO51" s="526"/>
      <c r="EP51" s="499"/>
      <c r="EQ51" s="499"/>
      <c r="ER51" s="499"/>
      <c r="ES51" s="499"/>
      <c r="ET51" s="499"/>
      <c r="EU51" s="499"/>
      <c r="EV51" s="440"/>
      <c r="EW51" s="440"/>
      <c r="EX51" s="440"/>
      <c r="EY51" s="440"/>
      <c r="EZ51" s="440"/>
      <c r="FA51" s="440"/>
      <c r="FB51" s="440"/>
      <c r="FC51" s="440"/>
      <c r="FD51" s="440"/>
      <c r="FE51" s="440"/>
      <c r="FF51" s="440"/>
      <c r="FG51" s="440"/>
      <c r="FH51" s="440"/>
      <c r="FI51" s="440"/>
      <c r="FJ51" s="440"/>
      <c r="FK51" s="440"/>
      <c r="FL51" s="440"/>
      <c r="FM51" s="440"/>
      <c r="FN51" s="440"/>
      <c r="FO51" s="440"/>
      <c r="FP51" s="440"/>
    </row>
    <row r="52" spans="1:172" ht="18" customHeight="1" thickBot="1" x14ac:dyDescent="0.3">
      <c r="A52" s="36">
        <v>38</v>
      </c>
      <c r="C52" s="664" t="s">
        <v>1279</v>
      </c>
      <c r="D52" s="665"/>
      <c r="E52" s="500" t="s">
        <v>521</v>
      </c>
      <c r="F52" s="535"/>
      <c r="G52" s="502">
        <v>1464</v>
      </c>
      <c r="H52" s="479"/>
      <c r="I52" s="502"/>
      <c r="J52" s="502"/>
      <c r="K52" s="536"/>
      <c r="L52" s="69"/>
      <c r="M52" s="111"/>
      <c r="N52" s="32">
        <v>42706</v>
      </c>
      <c r="O52" s="143">
        <f t="shared" ca="1" si="11"/>
        <v>1.3105835806132544</v>
      </c>
      <c r="P52" s="111"/>
      <c r="Q52" s="541">
        <v>43799</v>
      </c>
      <c r="R52" s="111"/>
      <c r="S52" s="64">
        <f t="shared" ca="1" si="16"/>
        <v>20.309924167490934</v>
      </c>
      <c r="T52" s="111"/>
      <c r="U52" s="504"/>
      <c r="V52" s="504"/>
      <c r="W52" s="111"/>
      <c r="X52" s="309">
        <f t="shared" si="12"/>
        <v>43799</v>
      </c>
      <c r="Y52" s="111"/>
      <c r="Z52" s="505"/>
      <c r="AA52" s="111"/>
      <c r="AB52" s="542" t="s">
        <v>713</v>
      </c>
      <c r="AC52" s="173"/>
      <c r="AD52" s="3"/>
      <c r="AE52" s="3" t="s">
        <v>857</v>
      </c>
      <c r="AF52" s="3" t="s">
        <v>858</v>
      </c>
      <c r="AG52" s="2" t="s">
        <v>856</v>
      </c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543"/>
      <c r="AY52" s="517"/>
      <c r="AZ52" s="517"/>
      <c r="BA52" s="517"/>
      <c r="BB52" s="517"/>
      <c r="BC52" s="517"/>
      <c r="BD52" s="517"/>
      <c r="BE52" s="517"/>
      <c r="BF52" s="517"/>
      <c r="BG52" s="517"/>
      <c r="BH52" s="517"/>
      <c r="BI52" s="517"/>
      <c r="BJ52" s="517"/>
      <c r="BK52" s="517"/>
      <c r="BL52" s="517"/>
      <c r="BM52" s="517"/>
      <c r="BN52" s="517"/>
      <c r="BO52" s="517"/>
      <c r="BP52" s="517"/>
      <c r="BQ52" s="517"/>
      <c r="BR52" s="517"/>
      <c r="BS52" s="517"/>
      <c r="BT52" s="517"/>
      <c r="BU52" s="517"/>
      <c r="BV52" s="517"/>
      <c r="BW52" s="517"/>
      <c r="BX52" s="517"/>
      <c r="BY52" s="517"/>
      <c r="BZ52" s="517"/>
      <c r="CA52" s="517"/>
      <c r="CB52" s="517"/>
      <c r="CC52" s="517"/>
      <c r="CD52" s="517"/>
      <c r="CE52" s="517"/>
      <c r="CF52" s="517"/>
      <c r="CG52" s="517"/>
      <c r="CH52" s="517"/>
      <c r="CI52" s="517"/>
      <c r="CJ52" s="517"/>
      <c r="CK52" s="517"/>
      <c r="CL52" s="517"/>
      <c r="CM52" s="517"/>
      <c r="CN52" s="521"/>
      <c r="CO52" s="517"/>
      <c r="CP52" s="517"/>
      <c r="CQ52" s="517"/>
      <c r="CR52" s="517"/>
      <c r="CS52" s="521"/>
      <c r="CT52" s="517"/>
      <c r="CU52" s="517"/>
      <c r="CV52" s="517"/>
      <c r="CW52" s="497"/>
      <c r="CX52" s="521"/>
      <c r="CY52" s="544"/>
      <c r="CZ52" s="545"/>
      <c r="DA52" s="546"/>
      <c r="DB52" s="497"/>
      <c r="DC52" s="521"/>
      <c r="DD52" s="517"/>
      <c r="DE52" s="545"/>
      <c r="DF52" s="546"/>
      <c r="DG52" s="497"/>
      <c r="DH52" s="521"/>
      <c r="DI52" s="517"/>
      <c r="DJ52" s="545"/>
      <c r="DK52" s="546"/>
      <c r="DL52" s="497"/>
      <c r="DM52" s="521"/>
      <c r="DN52" s="517"/>
      <c r="DO52" s="545"/>
      <c r="DP52" s="546"/>
      <c r="DQ52" s="517"/>
      <c r="DR52" s="517"/>
      <c r="DS52" s="517"/>
      <c r="DT52" s="517"/>
      <c r="DU52" s="526"/>
      <c r="DV52" s="517"/>
      <c r="DW52" s="517"/>
      <c r="DX52" s="517"/>
      <c r="DY52" s="517"/>
      <c r="DZ52" s="526"/>
      <c r="EA52" s="517"/>
      <c r="EB52" s="517"/>
      <c r="EC52" s="517"/>
      <c r="ED52" s="517"/>
      <c r="EE52" s="526"/>
      <c r="EF52" s="517"/>
      <c r="EG52" s="517"/>
      <c r="EH52" s="517"/>
      <c r="EI52" s="517"/>
      <c r="EJ52" s="526"/>
      <c r="EK52" s="517"/>
      <c r="EL52" s="517"/>
      <c r="EM52" s="517"/>
      <c r="EN52" s="517"/>
      <c r="EO52" s="526"/>
      <c r="EP52" s="499"/>
      <c r="EQ52" s="499"/>
      <c r="ER52" s="499"/>
      <c r="ES52" s="499"/>
      <c r="ET52" s="499"/>
      <c r="EU52" s="499"/>
      <c r="EV52" s="440"/>
      <c r="EW52" s="440"/>
      <c r="EX52" s="440"/>
      <c r="EY52" s="440"/>
      <c r="EZ52" s="440"/>
      <c r="FA52" s="440"/>
      <c r="FB52" s="440"/>
      <c r="FC52" s="440"/>
      <c r="FD52" s="440"/>
      <c r="FE52" s="440"/>
      <c r="FF52" s="440"/>
      <c r="FG52" s="440"/>
      <c r="FH52" s="440"/>
      <c r="FI52" s="440"/>
      <c r="FJ52" s="440"/>
      <c r="FK52" s="440"/>
      <c r="FL52" s="440"/>
      <c r="FM52" s="440"/>
      <c r="FN52" s="440"/>
      <c r="FO52" s="440"/>
      <c r="FP52" s="440"/>
    </row>
    <row r="53" spans="1:172" ht="18" customHeight="1" thickBot="1" x14ac:dyDescent="0.3">
      <c r="A53" s="36">
        <v>39</v>
      </c>
      <c r="C53" s="675" t="s">
        <v>1280</v>
      </c>
      <c r="D53" s="676"/>
      <c r="E53" s="500" t="s">
        <v>580</v>
      </c>
      <c r="F53" s="535"/>
      <c r="G53" s="502">
        <v>1469</v>
      </c>
      <c r="H53" s="479"/>
      <c r="I53" s="502"/>
      <c r="J53" s="502"/>
      <c r="K53" s="536"/>
      <c r="L53" s="69"/>
      <c r="M53" s="111"/>
      <c r="N53" s="32">
        <v>40909</v>
      </c>
      <c r="O53" s="143">
        <f t="shared" ca="1" si="11"/>
        <v>6.2479393339927469</v>
      </c>
      <c r="P53" s="111"/>
      <c r="Q53" s="566">
        <v>42369</v>
      </c>
      <c r="R53" s="111"/>
      <c r="S53" s="64">
        <f t="shared" ca="1" si="16"/>
        <v>9.2977250247279919</v>
      </c>
      <c r="T53" s="111"/>
      <c r="U53" s="504" t="s">
        <v>591</v>
      </c>
      <c r="V53" s="504">
        <v>36</v>
      </c>
      <c r="W53" s="111"/>
      <c r="X53" s="309">
        <f t="shared" si="12"/>
        <v>43465</v>
      </c>
      <c r="Y53" s="111"/>
      <c r="Z53" s="505"/>
      <c r="AA53" s="111"/>
      <c r="AB53" s="542" t="s">
        <v>139</v>
      </c>
      <c r="AC53" s="173"/>
      <c r="AD53" s="3"/>
      <c r="AE53" s="3" t="s">
        <v>859</v>
      </c>
      <c r="AF53" s="3" t="s">
        <v>860</v>
      </c>
      <c r="AG53" s="486" t="s">
        <v>839</v>
      </c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543"/>
      <c r="AY53" s="517"/>
      <c r="AZ53" s="517"/>
      <c r="BA53" s="517"/>
      <c r="BB53" s="517"/>
      <c r="BC53" s="517"/>
      <c r="BD53" s="517"/>
      <c r="BE53" s="517"/>
      <c r="BF53" s="517"/>
      <c r="BG53" s="517"/>
      <c r="BH53" s="517"/>
      <c r="BI53" s="517"/>
      <c r="BJ53" s="517"/>
      <c r="BK53" s="517"/>
      <c r="BL53" s="517"/>
      <c r="BM53" s="517"/>
      <c r="BN53" s="517"/>
      <c r="BO53" s="517"/>
      <c r="BP53" s="517"/>
      <c r="BQ53" s="517"/>
      <c r="BR53" s="517"/>
      <c r="BS53" s="517"/>
      <c r="BT53" s="517"/>
      <c r="BU53" s="517"/>
      <c r="BV53" s="517"/>
      <c r="BW53" s="517"/>
      <c r="BX53" s="517"/>
      <c r="BY53" s="517"/>
      <c r="BZ53" s="517"/>
      <c r="CA53" s="517"/>
      <c r="CB53" s="517"/>
      <c r="CC53" s="517"/>
      <c r="CD53" s="517"/>
      <c r="CE53" s="517"/>
      <c r="CF53" s="517"/>
      <c r="CG53" s="517"/>
      <c r="CH53" s="517"/>
      <c r="CI53" s="517"/>
      <c r="CJ53" s="517"/>
      <c r="CK53" s="517"/>
      <c r="CL53" s="517"/>
      <c r="CM53" s="517"/>
      <c r="CN53" s="521"/>
      <c r="CO53" s="517"/>
      <c r="CP53" s="517"/>
      <c r="CQ53" s="517"/>
      <c r="CR53" s="517"/>
      <c r="CS53" s="521"/>
      <c r="CT53" s="517"/>
      <c r="CU53" s="517"/>
      <c r="CV53" s="517"/>
      <c r="CW53" s="497"/>
      <c r="CX53" s="521"/>
      <c r="CY53" s="544"/>
      <c r="CZ53" s="545"/>
      <c r="DA53" s="546"/>
      <c r="DB53" s="497"/>
      <c r="DC53" s="521"/>
      <c r="DD53" s="517"/>
      <c r="DE53" s="545"/>
      <c r="DF53" s="546"/>
      <c r="DG53" s="497"/>
      <c r="DH53" s="521"/>
      <c r="DI53" s="517"/>
      <c r="DJ53" s="545"/>
      <c r="DK53" s="546"/>
      <c r="DL53" s="497"/>
      <c r="DM53" s="521"/>
      <c r="DN53" s="517"/>
      <c r="DO53" s="545"/>
      <c r="DP53" s="546"/>
      <c r="DQ53" s="517"/>
      <c r="DR53" s="517"/>
      <c r="DS53" s="517"/>
      <c r="DT53" s="517"/>
      <c r="DU53" s="526"/>
      <c r="DV53" s="517"/>
      <c r="DW53" s="517"/>
      <c r="DX53" s="517"/>
      <c r="DY53" s="517"/>
      <c r="DZ53" s="526"/>
      <c r="EA53" s="517"/>
      <c r="EB53" s="517"/>
      <c r="EC53" s="517"/>
      <c r="ED53" s="517"/>
      <c r="EE53" s="526"/>
      <c r="EF53" s="517"/>
      <c r="EG53" s="517"/>
      <c r="EH53" s="517"/>
      <c r="EI53" s="517"/>
      <c r="EJ53" s="526"/>
      <c r="EK53" s="517"/>
      <c r="EL53" s="517"/>
      <c r="EM53" s="517"/>
      <c r="EN53" s="517"/>
      <c r="EO53" s="526"/>
      <c r="EP53" s="499"/>
      <c r="EQ53" s="499"/>
      <c r="ER53" s="499"/>
      <c r="ES53" s="499"/>
      <c r="ET53" s="499"/>
      <c r="EU53" s="499"/>
      <c r="EV53" s="440"/>
      <c r="EW53" s="440"/>
      <c r="EX53" s="440"/>
      <c r="EY53" s="440"/>
      <c r="EZ53" s="440"/>
      <c r="FA53" s="440"/>
      <c r="FB53" s="440"/>
      <c r="FC53" s="440"/>
      <c r="FD53" s="440"/>
      <c r="FE53" s="440"/>
      <c r="FF53" s="440"/>
      <c r="FG53" s="440"/>
      <c r="FH53" s="440"/>
      <c r="FI53" s="440"/>
      <c r="FJ53" s="440"/>
      <c r="FK53" s="440"/>
      <c r="FL53" s="440"/>
      <c r="FM53" s="440"/>
      <c r="FN53" s="440"/>
      <c r="FO53" s="440"/>
      <c r="FP53" s="440"/>
    </row>
    <row r="54" spans="1:172" ht="18" customHeight="1" thickBot="1" x14ac:dyDescent="0.3">
      <c r="A54" s="36">
        <v>40</v>
      </c>
      <c r="C54" s="675" t="s">
        <v>1291</v>
      </c>
      <c r="D54" s="676"/>
      <c r="E54" s="500" t="s">
        <v>548</v>
      </c>
      <c r="F54" s="535"/>
      <c r="G54" s="502">
        <v>1300</v>
      </c>
      <c r="H54" s="479"/>
      <c r="I54" s="502"/>
      <c r="J54" s="502"/>
      <c r="K54" s="536"/>
      <c r="L54" s="69"/>
      <c r="M54" s="111"/>
      <c r="N54" s="32">
        <v>41730</v>
      </c>
      <c r="O54" s="143">
        <f t="shared" ca="1" si="11"/>
        <v>3.9921969447192001</v>
      </c>
      <c r="P54" s="111"/>
      <c r="Q54" s="566">
        <v>42825</v>
      </c>
      <c r="R54" s="111"/>
      <c r="S54" s="64">
        <f t="shared" ca="1" si="16"/>
        <v>0.23079459281239698</v>
      </c>
      <c r="T54" s="111"/>
      <c r="U54" s="504" t="s">
        <v>591</v>
      </c>
      <c r="V54" s="504">
        <v>12</v>
      </c>
      <c r="W54" s="111"/>
      <c r="X54" s="309">
        <f t="shared" si="12"/>
        <v>43190</v>
      </c>
      <c r="Y54" s="111"/>
      <c r="Z54" s="505"/>
      <c r="AA54" s="111"/>
      <c r="AB54" s="542" t="s">
        <v>713</v>
      </c>
      <c r="AC54" s="173"/>
      <c r="AD54" s="3"/>
      <c r="AE54" s="3" t="s">
        <v>861</v>
      </c>
      <c r="AF54" s="3" t="s">
        <v>862</v>
      </c>
      <c r="AG54" s="553" t="s">
        <v>863</v>
      </c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543"/>
      <c r="AY54" s="517"/>
      <c r="AZ54" s="517"/>
      <c r="BA54" s="517"/>
      <c r="BB54" s="517"/>
      <c r="BC54" s="517"/>
      <c r="BD54" s="517"/>
      <c r="BE54" s="517"/>
      <c r="BF54" s="517"/>
      <c r="BG54" s="517"/>
      <c r="BH54" s="517"/>
      <c r="BI54" s="517"/>
      <c r="BJ54" s="517"/>
      <c r="BK54" s="517"/>
      <c r="BL54" s="517"/>
      <c r="BM54" s="517"/>
      <c r="BN54" s="517"/>
      <c r="BO54" s="517"/>
      <c r="BP54" s="517"/>
      <c r="BQ54" s="517"/>
      <c r="BR54" s="517"/>
      <c r="BS54" s="517"/>
      <c r="BT54" s="517"/>
      <c r="BU54" s="517"/>
      <c r="BV54" s="517"/>
      <c r="BW54" s="517"/>
      <c r="BX54" s="517"/>
      <c r="BY54" s="517"/>
      <c r="BZ54" s="517"/>
      <c r="CA54" s="517"/>
      <c r="CB54" s="517"/>
      <c r="CC54" s="517"/>
      <c r="CD54" s="517"/>
      <c r="CE54" s="517"/>
      <c r="CF54" s="517"/>
      <c r="CG54" s="517"/>
      <c r="CH54" s="517"/>
      <c r="CI54" s="517"/>
      <c r="CJ54" s="517"/>
      <c r="CK54" s="517"/>
      <c r="CL54" s="517"/>
      <c r="CM54" s="517"/>
      <c r="CN54" s="521"/>
      <c r="CO54" s="517"/>
      <c r="CP54" s="517"/>
      <c r="CQ54" s="517"/>
      <c r="CR54" s="517"/>
      <c r="CS54" s="521"/>
      <c r="CT54" s="517"/>
      <c r="CU54" s="517"/>
      <c r="CV54" s="517"/>
      <c r="CW54" s="497"/>
      <c r="CX54" s="521"/>
      <c r="CY54" s="544"/>
      <c r="CZ54" s="545"/>
      <c r="DA54" s="546"/>
      <c r="DB54" s="497"/>
      <c r="DC54" s="521"/>
      <c r="DD54" s="517"/>
      <c r="DE54" s="545"/>
      <c r="DF54" s="546"/>
      <c r="DG54" s="497"/>
      <c r="DH54" s="521"/>
      <c r="DI54" s="517"/>
      <c r="DJ54" s="545"/>
      <c r="DK54" s="546"/>
      <c r="DL54" s="497"/>
      <c r="DM54" s="521"/>
      <c r="DN54" s="517"/>
      <c r="DO54" s="545"/>
      <c r="DP54" s="546"/>
      <c r="DQ54" s="517"/>
      <c r="DR54" s="517"/>
      <c r="DS54" s="517"/>
      <c r="DT54" s="517"/>
      <c r="DU54" s="526"/>
      <c r="DV54" s="517"/>
      <c r="DW54" s="517"/>
      <c r="DX54" s="517"/>
      <c r="DY54" s="517"/>
      <c r="DZ54" s="526"/>
      <c r="EA54" s="517"/>
      <c r="EB54" s="517"/>
      <c r="EC54" s="517"/>
      <c r="ED54" s="517"/>
      <c r="EE54" s="526"/>
      <c r="EF54" s="517"/>
      <c r="EG54" s="517"/>
      <c r="EH54" s="517"/>
      <c r="EI54" s="517"/>
      <c r="EJ54" s="526"/>
      <c r="EK54" s="517"/>
      <c r="EL54" s="517"/>
      <c r="EM54" s="517"/>
      <c r="EN54" s="517"/>
      <c r="EO54" s="526"/>
      <c r="EP54" s="499"/>
      <c r="EQ54" s="499"/>
      <c r="ER54" s="499"/>
      <c r="ES54" s="499"/>
      <c r="ET54" s="499"/>
      <c r="EU54" s="499"/>
      <c r="EV54" s="440"/>
      <c r="EW54" s="440"/>
      <c r="EX54" s="440"/>
      <c r="EY54" s="440"/>
      <c r="EZ54" s="440"/>
      <c r="FA54" s="440"/>
      <c r="FB54" s="440"/>
      <c r="FC54" s="440"/>
      <c r="FD54" s="440"/>
      <c r="FE54" s="440"/>
      <c r="FF54" s="440"/>
      <c r="FG54" s="440"/>
      <c r="FH54" s="440"/>
      <c r="FI54" s="440"/>
      <c r="FJ54" s="440"/>
      <c r="FK54" s="440"/>
      <c r="FL54" s="440"/>
      <c r="FM54" s="440"/>
      <c r="FN54" s="440"/>
      <c r="FO54" s="440"/>
      <c r="FP54" s="440"/>
    </row>
    <row r="55" spans="1:172" ht="18" customHeight="1" thickBot="1" x14ac:dyDescent="0.3">
      <c r="A55" s="36">
        <v>41</v>
      </c>
      <c r="C55" s="636" t="s">
        <v>1292</v>
      </c>
      <c r="D55" s="637" t="s">
        <v>1295</v>
      </c>
      <c r="E55" s="500" t="s">
        <v>521</v>
      </c>
      <c r="F55" s="535"/>
      <c r="G55" s="502">
        <v>1115</v>
      </c>
      <c r="H55" s="554"/>
      <c r="I55" s="555"/>
      <c r="J55" s="555"/>
      <c r="K55" s="556"/>
      <c r="L55" s="70"/>
      <c r="M55" s="111"/>
      <c r="N55" s="35">
        <v>43101</v>
      </c>
      <c r="O55" s="557">
        <f t="shared" ca="1" si="11"/>
        <v>0.22529948345972087</v>
      </c>
      <c r="P55" s="111"/>
      <c r="Q55" s="558">
        <v>44561</v>
      </c>
      <c r="R55" s="111"/>
      <c r="S55" s="65">
        <f t="shared" ca="1" si="16"/>
        <v>45.433564127926147</v>
      </c>
      <c r="T55" s="111"/>
      <c r="U55" s="559"/>
      <c r="V55" s="559"/>
      <c r="W55" s="111"/>
      <c r="X55" s="310">
        <f t="shared" si="12"/>
        <v>44561</v>
      </c>
      <c r="Y55" s="111"/>
      <c r="Z55" s="560"/>
      <c r="AA55" s="111"/>
      <c r="AB55" s="561" t="s">
        <v>148</v>
      </c>
      <c r="AC55" s="173"/>
      <c r="AD55" s="8"/>
      <c r="AE55" s="8" t="s">
        <v>864</v>
      </c>
      <c r="AF55" s="8" t="s">
        <v>865</v>
      </c>
      <c r="AG55" s="2" t="s">
        <v>856</v>
      </c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543"/>
      <c r="AY55" s="562"/>
      <c r="AZ55" s="562"/>
      <c r="BA55" s="562"/>
      <c r="BB55" s="562"/>
      <c r="BC55" s="562"/>
      <c r="BD55" s="562"/>
      <c r="BE55" s="562"/>
      <c r="BF55" s="562"/>
      <c r="BG55" s="562"/>
      <c r="BH55" s="562"/>
      <c r="BI55" s="562"/>
      <c r="BJ55" s="562"/>
      <c r="BK55" s="562"/>
      <c r="BL55" s="562"/>
      <c r="BM55" s="562"/>
      <c r="BN55" s="562"/>
      <c r="BO55" s="562"/>
      <c r="BP55" s="562"/>
      <c r="BQ55" s="562"/>
      <c r="BR55" s="562"/>
      <c r="BS55" s="562"/>
      <c r="BT55" s="562"/>
      <c r="BU55" s="562"/>
      <c r="BV55" s="562"/>
      <c r="BW55" s="562"/>
      <c r="BX55" s="562"/>
      <c r="BY55" s="562"/>
      <c r="BZ55" s="562"/>
      <c r="CA55" s="562"/>
      <c r="CB55" s="562"/>
      <c r="CC55" s="562"/>
      <c r="CD55" s="562"/>
      <c r="CE55" s="562"/>
      <c r="CF55" s="562"/>
      <c r="CG55" s="562"/>
      <c r="CH55" s="562"/>
      <c r="CI55" s="562"/>
      <c r="CJ55" s="562"/>
      <c r="CK55" s="562"/>
      <c r="CL55" s="562"/>
      <c r="CM55" s="562"/>
      <c r="CN55" s="521"/>
      <c r="CO55" s="562"/>
      <c r="CP55" s="562"/>
      <c r="CQ55" s="562"/>
      <c r="CR55" s="562"/>
      <c r="CS55" s="521"/>
      <c r="CT55" s="562"/>
      <c r="CU55" s="562"/>
      <c r="CV55" s="562"/>
      <c r="CW55" s="497"/>
      <c r="CX55" s="521"/>
      <c r="CY55" s="544"/>
      <c r="CZ55" s="545"/>
      <c r="DA55" s="546"/>
      <c r="DB55" s="497"/>
      <c r="DC55" s="521"/>
      <c r="DD55" s="563"/>
      <c r="DE55" s="545"/>
      <c r="DF55" s="546"/>
      <c r="DG55" s="497"/>
      <c r="DH55" s="521"/>
      <c r="DI55" s="563"/>
      <c r="DJ55" s="545"/>
      <c r="DK55" s="546"/>
      <c r="DL55" s="497"/>
      <c r="DM55" s="521"/>
      <c r="DN55" s="563"/>
      <c r="DO55" s="545"/>
      <c r="DP55" s="546"/>
      <c r="DQ55" s="562"/>
      <c r="DR55" s="562"/>
      <c r="DS55" s="562"/>
      <c r="DT55" s="562"/>
      <c r="DU55" s="564"/>
      <c r="DV55" s="562"/>
      <c r="DW55" s="562"/>
      <c r="DX55" s="562"/>
      <c r="DY55" s="562"/>
      <c r="DZ55" s="564"/>
      <c r="EA55" s="562"/>
      <c r="EB55" s="562"/>
      <c r="EC55" s="562"/>
      <c r="ED55" s="562"/>
      <c r="EE55" s="564"/>
      <c r="EF55" s="562"/>
      <c r="EG55" s="562"/>
      <c r="EH55" s="562"/>
      <c r="EI55" s="562"/>
      <c r="EJ55" s="564"/>
      <c r="EK55" s="562"/>
      <c r="EL55" s="562"/>
      <c r="EM55" s="562"/>
      <c r="EN55" s="562"/>
      <c r="EO55" s="564"/>
      <c r="EP55" s="499"/>
      <c r="EQ55" s="499"/>
      <c r="ER55" s="499"/>
      <c r="ES55" s="499"/>
      <c r="ET55" s="499"/>
      <c r="EU55" s="499"/>
      <c r="EV55" s="440"/>
      <c r="EW55" s="440"/>
      <c r="EX55" s="440"/>
      <c r="EY55" s="440"/>
      <c r="EZ55" s="440"/>
      <c r="FA55" s="440"/>
      <c r="FB55" s="440"/>
      <c r="FC55" s="440"/>
      <c r="FD55" s="440"/>
      <c r="FE55" s="440"/>
      <c r="FF55" s="440"/>
      <c r="FG55" s="440"/>
      <c r="FH55" s="440"/>
      <c r="FI55" s="440"/>
      <c r="FJ55" s="440"/>
      <c r="FK55" s="440"/>
      <c r="FL55" s="440"/>
      <c r="FM55" s="440"/>
      <c r="FN55" s="440"/>
      <c r="FO55" s="440"/>
      <c r="FP55" s="440"/>
    </row>
  </sheetData>
  <sheetProtection selectLockedCells="1"/>
  <mergeCells count="41">
    <mergeCell ref="J2:L2"/>
    <mergeCell ref="N2:Q2"/>
    <mergeCell ref="R2:T2"/>
    <mergeCell ref="W2:AB2"/>
    <mergeCell ref="J3:L3"/>
    <mergeCell ref="N3:Q3"/>
    <mergeCell ref="R3:T3"/>
    <mergeCell ref="W3:AB3"/>
    <mergeCell ref="J4:L4"/>
    <mergeCell ref="N4:Q4"/>
    <mergeCell ref="R4:T4"/>
    <mergeCell ref="W4:AB4"/>
    <mergeCell ref="N6:Q6"/>
    <mergeCell ref="R6:T6"/>
    <mergeCell ref="W6:AB6"/>
    <mergeCell ref="N7:Q7"/>
    <mergeCell ref="R7:T7"/>
    <mergeCell ref="N8:Q8"/>
    <mergeCell ref="R8:T8"/>
    <mergeCell ref="AY9:BC10"/>
    <mergeCell ref="EK9:EO10"/>
    <mergeCell ref="G10:I10"/>
    <mergeCell ref="J10:L10"/>
    <mergeCell ref="CM9:CQ10"/>
    <mergeCell ref="CR9:CV10"/>
    <mergeCell ref="CW9:DA10"/>
    <mergeCell ref="DB9:DF10"/>
    <mergeCell ref="DG9:DK10"/>
    <mergeCell ref="DL9:DP10"/>
    <mergeCell ref="BI9:BM10"/>
    <mergeCell ref="BN9:BR10"/>
    <mergeCell ref="BS9:BW10"/>
    <mergeCell ref="BX9:CB10"/>
    <mergeCell ref="CC9:CG10"/>
    <mergeCell ref="CH9:CL10"/>
    <mergeCell ref="BD9:BH10"/>
    <mergeCell ref="U11:V11"/>
    <mergeCell ref="DQ9:DU10"/>
    <mergeCell ref="DV9:DZ10"/>
    <mergeCell ref="EA9:EE10"/>
    <mergeCell ref="EF9:EJ10"/>
  </mergeCells>
  <conditionalFormatting sqref="L48">
    <cfRule type="iconSet" priority="12">
      <iconSet>
        <cfvo type="percent" val="0"/>
        <cfvo type="percent" val="9"/>
        <cfvo type="percent" val="20"/>
      </iconSet>
    </cfRule>
  </conditionalFormatting>
  <conditionalFormatting sqref="L55">
    <cfRule type="iconSet" priority="11">
      <iconSet>
        <cfvo type="percent" val="0"/>
        <cfvo type="percent" val="9"/>
        <cfvo type="percent" val="20"/>
      </iconSet>
    </cfRule>
  </conditionalFormatting>
  <conditionalFormatting sqref="L27:L31">
    <cfRule type="iconSet" priority="10">
      <iconSet>
        <cfvo type="percent" val="0"/>
        <cfvo type="percent" val="9"/>
        <cfvo type="percent" val="20"/>
      </iconSet>
    </cfRule>
  </conditionalFormatting>
  <conditionalFormatting sqref="L16">
    <cfRule type="iconSet" priority="9">
      <iconSet>
        <cfvo type="percent" val="0"/>
        <cfvo type="percent" val="9"/>
        <cfvo type="percent" val="20"/>
      </iconSet>
    </cfRule>
  </conditionalFormatting>
  <conditionalFormatting sqref="L15 L17:L26">
    <cfRule type="iconSet" priority="13">
      <iconSet>
        <cfvo type="percent" val="0"/>
        <cfvo type="percent" val="9"/>
        <cfvo type="percent" val="20"/>
      </iconSet>
    </cfRule>
  </conditionalFormatting>
  <conditionalFormatting sqref="L32">
    <cfRule type="iconSet" priority="8">
      <iconSet>
        <cfvo type="percent" val="0"/>
        <cfvo type="percent" val="9"/>
        <cfvo type="percent" val="20"/>
      </iconSet>
    </cfRule>
  </conditionalFormatting>
  <conditionalFormatting sqref="L33">
    <cfRule type="iconSet" priority="7">
      <iconSet>
        <cfvo type="percent" val="0"/>
        <cfvo type="percent" val="9"/>
        <cfvo type="percent" val="20"/>
      </iconSet>
    </cfRule>
  </conditionalFormatting>
  <conditionalFormatting sqref="L34">
    <cfRule type="iconSet" priority="6">
      <iconSet>
        <cfvo type="percent" val="0"/>
        <cfvo type="percent" val="9"/>
        <cfvo type="percent" val="20"/>
      </iconSet>
    </cfRule>
  </conditionalFormatting>
  <conditionalFormatting sqref="L37">
    <cfRule type="iconSet" priority="5">
      <iconSet>
        <cfvo type="percent" val="0"/>
        <cfvo type="percent" val="9"/>
        <cfvo type="percent" val="20"/>
      </iconSet>
    </cfRule>
  </conditionalFormatting>
  <conditionalFormatting sqref="L38">
    <cfRule type="iconSet" priority="4">
      <iconSet>
        <cfvo type="percent" val="0"/>
        <cfvo type="percent" val="9"/>
        <cfvo type="percent" val="20"/>
      </iconSet>
    </cfRule>
  </conditionalFormatting>
  <conditionalFormatting sqref="L39">
    <cfRule type="iconSet" priority="3">
      <iconSet>
        <cfvo type="percent" val="0"/>
        <cfvo type="percent" val="9"/>
        <cfvo type="percent" val="20"/>
      </iconSet>
    </cfRule>
  </conditionalFormatting>
  <conditionalFormatting sqref="L40">
    <cfRule type="iconSet" priority="2">
      <iconSet>
        <cfvo type="percent" val="0"/>
        <cfvo type="percent" val="9"/>
        <cfvo type="percent" val="20"/>
      </iconSet>
    </cfRule>
  </conditionalFormatting>
  <conditionalFormatting sqref="L47">
    <cfRule type="iconSet" priority="1">
      <iconSet>
        <cfvo type="percent" val="0"/>
        <cfvo type="percent" val="9"/>
        <cfvo type="percent" val="20"/>
      </iconSet>
    </cfRule>
  </conditionalFormatting>
  <conditionalFormatting sqref="L49:L50 L35:L36 L41:L46">
    <cfRule type="iconSet" priority="14">
      <iconSet>
        <cfvo type="percent" val="0"/>
        <cfvo type="percent" val="9"/>
        <cfvo type="percent" val="20"/>
      </iconSet>
    </cfRule>
  </conditionalFormatting>
  <conditionalFormatting sqref="L51:L54">
    <cfRule type="iconSet" priority="15">
      <iconSet>
        <cfvo type="percent" val="0"/>
        <cfvo type="percent" val="9"/>
        <cfvo type="percent" val="20"/>
      </iconSet>
    </cfRule>
  </conditionalFormatting>
  <dataValidations count="5">
    <dataValidation type="list" allowBlank="1" showInputMessage="1" showErrorMessage="1" sqref="AL15:AL47 AT15:AT47 AP15:AP47 AD15:AD47 AH15:AH47 AL49:AL50 AT49:AT50 AP49:AP50 AD49:AD50 AH49:AH50">
      <formula1>civilité</formula1>
    </dataValidation>
    <dataValidation type="list" allowBlank="1" showInputMessage="1" showErrorMessage="1" sqref="V15:V33 V35:V47 V49:V50">
      <formula1>Reconduction</formula1>
    </dataValidation>
    <dataValidation type="list" allowBlank="1" showInputMessage="1" showErrorMessage="1" sqref="U15:U31 U35:U47 U49:U50">
      <formula1>OuiNon</formula1>
    </dataValidation>
    <dataValidation type="list" allowBlank="1" showInputMessage="1" showErrorMessage="1" sqref="F15:F33 F49:F50 F35:F43 F47">
      <formula1>Statut</formula1>
    </dataValidation>
    <dataValidation type="list" allowBlank="1" showInputMessage="1" showErrorMessage="1" sqref="Z15:Z33 Z35:Z47 Z49:Z50">
      <formula1>Risque</formula1>
    </dataValidation>
  </dataValidations>
  <printOptions horizontalCentered="1"/>
  <pageMargins left="0.19685039370078741" right="0.19685039370078741" top="0.55118110236220474" bottom="0.55118110236220474" header="0.31496062992125984" footer="0.31496062992125984"/>
  <pageSetup paperSize="8" scale="68" orientation="landscape" r:id="rId1"/>
  <colBreaks count="2" manualBreakCount="2">
    <brk id="28" max="1048575" man="1"/>
    <brk id="47" max="70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2060"/>
  </sheetPr>
  <dimension ref="A1:EF103"/>
  <sheetViews>
    <sheetView showGridLines="0" zoomScale="80" zoomScaleNormal="80" zoomScaleSheetLayoutView="85" workbookViewId="0">
      <pane xSplit="3" ySplit="11" topLeftCell="D12" activePane="bottomRight" state="frozen"/>
      <selection pane="topRight" activeCell="D1" sqref="D1"/>
      <selection pane="bottomLeft" activeCell="A13" sqref="A13"/>
      <selection pane="bottomRight" activeCell="C101" sqref="C101"/>
    </sheetView>
  </sheetViews>
  <sheetFormatPr baseColWidth="10" defaultColWidth="11.42578125" defaultRowHeight="16.5" outlineLevelRow="1" outlineLevelCol="1" x14ac:dyDescent="0.25"/>
  <cols>
    <col min="1" max="1" width="3.140625" style="36" bestFit="1" customWidth="1"/>
    <col min="2" max="2" width="2.7109375" style="36" bestFit="1" customWidth="1"/>
    <col min="3" max="3" width="42" style="14" customWidth="1"/>
    <col min="4" max="4" width="46.5703125" style="14" customWidth="1"/>
    <col min="5" max="5" width="5.7109375" style="17" customWidth="1"/>
    <col min="6" max="7" width="7.85546875" style="17" customWidth="1"/>
    <col min="8" max="8" width="11.85546875" style="14" customWidth="1"/>
    <col min="9" max="9" width="12.7109375" style="14" customWidth="1"/>
    <col min="10" max="10" width="7.7109375" style="14" customWidth="1"/>
    <col min="11" max="11" width="14.7109375" style="14" customWidth="1"/>
    <col min="12" max="12" width="10.42578125" style="14" customWidth="1"/>
    <col min="13" max="14" width="9.7109375" style="14" customWidth="1"/>
    <col min="15" max="15" width="0.5703125" style="13" customWidth="1"/>
    <col min="16" max="17" width="9.7109375" style="83" customWidth="1"/>
    <col min="18" max="18" width="0.5703125" style="13" customWidth="1"/>
    <col min="19" max="19" width="11.7109375" style="17" customWidth="1"/>
    <col min="20" max="20" width="0.5703125" style="13" customWidth="1"/>
    <col min="21" max="21" width="9.7109375" style="99" customWidth="1"/>
    <col min="22" max="22" width="0.5703125" style="13" customWidth="1"/>
    <col min="23" max="23" width="5.7109375" style="99" customWidth="1"/>
    <col min="24" max="24" width="10.7109375" style="99" customWidth="1"/>
    <col min="25" max="25" width="0.5703125" style="13" customWidth="1"/>
    <col min="26" max="26" width="10.7109375" style="99" customWidth="1"/>
    <col min="27" max="27" width="0.5703125" style="13" customWidth="1"/>
    <col min="28" max="28" width="11.7109375" style="17" customWidth="1"/>
    <col min="29" max="29" width="0.5703125" style="13" customWidth="1"/>
    <col min="30" max="30" width="9.7109375" style="14" customWidth="1"/>
    <col min="31" max="31" width="0.85546875" style="14" customWidth="1"/>
    <col min="32" max="32" width="14.7109375" style="14" customWidth="1"/>
    <col min="33" max="33" width="0.5703125" style="13" customWidth="1"/>
    <col min="34" max="34" width="5.7109375" style="16" customWidth="1"/>
    <col min="35" max="35" width="15.7109375" style="16" customWidth="1"/>
    <col min="36" max="36" width="20.7109375" style="16" customWidth="1"/>
    <col min="37" max="37" width="25.7109375" style="16" customWidth="1"/>
    <col min="38" max="38" width="5.7109375" style="16" customWidth="1"/>
    <col min="39" max="39" width="15.7109375" style="16" customWidth="1"/>
    <col min="40" max="40" width="20.7109375" style="16" customWidth="1"/>
    <col min="41" max="41" width="25.7109375" style="16" customWidth="1"/>
    <col min="42" max="42" width="5.7109375" style="16" customWidth="1"/>
    <col min="43" max="43" width="15.7109375" style="16" customWidth="1"/>
    <col min="44" max="44" width="20.7109375" style="16" customWidth="1"/>
    <col min="45" max="45" width="25.7109375" style="16" customWidth="1"/>
    <col min="46" max="46" width="0.5703125" style="59" customWidth="1"/>
    <col min="47" max="72" width="13.28515625" style="14" hidden="1" customWidth="1" outlineLevel="1"/>
    <col min="73" max="86" width="11.42578125" style="14" hidden="1" customWidth="1" outlineLevel="1"/>
    <col min="87" max="87" width="11.42578125" style="14" collapsed="1"/>
    <col min="88" max="16384" width="11.42578125" style="14"/>
  </cols>
  <sheetData>
    <row r="1" spans="1:136" s="16" customFormat="1" ht="16.5" customHeight="1" outlineLevel="1" x14ac:dyDescent="0.25">
      <c r="A1" s="36"/>
      <c r="B1" s="36"/>
      <c r="C1" s="18" t="s">
        <v>596</v>
      </c>
      <c r="D1" s="18"/>
      <c r="E1" s="24"/>
      <c r="F1" s="24"/>
      <c r="G1" s="24"/>
      <c r="H1" s="24"/>
      <c r="I1" s="10">
        <f ca="1">TODAY()</f>
        <v>43183</v>
      </c>
      <c r="J1" s="15"/>
      <c r="L1" s="59"/>
      <c r="M1" s="15"/>
      <c r="P1" s="15"/>
      <c r="Q1" s="15"/>
      <c r="R1" s="84"/>
      <c r="S1" s="59"/>
      <c r="T1" s="59"/>
      <c r="U1" s="15"/>
      <c r="V1" s="84"/>
      <c r="W1" s="84"/>
      <c r="X1" s="84"/>
      <c r="Y1" s="84"/>
      <c r="Z1" s="84"/>
      <c r="AA1" s="86"/>
      <c r="AB1" s="84"/>
      <c r="AD1" s="59"/>
      <c r="AG1" s="59"/>
      <c r="AI1" s="71"/>
      <c r="AT1" s="59"/>
      <c r="AX1" s="71"/>
    </row>
    <row r="2" spans="1:136" s="16" customFormat="1" ht="15" customHeight="1" outlineLevel="1" x14ac:dyDescent="0.25">
      <c r="A2" s="36"/>
      <c r="B2" s="36"/>
      <c r="C2" s="53" t="s">
        <v>636</v>
      </c>
      <c r="D2" s="53"/>
      <c r="E2" s="25"/>
      <c r="F2" s="25"/>
      <c r="G2" s="25"/>
      <c r="H2" s="25"/>
      <c r="I2" s="72">
        <v>685578</v>
      </c>
      <c r="J2" s="41" t="s">
        <v>518</v>
      </c>
      <c r="K2" s="39">
        <f>SUMIF(H12:H103,"Perdu",I12:I103)</f>
        <v>98904.680000000008</v>
      </c>
      <c r="L2" s="1172" t="s">
        <v>528</v>
      </c>
      <c r="M2" s="1173"/>
      <c r="N2" s="1173"/>
      <c r="O2" s="90"/>
      <c r="P2" s="1132" t="s">
        <v>537</v>
      </c>
      <c r="Q2" s="1133"/>
      <c r="R2" s="1133"/>
      <c r="S2" s="1133"/>
      <c r="T2" s="1129">
        <f>SUMIFS($I$12:$I$103,$E$12:$E$103,"dcn",$H$12:$H$103,"")+SUMIFS($I$12:$I$103,$E$12:$E$103,"dcn",$H$12:$H$103,"Reconduit")</f>
        <v>250289.5100000001</v>
      </c>
      <c r="U2" s="1129"/>
      <c r="V2" s="1129"/>
      <c r="W2" s="103"/>
      <c r="X2" s="104">
        <f>SUMIFS($I$12:$I$103,$E$12:$E$103,"di",$H$12:$H$103,"")+SUMIFS($I$12:$I$103,$E$12:$E$103,"di",$H$12:$H$103,"Reconduit")</f>
        <v>201236.41999999998</v>
      </c>
      <c r="Y2" s="1121" t="s">
        <v>583</v>
      </c>
      <c r="Z2" s="1122"/>
      <c r="AA2" s="1122"/>
      <c r="AB2" s="1122"/>
      <c r="AC2" s="1122"/>
      <c r="AD2" s="1122"/>
      <c r="AE2" s="98"/>
      <c r="AF2" s="98"/>
      <c r="AG2" s="28"/>
      <c r="AH2" s="53"/>
      <c r="AI2" s="75"/>
      <c r="AT2" s="59"/>
      <c r="AU2" s="98"/>
      <c r="AV2" s="98"/>
      <c r="AW2" s="53"/>
      <c r="AX2" s="75"/>
    </row>
    <row r="3" spans="1:136" s="16" customFormat="1" ht="15" customHeight="1" outlineLevel="1" x14ac:dyDescent="0.25">
      <c r="A3" s="36"/>
      <c r="B3" s="36"/>
      <c r="C3" s="53" t="s">
        <v>517</v>
      </c>
      <c r="D3" s="53"/>
      <c r="E3" s="19"/>
      <c r="F3" s="19"/>
      <c r="G3" s="19"/>
      <c r="H3" s="19"/>
      <c r="I3" s="73">
        <v>77</v>
      </c>
      <c r="J3" s="20"/>
      <c r="K3" s="82">
        <f>COUNTIF(H12:H103,"Perdu")</f>
        <v>9</v>
      </c>
      <c r="L3" s="1168" t="s">
        <v>531</v>
      </c>
      <c r="M3" s="1169"/>
      <c r="N3" s="1169"/>
      <c r="O3" s="384"/>
      <c r="P3" s="1127" t="s">
        <v>531</v>
      </c>
      <c r="Q3" s="1127"/>
      <c r="R3" s="1127"/>
      <c r="S3" s="1127"/>
      <c r="T3" s="382"/>
      <c r="U3" s="382">
        <f>COUNTIFS($E$12:$E$103,"DCN",H12:H103,"")+COUNTIFS($E$12:$E$103,"DCN",H12:H103,"Reconduit")</f>
        <v>40</v>
      </c>
      <c r="V3" s="382"/>
      <c r="W3" s="13"/>
      <c r="X3" s="382">
        <f>COUNTIFS($E$12:$E$103,"DI",H12:H103,"")+COUNTIFS($E$12:$E$103,"DI",H12:H103,"Reconduit")</f>
        <v>26</v>
      </c>
      <c r="Y3" s="1123" t="s">
        <v>531</v>
      </c>
      <c r="Z3" s="1123"/>
      <c r="AA3" s="1123"/>
      <c r="AB3" s="1123"/>
      <c r="AC3" s="1123"/>
      <c r="AD3" s="1123"/>
      <c r="AG3" s="59"/>
      <c r="AH3" s="14"/>
      <c r="AI3" s="79"/>
      <c r="AT3" s="59"/>
      <c r="AU3" s="12"/>
      <c r="AV3" s="14"/>
      <c r="AW3" s="14"/>
      <c r="AX3" s="79"/>
    </row>
    <row r="4" spans="1:136" s="16" customFormat="1" ht="15" customHeight="1" outlineLevel="1" x14ac:dyDescent="0.25">
      <c r="A4" s="36"/>
      <c r="B4" s="36"/>
      <c r="C4" s="53" t="s">
        <v>526</v>
      </c>
      <c r="D4" s="53"/>
      <c r="E4" s="19"/>
      <c r="F4" s="19"/>
      <c r="G4" s="19"/>
      <c r="H4" s="19"/>
      <c r="I4" s="74">
        <f>COUNTA($C$12:$C$27)/$I$3</f>
        <v>0.20779220779220781</v>
      </c>
      <c r="J4" s="20"/>
      <c r="K4" s="40">
        <f>$K$2/$I$2</f>
        <v>0.14426466426869008</v>
      </c>
      <c r="L4" s="1168" t="s">
        <v>532</v>
      </c>
      <c r="M4" s="1169"/>
      <c r="N4" s="1169"/>
      <c r="O4" s="384"/>
      <c r="P4" s="1127" t="s">
        <v>586</v>
      </c>
      <c r="Q4" s="1127"/>
      <c r="R4" s="1127"/>
      <c r="S4" s="1127"/>
      <c r="T4" s="1131">
        <f>$T$2/$I$2</f>
        <v>0.36507809468798602</v>
      </c>
      <c r="U4" s="1131"/>
      <c r="V4" s="1131"/>
      <c r="W4" s="13"/>
      <c r="X4" s="383">
        <f>$X$2/$I$2</f>
        <v>0.29352811788009531</v>
      </c>
      <c r="Y4" s="1123" t="s">
        <v>586</v>
      </c>
      <c r="Z4" s="1123"/>
      <c r="AA4" s="1123"/>
      <c r="AB4" s="1123"/>
      <c r="AC4" s="1123"/>
      <c r="AD4" s="1123"/>
      <c r="AG4" s="59"/>
      <c r="AH4" s="14"/>
      <c r="AI4" s="76"/>
      <c r="AT4" s="59"/>
      <c r="AV4" s="14"/>
      <c r="AW4" s="14"/>
      <c r="AX4" s="76"/>
    </row>
    <row r="5" spans="1:136" s="16" customFormat="1" ht="5.25" customHeight="1" outlineLevel="1" x14ac:dyDescent="0.25">
      <c r="A5" s="38"/>
      <c r="B5" s="38"/>
      <c r="C5" s="26"/>
      <c r="D5" s="26"/>
      <c r="E5" s="26"/>
      <c r="F5" s="26"/>
      <c r="G5" s="26"/>
      <c r="H5" s="26"/>
      <c r="J5" s="15"/>
      <c r="O5" s="60"/>
      <c r="P5" s="107"/>
      <c r="Q5" s="108"/>
      <c r="R5" s="107"/>
      <c r="S5" s="108"/>
      <c r="T5" s="80"/>
      <c r="V5" s="59"/>
      <c r="W5" s="59"/>
      <c r="X5" s="15"/>
      <c r="Y5" s="59"/>
      <c r="AA5" s="15"/>
      <c r="AB5" s="15"/>
      <c r="AC5" s="60"/>
      <c r="AE5" s="60"/>
      <c r="AF5" s="60"/>
      <c r="AG5" s="60"/>
      <c r="AH5" s="21"/>
      <c r="AI5" s="77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60"/>
      <c r="AU5" s="21"/>
      <c r="AV5" s="60"/>
      <c r="AW5" s="21"/>
      <c r="AX5" s="77"/>
      <c r="AY5" s="21"/>
      <c r="AZ5" s="21"/>
      <c r="BA5" s="21"/>
      <c r="BB5" s="21"/>
      <c r="BC5" s="21"/>
      <c r="BD5" s="21"/>
      <c r="BE5" s="21"/>
      <c r="BF5" s="21"/>
      <c r="BG5" s="21"/>
      <c r="BH5" s="21"/>
    </row>
    <row r="6" spans="1:136" s="16" customFormat="1" ht="15" customHeight="1" outlineLevel="1" x14ac:dyDescent="0.25">
      <c r="A6" s="38"/>
      <c r="B6" s="38"/>
      <c r="C6" s="26"/>
      <c r="D6" s="26"/>
      <c r="E6" s="26"/>
      <c r="F6" s="26"/>
      <c r="G6" s="26"/>
      <c r="H6" s="26"/>
      <c r="J6" s="15"/>
      <c r="K6" s="391">
        <f>SUMIF(H12:H103,"Reconduit",I12:I103)</f>
        <v>51133.170000000006</v>
      </c>
      <c r="L6" s="1216" t="s">
        <v>641</v>
      </c>
      <c r="M6" s="1217"/>
      <c r="N6" s="1217"/>
      <c r="O6" s="60"/>
      <c r="P6" s="1124" t="s">
        <v>582</v>
      </c>
      <c r="Q6" s="1125"/>
      <c r="R6" s="1125"/>
      <c r="S6" s="1126"/>
      <c r="T6" s="1128">
        <f>SUMIFS($I$12:$I$103,$E$12:$E$103,"AO",$H$12:$H$103,"")+SUMIFS($I$12:$I$103,$E$12:$E$103,"AO",$H$12:$H$103,"Reconduit")</f>
        <v>114629.90999999999</v>
      </c>
      <c r="U6" s="1129"/>
      <c r="V6" s="1196"/>
      <c r="W6" s="97"/>
      <c r="X6" s="104">
        <f>SUMIFS($I$12:$I$103,$E$12:$E$103,"REG",$H$12:$H$103,"")+SUMIFS($I$12:$I$103,$E$12:$E$103,"REG",$H$12:$H$103,"Reconduit")</f>
        <v>26456.880000000001</v>
      </c>
      <c r="Y6" s="1136" t="s">
        <v>584</v>
      </c>
      <c r="Z6" s="1137"/>
      <c r="AA6" s="1137"/>
      <c r="AB6" s="1137"/>
      <c r="AC6" s="1137"/>
      <c r="AD6" s="1137"/>
      <c r="AE6" s="98"/>
      <c r="AF6" s="98"/>
      <c r="AG6" s="28"/>
      <c r="AH6" s="77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60"/>
      <c r="AU6" s="98"/>
      <c r="AV6" s="98"/>
      <c r="AW6" s="77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</row>
    <row r="7" spans="1:136" s="16" customFormat="1" ht="15" customHeight="1" outlineLevel="1" x14ac:dyDescent="0.25">
      <c r="A7" s="38"/>
      <c r="B7" s="38"/>
      <c r="C7" s="26"/>
      <c r="D7" s="26"/>
      <c r="E7" s="26"/>
      <c r="F7" s="26"/>
      <c r="G7" s="26"/>
      <c r="H7" s="26"/>
      <c r="I7" s="392">
        <f>T2+X2+X6+T6</f>
        <v>592612.72000000009</v>
      </c>
      <c r="J7" s="15"/>
      <c r="K7" s="82">
        <f>COUNTIF(H12:H103,"Reconduit")</f>
        <v>6</v>
      </c>
      <c r="O7" s="60"/>
      <c r="P7" s="1127" t="s">
        <v>531</v>
      </c>
      <c r="Q7" s="1127"/>
      <c r="R7" s="1127"/>
      <c r="S7" s="1127"/>
      <c r="T7" s="1130">
        <f>COUNTIFS($E$12:$E$103,"AO",$H$12:$H$103,"")+COUNTIFS($E$12:$E$103,"AO",$H$12:$H$103,"Reconduit")</f>
        <v>9</v>
      </c>
      <c r="U7" s="1130"/>
      <c r="V7" s="1130"/>
      <c r="W7" s="13"/>
      <c r="X7" s="382">
        <f>COUNTIFS($E$12:$E$103,"REG",$H$12:$H$103,"")+COUNTIFS($E$12:$E$103,"REG",$H$12:$H$103,"Reconduit")</f>
        <v>6</v>
      </c>
      <c r="Y7" s="87"/>
      <c r="Z7" s="1123" t="s">
        <v>531</v>
      </c>
      <c r="AA7" s="1123"/>
      <c r="AB7" s="1123"/>
      <c r="AC7" s="1123"/>
      <c r="AD7" s="1123"/>
      <c r="AE7" s="1123"/>
      <c r="AF7" s="381"/>
      <c r="AG7" s="139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60"/>
      <c r="AU7" s="12"/>
      <c r="AV7" s="60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</row>
    <row r="8" spans="1:136" s="16" customFormat="1" ht="15" customHeight="1" outlineLevel="1" x14ac:dyDescent="0.25">
      <c r="A8" s="38"/>
      <c r="B8" s="38"/>
      <c r="C8" s="26"/>
      <c r="D8" s="26"/>
      <c r="E8" s="26"/>
      <c r="F8" s="26"/>
      <c r="G8" s="26"/>
      <c r="I8" s="392">
        <f>SUM(I12:I103)</f>
        <v>714417.39999999944</v>
      </c>
      <c r="J8" s="15"/>
      <c r="K8" s="391">
        <f>SUMIF(H14:H105,"Nouveau",I14:I105)</f>
        <v>22900</v>
      </c>
      <c r="O8" s="60"/>
      <c r="P8" s="1127" t="s">
        <v>586</v>
      </c>
      <c r="Q8" s="1127"/>
      <c r="R8" s="1127"/>
      <c r="S8" s="1127"/>
      <c r="T8" s="1131">
        <f>$T$6/$I$2</f>
        <v>0.16720185011771088</v>
      </c>
      <c r="U8" s="1131"/>
      <c r="V8" s="1131"/>
      <c r="W8" s="13"/>
      <c r="X8" s="383">
        <f>$X$6/$I$2</f>
        <v>3.8590619885702282E-2</v>
      </c>
      <c r="Y8" s="87"/>
      <c r="Z8" s="1123" t="s">
        <v>586</v>
      </c>
      <c r="AA8" s="1123"/>
      <c r="AB8" s="1123"/>
      <c r="AC8" s="1123"/>
      <c r="AD8" s="1123"/>
      <c r="AE8" s="1123"/>
      <c r="AF8" s="381"/>
      <c r="AG8" s="139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60"/>
      <c r="AV8" s="60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</row>
    <row r="9" spans="1:136" x14ac:dyDescent="0.25">
      <c r="I9" s="393">
        <f>T2+X2+X6+T6+K2+K8</f>
        <v>714417.40000000014</v>
      </c>
      <c r="AD9" s="113"/>
      <c r="AE9" s="113"/>
      <c r="AF9" s="113"/>
      <c r="AG9" s="149"/>
      <c r="AU9" s="113"/>
      <c r="AV9" s="113"/>
      <c r="AW9" s="113"/>
      <c r="AX9" s="113"/>
    </row>
    <row r="10" spans="1:136" x14ac:dyDescent="0.25">
      <c r="C10" s="14" t="s">
        <v>642</v>
      </c>
      <c r="I10" s="1155" t="s">
        <v>523</v>
      </c>
      <c r="J10" s="1156"/>
      <c r="K10" s="1156"/>
      <c r="L10" s="1157">
        <v>43008</v>
      </c>
      <c r="M10" s="1157"/>
      <c r="N10" s="1157"/>
      <c r="O10" s="133"/>
      <c r="P10" s="133"/>
      <c r="Q10" s="133"/>
      <c r="R10" s="133"/>
      <c r="S10" s="134"/>
      <c r="T10" s="133"/>
      <c r="U10" s="133"/>
      <c r="V10" s="133"/>
      <c r="W10" s="133"/>
      <c r="X10" s="133"/>
      <c r="Y10" s="133"/>
      <c r="Z10" s="133"/>
      <c r="AA10" s="133"/>
      <c r="AC10" s="133"/>
      <c r="AH10" s="29"/>
      <c r="AI10" s="29"/>
      <c r="AJ10" s="11"/>
      <c r="AK10" s="11"/>
      <c r="AL10" s="29"/>
      <c r="AM10" s="29"/>
      <c r="AN10" s="11"/>
      <c r="AO10" s="11"/>
      <c r="AP10" s="29"/>
      <c r="AQ10" s="29"/>
      <c r="AR10" s="11"/>
      <c r="AS10" s="11"/>
      <c r="AT10" s="11"/>
      <c r="AU10" s="1218">
        <v>42278</v>
      </c>
      <c r="AV10" s="1219"/>
      <c r="AW10" s="1219"/>
      <c r="AX10" s="1219"/>
      <c r="AY10" s="1220"/>
      <c r="AZ10" s="1218">
        <v>42309</v>
      </c>
      <c r="BA10" s="1219"/>
      <c r="BB10" s="1219"/>
      <c r="BC10" s="1219"/>
      <c r="BD10" s="1220"/>
      <c r="BE10" s="1218">
        <v>42339</v>
      </c>
      <c r="BF10" s="1219"/>
      <c r="BG10" s="1219"/>
      <c r="BH10" s="1219"/>
      <c r="BI10" s="1220"/>
      <c r="BJ10" s="1218">
        <v>42370</v>
      </c>
      <c r="BK10" s="1219"/>
      <c r="BL10" s="1219"/>
      <c r="BM10" s="1219"/>
      <c r="BN10" s="1220"/>
      <c r="BO10" s="1218">
        <v>42401</v>
      </c>
      <c r="BP10" s="1219"/>
      <c r="BQ10" s="1219"/>
      <c r="BR10" s="1219"/>
      <c r="BS10" s="1220"/>
      <c r="BT10" s="1218">
        <v>42430</v>
      </c>
      <c r="BU10" s="1219"/>
      <c r="BV10" s="1219"/>
      <c r="BW10" s="1219"/>
      <c r="BX10" s="1220"/>
      <c r="BY10" s="1218">
        <v>42461</v>
      </c>
      <c r="BZ10" s="1219"/>
      <c r="CA10" s="1219"/>
      <c r="CB10" s="1219"/>
      <c r="CC10" s="1220"/>
      <c r="CD10" s="1218">
        <v>42491</v>
      </c>
      <c r="CE10" s="1219"/>
      <c r="CF10" s="1219"/>
      <c r="CG10" s="1219"/>
      <c r="CH10" s="1220"/>
      <c r="CI10" s="1218">
        <v>42522</v>
      </c>
      <c r="CJ10" s="1219"/>
      <c r="CK10" s="1219"/>
      <c r="CL10" s="1219"/>
      <c r="CM10" s="1220"/>
      <c r="CN10" s="1218">
        <v>42552</v>
      </c>
      <c r="CO10" s="1219"/>
      <c r="CP10" s="1219"/>
      <c r="CQ10" s="1219"/>
      <c r="CR10" s="1220"/>
      <c r="CS10" s="1218">
        <v>42583</v>
      </c>
      <c r="CT10" s="1219"/>
      <c r="CU10" s="1219"/>
      <c r="CV10" s="1219"/>
      <c r="CW10" s="1220"/>
      <c r="CX10" s="1218">
        <v>42614</v>
      </c>
      <c r="CY10" s="1219"/>
      <c r="CZ10" s="1219"/>
      <c r="DA10" s="1219"/>
      <c r="DB10" s="1220"/>
      <c r="DC10" s="1218">
        <v>42644</v>
      </c>
      <c r="DD10" s="1219"/>
      <c r="DE10" s="1219"/>
      <c r="DF10" s="1219"/>
      <c r="DG10" s="1220"/>
      <c r="DH10" s="1218">
        <v>42675</v>
      </c>
      <c r="DI10" s="1219"/>
      <c r="DJ10" s="1219"/>
      <c r="DK10" s="1219"/>
      <c r="DL10" s="1220"/>
      <c r="DM10" s="1218">
        <v>42705</v>
      </c>
      <c r="DN10" s="1219"/>
      <c r="DO10" s="1219"/>
      <c r="DP10" s="1219"/>
      <c r="DQ10" s="1220"/>
      <c r="DR10" s="1218">
        <v>42736</v>
      </c>
      <c r="DS10" s="1219"/>
      <c r="DT10" s="1219"/>
      <c r="DU10" s="1219"/>
      <c r="DV10" s="1220"/>
      <c r="DW10" s="1218">
        <v>42767</v>
      </c>
      <c r="DX10" s="1219"/>
      <c r="DY10" s="1219"/>
      <c r="DZ10" s="1219"/>
      <c r="EA10" s="1220"/>
      <c r="EB10" s="1218">
        <v>42795</v>
      </c>
      <c r="EC10" s="1219"/>
      <c r="ED10" s="1219"/>
      <c r="EE10" s="1219"/>
      <c r="EF10" s="1220"/>
    </row>
    <row r="11" spans="1:136" ht="54" customHeight="1" thickBot="1" x14ac:dyDescent="0.3">
      <c r="A11" s="37"/>
      <c r="B11" s="37"/>
      <c r="C11" s="385" t="s">
        <v>638</v>
      </c>
      <c r="D11" s="386" t="s">
        <v>637</v>
      </c>
      <c r="E11" s="78" t="s">
        <v>530</v>
      </c>
      <c r="F11" s="78" t="s">
        <v>643</v>
      </c>
      <c r="G11" s="78" t="s">
        <v>644</v>
      </c>
      <c r="H11" s="78" t="s">
        <v>529</v>
      </c>
      <c r="I11" s="114" t="s">
        <v>0</v>
      </c>
      <c r="J11" s="22" t="s">
        <v>524</v>
      </c>
      <c r="K11" s="110" t="s">
        <v>1</v>
      </c>
      <c r="L11" s="110" t="s">
        <v>2</v>
      </c>
      <c r="M11" s="110" t="s">
        <v>3</v>
      </c>
      <c r="N11" s="110" t="s">
        <v>4</v>
      </c>
      <c r="O11" s="85"/>
      <c r="P11" s="54" t="s">
        <v>520</v>
      </c>
      <c r="Q11" s="54" t="s">
        <v>525</v>
      </c>
      <c r="R11" s="85"/>
      <c r="S11" s="62" t="s">
        <v>587</v>
      </c>
      <c r="T11" s="85"/>
      <c r="U11" s="105" t="s">
        <v>522</v>
      </c>
      <c r="V11" s="85"/>
      <c r="W11" s="1140" t="s">
        <v>639</v>
      </c>
      <c r="X11" s="1141"/>
      <c r="Y11" s="85"/>
      <c r="Z11" s="62" t="s">
        <v>593</v>
      </c>
      <c r="AA11" s="85"/>
      <c r="AB11" s="54" t="s">
        <v>23</v>
      </c>
      <c r="AC11" s="85"/>
      <c r="AD11" s="1153" t="s">
        <v>594</v>
      </c>
      <c r="AE11" s="1165"/>
      <c r="AF11" s="1224"/>
      <c r="AG11" s="81"/>
      <c r="AH11" s="55" t="s">
        <v>533</v>
      </c>
      <c r="AI11" s="56" t="s">
        <v>535</v>
      </c>
      <c r="AJ11" s="56" t="s">
        <v>581</v>
      </c>
      <c r="AK11" s="56" t="s">
        <v>556</v>
      </c>
      <c r="AL11" s="57" t="s">
        <v>533</v>
      </c>
      <c r="AM11" s="58" t="s">
        <v>535</v>
      </c>
      <c r="AN11" s="58" t="s">
        <v>581</v>
      </c>
      <c r="AO11" s="58" t="s">
        <v>556</v>
      </c>
      <c r="AP11" s="140" t="s">
        <v>533</v>
      </c>
      <c r="AQ11" s="141" t="s">
        <v>535</v>
      </c>
      <c r="AR11" s="141" t="s">
        <v>581</v>
      </c>
      <c r="AS11" s="141" t="s">
        <v>556</v>
      </c>
      <c r="AT11" s="81"/>
      <c r="AU11" s="394" t="s">
        <v>22</v>
      </c>
      <c r="AV11" s="394" t="s">
        <v>23</v>
      </c>
      <c r="AW11" s="394" t="s">
        <v>24</v>
      </c>
      <c r="AX11" s="394" t="s">
        <v>25</v>
      </c>
      <c r="AY11" s="394" t="s">
        <v>26</v>
      </c>
      <c r="AZ11" s="394" t="s">
        <v>22</v>
      </c>
      <c r="BA11" s="394" t="s">
        <v>23</v>
      </c>
      <c r="BB11" s="394" t="s">
        <v>24</v>
      </c>
      <c r="BC11" s="394" t="s">
        <v>25</v>
      </c>
      <c r="BD11" s="394" t="s">
        <v>26</v>
      </c>
      <c r="BE11" s="394" t="s">
        <v>22</v>
      </c>
      <c r="BF11" s="394" t="s">
        <v>23</v>
      </c>
      <c r="BG11" s="394" t="s">
        <v>24</v>
      </c>
      <c r="BH11" s="394" t="s">
        <v>25</v>
      </c>
      <c r="BI11" s="394" t="s">
        <v>26</v>
      </c>
      <c r="BJ11" s="394" t="s">
        <v>22</v>
      </c>
      <c r="BK11" s="394" t="s">
        <v>23</v>
      </c>
      <c r="BL11" s="394" t="s">
        <v>24</v>
      </c>
      <c r="BM11" s="394" t="s">
        <v>25</v>
      </c>
      <c r="BN11" s="394" t="s">
        <v>26</v>
      </c>
      <c r="BO11" s="394" t="s">
        <v>22</v>
      </c>
      <c r="BP11" s="394" t="s">
        <v>23</v>
      </c>
      <c r="BQ11" s="394" t="s">
        <v>24</v>
      </c>
      <c r="BR11" s="394" t="s">
        <v>25</v>
      </c>
      <c r="BS11" s="394" t="s">
        <v>26</v>
      </c>
      <c r="BT11" s="394" t="s">
        <v>22</v>
      </c>
      <c r="BU11" s="394" t="s">
        <v>23</v>
      </c>
      <c r="BV11" s="394" t="s">
        <v>24</v>
      </c>
      <c r="BW11" s="394" t="s">
        <v>25</v>
      </c>
      <c r="BX11" s="394" t="s">
        <v>26</v>
      </c>
      <c r="BY11" s="394" t="s">
        <v>22</v>
      </c>
      <c r="BZ11" s="394" t="s">
        <v>23</v>
      </c>
      <c r="CA11" s="394" t="s">
        <v>24</v>
      </c>
      <c r="CB11" s="394" t="s">
        <v>25</v>
      </c>
      <c r="CC11" s="394" t="s">
        <v>26</v>
      </c>
      <c r="CD11" s="394" t="s">
        <v>22</v>
      </c>
      <c r="CE11" s="394" t="s">
        <v>23</v>
      </c>
      <c r="CF11" s="394" t="s">
        <v>24</v>
      </c>
      <c r="CG11" s="394" t="s">
        <v>25</v>
      </c>
      <c r="CH11" s="394" t="s">
        <v>26</v>
      </c>
      <c r="CI11" s="394" t="s">
        <v>22</v>
      </c>
      <c r="CJ11" s="394" t="s">
        <v>23</v>
      </c>
      <c r="CK11" s="394" t="s">
        <v>24</v>
      </c>
      <c r="CL11" s="394" t="s">
        <v>25</v>
      </c>
      <c r="CM11" s="394" t="s">
        <v>26</v>
      </c>
      <c r="CN11" s="394" t="s">
        <v>22</v>
      </c>
      <c r="CO11" s="394" t="s">
        <v>23</v>
      </c>
      <c r="CP11" s="394" t="s">
        <v>24</v>
      </c>
      <c r="CQ11" s="394" t="s">
        <v>25</v>
      </c>
      <c r="CR11" s="394" t="s">
        <v>26</v>
      </c>
      <c r="CS11" s="394" t="s">
        <v>22</v>
      </c>
      <c r="CT11" s="394" t="s">
        <v>23</v>
      </c>
      <c r="CU11" s="394" t="s">
        <v>24</v>
      </c>
      <c r="CV11" s="394" t="s">
        <v>25</v>
      </c>
      <c r="CW11" s="394" t="s">
        <v>26</v>
      </c>
      <c r="CX11" s="394" t="s">
        <v>22</v>
      </c>
      <c r="CY11" s="394" t="s">
        <v>23</v>
      </c>
      <c r="CZ11" s="394" t="s">
        <v>24</v>
      </c>
      <c r="DA11" s="394" t="s">
        <v>25</v>
      </c>
      <c r="DB11" s="394" t="s">
        <v>26</v>
      </c>
      <c r="DC11" s="394" t="s">
        <v>22</v>
      </c>
      <c r="DD11" s="394" t="s">
        <v>23</v>
      </c>
      <c r="DE11" s="394" t="s">
        <v>24</v>
      </c>
      <c r="DF11" s="394" t="s">
        <v>25</v>
      </c>
      <c r="DG11" s="394" t="s">
        <v>26</v>
      </c>
      <c r="DH11" s="394" t="s">
        <v>22</v>
      </c>
      <c r="DI11" s="394" t="s">
        <v>23</v>
      </c>
      <c r="DJ11" s="394" t="s">
        <v>24</v>
      </c>
      <c r="DK11" s="394" t="s">
        <v>25</v>
      </c>
      <c r="DL11" s="394" t="s">
        <v>26</v>
      </c>
      <c r="DM11" s="394" t="s">
        <v>22</v>
      </c>
      <c r="DN11" s="394" t="s">
        <v>23</v>
      </c>
      <c r="DO11" s="394" t="s">
        <v>24</v>
      </c>
      <c r="DP11" s="394" t="s">
        <v>25</v>
      </c>
      <c r="DQ11" s="394" t="s">
        <v>26</v>
      </c>
      <c r="DR11" s="394" t="s">
        <v>22</v>
      </c>
      <c r="DS11" s="394" t="s">
        <v>23</v>
      </c>
      <c r="DT11" s="394" t="s">
        <v>24</v>
      </c>
      <c r="DU11" s="394" t="s">
        <v>25</v>
      </c>
      <c r="DV11" s="394" t="s">
        <v>26</v>
      </c>
      <c r="DW11" s="394" t="s">
        <v>22</v>
      </c>
      <c r="DX11" s="394" t="s">
        <v>23</v>
      </c>
      <c r="DY11" s="394" t="s">
        <v>24</v>
      </c>
      <c r="DZ11" s="394" t="s">
        <v>25</v>
      </c>
      <c r="EA11" s="394" t="s">
        <v>26</v>
      </c>
      <c r="EB11" s="394" t="s">
        <v>22</v>
      </c>
      <c r="EC11" s="394" t="s">
        <v>23</v>
      </c>
      <c r="ED11" s="394" t="s">
        <v>24</v>
      </c>
      <c r="EE11" s="394" t="s">
        <v>25</v>
      </c>
      <c r="EF11" s="394" t="s">
        <v>26</v>
      </c>
    </row>
    <row r="12" spans="1:136" ht="18" customHeight="1" x14ac:dyDescent="0.2">
      <c r="A12" s="36">
        <v>1</v>
      </c>
      <c r="B12" s="36">
        <v>1</v>
      </c>
      <c r="C12" s="1070" t="s">
        <v>1239</v>
      </c>
      <c r="D12" s="1071" t="s">
        <v>1246</v>
      </c>
      <c r="E12" s="396" t="s">
        <v>580</v>
      </c>
      <c r="F12" s="396"/>
      <c r="G12" s="396"/>
      <c r="H12" s="397"/>
      <c r="I12" s="414">
        <v>133962.85999999999</v>
      </c>
      <c r="J12" s="408">
        <f>I12/$I$2</f>
        <v>0.19540134018302802</v>
      </c>
      <c r="K12" s="414">
        <v>78425.200000000012</v>
      </c>
      <c r="L12" s="424">
        <v>18654.96</v>
      </c>
      <c r="M12" s="112">
        <f>+I12-K12-L12</f>
        <v>36882.699999999975</v>
      </c>
      <c r="N12" s="68">
        <f>M12/I12</f>
        <v>0.27532033878643664</v>
      </c>
      <c r="O12" s="111"/>
      <c r="P12" s="30">
        <v>35796</v>
      </c>
      <c r="Q12" s="142">
        <f t="shared" ref="Q12:Q75" ca="1" si="0">($I$1-P12)/30.33/12</f>
        <v>20.296186394109245</v>
      </c>
      <c r="R12" s="111"/>
      <c r="S12" s="162">
        <v>43951</v>
      </c>
      <c r="T12" s="111"/>
      <c r="U12" s="64">
        <f t="shared" ref="U12:U19" ca="1" si="1">(Z12-$I$1)/30.33</f>
        <v>25.321463897131554</v>
      </c>
      <c r="V12" s="111"/>
      <c r="W12" s="145" t="s">
        <v>645</v>
      </c>
      <c r="X12" s="66"/>
      <c r="Y12" s="111"/>
      <c r="Z12" s="308">
        <f>IF(OR(W12="",W12="N"),S12,EDATE(S12,X12))</f>
        <v>43951</v>
      </c>
      <c r="AA12" s="111"/>
      <c r="AB12" s="1" t="s">
        <v>135</v>
      </c>
      <c r="AC12" s="111"/>
      <c r="AD12" s="1225" t="s">
        <v>646</v>
      </c>
      <c r="AE12" s="1226"/>
      <c r="AF12" s="1227"/>
      <c r="AG12" s="150"/>
      <c r="AH12" s="31"/>
      <c r="AI12" s="100"/>
      <c r="AJ12" s="100"/>
      <c r="AK12" s="100"/>
      <c r="AL12" s="34"/>
      <c r="AM12" s="33"/>
      <c r="AN12" s="33"/>
      <c r="AO12" s="33"/>
      <c r="AP12" s="34"/>
      <c r="AQ12" s="33"/>
      <c r="AR12" s="33"/>
      <c r="AS12" s="33"/>
      <c r="AT12" s="151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4"/>
      <c r="BW12" s="164"/>
      <c r="BX12" s="164"/>
      <c r="BY12" s="164"/>
      <c r="BZ12" s="164"/>
      <c r="CA12" s="164"/>
      <c r="CB12" s="164"/>
      <c r="CC12" s="164"/>
      <c r="CD12" s="165"/>
      <c r="CE12" s="164"/>
      <c r="CF12" s="164"/>
      <c r="CG12" s="164"/>
      <c r="CH12" s="164"/>
      <c r="CI12" s="164"/>
      <c r="CJ12" s="164"/>
      <c r="CK12" s="164"/>
      <c r="CL12" s="164"/>
      <c r="CM12" s="164"/>
      <c r="CN12" s="164"/>
      <c r="CO12" s="164"/>
      <c r="CP12" s="165"/>
      <c r="CQ12" s="164"/>
      <c r="CR12" s="164"/>
      <c r="CS12" s="164"/>
      <c r="CT12" s="164"/>
      <c r="CU12" s="164"/>
      <c r="CV12" s="164"/>
      <c r="CW12" s="164"/>
      <c r="CX12" s="164"/>
      <c r="CY12" s="164"/>
      <c r="CZ12" s="164"/>
      <c r="DA12" s="164"/>
      <c r="DB12" s="166"/>
      <c r="DC12" s="164"/>
      <c r="DD12" s="164"/>
      <c r="DE12" s="164"/>
      <c r="DF12" s="164"/>
      <c r="DG12" s="164"/>
      <c r="DH12" s="164"/>
      <c r="DI12" s="164"/>
      <c r="DJ12" s="164"/>
      <c r="DK12" s="164"/>
      <c r="DL12" s="166"/>
      <c r="DM12" s="164"/>
      <c r="DN12" s="164"/>
      <c r="DO12" s="164"/>
      <c r="DP12" s="164"/>
      <c r="DQ12" s="164"/>
      <c r="DR12" s="164"/>
      <c r="DS12" s="164"/>
      <c r="DT12" s="164"/>
      <c r="DU12" s="164"/>
      <c r="DV12" s="166"/>
      <c r="DW12" s="164"/>
      <c r="DX12" s="164"/>
      <c r="DY12" s="164"/>
      <c r="DZ12" s="164"/>
      <c r="EA12" s="164"/>
      <c r="EB12" s="164"/>
      <c r="EC12" s="164"/>
      <c r="ED12" s="164"/>
      <c r="EE12" s="164"/>
      <c r="EF12" s="166"/>
    </row>
    <row r="13" spans="1:136" ht="18" customHeight="1" x14ac:dyDescent="0.2">
      <c r="A13" s="36">
        <v>2</v>
      </c>
      <c r="B13" s="36">
        <v>2</v>
      </c>
      <c r="C13" s="601" t="s">
        <v>1240</v>
      </c>
      <c r="D13" s="602" t="s">
        <v>1247</v>
      </c>
      <c r="E13" s="400" t="s">
        <v>521</v>
      </c>
      <c r="F13" s="400"/>
      <c r="G13" s="400"/>
      <c r="H13" s="401"/>
      <c r="I13" s="415">
        <v>91343.66</v>
      </c>
      <c r="J13" s="409">
        <f>I13/$I$2</f>
        <v>0.13323598481864937</v>
      </c>
      <c r="K13" s="425">
        <v>63559.75</v>
      </c>
      <c r="L13" s="425">
        <v>463.599999999999</v>
      </c>
      <c r="M13" s="112">
        <f t="shared" ref="M13:M76" si="2">+I13-K13-L13</f>
        <v>27320.310000000005</v>
      </c>
      <c r="N13" s="69">
        <f>M13/I13</f>
        <v>0.29909366451924529</v>
      </c>
      <c r="O13" s="111"/>
      <c r="P13" s="32">
        <v>42261</v>
      </c>
      <c r="Q13" s="143">
        <f t="shared" ca="1" si="0"/>
        <v>2.5332454115836907</v>
      </c>
      <c r="R13" s="111"/>
      <c r="S13" s="163">
        <v>44088</v>
      </c>
      <c r="T13" s="111"/>
      <c r="U13" s="64">
        <f t="shared" ca="1" si="1"/>
        <v>29.838443785031323</v>
      </c>
      <c r="V13" s="111"/>
      <c r="W13" s="146" t="s">
        <v>592</v>
      </c>
      <c r="X13" s="67"/>
      <c r="Y13" s="111"/>
      <c r="Z13" s="309">
        <f>IF(OR(W13="",W13="N"),S13,EDATE(S13,X13))</f>
        <v>44088</v>
      </c>
      <c r="AA13" s="111"/>
      <c r="AB13" s="2" t="s">
        <v>135</v>
      </c>
      <c r="AC13" s="111"/>
      <c r="AD13" s="1221" t="s">
        <v>647</v>
      </c>
      <c r="AE13" s="1222"/>
      <c r="AF13" s="1223"/>
      <c r="AG13" s="150"/>
      <c r="AH13" s="34"/>
      <c r="AI13" s="34"/>
      <c r="AJ13" s="3"/>
      <c r="AK13" s="3"/>
      <c r="AL13" s="34"/>
      <c r="AM13" s="34"/>
      <c r="AN13" s="3"/>
      <c r="AO13" s="3"/>
      <c r="AP13" s="34"/>
      <c r="AQ13" s="34"/>
      <c r="AR13" s="3"/>
      <c r="AS13" s="3"/>
      <c r="AT13" s="61"/>
      <c r="AU13" s="167"/>
      <c r="AV13" s="167"/>
      <c r="AW13" s="167"/>
      <c r="AX13" s="167"/>
      <c r="AY13" s="167"/>
      <c r="AZ13" s="167"/>
      <c r="BA13" s="167"/>
      <c r="BB13" s="167"/>
      <c r="BC13" s="167"/>
      <c r="BD13" s="167"/>
      <c r="BE13" s="167"/>
      <c r="BF13" s="167"/>
      <c r="BG13" s="167"/>
      <c r="BH13" s="167"/>
      <c r="BI13" s="167"/>
      <c r="BJ13" s="167"/>
      <c r="BK13" s="167"/>
      <c r="BL13" s="167"/>
      <c r="BM13" s="167"/>
      <c r="BN13" s="167"/>
      <c r="BO13" s="167"/>
      <c r="BP13" s="167"/>
      <c r="BQ13" s="167"/>
      <c r="BR13" s="167"/>
      <c r="BS13" s="167"/>
      <c r="BT13" s="167"/>
      <c r="BU13" s="167"/>
      <c r="BV13" s="167"/>
      <c r="BW13" s="167"/>
      <c r="BX13" s="167"/>
      <c r="BY13" s="167"/>
      <c r="BZ13" s="167"/>
      <c r="CA13" s="167"/>
      <c r="CB13" s="167"/>
      <c r="CC13" s="167"/>
      <c r="CD13" s="168"/>
      <c r="CE13" s="167"/>
      <c r="CF13" s="167"/>
      <c r="CG13" s="167"/>
      <c r="CH13" s="167"/>
      <c r="CI13" s="167"/>
      <c r="CJ13" s="167"/>
      <c r="CK13" s="167"/>
      <c r="CL13" s="167"/>
      <c r="CM13" s="167"/>
      <c r="CN13" s="167"/>
      <c r="CO13" s="167"/>
      <c r="CP13" s="168"/>
      <c r="CQ13" s="167"/>
      <c r="CR13" s="167"/>
      <c r="CS13" s="167"/>
      <c r="CT13" s="167"/>
      <c r="CU13" s="167"/>
      <c r="CV13" s="167"/>
      <c r="CW13" s="167"/>
      <c r="CX13" s="167"/>
      <c r="CY13" s="167"/>
      <c r="CZ13" s="167"/>
      <c r="DA13" s="167"/>
      <c r="DB13" s="169"/>
      <c r="DC13" s="167"/>
      <c r="DD13" s="167"/>
      <c r="DE13" s="167"/>
      <c r="DF13" s="167"/>
      <c r="DG13" s="167"/>
      <c r="DH13" s="167"/>
      <c r="DI13" s="167"/>
      <c r="DJ13" s="167"/>
      <c r="DK13" s="167"/>
      <c r="DL13" s="169"/>
      <c r="DM13" s="167"/>
      <c r="DN13" s="167"/>
      <c r="DO13" s="167"/>
      <c r="DP13" s="167"/>
      <c r="DQ13" s="167"/>
      <c r="DR13" s="167"/>
      <c r="DS13" s="167"/>
      <c r="DT13" s="167"/>
      <c r="DU13" s="167"/>
      <c r="DV13" s="169"/>
      <c r="DW13" s="167"/>
      <c r="DX13" s="167"/>
      <c r="DY13" s="167"/>
      <c r="DZ13" s="167"/>
      <c r="EA13" s="167"/>
      <c r="EB13" s="167"/>
      <c r="EC13" s="167"/>
      <c r="ED13" s="167"/>
      <c r="EE13" s="167"/>
      <c r="EF13" s="169"/>
    </row>
    <row r="14" spans="1:136" ht="18" customHeight="1" x14ac:dyDescent="0.2">
      <c r="A14" s="36">
        <v>3</v>
      </c>
      <c r="B14" s="36">
        <v>3</v>
      </c>
      <c r="C14" s="601" t="s">
        <v>1241</v>
      </c>
      <c r="D14" s="602" t="s">
        <v>1248</v>
      </c>
      <c r="E14" s="400" t="s">
        <v>521</v>
      </c>
      <c r="F14" s="400"/>
      <c r="G14" s="400"/>
      <c r="H14" s="401"/>
      <c r="I14" s="414">
        <f>51839.18-17000</f>
        <v>34839.18</v>
      </c>
      <c r="J14" s="409">
        <f>I14/$I$2</f>
        <v>5.0817237425938404E-2</v>
      </c>
      <c r="K14" s="414">
        <f>43256.1-9000</f>
        <v>34256.1</v>
      </c>
      <c r="L14" s="424">
        <f>8478.85-5000</f>
        <v>3478.8500000000004</v>
      </c>
      <c r="M14" s="112">
        <f t="shared" si="2"/>
        <v>-2895.7699999999986</v>
      </c>
      <c r="N14" s="69">
        <f>M14/I14</f>
        <v>-8.3118201978347322E-2</v>
      </c>
      <c r="O14" s="111"/>
      <c r="P14" s="32">
        <v>42736</v>
      </c>
      <c r="Q14" s="143">
        <f t="shared" ca="1" si="0"/>
        <v>1.2281569403231125</v>
      </c>
      <c r="R14" s="111"/>
      <c r="S14" s="4">
        <v>43615</v>
      </c>
      <c r="T14" s="111"/>
      <c r="U14" s="64">
        <f t="shared" ca="1" si="1"/>
        <v>14.2433234421365</v>
      </c>
      <c r="V14" s="111"/>
      <c r="W14" s="144" t="s">
        <v>592</v>
      </c>
      <c r="X14" s="67"/>
      <c r="Y14" s="111"/>
      <c r="Z14" s="309">
        <f>IF(OR(W14="",W14="N"),S14,EDATE(S14,X14))</f>
        <v>43615</v>
      </c>
      <c r="AA14" s="111"/>
      <c r="AB14" s="2" t="s">
        <v>519</v>
      </c>
      <c r="AC14" s="111"/>
      <c r="AD14" s="1221" t="s">
        <v>624</v>
      </c>
      <c r="AE14" s="1222"/>
      <c r="AF14" s="1223"/>
      <c r="AG14" s="150"/>
      <c r="AH14" s="52"/>
      <c r="AI14" s="52"/>
      <c r="AJ14" s="3"/>
      <c r="AK14" s="3"/>
      <c r="AL14" s="52"/>
      <c r="AM14" s="52"/>
      <c r="AN14" s="3"/>
      <c r="AO14" s="3"/>
      <c r="AP14" s="52"/>
      <c r="AQ14" s="52"/>
      <c r="AR14" s="3"/>
      <c r="AS14" s="3"/>
      <c r="AT14" s="61"/>
      <c r="AU14" s="167"/>
      <c r="AV14" s="167"/>
      <c r="AW14" s="167"/>
      <c r="AX14" s="167"/>
      <c r="AY14" s="167"/>
      <c r="AZ14" s="167"/>
      <c r="BA14" s="167"/>
      <c r="BB14" s="167"/>
      <c r="BC14" s="167"/>
      <c r="BD14" s="167"/>
      <c r="BE14" s="167"/>
      <c r="BF14" s="167"/>
      <c r="BG14" s="167"/>
      <c r="BH14" s="167"/>
      <c r="BI14" s="167"/>
      <c r="BJ14" s="167"/>
      <c r="BK14" s="167"/>
      <c r="BL14" s="167"/>
      <c r="BM14" s="167"/>
      <c r="BN14" s="167"/>
      <c r="BO14" s="167"/>
      <c r="BP14" s="167"/>
      <c r="BQ14" s="167"/>
      <c r="BR14" s="167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5"/>
      <c r="DC14" s="3"/>
      <c r="DD14" s="3"/>
      <c r="DE14" s="3"/>
      <c r="DF14" s="3"/>
      <c r="DG14" s="3"/>
      <c r="DH14" s="3"/>
      <c r="DI14" s="3"/>
      <c r="DJ14" s="3"/>
      <c r="DK14" s="3"/>
      <c r="DL14" s="5"/>
      <c r="DM14" s="3"/>
      <c r="DN14" s="3"/>
      <c r="DO14" s="3"/>
      <c r="DP14" s="3"/>
      <c r="DQ14" s="3"/>
      <c r="DR14" s="3"/>
      <c r="DS14" s="3"/>
      <c r="DT14" s="3"/>
      <c r="DU14" s="3"/>
      <c r="DV14" s="5"/>
      <c r="DW14" s="3"/>
      <c r="DX14" s="3"/>
      <c r="DY14" s="3"/>
      <c r="DZ14" s="3"/>
      <c r="EA14" s="3"/>
      <c r="EB14" s="3"/>
      <c r="EC14" s="3"/>
      <c r="ED14" s="3"/>
      <c r="EE14" s="3"/>
      <c r="EF14" s="5"/>
    </row>
    <row r="15" spans="1:136" ht="18" customHeight="1" x14ac:dyDescent="0.2">
      <c r="A15" s="36">
        <v>4</v>
      </c>
      <c r="B15" s="36">
        <v>4</v>
      </c>
      <c r="C15" s="601" t="s">
        <v>1242</v>
      </c>
      <c r="D15" s="602"/>
      <c r="E15" s="400" t="s">
        <v>548</v>
      </c>
      <c r="F15" s="400" t="s">
        <v>648</v>
      </c>
      <c r="G15" s="400" t="s">
        <v>548</v>
      </c>
      <c r="H15" s="401" t="s">
        <v>527</v>
      </c>
      <c r="I15" s="416">
        <v>36924.83</v>
      </c>
      <c r="J15" s="409">
        <f>I15/$I$2</f>
        <v>5.3859414975393032E-2</v>
      </c>
      <c r="K15" s="426">
        <v>22688.36</v>
      </c>
      <c r="L15" s="426">
        <v>5875.62</v>
      </c>
      <c r="M15" s="112">
        <f>+I15-K15-L15</f>
        <v>8360.8500000000022</v>
      </c>
      <c r="N15" s="69">
        <f>M15/I15</f>
        <v>0.22642893684276955</v>
      </c>
      <c r="O15" s="111"/>
      <c r="P15" s="32">
        <v>42736</v>
      </c>
      <c r="Q15" s="143">
        <f t="shared" ca="1" si="0"/>
        <v>1.2281569403231125</v>
      </c>
      <c r="R15" s="111"/>
      <c r="S15" s="163">
        <v>43830</v>
      </c>
      <c r="T15" s="111"/>
      <c r="U15" s="64">
        <f t="shared" ca="1" si="1"/>
        <v>21.332014507088694</v>
      </c>
      <c r="V15" s="111"/>
      <c r="W15" s="146"/>
      <c r="X15" s="67"/>
      <c r="Y15" s="111"/>
      <c r="Z15" s="309">
        <f t="shared" ref="Z15:Z78" si="3">IF(OR(W15="",W15="N"),S15,EDATE(S15,X15))</f>
        <v>43830</v>
      </c>
      <c r="AA15" s="111"/>
      <c r="AB15" s="2"/>
      <c r="AC15" s="111"/>
      <c r="AD15" s="1221" t="s">
        <v>649</v>
      </c>
      <c r="AE15" s="1222"/>
      <c r="AF15" s="1223"/>
      <c r="AG15" s="150"/>
      <c r="AH15" s="34"/>
      <c r="AI15" s="34"/>
      <c r="AJ15" s="3"/>
      <c r="AK15" s="3"/>
      <c r="AL15" s="34"/>
      <c r="AM15" s="34"/>
      <c r="AN15" s="3"/>
      <c r="AO15" s="3"/>
      <c r="AP15" s="34"/>
      <c r="AQ15" s="34"/>
      <c r="AR15" s="3"/>
      <c r="AS15" s="3"/>
      <c r="AT15" s="61"/>
      <c r="AU15" s="167"/>
      <c r="AV15" s="167"/>
      <c r="AW15" s="167"/>
      <c r="AX15" s="167"/>
      <c r="AY15" s="167"/>
      <c r="AZ15" s="167"/>
      <c r="BA15" s="167"/>
      <c r="BB15" s="167"/>
      <c r="BC15" s="167"/>
      <c r="BD15" s="167"/>
      <c r="BE15" s="167"/>
      <c r="BF15" s="167"/>
      <c r="BG15" s="167"/>
      <c r="BH15" s="167"/>
      <c r="BI15" s="167"/>
      <c r="BJ15" s="167"/>
      <c r="BK15" s="167"/>
      <c r="BL15" s="167"/>
      <c r="BM15" s="167"/>
      <c r="BN15" s="167"/>
      <c r="BO15" s="167"/>
      <c r="BP15" s="167"/>
      <c r="BQ15" s="167"/>
      <c r="BR15" s="167"/>
      <c r="BS15" s="167"/>
      <c r="BT15" s="167"/>
      <c r="BU15" s="167"/>
      <c r="BV15" s="167"/>
      <c r="BW15" s="167"/>
      <c r="BX15" s="167"/>
      <c r="BY15" s="167"/>
      <c r="BZ15" s="167"/>
      <c r="CA15" s="167"/>
      <c r="CB15" s="167"/>
      <c r="CC15" s="167"/>
      <c r="CD15" s="168"/>
      <c r="CE15" s="167"/>
      <c r="CF15" s="167"/>
      <c r="CG15" s="167"/>
      <c r="CH15" s="167"/>
      <c r="CI15" s="167"/>
      <c r="CJ15" s="167"/>
      <c r="CK15" s="167"/>
      <c r="CL15" s="167"/>
      <c r="CM15" s="167"/>
      <c r="CN15" s="167"/>
      <c r="CO15" s="167"/>
      <c r="CP15" s="168"/>
      <c r="CQ15" s="167"/>
      <c r="CR15" s="167"/>
      <c r="CS15" s="167"/>
      <c r="CT15" s="167"/>
      <c r="CU15" s="167"/>
      <c r="CV15" s="167"/>
      <c r="CW15" s="167"/>
      <c r="CX15" s="167"/>
      <c r="CY15" s="167"/>
      <c r="CZ15" s="167"/>
      <c r="DA15" s="167"/>
      <c r="DB15" s="169"/>
      <c r="DC15" s="167"/>
      <c r="DD15" s="167"/>
      <c r="DE15" s="167"/>
      <c r="DF15" s="167"/>
      <c r="DG15" s="167"/>
      <c r="DH15" s="167"/>
      <c r="DI15" s="167"/>
      <c r="DJ15" s="167"/>
      <c r="DK15" s="167"/>
      <c r="DL15" s="169"/>
      <c r="DM15" s="167"/>
      <c r="DN15" s="167"/>
      <c r="DO15" s="167"/>
      <c r="DP15" s="167"/>
      <c r="DQ15" s="167"/>
      <c r="DR15" s="167"/>
      <c r="DS15" s="167"/>
      <c r="DT15" s="167"/>
      <c r="DU15" s="167"/>
      <c r="DV15" s="169"/>
      <c r="DW15" s="167"/>
      <c r="DX15" s="167"/>
      <c r="DY15" s="167"/>
      <c r="DZ15" s="167"/>
      <c r="EA15" s="167"/>
      <c r="EB15" s="167"/>
      <c r="EC15" s="167"/>
      <c r="ED15" s="167"/>
      <c r="EE15" s="167"/>
      <c r="EF15" s="169"/>
    </row>
    <row r="16" spans="1:136" ht="18" customHeight="1" x14ac:dyDescent="0.2">
      <c r="A16" s="36">
        <v>5</v>
      </c>
      <c r="B16" s="36">
        <v>5</v>
      </c>
      <c r="C16" s="601" t="s">
        <v>1243</v>
      </c>
      <c r="D16" s="602"/>
      <c r="E16" s="400" t="s">
        <v>580</v>
      </c>
      <c r="F16" s="400" t="s">
        <v>650</v>
      </c>
      <c r="G16" s="400" t="s">
        <v>548</v>
      </c>
      <c r="H16" s="401" t="s">
        <v>527</v>
      </c>
      <c r="I16" s="416">
        <v>32039.75</v>
      </c>
      <c r="J16" s="409">
        <f>I16/$I$2</f>
        <v>4.6733923784018742E-2</v>
      </c>
      <c r="K16" s="426">
        <v>29318.12</v>
      </c>
      <c r="L16" s="426">
        <v>168.27</v>
      </c>
      <c r="M16" s="112">
        <f t="shared" si="2"/>
        <v>2553.360000000001</v>
      </c>
      <c r="N16" s="69">
        <f>M16/I16</f>
        <v>7.9693505723359301E-2</v>
      </c>
      <c r="O16" s="111"/>
      <c r="P16" s="32">
        <v>41244</v>
      </c>
      <c r="Q16" s="143">
        <f t="shared" ca="1" si="0"/>
        <v>5.3275085174194965</v>
      </c>
      <c r="R16" s="111"/>
      <c r="S16" s="163">
        <v>43100</v>
      </c>
      <c r="T16" s="111"/>
      <c r="U16" s="64">
        <f t="shared" ca="1" si="1"/>
        <v>-2.7365644576327068</v>
      </c>
      <c r="V16" s="111"/>
      <c r="W16" s="146"/>
      <c r="X16" s="67"/>
      <c r="Y16" s="111"/>
      <c r="Z16" s="309">
        <f t="shared" si="3"/>
        <v>43100</v>
      </c>
      <c r="AA16" s="111"/>
      <c r="AB16" s="2"/>
      <c r="AC16" s="111"/>
      <c r="AD16" s="1221" t="s">
        <v>649</v>
      </c>
      <c r="AE16" s="1222"/>
      <c r="AF16" s="1223"/>
      <c r="AG16" s="150"/>
      <c r="AH16" s="34"/>
      <c r="AI16" s="34"/>
      <c r="AJ16" s="3"/>
      <c r="AK16" s="3"/>
      <c r="AL16" s="34"/>
      <c r="AM16" s="34"/>
      <c r="AN16" s="3"/>
      <c r="AO16" s="3"/>
      <c r="AP16" s="34"/>
      <c r="AQ16" s="34"/>
      <c r="AR16" s="3"/>
      <c r="AS16" s="3"/>
      <c r="AT16" s="61"/>
      <c r="AU16" s="167"/>
      <c r="AV16" s="167"/>
      <c r="AW16" s="167"/>
      <c r="AX16" s="167"/>
      <c r="AY16" s="167"/>
      <c r="AZ16" s="167"/>
      <c r="BA16" s="167"/>
      <c r="BB16" s="167"/>
      <c r="BC16" s="167"/>
      <c r="BD16" s="167"/>
      <c r="BE16" s="167"/>
      <c r="BF16" s="167"/>
      <c r="BG16" s="167"/>
      <c r="BH16" s="167"/>
      <c r="BI16" s="167"/>
      <c r="BJ16" s="167"/>
      <c r="BK16" s="167"/>
      <c r="BL16" s="167"/>
      <c r="BM16" s="167"/>
      <c r="BN16" s="167"/>
      <c r="BO16" s="167"/>
      <c r="BP16" s="167"/>
      <c r="BQ16" s="167"/>
      <c r="BR16" s="167"/>
      <c r="BS16" s="167"/>
      <c r="BT16" s="167"/>
      <c r="BU16" s="167"/>
      <c r="BV16" s="167"/>
      <c r="BW16" s="167"/>
      <c r="BX16" s="167"/>
      <c r="BY16" s="167"/>
      <c r="BZ16" s="167"/>
      <c r="CA16" s="167"/>
      <c r="CB16" s="167"/>
      <c r="CC16" s="167"/>
      <c r="CD16" s="168"/>
      <c r="CE16" s="167"/>
      <c r="CF16" s="167"/>
      <c r="CG16" s="167"/>
      <c r="CH16" s="167"/>
      <c r="CI16" s="167"/>
      <c r="CJ16" s="167"/>
      <c r="CK16" s="167"/>
      <c r="CL16" s="167"/>
      <c r="CM16" s="167"/>
      <c r="CN16" s="167"/>
      <c r="CO16" s="167"/>
      <c r="CP16" s="168"/>
      <c r="CQ16" s="167"/>
      <c r="CR16" s="167"/>
      <c r="CS16" s="167"/>
      <c r="CT16" s="167"/>
      <c r="CU16" s="167"/>
      <c r="CV16" s="167"/>
      <c r="CW16" s="167"/>
      <c r="CX16" s="167"/>
      <c r="CY16" s="167"/>
      <c r="CZ16" s="167"/>
      <c r="DA16" s="167"/>
      <c r="DB16" s="169"/>
      <c r="DC16" s="167"/>
      <c r="DD16" s="167"/>
      <c r="DE16" s="167"/>
      <c r="DF16" s="167"/>
      <c r="DG16" s="167"/>
      <c r="DH16" s="167"/>
      <c r="DI16" s="167"/>
      <c r="DJ16" s="167"/>
      <c r="DK16" s="167"/>
      <c r="DL16" s="169"/>
      <c r="DM16" s="167"/>
      <c r="DN16" s="167"/>
      <c r="DO16" s="167"/>
      <c r="DP16" s="167"/>
      <c r="DQ16" s="167"/>
      <c r="DR16" s="167"/>
      <c r="DS16" s="167"/>
      <c r="DT16" s="167"/>
      <c r="DU16" s="167"/>
      <c r="DV16" s="169"/>
      <c r="DW16" s="167"/>
      <c r="DX16" s="167"/>
      <c r="DY16" s="167"/>
      <c r="DZ16" s="167"/>
      <c r="EA16" s="167"/>
      <c r="EB16" s="167"/>
      <c r="EC16" s="167"/>
      <c r="ED16" s="167"/>
      <c r="EE16" s="167"/>
      <c r="EF16" s="169"/>
    </row>
    <row r="17" spans="1:136" ht="18" customHeight="1" x14ac:dyDescent="0.2">
      <c r="A17" s="36">
        <v>6</v>
      </c>
      <c r="B17" s="36">
        <v>6</v>
      </c>
      <c r="C17" s="636" t="s">
        <v>1244</v>
      </c>
      <c r="D17" s="637"/>
      <c r="E17" s="400" t="s">
        <v>521</v>
      </c>
      <c r="F17" s="400"/>
      <c r="G17" s="400"/>
      <c r="H17" s="401"/>
      <c r="I17" s="416">
        <v>30126</v>
      </c>
      <c r="J17" s="409">
        <f t="shared" ref="J17:J80" si="4">I17/$I$2</f>
        <v>4.3942483568609261E-2</v>
      </c>
      <c r="K17" s="426">
        <v>23091.77</v>
      </c>
      <c r="L17" s="426">
        <v>417.84</v>
      </c>
      <c r="M17" s="112">
        <f t="shared" si="2"/>
        <v>6616.3899999999994</v>
      </c>
      <c r="N17" s="69">
        <f t="shared" ref="N17:N80" si="5">M17/I17</f>
        <v>0.21962391289915686</v>
      </c>
      <c r="O17" s="111"/>
      <c r="P17" s="32">
        <v>42917</v>
      </c>
      <c r="Q17" s="143">
        <f t="shared" ca="1" si="0"/>
        <v>0.73084954390592383</v>
      </c>
      <c r="R17" s="111"/>
      <c r="S17" s="163">
        <v>44196</v>
      </c>
      <c r="T17" s="111"/>
      <c r="U17" s="64">
        <f t="shared" ca="1" si="1"/>
        <v>33.399274645565448</v>
      </c>
      <c r="V17" s="111"/>
      <c r="W17" s="146" t="s">
        <v>592</v>
      </c>
      <c r="X17" s="67"/>
      <c r="Y17" s="111"/>
      <c r="Z17" s="309">
        <f t="shared" si="3"/>
        <v>44196</v>
      </c>
      <c r="AA17" s="111"/>
      <c r="AB17" s="2" t="s">
        <v>135</v>
      </c>
      <c r="AC17" s="111"/>
      <c r="AD17" s="1221" t="s">
        <v>624</v>
      </c>
      <c r="AE17" s="1222"/>
      <c r="AF17" s="1223"/>
      <c r="AG17" s="150"/>
      <c r="AH17" s="34"/>
      <c r="AI17" s="33"/>
      <c r="AJ17" s="3"/>
      <c r="AK17" s="3"/>
      <c r="AL17" s="34"/>
      <c r="AM17" s="33"/>
      <c r="AN17" s="3"/>
      <c r="AO17" s="3"/>
      <c r="AP17" s="34"/>
      <c r="AQ17" s="33"/>
      <c r="AR17" s="3"/>
      <c r="AS17" s="3"/>
      <c r="AT17" s="61"/>
      <c r="AU17" s="167"/>
      <c r="AV17" s="167"/>
      <c r="AW17" s="167"/>
      <c r="AX17" s="167"/>
      <c r="AY17" s="167"/>
      <c r="AZ17" s="167"/>
      <c r="BA17" s="167"/>
      <c r="BB17" s="167"/>
      <c r="BC17" s="167"/>
      <c r="BD17" s="167"/>
      <c r="BE17" s="167"/>
      <c r="BF17" s="167"/>
      <c r="BG17" s="167"/>
      <c r="BH17" s="167"/>
      <c r="BI17" s="167"/>
      <c r="BJ17" s="167"/>
      <c r="BK17" s="167"/>
      <c r="BL17" s="167"/>
      <c r="BM17" s="167"/>
      <c r="BN17" s="167"/>
      <c r="BO17" s="167"/>
      <c r="BP17" s="167"/>
      <c r="BQ17" s="167"/>
      <c r="BR17" s="167"/>
      <c r="BS17" s="167"/>
      <c r="BT17" s="167"/>
      <c r="BU17" s="167"/>
      <c r="BV17" s="167"/>
      <c r="BW17" s="167"/>
      <c r="BX17" s="167"/>
      <c r="BY17" s="167"/>
      <c r="BZ17" s="167"/>
      <c r="CA17" s="167"/>
      <c r="CB17" s="167"/>
      <c r="CC17" s="167"/>
      <c r="CD17" s="168"/>
      <c r="CE17" s="167"/>
      <c r="CF17" s="167"/>
      <c r="CG17" s="167"/>
      <c r="CH17" s="167"/>
      <c r="CI17" s="167"/>
      <c r="CJ17" s="167"/>
      <c r="CK17" s="167"/>
      <c r="CL17" s="167"/>
      <c r="CM17" s="167"/>
      <c r="CN17" s="167"/>
      <c r="CO17" s="167"/>
      <c r="CP17" s="168"/>
      <c r="CQ17" s="167"/>
      <c r="CR17" s="167"/>
      <c r="CS17" s="167"/>
      <c r="CT17" s="167"/>
      <c r="CU17" s="167"/>
      <c r="CV17" s="167"/>
      <c r="CW17" s="167"/>
      <c r="CX17" s="167"/>
      <c r="CY17" s="167"/>
      <c r="CZ17" s="167"/>
      <c r="DA17" s="167"/>
      <c r="DB17" s="169"/>
      <c r="DC17" s="167"/>
      <c r="DD17" s="167"/>
      <c r="DE17" s="167"/>
      <c r="DF17" s="167"/>
      <c r="DG17" s="167"/>
      <c r="DH17" s="167"/>
      <c r="DI17" s="167"/>
      <c r="DJ17" s="167"/>
      <c r="DK17" s="167"/>
      <c r="DL17" s="169"/>
      <c r="DM17" s="167"/>
      <c r="DN17" s="167"/>
      <c r="DO17" s="167"/>
      <c r="DP17" s="167"/>
      <c r="DQ17" s="167"/>
      <c r="DR17" s="167"/>
      <c r="DS17" s="167"/>
      <c r="DT17" s="167"/>
      <c r="DU17" s="167"/>
      <c r="DV17" s="169"/>
      <c r="DW17" s="167"/>
      <c r="DX17" s="167"/>
      <c r="DY17" s="167"/>
      <c r="DZ17" s="167"/>
      <c r="EA17" s="167"/>
      <c r="EB17" s="167"/>
      <c r="EC17" s="167"/>
      <c r="ED17" s="167"/>
      <c r="EE17" s="167"/>
      <c r="EF17" s="169"/>
    </row>
    <row r="18" spans="1:136" ht="18" customHeight="1" x14ac:dyDescent="0.2">
      <c r="A18" s="36">
        <v>7</v>
      </c>
      <c r="B18" s="36">
        <v>7</v>
      </c>
      <c r="C18" s="636" t="s">
        <v>1245</v>
      </c>
      <c r="D18" s="637"/>
      <c r="E18" s="400" t="s">
        <v>548</v>
      </c>
      <c r="F18" s="400"/>
      <c r="G18" s="400"/>
      <c r="H18" s="401"/>
      <c r="I18" s="414">
        <v>27087.52</v>
      </c>
      <c r="J18" s="409">
        <f t="shared" si="4"/>
        <v>3.9510486042434269E-2</v>
      </c>
      <c r="K18" s="414">
        <v>26217.279999999999</v>
      </c>
      <c r="L18" s="424">
        <v>2275.69</v>
      </c>
      <c r="M18" s="112">
        <f t="shared" si="2"/>
        <v>-1405.4499999999985</v>
      </c>
      <c r="N18" s="69">
        <f t="shared" si="5"/>
        <v>-5.1885517758731639E-2</v>
      </c>
      <c r="O18" s="111"/>
      <c r="P18" s="32">
        <v>42278</v>
      </c>
      <c r="Q18" s="143">
        <f t="shared" ca="1" si="0"/>
        <v>2.4865369820859438</v>
      </c>
      <c r="R18" s="111"/>
      <c r="S18" s="163">
        <v>43404</v>
      </c>
      <c r="T18" s="111"/>
      <c r="U18" s="64">
        <f t="shared" ca="1" si="1"/>
        <v>7.2865150016485334</v>
      </c>
      <c r="V18" s="111"/>
      <c r="W18" s="146" t="s">
        <v>592</v>
      </c>
      <c r="X18" s="67"/>
      <c r="Y18" s="111"/>
      <c r="Z18" s="309">
        <f t="shared" si="3"/>
        <v>43404</v>
      </c>
      <c r="AA18" s="111"/>
      <c r="AB18" s="2" t="s">
        <v>135</v>
      </c>
      <c r="AC18" s="111"/>
      <c r="AD18" s="1221" t="s">
        <v>624</v>
      </c>
      <c r="AE18" s="1222"/>
      <c r="AF18" s="1223"/>
      <c r="AG18" s="150"/>
      <c r="AH18" s="34"/>
      <c r="AI18" s="33"/>
      <c r="AJ18" s="3"/>
      <c r="AK18" s="3"/>
      <c r="AL18" s="34"/>
      <c r="AM18" s="33"/>
      <c r="AN18" s="3"/>
      <c r="AO18" s="3"/>
      <c r="AP18" s="34"/>
      <c r="AQ18" s="33"/>
      <c r="AR18" s="3"/>
      <c r="AS18" s="3"/>
      <c r="AT18" s="61"/>
      <c r="AU18" s="167"/>
      <c r="AV18" s="167"/>
      <c r="AW18" s="167"/>
      <c r="AX18" s="167"/>
      <c r="AY18" s="167"/>
      <c r="AZ18" s="167"/>
      <c r="BA18" s="167"/>
      <c r="BB18" s="167"/>
      <c r="BC18" s="167"/>
      <c r="BD18" s="167"/>
      <c r="BE18" s="167"/>
      <c r="BF18" s="167"/>
      <c r="BG18" s="167"/>
      <c r="BH18" s="167"/>
      <c r="BI18" s="167"/>
      <c r="BJ18" s="167"/>
      <c r="BK18" s="167"/>
      <c r="BL18" s="167"/>
      <c r="BM18" s="167"/>
      <c r="BN18" s="167"/>
      <c r="BO18" s="167"/>
      <c r="BP18" s="167"/>
      <c r="BQ18" s="167"/>
      <c r="BR18" s="167"/>
      <c r="BS18" s="167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5"/>
      <c r="DC18" s="3"/>
      <c r="DD18" s="3"/>
      <c r="DE18" s="3"/>
      <c r="DF18" s="3"/>
      <c r="DG18" s="3"/>
      <c r="DH18" s="3"/>
      <c r="DI18" s="3"/>
      <c r="DJ18" s="3"/>
      <c r="DK18" s="3"/>
      <c r="DL18" s="5"/>
      <c r="DM18" s="3"/>
      <c r="DN18" s="3"/>
      <c r="DO18" s="3"/>
      <c r="DP18" s="3"/>
      <c r="DQ18" s="3"/>
      <c r="DR18" s="3"/>
      <c r="DS18" s="3"/>
      <c r="DT18" s="3"/>
      <c r="DU18" s="3"/>
      <c r="DV18" s="5"/>
      <c r="DW18" s="3"/>
      <c r="DX18" s="3"/>
      <c r="DY18" s="3"/>
      <c r="DZ18" s="3"/>
      <c r="EA18" s="3"/>
      <c r="EB18" s="3"/>
      <c r="EC18" s="3"/>
      <c r="ED18" s="3"/>
      <c r="EE18" s="3"/>
      <c r="EF18" s="5"/>
    </row>
    <row r="19" spans="1:136" ht="18" customHeight="1" x14ac:dyDescent="0.2">
      <c r="A19" s="36">
        <v>8</v>
      </c>
      <c r="B19" s="36">
        <v>8</v>
      </c>
      <c r="C19" s="636" t="s">
        <v>1249</v>
      </c>
      <c r="D19" s="637"/>
      <c r="E19" s="400" t="s">
        <v>548</v>
      </c>
      <c r="F19" s="400"/>
      <c r="G19" s="400"/>
      <c r="H19" s="401"/>
      <c r="I19" s="414">
        <v>26437.909999999996</v>
      </c>
      <c r="J19" s="409">
        <f t="shared" si="4"/>
        <v>3.8562949802939998E-2</v>
      </c>
      <c r="K19" s="414">
        <v>22682.15</v>
      </c>
      <c r="L19" s="424">
        <v>3070.4</v>
      </c>
      <c r="M19" s="112">
        <f t="shared" si="2"/>
        <v>685.35999999999467</v>
      </c>
      <c r="N19" s="69">
        <f t="shared" si="5"/>
        <v>2.5923380479016486E-2</v>
      </c>
      <c r="O19" s="111"/>
      <c r="P19" s="32">
        <v>42857</v>
      </c>
      <c r="Q19" s="143">
        <f t="shared" ca="1" si="0"/>
        <v>0.89570282448620731</v>
      </c>
      <c r="R19" s="111"/>
      <c r="S19" s="163">
        <v>43952</v>
      </c>
      <c r="T19" s="111"/>
      <c r="U19" s="64">
        <f t="shared" ca="1" si="1"/>
        <v>25.354434553247611</v>
      </c>
      <c r="V19" s="111"/>
      <c r="W19" s="146" t="s">
        <v>592</v>
      </c>
      <c r="X19" s="67"/>
      <c r="Y19" s="111"/>
      <c r="Z19" s="309">
        <f t="shared" si="3"/>
        <v>43952</v>
      </c>
      <c r="AA19" s="111"/>
      <c r="AB19" s="2" t="s">
        <v>135</v>
      </c>
      <c r="AC19" s="111"/>
      <c r="AD19" s="1221" t="s">
        <v>624</v>
      </c>
      <c r="AE19" s="1222"/>
      <c r="AF19" s="1223"/>
      <c r="AG19" s="150"/>
      <c r="AH19" s="34"/>
      <c r="AI19" s="33"/>
      <c r="AJ19" s="33"/>
      <c r="AK19" s="33"/>
      <c r="AL19" s="34"/>
      <c r="AM19" s="33"/>
      <c r="AN19" s="33"/>
      <c r="AO19" s="33"/>
      <c r="AP19" s="34"/>
      <c r="AQ19" s="33"/>
      <c r="AR19" s="33"/>
      <c r="AS19" s="33"/>
      <c r="AT19" s="151"/>
      <c r="AU19" s="167"/>
      <c r="AV19" s="167"/>
      <c r="AW19" s="167"/>
      <c r="AX19" s="167"/>
      <c r="AY19" s="167"/>
      <c r="AZ19" s="167"/>
      <c r="BA19" s="167"/>
      <c r="BB19" s="167"/>
      <c r="BC19" s="167"/>
      <c r="BD19" s="167"/>
      <c r="BE19" s="167"/>
      <c r="BF19" s="167"/>
      <c r="BG19" s="167"/>
      <c r="BH19" s="167"/>
      <c r="BI19" s="167"/>
      <c r="BJ19" s="167"/>
      <c r="BK19" s="167"/>
      <c r="BL19" s="167"/>
      <c r="BM19" s="167"/>
      <c r="BN19" s="167"/>
      <c r="BO19" s="167"/>
      <c r="BP19" s="167"/>
      <c r="BQ19" s="167"/>
      <c r="BR19" s="167"/>
      <c r="BS19" s="167"/>
      <c r="BT19" s="167"/>
      <c r="BU19" s="167"/>
      <c r="BV19" s="167"/>
      <c r="BW19" s="167"/>
      <c r="BX19" s="167"/>
      <c r="BY19" s="167"/>
      <c r="BZ19" s="167"/>
      <c r="CA19" s="167"/>
      <c r="CB19" s="170"/>
      <c r="CC19" s="167"/>
      <c r="CD19" s="167"/>
      <c r="CE19" s="167"/>
      <c r="CF19" s="167"/>
      <c r="CG19" s="167"/>
      <c r="CH19" s="167"/>
      <c r="CI19" s="167"/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7"/>
      <c r="CV19" s="167"/>
      <c r="CW19" s="167"/>
      <c r="CX19" s="167"/>
      <c r="CY19" s="167"/>
      <c r="CZ19" s="167"/>
      <c r="DA19" s="167"/>
      <c r="DB19" s="5"/>
      <c r="DC19" s="167"/>
      <c r="DD19" s="167"/>
      <c r="DE19" s="167"/>
      <c r="DF19" s="167"/>
      <c r="DG19" s="167"/>
      <c r="DH19" s="167"/>
      <c r="DI19" s="167"/>
      <c r="DJ19" s="167"/>
      <c r="DK19" s="167"/>
      <c r="DL19" s="5"/>
      <c r="DM19" s="167"/>
      <c r="DN19" s="167"/>
      <c r="DO19" s="167"/>
      <c r="DP19" s="167"/>
      <c r="DQ19" s="167"/>
      <c r="DR19" s="167"/>
      <c r="DS19" s="167"/>
      <c r="DT19" s="167"/>
      <c r="DU19" s="167"/>
      <c r="DV19" s="5"/>
      <c r="DW19" s="167"/>
      <c r="DX19" s="167"/>
      <c r="DY19" s="167"/>
      <c r="DZ19" s="167"/>
      <c r="EA19" s="167"/>
      <c r="EB19" s="167"/>
      <c r="EC19" s="167"/>
      <c r="ED19" s="167"/>
      <c r="EE19" s="167"/>
      <c r="EF19" s="5"/>
    </row>
    <row r="20" spans="1:136" ht="18" customHeight="1" x14ac:dyDescent="0.2">
      <c r="A20" s="36">
        <v>9</v>
      </c>
      <c r="B20" s="36">
        <v>9</v>
      </c>
      <c r="C20" s="636" t="s">
        <v>1250</v>
      </c>
      <c r="D20" s="637"/>
      <c r="E20" s="400" t="s">
        <v>547</v>
      </c>
      <c r="F20" s="400"/>
      <c r="G20" s="400"/>
      <c r="H20" s="401"/>
      <c r="I20" s="417">
        <v>23967.63</v>
      </c>
      <c r="J20" s="409">
        <f>I20/$I$2</f>
        <v>3.4959741998722246E-2</v>
      </c>
      <c r="K20" s="424">
        <v>17778.3</v>
      </c>
      <c r="L20" s="424">
        <v>989.14</v>
      </c>
      <c r="M20" s="112">
        <f t="shared" si="2"/>
        <v>5200.1900000000014</v>
      </c>
      <c r="N20" s="69">
        <f>M20/I20</f>
        <v>0.21696721786843343</v>
      </c>
      <c r="O20" s="111"/>
      <c r="P20" s="32">
        <v>41275</v>
      </c>
      <c r="Q20" s="143">
        <f t="shared" ca="1" si="0"/>
        <v>5.2423343224530177</v>
      </c>
      <c r="R20" s="111"/>
      <c r="S20" s="163" t="s">
        <v>28</v>
      </c>
      <c r="T20" s="111"/>
      <c r="U20" s="64">
        <f ca="1">(Z20-$I$1)/30.33</f>
        <v>21.332014507088694</v>
      </c>
      <c r="V20" s="111"/>
      <c r="W20" s="146" t="s">
        <v>591</v>
      </c>
      <c r="X20" s="67">
        <v>12</v>
      </c>
      <c r="Y20" s="111"/>
      <c r="Z20" s="309">
        <f t="shared" si="3"/>
        <v>43830</v>
      </c>
      <c r="AA20" s="111"/>
      <c r="AB20" s="2" t="s">
        <v>135</v>
      </c>
      <c r="AC20" s="111"/>
      <c r="AD20" s="1221" t="s">
        <v>651</v>
      </c>
      <c r="AE20" s="1222"/>
      <c r="AF20" s="1223"/>
      <c r="AG20" s="150"/>
      <c r="AH20" s="34"/>
      <c r="AI20" s="33"/>
      <c r="AJ20" s="3"/>
      <c r="AK20" s="3"/>
      <c r="AL20" s="34"/>
      <c r="AM20" s="33"/>
      <c r="AN20" s="3"/>
      <c r="AO20" s="3"/>
      <c r="AP20" s="34"/>
      <c r="AQ20" s="33"/>
      <c r="AR20" s="3"/>
      <c r="AS20" s="3"/>
      <c r="AT20" s="61"/>
      <c r="AU20" s="167"/>
      <c r="AV20" s="167"/>
      <c r="AW20" s="167"/>
      <c r="AX20" s="167"/>
      <c r="AY20" s="167"/>
      <c r="AZ20" s="167"/>
      <c r="BA20" s="167"/>
      <c r="BB20" s="167"/>
      <c r="BC20" s="167"/>
      <c r="BD20" s="167"/>
      <c r="BE20" s="167"/>
      <c r="BF20" s="167"/>
      <c r="BG20" s="167"/>
      <c r="BH20" s="167"/>
      <c r="BI20" s="167"/>
      <c r="BJ20" s="167"/>
      <c r="BK20" s="167"/>
      <c r="BL20" s="167"/>
      <c r="BM20" s="167"/>
      <c r="BN20" s="167"/>
      <c r="BO20" s="167"/>
      <c r="BP20" s="167"/>
      <c r="BQ20" s="167"/>
      <c r="BR20" s="167"/>
      <c r="BS20" s="167"/>
      <c r="BT20" s="167"/>
      <c r="BU20" s="167"/>
      <c r="BV20" s="167"/>
      <c r="BW20" s="167"/>
      <c r="BX20" s="167"/>
      <c r="BY20" s="167"/>
      <c r="BZ20" s="167"/>
      <c r="CA20" s="167"/>
      <c r="CB20" s="167"/>
      <c r="CC20" s="167"/>
      <c r="CD20" s="167"/>
      <c r="CE20" s="167"/>
      <c r="CF20" s="167"/>
      <c r="CG20" s="167"/>
      <c r="CH20" s="167"/>
      <c r="CI20" s="167"/>
      <c r="CJ20" s="167"/>
      <c r="CK20" s="167"/>
      <c r="CL20" s="167"/>
      <c r="CM20" s="167"/>
      <c r="CN20" s="167"/>
      <c r="CO20" s="167"/>
      <c r="CP20" s="167"/>
      <c r="CQ20" s="167"/>
      <c r="CR20" s="167"/>
      <c r="CS20" s="167"/>
      <c r="CT20" s="167"/>
      <c r="CU20" s="167"/>
      <c r="CV20" s="167"/>
      <c r="CW20" s="167"/>
      <c r="CX20" s="3"/>
      <c r="CY20" s="3"/>
      <c r="CZ20" s="3"/>
      <c r="DA20" s="3"/>
      <c r="DB20" s="5"/>
      <c r="DC20" s="167"/>
      <c r="DD20" s="167"/>
      <c r="DE20" s="167"/>
      <c r="DF20" s="167"/>
      <c r="DG20" s="167"/>
      <c r="DH20" s="3"/>
      <c r="DI20" s="3"/>
      <c r="DJ20" s="3"/>
      <c r="DK20" s="3"/>
      <c r="DL20" s="5"/>
      <c r="DM20" s="167"/>
      <c r="DN20" s="167"/>
      <c r="DO20" s="167"/>
      <c r="DP20" s="167"/>
      <c r="DQ20" s="167"/>
      <c r="DR20" s="3"/>
      <c r="DS20" s="3"/>
      <c r="DT20" s="3"/>
      <c r="DU20" s="3"/>
      <c r="DV20" s="5"/>
      <c r="DW20" s="167"/>
      <c r="DX20" s="167"/>
      <c r="DY20" s="167"/>
      <c r="DZ20" s="167"/>
      <c r="EA20" s="167"/>
      <c r="EB20" s="3"/>
      <c r="EC20" s="3"/>
      <c r="ED20" s="3"/>
      <c r="EE20" s="3"/>
      <c r="EF20" s="5"/>
    </row>
    <row r="21" spans="1:136" ht="18" customHeight="1" x14ac:dyDescent="0.2">
      <c r="A21" s="36">
        <v>10</v>
      </c>
      <c r="B21" s="36">
        <v>10</v>
      </c>
      <c r="C21" s="664" t="s">
        <v>1251</v>
      </c>
      <c r="D21" s="665"/>
      <c r="E21" s="400" t="s">
        <v>548</v>
      </c>
      <c r="F21" s="400"/>
      <c r="G21" s="400"/>
      <c r="H21" s="401"/>
      <c r="I21" s="414">
        <v>17883.37</v>
      </c>
      <c r="J21" s="409">
        <f t="shared" si="4"/>
        <v>2.6085098996758937E-2</v>
      </c>
      <c r="K21" s="414">
        <v>14028.75</v>
      </c>
      <c r="L21" s="424">
        <v>2245.62</v>
      </c>
      <c r="M21" s="112">
        <f t="shared" si="2"/>
        <v>1608.9999999999991</v>
      </c>
      <c r="N21" s="69">
        <f t="shared" si="5"/>
        <v>8.9971856534870054E-2</v>
      </c>
      <c r="O21" s="111"/>
      <c r="P21" s="248">
        <v>42857</v>
      </c>
      <c r="Q21" s="143">
        <f t="shared" ca="1" si="0"/>
        <v>0.89570282448620731</v>
      </c>
      <c r="R21" s="111"/>
      <c r="S21" s="4">
        <v>43921</v>
      </c>
      <c r="T21" s="111"/>
      <c r="U21" s="64">
        <f t="shared" ref="U21:U34" ca="1" si="6">(Z21-$I$1)/30.33</f>
        <v>24.332344213649854</v>
      </c>
      <c r="V21" s="111"/>
      <c r="W21" s="146" t="s">
        <v>592</v>
      </c>
      <c r="X21" s="67"/>
      <c r="Y21" s="111"/>
      <c r="Z21" s="309">
        <f t="shared" si="3"/>
        <v>43921</v>
      </c>
      <c r="AA21" s="111"/>
      <c r="AB21" s="2" t="s">
        <v>135</v>
      </c>
      <c r="AC21" s="111"/>
      <c r="AD21" s="1221" t="s">
        <v>649</v>
      </c>
      <c r="AE21" s="1222"/>
      <c r="AF21" s="1223"/>
      <c r="AG21" s="150"/>
      <c r="AH21" s="34"/>
      <c r="AI21" s="33"/>
      <c r="AJ21" s="3"/>
      <c r="AK21" s="3"/>
      <c r="AL21" s="34"/>
      <c r="AM21" s="33"/>
      <c r="AN21" s="3"/>
      <c r="AO21" s="3"/>
      <c r="AP21" s="34"/>
      <c r="AQ21" s="33"/>
      <c r="AR21" s="3"/>
      <c r="AS21" s="3"/>
      <c r="AT21" s="61"/>
      <c r="AU21" s="167"/>
      <c r="AV21" s="167"/>
      <c r="AW21" s="167"/>
      <c r="AX21" s="167"/>
      <c r="AY21" s="167"/>
      <c r="AZ21" s="167"/>
      <c r="BA21" s="167"/>
      <c r="BB21" s="167"/>
      <c r="BC21" s="167"/>
      <c r="BD21" s="167"/>
      <c r="BE21" s="167"/>
      <c r="BF21" s="167"/>
      <c r="BG21" s="167"/>
      <c r="BH21" s="167"/>
      <c r="BI21" s="167"/>
      <c r="BJ21" s="167"/>
      <c r="BK21" s="167"/>
      <c r="BL21" s="167"/>
      <c r="BM21" s="167"/>
      <c r="BN21" s="167"/>
      <c r="BO21" s="167"/>
      <c r="BP21" s="167"/>
      <c r="BQ21" s="167"/>
      <c r="BR21" s="167"/>
      <c r="BS21" s="167"/>
      <c r="BT21" s="167"/>
      <c r="BU21" s="167"/>
      <c r="BV21" s="167"/>
      <c r="BW21" s="167"/>
      <c r="BX21" s="167"/>
      <c r="BY21" s="167"/>
      <c r="BZ21" s="167"/>
      <c r="CA21" s="167"/>
      <c r="CB21" s="167"/>
      <c r="CC21" s="167"/>
      <c r="CD21" s="168"/>
      <c r="CE21" s="167"/>
      <c r="CF21" s="167"/>
      <c r="CG21" s="167"/>
      <c r="CH21" s="167"/>
      <c r="CI21" s="167"/>
      <c r="CJ21" s="167"/>
      <c r="CK21" s="167"/>
      <c r="CL21" s="167"/>
      <c r="CM21" s="167"/>
      <c r="CN21" s="167"/>
      <c r="CO21" s="167"/>
      <c r="CP21" s="168"/>
      <c r="CQ21" s="167"/>
      <c r="CR21" s="167"/>
      <c r="CS21" s="3"/>
      <c r="CT21" s="3"/>
      <c r="CU21" s="3"/>
      <c r="CV21" s="3"/>
      <c r="CW21" s="3"/>
      <c r="CX21" s="3"/>
      <c r="CY21" s="3"/>
      <c r="CZ21" s="3"/>
      <c r="DA21" s="3"/>
      <c r="DB21" s="5"/>
      <c r="DC21" s="3"/>
      <c r="DD21" s="3"/>
      <c r="DE21" s="3"/>
      <c r="DF21" s="3"/>
      <c r="DG21" s="3"/>
      <c r="DH21" s="3"/>
      <c r="DI21" s="3"/>
      <c r="DJ21" s="3"/>
      <c r="DK21" s="3"/>
      <c r="DL21" s="5"/>
      <c r="DM21" s="3"/>
      <c r="DN21" s="3"/>
      <c r="DO21" s="3"/>
      <c r="DP21" s="3"/>
      <c r="DQ21" s="3"/>
      <c r="DR21" s="3"/>
      <c r="DS21" s="3"/>
      <c r="DT21" s="3"/>
      <c r="DU21" s="3"/>
      <c r="DV21" s="5"/>
      <c r="DW21" s="3"/>
      <c r="DX21" s="3"/>
      <c r="DY21" s="3"/>
      <c r="DZ21" s="3"/>
      <c r="EA21" s="3"/>
      <c r="EB21" s="3"/>
      <c r="EC21" s="3"/>
      <c r="ED21" s="3"/>
      <c r="EE21" s="3"/>
      <c r="EF21" s="5"/>
    </row>
    <row r="22" spans="1:136" ht="18" customHeight="1" x14ac:dyDescent="0.2">
      <c r="A22" s="36">
        <v>11</v>
      </c>
      <c r="C22" s="675" t="s">
        <v>1252</v>
      </c>
      <c r="D22" s="676"/>
      <c r="E22" s="400" t="s">
        <v>521</v>
      </c>
      <c r="F22" s="400"/>
      <c r="G22" s="400"/>
      <c r="H22" s="401"/>
      <c r="I22" s="414">
        <v>17000</v>
      </c>
      <c r="J22" s="409">
        <f t="shared" si="4"/>
        <v>2.4796594989920914E-2</v>
      </c>
      <c r="K22" s="414">
        <v>9000</v>
      </c>
      <c r="L22" s="424">
        <v>5000</v>
      </c>
      <c r="M22" s="112">
        <f t="shared" si="2"/>
        <v>3000</v>
      </c>
      <c r="N22" s="69">
        <f t="shared" si="5"/>
        <v>0.17647058823529413</v>
      </c>
      <c r="O22" s="111"/>
      <c r="P22" s="32">
        <v>42522</v>
      </c>
      <c r="Q22" s="143">
        <f t="shared" ca="1" si="0"/>
        <v>1.8161336410594571</v>
      </c>
      <c r="R22" s="111"/>
      <c r="S22" s="4"/>
      <c r="T22" s="111"/>
      <c r="U22" s="64">
        <f t="shared" ca="1" si="6"/>
        <v>-1423.7718430596769</v>
      </c>
      <c r="V22" s="111"/>
      <c r="W22" s="146" t="s">
        <v>592</v>
      </c>
      <c r="X22" s="67"/>
      <c r="Y22" s="111"/>
      <c r="Z22" s="309"/>
      <c r="AA22" s="111"/>
      <c r="AB22" s="2" t="s">
        <v>135</v>
      </c>
      <c r="AC22" s="111"/>
      <c r="AD22" s="1221" t="s">
        <v>624</v>
      </c>
      <c r="AE22" s="1222"/>
      <c r="AF22" s="1223"/>
      <c r="AG22" s="150"/>
      <c r="AH22" s="34"/>
      <c r="AI22" s="33"/>
      <c r="AJ22" s="3"/>
      <c r="AK22" s="3"/>
      <c r="AL22" s="34"/>
      <c r="AM22" s="33"/>
      <c r="AN22" s="3"/>
      <c r="AO22" s="3"/>
      <c r="AP22" s="34"/>
      <c r="AQ22" s="33"/>
      <c r="AR22" s="3"/>
      <c r="AS22" s="3"/>
      <c r="AT22" s="61"/>
      <c r="AU22" s="167"/>
      <c r="AV22" s="167"/>
      <c r="AW22" s="167"/>
      <c r="AX22" s="167"/>
      <c r="AY22" s="167"/>
      <c r="AZ22" s="167"/>
      <c r="BA22" s="167"/>
      <c r="BB22" s="167"/>
      <c r="BC22" s="167"/>
      <c r="BD22" s="167"/>
      <c r="BE22" s="167"/>
      <c r="BF22" s="167"/>
      <c r="BG22" s="167"/>
      <c r="BH22" s="167"/>
      <c r="BI22" s="167"/>
      <c r="BJ22" s="167"/>
      <c r="BK22" s="167"/>
      <c r="BL22" s="167"/>
      <c r="BM22" s="167"/>
      <c r="BN22" s="167"/>
      <c r="BO22" s="167"/>
      <c r="BP22" s="167"/>
      <c r="BQ22" s="167"/>
      <c r="BR22" s="167"/>
      <c r="BS22" s="167"/>
      <c r="BT22" s="167"/>
      <c r="BU22" s="167"/>
      <c r="BV22" s="167"/>
      <c r="BW22" s="167"/>
      <c r="BX22" s="167"/>
      <c r="BY22" s="167"/>
      <c r="BZ22" s="167"/>
      <c r="CA22" s="167"/>
      <c r="CB22" s="167"/>
      <c r="CC22" s="167"/>
      <c r="CD22" s="168"/>
      <c r="CE22" s="167"/>
      <c r="CF22" s="167"/>
      <c r="CG22" s="167"/>
      <c r="CH22" s="167"/>
      <c r="CI22" s="167"/>
      <c r="CJ22" s="167"/>
      <c r="CK22" s="167"/>
      <c r="CL22" s="167"/>
      <c r="CM22" s="167"/>
      <c r="CN22" s="167"/>
      <c r="CO22" s="167"/>
      <c r="CP22" s="168"/>
      <c r="CQ22" s="167"/>
      <c r="CR22" s="167"/>
      <c r="CS22" s="3"/>
      <c r="CT22" s="3"/>
      <c r="CU22" s="3"/>
      <c r="CV22" s="3"/>
      <c r="CW22" s="3"/>
      <c r="CX22" s="3"/>
      <c r="CY22" s="3"/>
      <c r="CZ22" s="3"/>
      <c r="DA22" s="3"/>
      <c r="DB22" s="5"/>
      <c r="DC22" s="3"/>
      <c r="DD22" s="3"/>
      <c r="DE22" s="3"/>
      <c r="DF22" s="3"/>
      <c r="DG22" s="3"/>
      <c r="DH22" s="3"/>
      <c r="DI22" s="3"/>
      <c r="DJ22" s="3"/>
      <c r="DK22" s="3"/>
      <c r="DL22" s="5"/>
      <c r="DM22" s="3"/>
      <c r="DN22" s="3"/>
      <c r="DO22" s="3"/>
      <c r="DP22" s="3"/>
      <c r="DQ22" s="3"/>
      <c r="DR22" s="3"/>
      <c r="DS22" s="3"/>
      <c r="DT22" s="3"/>
      <c r="DU22" s="3"/>
      <c r="DV22" s="5"/>
      <c r="DW22" s="3"/>
      <c r="DX22" s="3"/>
      <c r="DY22" s="3"/>
      <c r="DZ22" s="3"/>
      <c r="EA22" s="3"/>
      <c r="EB22" s="3"/>
      <c r="EC22" s="3"/>
      <c r="ED22" s="3"/>
      <c r="EE22" s="3"/>
      <c r="EF22" s="5"/>
    </row>
    <row r="23" spans="1:136" ht="18" customHeight="1" x14ac:dyDescent="0.2">
      <c r="A23" s="36">
        <v>12</v>
      </c>
      <c r="B23" s="36">
        <v>11</v>
      </c>
      <c r="C23" s="636" t="s">
        <v>1253</v>
      </c>
      <c r="D23" s="637"/>
      <c r="E23" s="400" t="s">
        <v>548</v>
      </c>
      <c r="F23" s="400"/>
      <c r="G23" s="400" t="s">
        <v>548</v>
      </c>
      <c r="H23" s="401" t="s">
        <v>597</v>
      </c>
      <c r="I23" s="414">
        <v>16936.260000000002</v>
      </c>
      <c r="J23" s="409">
        <f t="shared" si="4"/>
        <v>2.470362234494106E-2</v>
      </c>
      <c r="K23" s="414">
        <v>11495.329999999998</v>
      </c>
      <c r="L23" s="424">
        <v>507.11</v>
      </c>
      <c r="M23" s="112">
        <f t="shared" si="2"/>
        <v>4933.8200000000043</v>
      </c>
      <c r="N23" s="69">
        <f t="shared" si="5"/>
        <v>0.29131697316881078</v>
      </c>
      <c r="O23" s="111"/>
      <c r="P23" s="32">
        <v>42248</v>
      </c>
      <c r="Q23" s="143">
        <f t="shared" ca="1" si="0"/>
        <v>2.5689636223760854</v>
      </c>
      <c r="R23" s="111"/>
      <c r="S23" s="4">
        <v>44074</v>
      </c>
      <c r="T23" s="111"/>
      <c r="U23" s="64">
        <f t="shared" ca="1" si="6"/>
        <v>29.376854599406531</v>
      </c>
      <c r="V23" s="111"/>
      <c r="W23" s="146" t="s">
        <v>592</v>
      </c>
      <c r="X23" s="67"/>
      <c r="Y23" s="111"/>
      <c r="Z23" s="309">
        <f t="shared" si="3"/>
        <v>44074</v>
      </c>
      <c r="AA23" s="111"/>
      <c r="AB23" s="2" t="s">
        <v>552</v>
      </c>
      <c r="AC23" s="111"/>
      <c r="AD23" s="1221" t="s">
        <v>649</v>
      </c>
      <c r="AE23" s="1222"/>
      <c r="AF23" s="1223"/>
      <c r="AG23" s="150"/>
      <c r="AH23" s="34"/>
      <c r="AI23" s="33"/>
      <c r="AJ23" s="3"/>
      <c r="AK23" s="3"/>
      <c r="AL23" s="34"/>
      <c r="AM23" s="33"/>
      <c r="AN23" s="3"/>
      <c r="AO23" s="3"/>
      <c r="AP23" s="34"/>
      <c r="AQ23" s="33"/>
      <c r="AR23" s="3"/>
      <c r="AS23" s="3"/>
      <c r="AT23" s="61"/>
      <c r="AU23" s="167"/>
      <c r="AV23" s="167"/>
      <c r="AW23" s="167"/>
      <c r="AX23" s="167"/>
      <c r="AY23" s="167"/>
      <c r="AZ23" s="167"/>
      <c r="BA23" s="167"/>
      <c r="BB23" s="167"/>
      <c r="BC23" s="167"/>
      <c r="BD23" s="167"/>
      <c r="BE23" s="167"/>
      <c r="BF23" s="167"/>
      <c r="BG23" s="167"/>
      <c r="BH23" s="167"/>
      <c r="BI23" s="167"/>
      <c r="BJ23" s="167"/>
      <c r="BK23" s="167"/>
      <c r="BL23" s="167"/>
      <c r="BM23" s="167"/>
      <c r="BN23" s="167"/>
      <c r="BO23" s="167"/>
      <c r="BP23" s="167"/>
      <c r="BQ23" s="167"/>
      <c r="BR23" s="167"/>
      <c r="BS23" s="167"/>
      <c r="BT23" s="167"/>
      <c r="BU23" s="167"/>
      <c r="BV23" s="167"/>
      <c r="BW23" s="167"/>
      <c r="BX23" s="167"/>
      <c r="BY23" s="167"/>
      <c r="BZ23" s="167"/>
      <c r="CA23" s="167"/>
      <c r="CB23" s="167"/>
      <c r="CC23" s="167"/>
      <c r="CD23" s="168"/>
      <c r="CE23" s="167"/>
      <c r="CF23" s="167"/>
      <c r="CG23" s="167"/>
      <c r="CH23" s="167"/>
      <c r="CI23" s="167"/>
      <c r="CJ23" s="167"/>
      <c r="CK23" s="167"/>
      <c r="CL23" s="167"/>
      <c r="CM23" s="167"/>
      <c r="CN23" s="167"/>
      <c r="CO23" s="167"/>
      <c r="CP23" s="168"/>
      <c r="CQ23" s="167"/>
      <c r="CR23" s="167"/>
      <c r="CS23" s="3"/>
      <c r="CT23" s="3"/>
      <c r="CU23" s="3"/>
      <c r="CV23" s="3"/>
      <c r="CW23" s="3"/>
      <c r="CX23" s="3"/>
      <c r="CY23" s="3"/>
      <c r="CZ23" s="3"/>
      <c r="DA23" s="3"/>
      <c r="DB23" s="5"/>
      <c r="DC23" s="3"/>
      <c r="DD23" s="3"/>
      <c r="DE23" s="3"/>
      <c r="DF23" s="3"/>
      <c r="DG23" s="3"/>
      <c r="DH23" s="3"/>
      <c r="DI23" s="3"/>
      <c r="DJ23" s="3"/>
      <c r="DK23" s="3"/>
      <c r="DL23" s="5"/>
      <c r="DM23" s="3"/>
      <c r="DN23" s="3"/>
      <c r="DO23" s="3"/>
      <c r="DP23" s="3"/>
      <c r="DQ23" s="3"/>
      <c r="DR23" s="3"/>
      <c r="DS23" s="3"/>
      <c r="DT23" s="3"/>
      <c r="DU23" s="3"/>
      <c r="DV23" s="5"/>
      <c r="DW23" s="3"/>
      <c r="DX23" s="3"/>
      <c r="DY23" s="3"/>
      <c r="DZ23" s="3"/>
      <c r="EA23" s="3"/>
      <c r="EB23" s="3"/>
      <c r="EC23" s="3"/>
      <c r="ED23" s="3"/>
      <c r="EE23" s="3"/>
      <c r="EF23" s="5"/>
    </row>
    <row r="24" spans="1:136" ht="18" customHeight="1" x14ac:dyDescent="0.2">
      <c r="A24" s="36">
        <v>13</v>
      </c>
      <c r="B24" s="36">
        <v>12</v>
      </c>
      <c r="C24" s="696" t="s">
        <v>1254</v>
      </c>
      <c r="D24" s="697" t="s">
        <v>1255</v>
      </c>
      <c r="E24" s="400" t="s">
        <v>548</v>
      </c>
      <c r="F24" s="400"/>
      <c r="G24" s="400"/>
      <c r="H24" s="401"/>
      <c r="I24" s="415">
        <v>15953.55</v>
      </c>
      <c r="J24" s="409">
        <f t="shared" si="4"/>
        <v>2.3270218705967811E-2</v>
      </c>
      <c r="K24" s="425">
        <v>13666.44</v>
      </c>
      <c r="L24" s="425">
        <v>-860.85</v>
      </c>
      <c r="M24" s="112">
        <f t="shared" si="2"/>
        <v>3147.9599999999987</v>
      </c>
      <c r="N24" s="69">
        <f t="shared" si="5"/>
        <v>0.19732034562840239</v>
      </c>
      <c r="O24" s="111"/>
      <c r="P24" s="32">
        <v>42461</v>
      </c>
      <c r="Q24" s="143">
        <f t="shared" ca="1" si="0"/>
        <v>1.9837344763160789</v>
      </c>
      <c r="R24" s="111"/>
      <c r="S24" s="163">
        <v>43556</v>
      </c>
      <c r="T24" s="111"/>
      <c r="U24" s="64">
        <f t="shared" ca="1" si="6"/>
        <v>12.298054731289154</v>
      </c>
      <c r="V24" s="111"/>
      <c r="W24" s="146" t="s">
        <v>592</v>
      </c>
      <c r="X24" s="67"/>
      <c r="Y24" s="111"/>
      <c r="Z24" s="309">
        <f t="shared" si="3"/>
        <v>43556</v>
      </c>
      <c r="AA24" s="111"/>
      <c r="AB24" s="2" t="s">
        <v>135</v>
      </c>
      <c r="AC24" s="111"/>
      <c r="AD24" s="1221" t="s">
        <v>625</v>
      </c>
      <c r="AE24" s="1222"/>
      <c r="AF24" s="1223"/>
      <c r="AG24" s="150"/>
      <c r="AH24" s="34"/>
      <c r="AI24" s="33"/>
      <c r="AJ24" s="3"/>
      <c r="AK24" s="3"/>
      <c r="AL24" s="34"/>
      <c r="AM24" s="33"/>
      <c r="AN24" s="3"/>
      <c r="AO24" s="3"/>
      <c r="AP24" s="34"/>
      <c r="AQ24" s="33"/>
      <c r="AR24" s="3"/>
      <c r="AS24" s="3"/>
      <c r="AT24" s="61"/>
      <c r="AU24" s="167"/>
      <c r="AV24" s="167"/>
      <c r="AW24" s="167"/>
      <c r="AX24" s="167"/>
      <c r="AY24" s="167"/>
      <c r="AZ24" s="167"/>
      <c r="BA24" s="167"/>
      <c r="BB24" s="167"/>
      <c r="BC24" s="167"/>
      <c r="BD24" s="167"/>
      <c r="BE24" s="167"/>
      <c r="BF24" s="167"/>
      <c r="BG24" s="167"/>
      <c r="BH24" s="167"/>
      <c r="BI24" s="167"/>
      <c r="BJ24" s="167"/>
      <c r="BK24" s="167"/>
      <c r="BL24" s="167"/>
      <c r="BM24" s="167"/>
      <c r="BN24" s="167"/>
      <c r="BO24" s="167"/>
      <c r="BP24" s="167"/>
      <c r="BQ24" s="167"/>
      <c r="BR24" s="167"/>
      <c r="BS24" s="167"/>
      <c r="BT24" s="167"/>
      <c r="BU24" s="167"/>
      <c r="BV24" s="167"/>
      <c r="BW24" s="167"/>
      <c r="BX24" s="167"/>
      <c r="BY24" s="167"/>
      <c r="BZ24" s="167"/>
      <c r="CA24" s="167"/>
      <c r="CB24" s="170"/>
      <c r="CC24" s="167"/>
      <c r="CD24" s="167"/>
      <c r="CE24" s="167"/>
      <c r="CF24" s="167"/>
      <c r="CG24" s="167"/>
      <c r="CH24" s="167"/>
      <c r="CI24" s="167"/>
      <c r="CJ24" s="167"/>
      <c r="CK24" s="167"/>
      <c r="CL24" s="167"/>
      <c r="CM24" s="167"/>
      <c r="CN24" s="167"/>
      <c r="CO24" s="167"/>
      <c r="CP24" s="167"/>
      <c r="CQ24" s="167"/>
      <c r="CR24" s="167"/>
      <c r="CS24" s="167"/>
      <c r="CT24" s="167"/>
      <c r="CU24" s="167"/>
      <c r="CV24" s="167"/>
      <c r="CW24" s="167"/>
      <c r="CX24" s="167"/>
      <c r="CY24" s="167"/>
      <c r="CZ24" s="167"/>
      <c r="DA24" s="167"/>
      <c r="DB24" s="169"/>
      <c r="DC24" s="167"/>
      <c r="DD24" s="167"/>
      <c r="DE24" s="167"/>
      <c r="DF24" s="167"/>
      <c r="DG24" s="167"/>
      <c r="DH24" s="167"/>
      <c r="DI24" s="167"/>
      <c r="DJ24" s="167"/>
      <c r="DK24" s="167"/>
      <c r="DL24" s="169"/>
      <c r="DM24" s="167"/>
      <c r="DN24" s="167"/>
      <c r="DO24" s="167"/>
      <c r="DP24" s="167"/>
      <c r="DQ24" s="167"/>
      <c r="DR24" s="167"/>
      <c r="DS24" s="167"/>
      <c r="DT24" s="167"/>
      <c r="DU24" s="167"/>
      <c r="DV24" s="169"/>
      <c r="DW24" s="167"/>
      <c r="DX24" s="167"/>
      <c r="DY24" s="167"/>
      <c r="DZ24" s="167"/>
      <c r="EA24" s="167"/>
      <c r="EB24" s="167"/>
      <c r="EC24" s="167"/>
      <c r="ED24" s="167"/>
      <c r="EE24" s="167"/>
      <c r="EF24" s="169"/>
    </row>
    <row r="25" spans="1:136" ht="18" customHeight="1" x14ac:dyDescent="0.2">
      <c r="A25" s="36">
        <v>14</v>
      </c>
      <c r="B25" s="36">
        <v>14</v>
      </c>
      <c r="C25" s="708" t="s">
        <v>1256</v>
      </c>
      <c r="D25" s="709"/>
      <c r="E25" s="400" t="s">
        <v>580</v>
      </c>
      <c r="F25" s="400"/>
      <c r="G25" s="400"/>
      <c r="H25" s="401"/>
      <c r="I25" s="415">
        <v>13841.73</v>
      </c>
      <c r="J25" s="409">
        <f t="shared" si="4"/>
        <v>2.0189868986461058E-2</v>
      </c>
      <c r="K25" s="425">
        <v>9950.6200000000008</v>
      </c>
      <c r="L25" s="425">
        <v>3820.68</v>
      </c>
      <c r="M25" s="112">
        <f t="shared" si="2"/>
        <v>70.429999999998927</v>
      </c>
      <c r="N25" s="69">
        <f t="shared" si="5"/>
        <v>5.0882368027695187E-3</v>
      </c>
      <c r="O25" s="111"/>
      <c r="P25" s="32">
        <v>38718</v>
      </c>
      <c r="Q25" s="143">
        <f t="shared" ca="1" si="0"/>
        <v>12.267831629849434</v>
      </c>
      <c r="R25" s="111"/>
      <c r="S25" s="163">
        <v>43344</v>
      </c>
      <c r="T25" s="111"/>
      <c r="U25" s="64">
        <f t="shared" ca="1" si="6"/>
        <v>5.3082756346851303</v>
      </c>
      <c r="V25" s="111"/>
      <c r="W25" s="146" t="s">
        <v>592</v>
      </c>
      <c r="X25" s="67"/>
      <c r="Y25" s="111"/>
      <c r="Z25" s="309">
        <f t="shared" si="3"/>
        <v>43344</v>
      </c>
      <c r="AA25" s="111"/>
      <c r="AB25" s="2" t="s">
        <v>135</v>
      </c>
      <c r="AC25" s="111"/>
      <c r="AD25" s="1221" t="s">
        <v>195</v>
      </c>
      <c r="AE25" s="1222"/>
      <c r="AF25" s="1223"/>
      <c r="AG25" s="150"/>
      <c r="AH25" s="34"/>
      <c r="AI25" s="33"/>
      <c r="AJ25" s="3"/>
      <c r="AK25" s="3"/>
      <c r="AL25" s="34"/>
      <c r="AM25" s="33"/>
      <c r="AN25" s="3"/>
      <c r="AO25" s="3"/>
      <c r="AP25" s="34"/>
      <c r="AQ25" s="33"/>
      <c r="AR25" s="3"/>
      <c r="AS25" s="3"/>
      <c r="AT25" s="61"/>
      <c r="AU25" s="167"/>
      <c r="AV25" s="167"/>
      <c r="AW25" s="167"/>
      <c r="AX25" s="167"/>
      <c r="AY25" s="167"/>
      <c r="AZ25" s="167"/>
      <c r="BA25" s="167"/>
      <c r="BB25" s="167"/>
      <c r="BC25" s="167"/>
      <c r="BD25" s="167"/>
      <c r="BE25" s="167"/>
      <c r="BF25" s="167"/>
      <c r="BG25" s="167"/>
      <c r="BH25" s="167"/>
      <c r="BI25" s="167"/>
      <c r="BJ25" s="167"/>
      <c r="BK25" s="167"/>
      <c r="BL25" s="167"/>
      <c r="BM25" s="167"/>
      <c r="BN25" s="167"/>
      <c r="BO25" s="167"/>
      <c r="BP25" s="167"/>
      <c r="BQ25" s="167"/>
      <c r="BR25" s="167"/>
      <c r="BS25" s="167"/>
      <c r="BT25" s="167"/>
      <c r="BU25" s="167"/>
      <c r="BV25" s="167"/>
      <c r="BW25" s="167"/>
      <c r="BX25" s="167"/>
      <c r="BY25" s="167"/>
      <c r="BZ25" s="167"/>
      <c r="CA25" s="167"/>
      <c r="CB25" s="167"/>
      <c r="CC25" s="167"/>
      <c r="CD25" s="167"/>
      <c r="CE25" s="167"/>
      <c r="CF25" s="167"/>
      <c r="CG25" s="167"/>
      <c r="CH25" s="167"/>
      <c r="CI25" s="167"/>
      <c r="CJ25" s="167"/>
      <c r="CK25" s="167"/>
      <c r="CL25" s="167"/>
      <c r="CM25" s="167"/>
      <c r="CN25" s="167"/>
      <c r="CO25" s="167"/>
      <c r="CP25" s="167"/>
      <c r="CQ25" s="167"/>
      <c r="CR25" s="167"/>
      <c r="CS25" s="167"/>
      <c r="CT25" s="167"/>
      <c r="CU25" s="167"/>
      <c r="CV25" s="167"/>
      <c r="CW25" s="167"/>
      <c r="CX25" s="167"/>
      <c r="CY25" s="167"/>
      <c r="CZ25" s="167"/>
      <c r="DA25" s="167"/>
      <c r="DB25" s="169"/>
      <c r="DC25" s="167"/>
      <c r="DD25" s="167"/>
      <c r="DE25" s="167"/>
      <c r="DF25" s="167"/>
      <c r="DG25" s="167"/>
      <c r="DH25" s="167"/>
      <c r="DI25" s="167"/>
      <c r="DJ25" s="167"/>
      <c r="DK25" s="167"/>
      <c r="DL25" s="169"/>
      <c r="DM25" s="167"/>
      <c r="DN25" s="167"/>
      <c r="DO25" s="167"/>
      <c r="DP25" s="167"/>
      <c r="DQ25" s="167"/>
      <c r="DR25" s="167"/>
      <c r="DS25" s="167"/>
      <c r="DT25" s="167"/>
      <c r="DU25" s="167"/>
      <c r="DV25" s="169"/>
      <c r="DW25" s="167"/>
      <c r="DX25" s="167"/>
      <c r="DY25" s="167"/>
      <c r="DZ25" s="167"/>
      <c r="EA25" s="167"/>
      <c r="EB25" s="167"/>
      <c r="EC25" s="167"/>
      <c r="ED25" s="167"/>
      <c r="EE25" s="167"/>
      <c r="EF25" s="169"/>
    </row>
    <row r="26" spans="1:136" ht="18" customHeight="1" x14ac:dyDescent="0.2">
      <c r="A26" s="36">
        <v>15</v>
      </c>
      <c r="C26" s="708" t="s">
        <v>1257</v>
      </c>
      <c r="D26" s="709"/>
      <c r="E26" s="402" t="s">
        <v>548</v>
      </c>
      <c r="F26" s="402" t="s">
        <v>652</v>
      </c>
      <c r="G26" s="402" t="s">
        <v>548</v>
      </c>
      <c r="H26" s="401" t="s">
        <v>627</v>
      </c>
      <c r="I26" s="418">
        <v>12900</v>
      </c>
      <c r="J26" s="410">
        <f t="shared" si="4"/>
        <v>1.8816239727645869E-2</v>
      </c>
      <c r="K26" s="427">
        <v>7800</v>
      </c>
      <c r="L26" s="427">
        <v>500</v>
      </c>
      <c r="M26" s="112">
        <f t="shared" si="2"/>
        <v>4600</v>
      </c>
      <c r="N26" s="69">
        <f t="shared" si="5"/>
        <v>0.35658914728682173</v>
      </c>
      <c r="O26" s="111"/>
      <c r="P26" s="32">
        <v>43101</v>
      </c>
      <c r="Q26" s="143">
        <f t="shared" ca="1" si="0"/>
        <v>0.22529948345972087</v>
      </c>
      <c r="R26" s="111"/>
      <c r="S26" s="163"/>
      <c r="T26" s="111"/>
      <c r="U26" s="64">
        <f t="shared" ca="1" si="6"/>
        <v>-1423.7718430596769</v>
      </c>
      <c r="V26" s="111"/>
      <c r="W26" s="146" t="s">
        <v>592</v>
      </c>
      <c r="X26" s="67"/>
      <c r="Y26" s="111"/>
      <c r="Z26" s="309"/>
      <c r="AA26" s="111"/>
      <c r="AB26" s="2" t="s">
        <v>135</v>
      </c>
      <c r="AC26" s="111"/>
      <c r="AD26" s="1221" t="s">
        <v>653</v>
      </c>
      <c r="AE26" s="1222"/>
      <c r="AF26" s="1223"/>
      <c r="AG26" s="150"/>
      <c r="AH26" s="34"/>
      <c r="AI26" s="33"/>
      <c r="AJ26" s="3"/>
      <c r="AK26" s="3"/>
      <c r="AL26" s="34"/>
      <c r="AM26" s="33"/>
      <c r="AN26" s="3"/>
      <c r="AO26" s="3"/>
      <c r="AP26" s="34"/>
      <c r="AQ26" s="33"/>
      <c r="AR26" s="3"/>
      <c r="AS26" s="3"/>
      <c r="AT26" s="61"/>
      <c r="AU26" s="167"/>
      <c r="AV26" s="167"/>
      <c r="AW26" s="167"/>
      <c r="AX26" s="167"/>
      <c r="AY26" s="167"/>
      <c r="AZ26" s="167"/>
      <c r="BA26" s="167"/>
      <c r="BB26" s="167"/>
      <c r="BC26" s="167"/>
      <c r="BD26" s="167"/>
      <c r="BE26" s="167"/>
      <c r="BF26" s="167"/>
      <c r="BG26" s="167"/>
      <c r="BH26" s="167"/>
      <c r="BI26" s="167"/>
      <c r="BJ26" s="167"/>
      <c r="BK26" s="167"/>
      <c r="BL26" s="167"/>
      <c r="BM26" s="167"/>
      <c r="BN26" s="167"/>
      <c r="BO26" s="167"/>
      <c r="BP26" s="167"/>
      <c r="BQ26" s="167"/>
      <c r="BR26" s="167"/>
      <c r="BS26" s="167"/>
      <c r="BT26" s="167"/>
      <c r="BU26" s="167"/>
      <c r="BV26" s="167"/>
      <c r="BW26" s="167"/>
      <c r="BX26" s="167"/>
      <c r="BY26" s="167"/>
      <c r="BZ26" s="167"/>
      <c r="CA26" s="167"/>
      <c r="CB26" s="167"/>
      <c r="CC26" s="167"/>
      <c r="CD26" s="167"/>
      <c r="CE26" s="167"/>
      <c r="CF26" s="167"/>
      <c r="CG26" s="167"/>
      <c r="CH26" s="167"/>
      <c r="CI26" s="167"/>
      <c r="CJ26" s="167"/>
      <c r="CK26" s="167"/>
      <c r="CL26" s="167"/>
      <c r="CM26" s="167"/>
      <c r="CN26" s="167"/>
      <c r="CO26" s="167"/>
      <c r="CP26" s="167"/>
      <c r="CQ26" s="167"/>
      <c r="CR26" s="167"/>
      <c r="CS26" s="167"/>
      <c r="CT26" s="167"/>
      <c r="CU26" s="167"/>
      <c r="CV26" s="167"/>
      <c r="CW26" s="167"/>
      <c r="CX26" s="167"/>
      <c r="CY26" s="167"/>
      <c r="CZ26" s="167"/>
      <c r="DA26" s="167"/>
      <c r="DB26" s="169"/>
      <c r="DC26" s="167"/>
      <c r="DD26" s="167"/>
      <c r="DE26" s="167"/>
      <c r="DF26" s="167"/>
      <c r="DG26" s="167"/>
      <c r="DH26" s="167"/>
      <c r="DI26" s="167"/>
      <c r="DJ26" s="167"/>
      <c r="DK26" s="167"/>
      <c r="DL26" s="169"/>
      <c r="DM26" s="167"/>
      <c r="DN26" s="167"/>
      <c r="DO26" s="167"/>
      <c r="DP26" s="167"/>
      <c r="DQ26" s="167"/>
      <c r="DR26" s="167"/>
      <c r="DS26" s="167"/>
      <c r="DT26" s="167"/>
      <c r="DU26" s="167"/>
      <c r="DV26" s="169"/>
      <c r="DW26" s="167"/>
      <c r="DX26" s="167"/>
      <c r="DY26" s="167"/>
      <c r="DZ26" s="167"/>
      <c r="EA26" s="167"/>
      <c r="EB26" s="167"/>
      <c r="EC26" s="167"/>
      <c r="ED26" s="167"/>
      <c r="EE26" s="167"/>
      <c r="EF26" s="169"/>
    </row>
    <row r="27" spans="1:136" ht="18" customHeight="1" x14ac:dyDescent="0.2">
      <c r="A27" s="36">
        <v>16</v>
      </c>
      <c r="B27" s="36">
        <v>15</v>
      </c>
      <c r="C27" s="636" t="s">
        <v>1258</v>
      </c>
      <c r="D27" s="637"/>
      <c r="E27" s="400" t="s">
        <v>580</v>
      </c>
      <c r="F27" s="400" t="s">
        <v>654</v>
      </c>
      <c r="G27" s="400"/>
      <c r="H27" s="401" t="s">
        <v>597</v>
      </c>
      <c r="I27" s="416">
        <v>12000</v>
      </c>
      <c r="J27" s="409">
        <f t="shared" si="4"/>
        <v>1.7503478816414762E-2</v>
      </c>
      <c r="K27" s="426">
        <v>9784.9900000000107</v>
      </c>
      <c r="L27" s="426">
        <v>2166.12</v>
      </c>
      <c r="M27" s="112">
        <f t="shared" si="2"/>
        <v>48.889999999989413</v>
      </c>
      <c r="N27" s="69">
        <f t="shared" si="5"/>
        <v>4.0741666666657848E-3</v>
      </c>
      <c r="O27" s="111"/>
      <c r="P27" s="32">
        <v>40940</v>
      </c>
      <c r="Q27" s="143">
        <f t="shared" ca="1" si="0"/>
        <v>6.1627651390262672</v>
      </c>
      <c r="R27" s="111"/>
      <c r="S27" s="163">
        <v>43132</v>
      </c>
      <c r="T27" s="111"/>
      <c r="U27" s="64">
        <f t="shared" ca="1" si="6"/>
        <v>10.352786020441807</v>
      </c>
      <c r="V27" s="111"/>
      <c r="W27" s="146" t="s">
        <v>591</v>
      </c>
      <c r="X27" s="67">
        <v>12</v>
      </c>
      <c r="Y27" s="111"/>
      <c r="Z27" s="309">
        <f t="shared" si="3"/>
        <v>43497</v>
      </c>
      <c r="AA27" s="111"/>
      <c r="AB27" s="2" t="s">
        <v>135</v>
      </c>
      <c r="AC27" s="111"/>
      <c r="AD27" s="1221" t="s">
        <v>649</v>
      </c>
      <c r="AE27" s="1222"/>
      <c r="AF27" s="1223"/>
      <c r="AG27" s="150"/>
      <c r="AH27" s="34"/>
      <c r="AI27" s="33"/>
      <c r="AJ27" s="3"/>
      <c r="AK27" s="3"/>
      <c r="AL27" s="34"/>
      <c r="AM27" s="33"/>
      <c r="AN27" s="3"/>
      <c r="AO27" s="3"/>
      <c r="AP27" s="34"/>
      <c r="AQ27" s="33"/>
      <c r="AR27" s="3"/>
      <c r="AS27" s="3"/>
      <c r="AT27" s="61"/>
      <c r="AU27" s="167"/>
      <c r="AV27" s="167"/>
      <c r="AW27" s="167"/>
      <c r="AX27" s="167"/>
      <c r="AY27" s="167"/>
      <c r="AZ27" s="167"/>
      <c r="BA27" s="167"/>
      <c r="BB27" s="167"/>
      <c r="BC27" s="167"/>
      <c r="BD27" s="167"/>
      <c r="BE27" s="167"/>
      <c r="BF27" s="167"/>
      <c r="BG27" s="167"/>
      <c r="BH27" s="167"/>
      <c r="BI27" s="167"/>
      <c r="BJ27" s="167"/>
      <c r="BK27" s="167"/>
      <c r="BL27" s="167"/>
      <c r="BM27" s="167"/>
      <c r="BN27" s="167"/>
      <c r="BO27" s="167"/>
      <c r="BP27" s="167"/>
      <c r="BQ27" s="167"/>
      <c r="BR27" s="167"/>
      <c r="BS27" s="167"/>
      <c r="BT27" s="167"/>
      <c r="BU27" s="167"/>
      <c r="BV27" s="167"/>
      <c r="BW27" s="167"/>
      <c r="BX27" s="167"/>
      <c r="BY27" s="167"/>
      <c r="BZ27" s="167"/>
      <c r="CA27" s="167"/>
      <c r="CB27" s="170"/>
      <c r="CC27" s="167"/>
      <c r="CD27" s="167"/>
      <c r="CE27" s="167"/>
      <c r="CF27" s="167"/>
      <c r="CG27" s="167"/>
      <c r="CH27" s="167"/>
      <c r="CI27" s="167"/>
      <c r="CJ27" s="167"/>
      <c r="CK27" s="167"/>
      <c r="CL27" s="167"/>
      <c r="CM27" s="167"/>
      <c r="CN27" s="167"/>
      <c r="CO27" s="167"/>
      <c r="CP27" s="167"/>
      <c r="CQ27" s="167"/>
      <c r="CR27" s="167"/>
      <c r="CS27" s="167"/>
      <c r="CT27" s="167"/>
      <c r="CU27" s="167"/>
      <c r="CV27" s="167"/>
      <c r="CW27" s="167"/>
      <c r="CX27" s="167"/>
      <c r="CY27" s="167"/>
      <c r="CZ27" s="167"/>
      <c r="DA27" s="167"/>
      <c r="DB27" s="169"/>
      <c r="DC27" s="167"/>
      <c r="DD27" s="167"/>
      <c r="DE27" s="167"/>
      <c r="DF27" s="167"/>
      <c r="DG27" s="167"/>
      <c r="DH27" s="167"/>
      <c r="DI27" s="167"/>
      <c r="DJ27" s="167"/>
      <c r="DK27" s="167"/>
      <c r="DL27" s="169"/>
      <c r="DM27" s="167"/>
      <c r="DN27" s="167"/>
      <c r="DO27" s="167"/>
      <c r="DP27" s="167"/>
      <c r="DQ27" s="167"/>
      <c r="DR27" s="167"/>
      <c r="DS27" s="167"/>
      <c r="DT27" s="167"/>
      <c r="DU27" s="167"/>
      <c r="DV27" s="169"/>
      <c r="DW27" s="167"/>
      <c r="DX27" s="167"/>
      <c r="DY27" s="167"/>
      <c r="DZ27" s="167"/>
      <c r="EA27" s="167"/>
      <c r="EB27" s="167"/>
      <c r="EC27" s="167"/>
      <c r="ED27" s="167"/>
      <c r="EE27" s="167"/>
      <c r="EF27" s="169"/>
    </row>
    <row r="28" spans="1:136" ht="18" customHeight="1" x14ac:dyDescent="0.2">
      <c r="A28" s="36">
        <v>17</v>
      </c>
      <c r="B28" s="36">
        <v>1</v>
      </c>
      <c r="C28" s="636" t="s">
        <v>1259</v>
      </c>
      <c r="D28" s="637"/>
      <c r="E28" s="400" t="s">
        <v>580</v>
      </c>
      <c r="F28" s="400"/>
      <c r="G28" s="400"/>
      <c r="H28" s="401"/>
      <c r="I28" s="416">
        <v>10104.209999999999</v>
      </c>
      <c r="J28" s="409">
        <f t="shared" si="4"/>
        <v>1.4738235474300516E-2</v>
      </c>
      <c r="K28" s="426">
        <v>7376.64</v>
      </c>
      <c r="L28" s="426">
        <v>491.45000000000101</v>
      </c>
      <c r="M28" s="112">
        <f t="shared" si="2"/>
        <v>2236.1199999999976</v>
      </c>
      <c r="N28" s="69">
        <f t="shared" si="5"/>
        <v>0.22130577254431547</v>
      </c>
      <c r="O28" s="111"/>
      <c r="P28" s="32">
        <v>39083</v>
      </c>
      <c r="Q28" s="143">
        <f t="shared" ca="1" si="0"/>
        <v>11.264974172986044</v>
      </c>
      <c r="R28" s="111"/>
      <c r="S28" s="163">
        <v>43100</v>
      </c>
      <c r="T28" s="111"/>
      <c r="U28" s="64">
        <f t="shared" ca="1" si="6"/>
        <v>9.2977250247279919</v>
      </c>
      <c r="V28" s="111"/>
      <c r="W28" s="146" t="s">
        <v>591</v>
      </c>
      <c r="X28" s="67">
        <v>12</v>
      </c>
      <c r="Y28" s="111"/>
      <c r="Z28" s="309">
        <f t="shared" si="3"/>
        <v>43465</v>
      </c>
      <c r="AA28" s="111"/>
      <c r="AB28" s="2" t="s">
        <v>135</v>
      </c>
      <c r="AC28" s="111"/>
      <c r="AD28" s="1221" t="s">
        <v>625</v>
      </c>
      <c r="AE28" s="1222"/>
      <c r="AF28" s="1223"/>
      <c r="AG28" s="150"/>
      <c r="AH28" s="34"/>
      <c r="AI28" s="33"/>
      <c r="AJ28" s="3"/>
      <c r="AK28" s="3"/>
      <c r="AL28" s="34"/>
      <c r="AM28" s="33"/>
      <c r="AN28" s="3"/>
      <c r="AO28" s="3"/>
      <c r="AP28" s="34"/>
      <c r="AQ28" s="33"/>
      <c r="AR28" s="3"/>
      <c r="AS28" s="3"/>
      <c r="AT28" s="61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7"/>
      <c r="BG28" s="167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7"/>
      <c r="CA28" s="167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9"/>
      <c r="DC28" s="167"/>
      <c r="DD28" s="167"/>
      <c r="DE28" s="167"/>
      <c r="DF28" s="167"/>
      <c r="DG28" s="167"/>
      <c r="DH28" s="167"/>
      <c r="DI28" s="167"/>
      <c r="DJ28" s="167"/>
      <c r="DK28" s="167"/>
      <c r="DL28" s="169"/>
      <c r="DM28" s="167"/>
      <c r="DN28" s="167"/>
      <c r="DO28" s="167"/>
      <c r="DP28" s="167"/>
      <c r="DQ28" s="167"/>
      <c r="DR28" s="167"/>
      <c r="DS28" s="167"/>
      <c r="DT28" s="167"/>
      <c r="DU28" s="167"/>
      <c r="DV28" s="169"/>
      <c r="DW28" s="167"/>
      <c r="DX28" s="167"/>
      <c r="DY28" s="167"/>
      <c r="DZ28" s="167"/>
      <c r="EA28" s="167"/>
      <c r="EB28" s="167"/>
      <c r="EC28" s="167"/>
      <c r="ED28" s="167"/>
      <c r="EE28" s="167"/>
      <c r="EF28" s="169"/>
    </row>
    <row r="29" spans="1:136" ht="18" customHeight="1" x14ac:dyDescent="0.2">
      <c r="A29" s="36">
        <v>18</v>
      </c>
      <c r="C29" s="636" t="s">
        <v>1260</v>
      </c>
      <c r="D29" s="637"/>
      <c r="E29" s="402" t="s">
        <v>580</v>
      </c>
      <c r="F29" s="402" t="s">
        <v>652</v>
      </c>
      <c r="G29" s="402" t="s">
        <v>548</v>
      </c>
      <c r="H29" s="401" t="s">
        <v>627</v>
      </c>
      <c r="I29" s="419">
        <v>10000</v>
      </c>
      <c r="J29" s="410">
        <f t="shared" si="4"/>
        <v>1.4586232347012302E-2</v>
      </c>
      <c r="K29" s="428">
        <v>6800</v>
      </c>
      <c r="L29" s="428">
        <v>2100</v>
      </c>
      <c r="M29" s="112">
        <f t="shared" si="2"/>
        <v>1100</v>
      </c>
      <c r="N29" s="69">
        <f t="shared" si="5"/>
        <v>0.11</v>
      </c>
      <c r="O29" s="111"/>
      <c r="P29" s="32">
        <v>43101</v>
      </c>
      <c r="Q29" s="143">
        <f t="shared" ca="1" si="0"/>
        <v>0.22529948345972087</v>
      </c>
      <c r="R29" s="111"/>
      <c r="S29" s="163">
        <v>44926</v>
      </c>
      <c r="T29" s="111"/>
      <c r="U29" s="64">
        <f ca="1">(Z29-$I$1)/30.33</f>
        <v>57.467853610286845</v>
      </c>
      <c r="V29" s="111"/>
      <c r="W29" s="146"/>
      <c r="X29" s="67"/>
      <c r="Y29" s="111"/>
      <c r="Z29" s="309">
        <f t="shared" si="3"/>
        <v>44926</v>
      </c>
      <c r="AA29" s="111"/>
      <c r="AB29" s="2" t="s">
        <v>135</v>
      </c>
      <c r="AC29" s="111"/>
      <c r="AD29" s="1221" t="s">
        <v>649</v>
      </c>
      <c r="AE29" s="1222"/>
      <c r="AF29" s="1223"/>
      <c r="AG29" s="150"/>
      <c r="AH29" s="34"/>
      <c r="AI29" s="33"/>
      <c r="AJ29" s="3"/>
      <c r="AK29" s="3"/>
      <c r="AL29" s="34"/>
      <c r="AM29" s="33"/>
      <c r="AN29" s="3"/>
      <c r="AO29" s="3"/>
      <c r="AP29" s="34"/>
      <c r="AQ29" s="33"/>
      <c r="AR29" s="3"/>
      <c r="AS29" s="3"/>
      <c r="AT29" s="61"/>
      <c r="AU29" s="167"/>
      <c r="AV29" s="167"/>
      <c r="AW29" s="167"/>
      <c r="AX29" s="167"/>
      <c r="AY29" s="167"/>
      <c r="AZ29" s="167"/>
      <c r="BA29" s="167"/>
      <c r="BB29" s="167"/>
      <c r="BC29" s="167"/>
      <c r="BD29" s="167"/>
      <c r="BE29" s="167"/>
      <c r="BF29" s="167"/>
      <c r="BG29" s="167"/>
      <c r="BH29" s="167"/>
      <c r="BI29" s="167"/>
      <c r="BJ29" s="167"/>
      <c r="BK29" s="167"/>
      <c r="BL29" s="167"/>
      <c r="BM29" s="167"/>
      <c r="BN29" s="167"/>
      <c r="BO29" s="167"/>
      <c r="BP29" s="167"/>
      <c r="BQ29" s="167"/>
      <c r="BR29" s="167"/>
      <c r="BS29" s="167"/>
      <c r="BT29" s="167"/>
      <c r="BU29" s="167"/>
      <c r="BV29" s="167"/>
      <c r="BW29" s="167"/>
      <c r="BX29" s="167"/>
      <c r="BY29" s="167"/>
      <c r="BZ29" s="167"/>
      <c r="CA29" s="167"/>
      <c r="CB29" s="167"/>
      <c r="CC29" s="167"/>
      <c r="CD29" s="167"/>
      <c r="CE29" s="167"/>
      <c r="CF29" s="167"/>
      <c r="CG29" s="167"/>
      <c r="CH29" s="167"/>
      <c r="CI29" s="167"/>
      <c r="CJ29" s="167"/>
      <c r="CK29" s="167"/>
      <c r="CL29" s="167"/>
      <c r="CM29" s="167"/>
      <c r="CN29" s="167"/>
      <c r="CO29" s="167"/>
      <c r="CP29" s="167"/>
      <c r="CQ29" s="167"/>
      <c r="CR29" s="167"/>
      <c r="CS29" s="167"/>
      <c r="CT29" s="167"/>
      <c r="CU29" s="167"/>
      <c r="CV29" s="167"/>
      <c r="CW29" s="167"/>
      <c r="CX29" s="167"/>
      <c r="CY29" s="167"/>
      <c r="CZ29" s="167"/>
      <c r="DA29" s="167"/>
      <c r="DB29" s="169"/>
      <c r="DC29" s="167"/>
      <c r="DD29" s="167"/>
      <c r="DE29" s="167"/>
      <c r="DF29" s="167"/>
      <c r="DG29" s="167"/>
      <c r="DH29" s="167"/>
      <c r="DI29" s="167"/>
      <c r="DJ29" s="167"/>
      <c r="DK29" s="167"/>
      <c r="DL29" s="169"/>
      <c r="DM29" s="167"/>
      <c r="DN29" s="167"/>
      <c r="DO29" s="167"/>
      <c r="DP29" s="167"/>
      <c r="DQ29" s="167"/>
      <c r="DR29" s="167"/>
      <c r="DS29" s="167"/>
      <c r="DT29" s="167"/>
      <c r="DU29" s="167"/>
      <c r="DV29" s="169"/>
      <c r="DW29" s="167"/>
      <c r="DX29" s="167"/>
      <c r="DY29" s="167"/>
      <c r="DZ29" s="167"/>
      <c r="EA29" s="167"/>
      <c r="EB29" s="167"/>
      <c r="EC29" s="167"/>
      <c r="ED29" s="167"/>
      <c r="EE29" s="167"/>
      <c r="EF29" s="169"/>
    </row>
    <row r="30" spans="1:136" ht="18" customHeight="1" x14ac:dyDescent="0.2">
      <c r="A30" s="36">
        <v>19</v>
      </c>
      <c r="B30" s="37">
        <v>2</v>
      </c>
      <c r="C30" s="636" t="s">
        <v>1261</v>
      </c>
      <c r="D30" s="637"/>
      <c r="E30" s="400" t="s">
        <v>580</v>
      </c>
      <c r="F30" s="400"/>
      <c r="G30" s="400"/>
      <c r="H30" s="401"/>
      <c r="I30" s="415">
        <v>9830</v>
      </c>
      <c r="J30" s="409">
        <f t="shared" si="4"/>
        <v>1.4338266397113093E-2</v>
      </c>
      <c r="K30" s="425"/>
      <c r="L30" s="425"/>
      <c r="M30" s="112">
        <f t="shared" si="2"/>
        <v>9830</v>
      </c>
      <c r="N30" s="69">
        <f t="shared" si="5"/>
        <v>1</v>
      </c>
      <c r="O30" s="111"/>
      <c r="P30" s="32">
        <v>37257</v>
      </c>
      <c r="Q30" s="143">
        <f t="shared" ca="1" si="0"/>
        <v>16.282009011979337</v>
      </c>
      <c r="R30" s="111"/>
      <c r="S30" s="4">
        <v>43131</v>
      </c>
      <c r="T30" s="111"/>
      <c r="U30" s="64">
        <f t="shared" ca="1" si="6"/>
        <v>10.31981536432575</v>
      </c>
      <c r="V30" s="111"/>
      <c r="W30" s="144" t="s">
        <v>591</v>
      </c>
      <c r="X30" s="67">
        <v>12</v>
      </c>
      <c r="Y30" s="111"/>
      <c r="Z30" s="309">
        <f t="shared" si="3"/>
        <v>43496</v>
      </c>
      <c r="AA30" s="111"/>
      <c r="AB30" s="2" t="s">
        <v>135</v>
      </c>
      <c r="AC30" s="111"/>
      <c r="AD30" s="1221" t="s">
        <v>195</v>
      </c>
      <c r="AE30" s="1222"/>
      <c r="AF30" s="1223"/>
      <c r="AG30" s="150"/>
      <c r="AH30" s="52"/>
      <c r="AI30" s="52"/>
      <c r="AJ30" s="3"/>
      <c r="AK30" s="3"/>
      <c r="AL30" s="52"/>
      <c r="AM30" s="52"/>
      <c r="AN30" s="3"/>
      <c r="AO30" s="3"/>
      <c r="AP30" s="52"/>
      <c r="AQ30" s="52"/>
      <c r="AR30" s="3"/>
      <c r="AS30" s="3"/>
      <c r="AT30" s="61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5"/>
      <c r="DC30" s="3"/>
      <c r="DD30" s="3"/>
      <c r="DE30" s="3"/>
      <c r="DF30" s="3"/>
      <c r="DG30" s="3"/>
      <c r="DH30" s="3"/>
      <c r="DI30" s="3"/>
      <c r="DJ30" s="3"/>
      <c r="DK30" s="3"/>
      <c r="DL30" s="5"/>
      <c r="DM30" s="3"/>
      <c r="DN30" s="3"/>
      <c r="DO30" s="3"/>
      <c r="DP30" s="3"/>
      <c r="DQ30" s="3"/>
      <c r="DR30" s="3"/>
      <c r="DS30" s="3"/>
      <c r="DT30" s="3"/>
      <c r="DU30" s="3"/>
      <c r="DV30" s="5"/>
      <c r="DW30" s="3"/>
      <c r="DX30" s="3"/>
      <c r="DY30" s="3"/>
      <c r="DZ30" s="3"/>
      <c r="EA30" s="3"/>
      <c r="EB30" s="3"/>
      <c r="EC30" s="3"/>
      <c r="ED30" s="3"/>
      <c r="EE30" s="3"/>
      <c r="EF30" s="5"/>
    </row>
    <row r="31" spans="1:136" ht="18" customHeight="1" x14ac:dyDescent="0.2">
      <c r="A31" s="36">
        <v>20</v>
      </c>
      <c r="B31" s="37">
        <v>3</v>
      </c>
      <c r="C31" s="636" t="s">
        <v>1262</v>
      </c>
      <c r="D31" s="637"/>
      <c r="E31" s="403" t="s">
        <v>521</v>
      </c>
      <c r="F31" s="403" t="s">
        <v>655</v>
      </c>
      <c r="G31" s="403" t="s">
        <v>548</v>
      </c>
      <c r="H31" s="401" t="s">
        <v>527</v>
      </c>
      <c r="I31" s="420">
        <v>9734.35</v>
      </c>
      <c r="J31" s="411">
        <f t="shared" si="4"/>
        <v>1.419874908471392E-2</v>
      </c>
      <c r="K31" s="429">
        <v>7660.42</v>
      </c>
      <c r="L31" s="429">
        <v>730.61</v>
      </c>
      <c r="M31" s="112">
        <f t="shared" si="2"/>
        <v>1343.3200000000002</v>
      </c>
      <c r="N31" s="69">
        <f t="shared" si="5"/>
        <v>0.13799791460138583</v>
      </c>
      <c r="O31" s="111"/>
      <c r="P31" s="32">
        <v>41000</v>
      </c>
      <c r="Q31" s="143">
        <f t="shared" ca="1" si="0"/>
        <v>5.9979118584459838</v>
      </c>
      <c r="R31" s="111"/>
      <c r="S31" s="163">
        <v>43213</v>
      </c>
      <c r="T31" s="111"/>
      <c r="U31" s="64">
        <f t="shared" ca="1" si="6"/>
        <v>0.98911968348170132</v>
      </c>
      <c r="V31" s="111"/>
      <c r="W31" s="146"/>
      <c r="X31" s="67"/>
      <c r="Y31" s="111"/>
      <c r="Z31" s="309">
        <f t="shared" si="3"/>
        <v>43213</v>
      </c>
      <c r="AA31" s="111"/>
      <c r="AB31" s="2"/>
      <c r="AC31" s="111"/>
      <c r="AD31" s="1221" t="s">
        <v>188</v>
      </c>
      <c r="AE31" s="1222"/>
      <c r="AF31" s="1223"/>
      <c r="AG31" s="150"/>
      <c r="AH31" s="34"/>
      <c r="AI31" s="33"/>
      <c r="AJ31" s="3"/>
      <c r="AK31" s="3"/>
      <c r="AL31" s="34"/>
      <c r="AM31" s="33"/>
      <c r="AN31" s="3"/>
      <c r="AO31" s="3"/>
      <c r="AP31" s="34"/>
      <c r="AQ31" s="33"/>
      <c r="AR31" s="3"/>
      <c r="AS31" s="3"/>
      <c r="AT31" s="61"/>
      <c r="AU31" s="167"/>
      <c r="AV31" s="167"/>
      <c r="AW31" s="167"/>
      <c r="AX31" s="167"/>
      <c r="AY31" s="167"/>
      <c r="AZ31" s="167"/>
      <c r="BA31" s="167"/>
      <c r="BB31" s="167"/>
      <c r="BC31" s="167"/>
      <c r="BD31" s="167"/>
      <c r="BE31" s="167"/>
      <c r="BF31" s="167"/>
      <c r="BG31" s="167"/>
      <c r="BH31" s="167"/>
      <c r="BI31" s="167"/>
      <c r="BJ31" s="167"/>
      <c r="BK31" s="167"/>
      <c r="BL31" s="167"/>
      <c r="BM31" s="167"/>
      <c r="BN31" s="167"/>
      <c r="BO31" s="167"/>
      <c r="BP31" s="167"/>
      <c r="BQ31" s="167"/>
      <c r="BR31" s="167"/>
      <c r="BS31" s="167"/>
      <c r="BT31" s="167"/>
      <c r="BU31" s="167"/>
      <c r="BV31" s="167"/>
      <c r="BW31" s="167"/>
      <c r="BX31" s="167"/>
      <c r="BY31" s="167"/>
      <c r="BZ31" s="167"/>
      <c r="CA31" s="167"/>
      <c r="CB31" s="170"/>
      <c r="CC31" s="167"/>
      <c r="CD31" s="167"/>
      <c r="CE31" s="167"/>
      <c r="CF31" s="167"/>
      <c r="CG31" s="167"/>
      <c r="CH31" s="167"/>
      <c r="CI31" s="167"/>
      <c r="CJ31" s="167"/>
      <c r="CK31" s="171"/>
      <c r="CL31" s="167"/>
      <c r="CM31" s="167"/>
      <c r="CN31" s="167"/>
      <c r="CO31" s="167"/>
      <c r="CP31" s="171"/>
      <c r="CQ31" s="167"/>
      <c r="CR31" s="167"/>
      <c r="CS31" s="167"/>
      <c r="CT31" s="167"/>
      <c r="CU31" s="167"/>
      <c r="CV31" s="167"/>
      <c r="CW31" s="167"/>
      <c r="CX31" s="167"/>
      <c r="CY31" s="167"/>
      <c r="CZ31" s="167"/>
      <c r="DA31" s="167"/>
      <c r="DB31" s="169"/>
      <c r="DC31" s="167"/>
      <c r="DD31" s="167"/>
      <c r="DE31" s="167"/>
      <c r="DF31" s="167"/>
      <c r="DG31" s="167"/>
      <c r="DH31" s="167"/>
      <c r="DI31" s="167"/>
      <c r="DJ31" s="167"/>
      <c r="DK31" s="167"/>
      <c r="DL31" s="169"/>
      <c r="DM31" s="167"/>
      <c r="DN31" s="167"/>
      <c r="DO31" s="167"/>
      <c r="DP31" s="167"/>
      <c r="DQ31" s="167"/>
      <c r="DR31" s="167"/>
      <c r="DS31" s="167"/>
      <c r="DT31" s="167"/>
      <c r="DU31" s="167"/>
      <c r="DV31" s="169"/>
      <c r="DW31" s="167"/>
      <c r="DX31" s="167"/>
      <c r="DY31" s="167"/>
      <c r="DZ31" s="167"/>
      <c r="EA31" s="167"/>
      <c r="EB31" s="167"/>
      <c r="EC31" s="167"/>
      <c r="ED31" s="167"/>
      <c r="EE31" s="167"/>
      <c r="EF31" s="169"/>
    </row>
    <row r="32" spans="1:136" ht="18" customHeight="1" x14ac:dyDescent="0.2">
      <c r="A32" s="36">
        <v>21</v>
      </c>
      <c r="B32" s="37">
        <v>4</v>
      </c>
      <c r="C32" s="636" t="s">
        <v>1263</v>
      </c>
      <c r="D32" s="637"/>
      <c r="E32" s="400" t="s">
        <v>521</v>
      </c>
      <c r="F32" s="400"/>
      <c r="G32" s="400"/>
      <c r="H32" s="401"/>
      <c r="I32" s="421">
        <v>9557.83</v>
      </c>
      <c r="J32" s="409">
        <f t="shared" si="4"/>
        <v>1.394127291132446E-2</v>
      </c>
      <c r="K32" s="421">
        <v>12835.39</v>
      </c>
      <c r="L32" s="426">
        <v>792.6</v>
      </c>
      <c r="M32" s="112">
        <f t="shared" si="2"/>
        <v>-4070.1599999999994</v>
      </c>
      <c r="N32" s="69">
        <f t="shared" si="5"/>
        <v>-0.42584561558429052</v>
      </c>
      <c r="O32" s="111"/>
      <c r="P32" s="32">
        <v>42979</v>
      </c>
      <c r="Q32" s="143">
        <f t="shared" ca="1" si="0"/>
        <v>0.56050115397296407</v>
      </c>
      <c r="R32" s="111"/>
      <c r="S32" s="163"/>
      <c r="T32" s="111"/>
      <c r="U32" s="64">
        <f t="shared" ca="1" si="6"/>
        <v>-1423.7718430596769</v>
      </c>
      <c r="V32" s="111"/>
      <c r="W32" s="146"/>
      <c r="X32" s="67"/>
      <c r="Y32" s="111"/>
      <c r="Z32" s="309">
        <f t="shared" si="3"/>
        <v>0</v>
      </c>
      <c r="AA32" s="111"/>
      <c r="AB32" s="2"/>
      <c r="AC32" s="111"/>
      <c r="AD32" s="1221"/>
      <c r="AE32" s="1222"/>
      <c r="AF32" s="1223"/>
      <c r="AG32" s="150"/>
      <c r="AH32" s="34"/>
      <c r="AI32" s="33"/>
      <c r="AJ32" s="3"/>
      <c r="AK32" s="3"/>
      <c r="AL32" s="34"/>
      <c r="AM32" s="33"/>
      <c r="AN32" s="3"/>
      <c r="AO32" s="3"/>
      <c r="AP32" s="34"/>
      <c r="AQ32" s="33"/>
      <c r="AR32" s="3"/>
      <c r="AS32" s="3"/>
      <c r="AT32" s="61"/>
      <c r="AU32" s="167"/>
      <c r="AV32" s="167"/>
      <c r="AW32" s="167"/>
      <c r="AX32" s="167"/>
      <c r="AY32" s="167"/>
      <c r="AZ32" s="167"/>
      <c r="BA32" s="167"/>
      <c r="BB32" s="167"/>
      <c r="BC32" s="167"/>
      <c r="BD32" s="167"/>
      <c r="BE32" s="167"/>
      <c r="BF32" s="167"/>
      <c r="BG32" s="167"/>
      <c r="BH32" s="167"/>
      <c r="BI32" s="167"/>
      <c r="BJ32" s="167"/>
      <c r="BK32" s="167"/>
      <c r="BL32" s="167"/>
      <c r="BM32" s="167"/>
      <c r="BN32" s="167"/>
      <c r="BO32" s="167"/>
      <c r="BP32" s="167"/>
      <c r="BQ32" s="167"/>
      <c r="BR32" s="167"/>
      <c r="BS32" s="167"/>
      <c r="BT32" s="167"/>
      <c r="BU32" s="167"/>
      <c r="BV32" s="167"/>
      <c r="BW32" s="167"/>
      <c r="BX32" s="167"/>
      <c r="BY32" s="167"/>
      <c r="BZ32" s="167"/>
      <c r="CA32" s="167"/>
      <c r="CB32" s="170"/>
      <c r="CC32" s="167"/>
      <c r="CD32" s="167"/>
      <c r="CE32" s="167"/>
      <c r="CF32" s="167"/>
      <c r="CG32" s="167"/>
      <c r="CH32" s="167"/>
      <c r="CI32" s="167"/>
      <c r="CJ32" s="167"/>
      <c r="CK32" s="171"/>
      <c r="CL32" s="167"/>
      <c r="CM32" s="167"/>
      <c r="CN32" s="167"/>
      <c r="CO32" s="167"/>
      <c r="CP32" s="171"/>
      <c r="CQ32" s="167"/>
      <c r="CR32" s="167"/>
      <c r="CS32" s="167"/>
      <c r="CT32" s="167"/>
      <c r="CU32" s="167"/>
      <c r="CV32" s="167"/>
      <c r="CW32" s="167"/>
      <c r="CX32" s="167"/>
      <c r="CY32" s="167"/>
      <c r="CZ32" s="167"/>
      <c r="DA32" s="167"/>
      <c r="DB32" s="169"/>
      <c r="DC32" s="167"/>
      <c r="DD32" s="167"/>
      <c r="DE32" s="167"/>
      <c r="DF32" s="167"/>
      <c r="DG32" s="167"/>
      <c r="DH32" s="167"/>
      <c r="DI32" s="167"/>
      <c r="DJ32" s="167"/>
      <c r="DK32" s="167"/>
      <c r="DL32" s="169"/>
      <c r="DM32" s="167"/>
      <c r="DN32" s="167"/>
      <c r="DO32" s="167"/>
      <c r="DP32" s="167"/>
      <c r="DQ32" s="167"/>
      <c r="DR32" s="167"/>
      <c r="DS32" s="167"/>
      <c r="DT32" s="167"/>
      <c r="DU32" s="167"/>
      <c r="DV32" s="169"/>
      <c r="DW32" s="167"/>
      <c r="DX32" s="167"/>
      <c r="DY32" s="167"/>
      <c r="DZ32" s="167"/>
      <c r="EA32" s="167"/>
      <c r="EB32" s="167"/>
      <c r="EC32" s="167"/>
      <c r="ED32" s="167"/>
      <c r="EE32" s="167"/>
      <c r="EF32" s="169"/>
    </row>
    <row r="33" spans="1:136" ht="18" customHeight="1" x14ac:dyDescent="0.2">
      <c r="A33" s="36">
        <v>22</v>
      </c>
      <c r="B33" s="37">
        <v>5</v>
      </c>
      <c r="C33" s="636" t="s">
        <v>1264</v>
      </c>
      <c r="D33" s="637"/>
      <c r="E33" s="400" t="s">
        <v>521</v>
      </c>
      <c r="F33" s="400"/>
      <c r="G33" s="400"/>
      <c r="H33" s="401"/>
      <c r="I33" s="416">
        <v>9075.8499999999894</v>
      </c>
      <c r="J33" s="409">
        <f t="shared" si="4"/>
        <v>1.3238245684663145E-2</v>
      </c>
      <c r="K33" s="426">
        <v>6592.6000000000404</v>
      </c>
      <c r="L33" s="426">
        <v>499.1</v>
      </c>
      <c r="M33" s="112">
        <f t="shared" si="2"/>
        <v>1984.1499999999492</v>
      </c>
      <c r="N33" s="69">
        <f t="shared" si="5"/>
        <v>0.2186186417801034</v>
      </c>
      <c r="O33" s="111"/>
      <c r="P33" s="32">
        <v>42278</v>
      </c>
      <c r="Q33" s="143">
        <f t="shared" ca="1" si="0"/>
        <v>2.4865369820859438</v>
      </c>
      <c r="R33" s="111"/>
      <c r="S33" s="4">
        <v>43100</v>
      </c>
      <c r="T33" s="111"/>
      <c r="U33" s="64">
        <f t="shared" ca="1" si="6"/>
        <v>-2.7365644576327068</v>
      </c>
      <c r="V33" s="111"/>
      <c r="W33" s="146"/>
      <c r="X33" s="67"/>
      <c r="Y33" s="111"/>
      <c r="Z33" s="309">
        <f t="shared" si="3"/>
        <v>43100</v>
      </c>
      <c r="AA33" s="111"/>
      <c r="AB33" s="2" t="s">
        <v>135</v>
      </c>
      <c r="AC33" s="111"/>
      <c r="AD33" s="1221" t="s">
        <v>184</v>
      </c>
      <c r="AE33" s="1222"/>
      <c r="AF33" s="1223"/>
      <c r="AG33" s="150"/>
      <c r="AH33" s="52"/>
      <c r="AI33" s="52"/>
      <c r="AJ33" s="3"/>
      <c r="AK33" s="3"/>
      <c r="AL33" s="52"/>
      <c r="AM33" s="52"/>
      <c r="AN33" s="3"/>
      <c r="AO33" s="3"/>
      <c r="AP33" s="52"/>
      <c r="AQ33" s="52"/>
      <c r="AR33" s="3"/>
      <c r="AS33" s="3"/>
      <c r="AT33" s="61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5"/>
      <c r="DC33" s="3"/>
      <c r="DD33" s="3"/>
      <c r="DE33" s="3"/>
      <c r="DF33" s="3"/>
      <c r="DG33" s="3"/>
      <c r="DH33" s="3"/>
      <c r="DI33" s="3"/>
      <c r="DJ33" s="3"/>
      <c r="DK33" s="3"/>
      <c r="DL33" s="5"/>
      <c r="DM33" s="3"/>
      <c r="DN33" s="3"/>
      <c r="DO33" s="3"/>
      <c r="DP33" s="3"/>
      <c r="DQ33" s="3"/>
      <c r="DR33" s="3"/>
      <c r="DS33" s="3"/>
      <c r="DT33" s="3"/>
      <c r="DU33" s="3"/>
      <c r="DV33" s="5"/>
      <c r="DW33" s="3"/>
      <c r="DX33" s="3"/>
      <c r="DY33" s="3"/>
      <c r="DZ33" s="3"/>
      <c r="EA33" s="3"/>
      <c r="EB33" s="3"/>
      <c r="EC33" s="3"/>
      <c r="ED33" s="3"/>
      <c r="EE33" s="3"/>
      <c r="EF33" s="5"/>
    </row>
    <row r="34" spans="1:136" ht="18" customHeight="1" x14ac:dyDescent="0.2">
      <c r="A34" s="36">
        <v>23</v>
      </c>
      <c r="B34" s="37">
        <v>6</v>
      </c>
      <c r="C34" s="696" t="s">
        <v>1265</v>
      </c>
      <c r="D34" s="697"/>
      <c r="E34" s="403" t="s">
        <v>521</v>
      </c>
      <c r="F34" s="403" t="s">
        <v>648</v>
      </c>
      <c r="G34" s="403" t="s">
        <v>548</v>
      </c>
      <c r="H34" s="401" t="s">
        <v>527</v>
      </c>
      <c r="I34" s="420">
        <v>6671.01</v>
      </c>
      <c r="J34" s="411">
        <f t="shared" si="4"/>
        <v>9.7304901849242544E-3</v>
      </c>
      <c r="K34" s="429">
        <v>5897.26</v>
      </c>
      <c r="L34" s="429">
        <v>0</v>
      </c>
      <c r="M34" s="112">
        <f t="shared" si="2"/>
        <v>773.75</v>
      </c>
      <c r="N34" s="69">
        <f t="shared" si="5"/>
        <v>0.11598693451216532</v>
      </c>
      <c r="O34" s="111"/>
      <c r="P34" s="32">
        <v>41275</v>
      </c>
      <c r="Q34" s="143">
        <f t="shared" ca="1" si="0"/>
        <v>5.2423343224530177</v>
      </c>
      <c r="R34" s="111"/>
      <c r="S34" s="4">
        <v>43100</v>
      </c>
      <c r="T34" s="111"/>
      <c r="U34" s="64">
        <f t="shared" ca="1" si="6"/>
        <v>-2.7365644576327068</v>
      </c>
      <c r="V34" s="111"/>
      <c r="W34" s="146"/>
      <c r="X34" s="67"/>
      <c r="Y34" s="111"/>
      <c r="Z34" s="309">
        <f t="shared" si="3"/>
        <v>43100</v>
      </c>
      <c r="AA34" s="111"/>
      <c r="AB34" s="2"/>
      <c r="AC34" s="111"/>
      <c r="AD34" s="1221"/>
      <c r="AE34" s="1222"/>
      <c r="AF34" s="1223"/>
      <c r="AG34" s="150"/>
      <c r="AH34" s="52"/>
      <c r="AI34" s="52"/>
      <c r="AJ34" s="3"/>
      <c r="AK34" s="3"/>
      <c r="AL34" s="52"/>
      <c r="AM34" s="52"/>
      <c r="AN34" s="3"/>
      <c r="AO34" s="3"/>
      <c r="AP34" s="52"/>
      <c r="AQ34" s="52"/>
      <c r="AR34" s="3"/>
      <c r="AS34" s="3"/>
      <c r="AT34" s="61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5"/>
      <c r="DC34" s="3"/>
      <c r="DD34" s="3"/>
      <c r="DE34" s="3"/>
      <c r="DF34" s="3"/>
      <c r="DG34" s="3"/>
      <c r="DH34" s="3"/>
      <c r="DI34" s="3"/>
      <c r="DJ34" s="3"/>
      <c r="DK34" s="3"/>
      <c r="DL34" s="5"/>
      <c r="DM34" s="3"/>
      <c r="DN34" s="3"/>
      <c r="DO34" s="3"/>
      <c r="DP34" s="3"/>
      <c r="DQ34" s="3"/>
      <c r="DR34" s="3"/>
      <c r="DS34" s="3"/>
      <c r="DT34" s="3"/>
      <c r="DU34" s="3"/>
      <c r="DV34" s="5"/>
      <c r="DW34" s="3"/>
      <c r="DX34" s="3"/>
      <c r="DY34" s="3"/>
      <c r="DZ34" s="3"/>
      <c r="EA34" s="3"/>
      <c r="EB34" s="3"/>
      <c r="EC34" s="3"/>
      <c r="ED34" s="3"/>
      <c r="EE34" s="3"/>
      <c r="EF34" s="5"/>
    </row>
    <row r="35" spans="1:136" ht="18" customHeight="1" x14ac:dyDescent="0.2">
      <c r="A35" s="36">
        <v>24</v>
      </c>
      <c r="B35" s="37">
        <v>7</v>
      </c>
      <c r="C35" s="675" t="s">
        <v>1266</v>
      </c>
      <c r="D35" s="676"/>
      <c r="E35" s="403" t="s">
        <v>521</v>
      </c>
      <c r="F35" s="403" t="s">
        <v>656</v>
      </c>
      <c r="G35" s="403" t="s">
        <v>548</v>
      </c>
      <c r="H35" s="401" t="s">
        <v>527</v>
      </c>
      <c r="I35" s="420">
        <v>6301.7</v>
      </c>
      <c r="J35" s="411">
        <f>I35/$I$2</f>
        <v>9.1918060381167427E-3</v>
      </c>
      <c r="K35" s="429">
        <v>4966.92</v>
      </c>
      <c r="L35" s="429">
        <v>362.41999999999996</v>
      </c>
      <c r="M35" s="112">
        <f t="shared" si="2"/>
        <v>972.35999999999979</v>
      </c>
      <c r="N35" s="69">
        <f t="shared" si="5"/>
        <v>0.15430122030563179</v>
      </c>
      <c r="O35" s="111"/>
      <c r="P35" s="32">
        <v>41275</v>
      </c>
      <c r="Q35" s="143">
        <f t="shared" ca="1" si="0"/>
        <v>5.2423343224530177</v>
      </c>
      <c r="R35" s="111"/>
      <c r="S35" s="163">
        <v>42766</v>
      </c>
      <c r="T35" s="111"/>
      <c r="U35" s="64">
        <f ca="1">(Z35-$I$1)/30.33</f>
        <v>-13.748763600395648</v>
      </c>
      <c r="V35" s="111"/>
      <c r="W35" s="146"/>
      <c r="X35" s="67"/>
      <c r="Y35" s="111"/>
      <c r="Z35" s="309">
        <f t="shared" si="3"/>
        <v>42766</v>
      </c>
      <c r="AA35" s="111"/>
      <c r="AB35" s="2"/>
      <c r="AC35" s="111"/>
      <c r="AD35" s="1221"/>
      <c r="AE35" s="1222"/>
      <c r="AF35" s="1223"/>
      <c r="AG35" s="150"/>
      <c r="AH35" s="34"/>
      <c r="AI35" s="33"/>
      <c r="AJ35" s="3"/>
      <c r="AK35" s="3"/>
      <c r="AL35" s="34"/>
      <c r="AM35" s="33"/>
      <c r="AN35" s="3"/>
      <c r="AO35" s="3"/>
      <c r="AP35" s="34"/>
      <c r="AQ35" s="33"/>
      <c r="AR35" s="3"/>
      <c r="AS35" s="3"/>
      <c r="AT35" s="61"/>
      <c r="AU35" s="167"/>
      <c r="AV35" s="167"/>
      <c r="AW35" s="167"/>
      <c r="AX35" s="167"/>
      <c r="AY35" s="167"/>
      <c r="AZ35" s="167"/>
      <c r="BA35" s="167"/>
      <c r="BB35" s="167"/>
      <c r="BC35" s="167"/>
      <c r="BD35" s="167"/>
      <c r="BE35" s="167"/>
      <c r="BF35" s="167"/>
      <c r="BG35" s="167"/>
      <c r="BH35" s="167"/>
      <c r="BI35" s="167"/>
      <c r="BJ35" s="167"/>
      <c r="BK35" s="167"/>
      <c r="BL35" s="167"/>
      <c r="BM35" s="167"/>
      <c r="BN35" s="167"/>
      <c r="BO35" s="167"/>
      <c r="BP35" s="167"/>
      <c r="BQ35" s="167"/>
      <c r="BR35" s="167"/>
      <c r="BS35" s="167"/>
      <c r="BT35" s="167"/>
      <c r="BU35" s="167"/>
      <c r="BV35" s="167"/>
      <c r="BW35" s="167"/>
      <c r="BX35" s="167"/>
      <c r="BY35" s="167"/>
      <c r="BZ35" s="167"/>
      <c r="CA35" s="167"/>
      <c r="CB35" s="170"/>
      <c r="CC35" s="167"/>
      <c r="CD35" s="167"/>
      <c r="CE35" s="167"/>
      <c r="CF35" s="167"/>
      <c r="CG35" s="167"/>
      <c r="CH35" s="167"/>
      <c r="CI35" s="167"/>
      <c r="CJ35" s="167"/>
      <c r="CK35" s="171"/>
      <c r="CL35" s="167"/>
      <c r="CM35" s="167"/>
      <c r="CN35" s="167"/>
      <c r="CO35" s="167"/>
      <c r="CP35" s="171"/>
      <c r="CQ35" s="167"/>
      <c r="CR35" s="167"/>
      <c r="CS35" s="167"/>
      <c r="CT35" s="167"/>
      <c r="CU35" s="167"/>
      <c r="CV35" s="167"/>
      <c r="CW35" s="167"/>
      <c r="CX35" s="167"/>
      <c r="CY35" s="167"/>
      <c r="CZ35" s="167"/>
      <c r="DA35" s="167"/>
      <c r="DB35" s="169"/>
      <c r="DC35" s="167"/>
      <c r="DD35" s="167"/>
      <c r="DE35" s="167"/>
      <c r="DF35" s="167"/>
      <c r="DG35" s="167"/>
      <c r="DH35" s="167"/>
      <c r="DI35" s="167"/>
      <c r="DJ35" s="167"/>
      <c r="DK35" s="167"/>
      <c r="DL35" s="169"/>
      <c r="DM35" s="167"/>
      <c r="DN35" s="167"/>
      <c r="DO35" s="167"/>
      <c r="DP35" s="167"/>
      <c r="DQ35" s="167"/>
      <c r="DR35" s="167"/>
      <c r="DS35" s="167"/>
      <c r="DT35" s="167"/>
      <c r="DU35" s="167"/>
      <c r="DV35" s="169"/>
      <c r="DW35" s="167"/>
      <c r="DX35" s="167"/>
      <c r="DY35" s="167"/>
      <c r="DZ35" s="167"/>
      <c r="EA35" s="167"/>
      <c r="EB35" s="167"/>
      <c r="EC35" s="167"/>
      <c r="ED35" s="167"/>
      <c r="EE35" s="167"/>
      <c r="EF35" s="169"/>
    </row>
    <row r="36" spans="1:136" ht="18" customHeight="1" x14ac:dyDescent="0.2">
      <c r="A36" s="36">
        <v>25</v>
      </c>
      <c r="B36" s="37">
        <v>8</v>
      </c>
      <c r="C36" s="708" t="s">
        <v>1267</v>
      </c>
      <c r="D36" s="709"/>
      <c r="E36" s="400" t="s">
        <v>521</v>
      </c>
      <c r="F36" s="400"/>
      <c r="G36" s="400"/>
      <c r="H36" s="401"/>
      <c r="I36" s="415">
        <v>6287.5</v>
      </c>
      <c r="J36" s="409">
        <f>I36/$I$2</f>
        <v>9.1710935881839841E-3</v>
      </c>
      <c r="K36" s="425">
        <v>3424.64</v>
      </c>
      <c r="L36" s="425">
        <v>168.02</v>
      </c>
      <c r="M36" s="112">
        <f t="shared" si="2"/>
        <v>2694.84</v>
      </c>
      <c r="N36" s="69">
        <f t="shared" si="5"/>
        <v>0.42860278330019885</v>
      </c>
      <c r="O36" s="111"/>
      <c r="P36" s="32">
        <v>42005</v>
      </c>
      <c r="Q36" s="143">
        <f t="shared" ca="1" si="0"/>
        <v>3.2366194087262339</v>
      </c>
      <c r="R36" s="111"/>
      <c r="S36" s="4">
        <v>43131</v>
      </c>
      <c r="T36" s="111"/>
      <c r="U36" s="64">
        <f ca="1">(Z36-$I$1)/30.33</f>
        <v>-1.714474118034949</v>
      </c>
      <c r="V36" s="111"/>
      <c r="W36" s="144"/>
      <c r="X36" s="67"/>
      <c r="Y36" s="111"/>
      <c r="Z36" s="309">
        <f t="shared" si="3"/>
        <v>43131</v>
      </c>
      <c r="AA36" s="111"/>
      <c r="AB36" s="2" t="s">
        <v>135</v>
      </c>
      <c r="AC36" s="111"/>
      <c r="AD36" s="1221" t="s">
        <v>624</v>
      </c>
      <c r="AE36" s="1222"/>
      <c r="AF36" s="1223"/>
      <c r="AG36" s="150"/>
      <c r="AH36" s="52"/>
      <c r="AI36" s="52"/>
      <c r="AJ36" s="3"/>
      <c r="AK36" s="3"/>
      <c r="AL36" s="52"/>
      <c r="AM36" s="52"/>
      <c r="AN36" s="3"/>
      <c r="AO36" s="3"/>
      <c r="AP36" s="52"/>
      <c r="AQ36" s="52"/>
      <c r="AR36" s="3"/>
      <c r="AS36" s="3"/>
      <c r="AT36" s="61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5"/>
      <c r="DC36" s="3"/>
      <c r="DD36" s="3"/>
      <c r="DE36" s="3"/>
      <c r="DF36" s="3"/>
      <c r="DG36" s="3"/>
      <c r="DH36" s="3"/>
      <c r="DI36" s="3"/>
      <c r="DJ36" s="3"/>
      <c r="DK36" s="3"/>
      <c r="DL36" s="5"/>
      <c r="DM36" s="3"/>
      <c r="DN36" s="3"/>
      <c r="DO36" s="3"/>
      <c r="DP36" s="3"/>
      <c r="DQ36" s="3"/>
      <c r="DR36" s="3"/>
      <c r="DS36" s="3"/>
      <c r="DT36" s="3"/>
      <c r="DU36" s="3"/>
      <c r="DV36" s="5"/>
      <c r="DW36" s="3"/>
      <c r="DX36" s="3"/>
      <c r="DY36" s="3"/>
      <c r="DZ36" s="3"/>
      <c r="EA36" s="3"/>
      <c r="EB36" s="3"/>
      <c r="EC36" s="3"/>
      <c r="ED36" s="3"/>
      <c r="EE36" s="3"/>
      <c r="EF36" s="5"/>
    </row>
    <row r="37" spans="1:136" ht="18" customHeight="1" x14ac:dyDescent="0.2">
      <c r="A37" s="36">
        <v>26</v>
      </c>
      <c r="B37" s="37">
        <v>10</v>
      </c>
      <c r="C37" s="636" t="s">
        <v>1268</v>
      </c>
      <c r="D37" s="637"/>
      <c r="E37" s="400" t="s">
        <v>548</v>
      </c>
      <c r="F37" s="400"/>
      <c r="G37" s="400"/>
      <c r="H37" s="401" t="s">
        <v>597</v>
      </c>
      <c r="I37" s="415">
        <v>5952.15</v>
      </c>
      <c r="J37" s="409">
        <f t="shared" si="4"/>
        <v>8.681944286426926E-3</v>
      </c>
      <c r="K37" s="425">
        <v>3982.1300000000101</v>
      </c>
      <c r="L37" s="425">
        <v>237.67</v>
      </c>
      <c r="M37" s="112">
        <f t="shared" si="2"/>
        <v>1732.3499999999894</v>
      </c>
      <c r="N37" s="69">
        <f t="shared" si="5"/>
        <v>0.29104609258839065</v>
      </c>
      <c r="O37" s="111"/>
      <c r="P37" s="32">
        <v>42005</v>
      </c>
      <c r="Q37" s="143">
        <f t="shared" ca="1" si="0"/>
        <v>3.2366194087262339</v>
      </c>
      <c r="R37" s="111"/>
      <c r="S37" s="4">
        <v>44196</v>
      </c>
      <c r="T37" s="111"/>
      <c r="U37" s="64">
        <f t="shared" ref="U37" ca="1" si="7">(Z37-$I$1)/30.33</f>
        <v>33.399274645565448</v>
      </c>
      <c r="V37" s="111"/>
      <c r="W37" s="144"/>
      <c r="X37" s="67"/>
      <c r="Y37" s="111"/>
      <c r="Z37" s="309">
        <f t="shared" si="3"/>
        <v>44196</v>
      </c>
      <c r="AA37" s="111"/>
      <c r="AB37" s="2" t="s">
        <v>135</v>
      </c>
      <c r="AC37" s="111"/>
      <c r="AD37" s="1221" t="s">
        <v>625</v>
      </c>
      <c r="AE37" s="1222"/>
      <c r="AF37" s="1223"/>
      <c r="AG37" s="150"/>
      <c r="AH37" s="52"/>
      <c r="AI37" s="52"/>
      <c r="AJ37" s="6"/>
      <c r="AK37" s="6"/>
      <c r="AL37" s="52"/>
      <c r="AM37" s="52"/>
      <c r="AN37" s="6"/>
      <c r="AO37" s="6"/>
      <c r="AP37" s="52"/>
      <c r="AQ37" s="52"/>
      <c r="AR37" s="6"/>
      <c r="AS37" s="6"/>
      <c r="AT37" s="152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5"/>
      <c r="DC37" s="3"/>
      <c r="DD37" s="3"/>
      <c r="DE37" s="3"/>
      <c r="DF37" s="3"/>
      <c r="DG37" s="3"/>
      <c r="DH37" s="3"/>
      <c r="DI37" s="3"/>
      <c r="DJ37" s="3"/>
      <c r="DK37" s="3"/>
      <c r="DL37" s="5"/>
      <c r="DM37" s="3"/>
      <c r="DN37" s="3"/>
      <c r="DO37" s="3"/>
      <c r="DP37" s="3"/>
      <c r="DQ37" s="3"/>
      <c r="DR37" s="3"/>
      <c r="DS37" s="3"/>
      <c r="DT37" s="3"/>
      <c r="DU37" s="3"/>
      <c r="DV37" s="5"/>
      <c r="DW37" s="3"/>
      <c r="DX37" s="3"/>
      <c r="DY37" s="3"/>
      <c r="DZ37" s="3"/>
      <c r="EA37" s="3"/>
      <c r="EB37" s="3"/>
      <c r="EC37" s="3"/>
      <c r="ED37" s="3"/>
      <c r="EE37" s="3"/>
      <c r="EF37" s="5"/>
    </row>
    <row r="38" spans="1:136" ht="18" customHeight="1" x14ac:dyDescent="0.2">
      <c r="A38" s="36">
        <v>27</v>
      </c>
      <c r="B38" s="37">
        <v>13</v>
      </c>
      <c r="C38" s="636" t="s">
        <v>1269</v>
      </c>
      <c r="D38" s="637"/>
      <c r="E38" s="400" t="s">
        <v>521</v>
      </c>
      <c r="F38" s="400"/>
      <c r="G38" s="400"/>
      <c r="H38" s="401"/>
      <c r="I38" s="415">
        <v>5895.73</v>
      </c>
      <c r="J38" s="409">
        <f t="shared" si="4"/>
        <v>8.5996487635250831E-3</v>
      </c>
      <c r="K38" s="425"/>
      <c r="L38" s="425">
        <v>0</v>
      </c>
      <c r="M38" s="112">
        <f t="shared" si="2"/>
        <v>5895.73</v>
      </c>
      <c r="N38" s="69">
        <f t="shared" si="5"/>
        <v>1</v>
      </c>
      <c r="O38" s="111"/>
      <c r="P38" s="32">
        <v>42979</v>
      </c>
      <c r="Q38" s="143">
        <f t="shared" ca="1" si="0"/>
        <v>0.56050115397296407</v>
      </c>
      <c r="R38" s="111"/>
      <c r="S38" s="4"/>
      <c r="T38" s="111"/>
      <c r="U38" s="64">
        <f ca="1">(Z38-$I$1)/30.33</f>
        <v>-1423.7718430596769</v>
      </c>
      <c r="V38" s="111"/>
      <c r="W38" s="146"/>
      <c r="X38" s="67"/>
      <c r="Y38" s="111"/>
      <c r="Z38" s="309">
        <f t="shared" si="3"/>
        <v>0</v>
      </c>
      <c r="AA38" s="111"/>
      <c r="AB38" s="2" t="s">
        <v>135</v>
      </c>
      <c r="AC38" s="111"/>
      <c r="AD38" s="1221" t="s">
        <v>624</v>
      </c>
      <c r="AE38" s="1222"/>
      <c r="AF38" s="1223"/>
      <c r="AG38" s="150"/>
      <c r="AH38" s="34"/>
      <c r="AI38" s="33"/>
      <c r="AJ38" s="3"/>
      <c r="AK38" s="3"/>
      <c r="AL38" s="34"/>
      <c r="AM38" s="33"/>
      <c r="AN38" s="3"/>
      <c r="AO38" s="3"/>
      <c r="AP38" s="34"/>
      <c r="AQ38" s="33"/>
      <c r="AR38" s="3"/>
      <c r="AS38" s="3"/>
      <c r="AT38" s="61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167"/>
      <c r="BU38" s="167"/>
      <c r="BV38" s="167"/>
      <c r="BW38" s="167"/>
      <c r="BX38" s="167"/>
      <c r="BY38" s="167"/>
      <c r="BZ38" s="167"/>
      <c r="CA38" s="167"/>
      <c r="CB38" s="168"/>
      <c r="CC38" s="167"/>
      <c r="CD38" s="167"/>
      <c r="CE38" s="167"/>
      <c r="CF38" s="167"/>
      <c r="CG38" s="167"/>
      <c r="CH38" s="167"/>
      <c r="CI38" s="167"/>
      <c r="CJ38" s="167"/>
      <c r="CK38" s="167"/>
      <c r="CL38" s="167"/>
      <c r="CM38" s="167"/>
      <c r="CN38" s="167"/>
      <c r="CO38" s="167"/>
      <c r="CP38" s="167"/>
      <c r="CQ38" s="167"/>
      <c r="CR38" s="167"/>
      <c r="CS38" s="167"/>
      <c r="CT38" s="167"/>
      <c r="CU38" s="167"/>
      <c r="CV38" s="167"/>
      <c r="CW38" s="167"/>
      <c r="CX38" s="167"/>
      <c r="CY38" s="167"/>
      <c r="CZ38" s="167"/>
      <c r="DA38" s="167"/>
      <c r="DB38" s="169"/>
      <c r="DC38" s="167"/>
      <c r="DD38" s="167"/>
      <c r="DE38" s="167"/>
      <c r="DF38" s="167"/>
      <c r="DG38" s="167"/>
      <c r="DH38" s="167"/>
      <c r="DI38" s="167"/>
      <c r="DJ38" s="167"/>
      <c r="DK38" s="167"/>
      <c r="DL38" s="169"/>
      <c r="DM38" s="167"/>
      <c r="DN38" s="167"/>
      <c r="DO38" s="167"/>
      <c r="DP38" s="167"/>
      <c r="DQ38" s="167"/>
      <c r="DR38" s="167"/>
      <c r="DS38" s="167"/>
      <c r="DT38" s="167"/>
      <c r="DU38" s="167"/>
      <c r="DV38" s="169"/>
      <c r="DW38" s="167"/>
      <c r="DX38" s="167"/>
      <c r="DY38" s="167"/>
      <c r="DZ38" s="167"/>
      <c r="EA38" s="167"/>
      <c r="EB38" s="167"/>
      <c r="EC38" s="167"/>
      <c r="ED38" s="167"/>
      <c r="EE38" s="167"/>
      <c r="EF38" s="169"/>
    </row>
    <row r="39" spans="1:136" ht="18" customHeight="1" x14ac:dyDescent="0.2">
      <c r="A39" s="36">
        <v>28</v>
      </c>
      <c r="B39" s="37">
        <v>14</v>
      </c>
      <c r="C39" s="636" t="s">
        <v>1270</v>
      </c>
      <c r="D39" s="637"/>
      <c r="E39" s="400" t="s">
        <v>521</v>
      </c>
      <c r="F39" s="400"/>
      <c r="G39" s="400"/>
      <c r="H39" s="401" t="s">
        <v>597</v>
      </c>
      <c r="I39" s="416">
        <v>5843.11</v>
      </c>
      <c r="J39" s="409">
        <f t="shared" si="4"/>
        <v>8.5228960089151051E-3</v>
      </c>
      <c r="K39" s="426">
        <v>3969.76</v>
      </c>
      <c r="L39" s="426">
        <v>119.12</v>
      </c>
      <c r="M39" s="112">
        <f t="shared" si="2"/>
        <v>1754.2299999999996</v>
      </c>
      <c r="N39" s="69">
        <f t="shared" si="5"/>
        <v>0.30022197083402496</v>
      </c>
      <c r="O39" s="111"/>
      <c r="P39" s="32">
        <v>42887</v>
      </c>
      <c r="Q39" s="143">
        <f t="shared" ca="1" si="0"/>
        <v>0.81327618419606562</v>
      </c>
      <c r="R39" s="111"/>
      <c r="S39" s="4"/>
      <c r="T39" s="111"/>
      <c r="U39" s="64">
        <f t="shared" ref="U39:U102" ca="1" si="8">(Z39-$I$1)/30.33</f>
        <v>-1423.7718430596769</v>
      </c>
      <c r="V39" s="111"/>
      <c r="W39" s="146"/>
      <c r="X39" s="67"/>
      <c r="Y39" s="111"/>
      <c r="Z39" s="309">
        <f t="shared" si="3"/>
        <v>0</v>
      </c>
      <c r="AA39" s="111"/>
      <c r="AB39" s="2"/>
      <c r="AC39" s="111"/>
      <c r="AD39" s="1221" t="s">
        <v>649</v>
      </c>
      <c r="AE39" s="1222"/>
      <c r="AF39" s="1223"/>
      <c r="AG39" s="150"/>
      <c r="AH39" s="34"/>
      <c r="AI39" s="33"/>
      <c r="AJ39" s="3"/>
      <c r="AK39" s="3"/>
      <c r="AL39" s="34"/>
      <c r="AM39" s="33"/>
      <c r="AN39" s="3"/>
      <c r="AO39" s="3"/>
      <c r="AP39" s="34"/>
      <c r="AQ39" s="33"/>
      <c r="AR39" s="3"/>
      <c r="AS39" s="3"/>
      <c r="AT39" s="61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167"/>
      <c r="BU39" s="167"/>
      <c r="BV39" s="167"/>
      <c r="BW39" s="167"/>
      <c r="BX39" s="167"/>
      <c r="BY39" s="167"/>
      <c r="BZ39" s="167"/>
      <c r="CA39" s="167"/>
      <c r="CB39" s="168"/>
      <c r="CC39" s="167"/>
      <c r="CD39" s="167"/>
      <c r="CE39" s="167"/>
      <c r="CF39" s="167"/>
      <c r="CG39" s="167"/>
      <c r="CH39" s="167"/>
      <c r="CI39" s="167"/>
      <c r="CJ39" s="167"/>
      <c r="CK39" s="167"/>
      <c r="CL39" s="167"/>
      <c r="CM39" s="167"/>
      <c r="CN39" s="167"/>
      <c r="CO39" s="167"/>
      <c r="CP39" s="167"/>
      <c r="CQ39" s="167"/>
      <c r="CR39" s="167"/>
      <c r="CS39" s="167"/>
      <c r="CT39" s="167"/>
      <c r="CU39" s="167"/>
      <c r="CV39" s="167"/>
      <c r="CW39" s="167"/>
      <c r="CX39" s="167"/>
      <c r="CY39" s="167"/>
      <c r="CZ39" s="167"/>
      <c r="DA39" s="167"/>
      <c r="DB39" s="169"/>
      <c r="DC39" s="167"/>
      <c r="DD39" s="167"/>
      <c r="DE39" s="167"/>
      <c r="DF39" s="167"/>
      <c r="DG39" s="167"/>
      <c r="DH39" s="167"/>
      <c r="DI39" s="167"/>
      <c r="DJ39" s="167"/>
      <c r="DK39" s="167"/>
      <c r="DL39" s="169"/>
      <c r="DM39" s="167"/>
      <c r="DN39" s="167"/>
      <c r="DO39" s="167"/>
      <c r="DP39" s="167"/>
      <c r="DQ39" s="167"/>
      <c r="DR39" s="167"/>
      <c r="DS39" s="167"/>
      <c r="DT39" s="167"/>
      <c r="DU39" s="167"/>
      <c r="DV39" s="169"/>
      <c r="DW39" s="167"/>
      <c r="DX39" s="167"/>
      <c r="DY39" s="167"/>
      <c r="DZ39" s="167"/>
      <c r="EA39" s="167"/>
      <c r="EB39" s="167"/>
      <c r="EC39" s="167"/>
      <c r="ED39" s="167"/>
      <c r="EE39" s="167"/>
      <c r="EF39" s="169"/>
    </row>
    <row r="40" spans="1:136" ht="18" customHeight="1" x14ac:dyDescent="0.2">
      <c r="A40" s="36">
        <v>29</v>
      </c>
      <c r="B40" s="37">
        <v>15</v>
      </c>
      <c r="C40" s="636" t="s">
        <v>1271</v>
      </c>
      <c r="D40" s="637"/>
      <c r="E40" s="400" t="s">
        <v>521</v>
      </c>
      <c r="F40" s="400"/>
      <c r="G40" s="400"/>
      <c r="H40" s="401"/>
      <c r="I40" s="415">
        <v>5694.98</v>
      </c>
      <c r="J40" s="409">
        <f t="shared" si="4"/>
        <v>8.3068301491588115E-3</v>
      </c>
      <c r="K40" s="425"/>
      <c r="L40" s="425"/>
      <c r="M40" s="112">
        <f t="shared" si="2"/>
        <v>5694.98</v>
      </c>
      <c r="N40" s="69">
        <f t="shared" si="5"/>
        <v>1</v>
      </c>
      <c r="O40" s="111"/>
      <c r="P40" s="32">
        <v>42979</v>
      </c>
      <c r="Q40" s="143">
        <f t="shared" ca="1" si="0"/>
        <v>0.56050115397296407</v>
      </c>
      <c r="R40" s="111"/>
      <c r="S40" s="4"/>
      <c r="T40" s="111"/>
      <c r="U40" s="64">
        <f t="shared" ca="1" si="8"/>
        <v>-1423.7718430596769</v>
      </c>
      <c r="V40" s="111"/>
      <c r="W40" s="144"/>
      <c r="X40" s="67"/>
      <c r="Y40" s="111"/>
      <c r="Z40" s="309">
        <f t="shared" si="3"/>
        <v>0</v>
      </c>
      <c r="AA40" s="111"/>
      <c r="AB40" s="2"/>
      <c r="AC40" s="111"/>
      <c r="AD40" s="1221"/>
      <c r="AE40" s="1222"/>
      <c r="AF40" s="1223"/>
      <c r="AG40" s="150"/>
      <c r="AH40" s="52"/>
      <c r="AI40" s="52"/>
      <c r="AJ40" s="6"/>
      <c r="AK40" s="6"/>
      <c r="AL40" s="52"/>
      <c r="AM40" s="52"/>
      <c r="AN40" s="6"/>
      <c r="AO40" s="6"/>
      <c r="AP40" s="52"/>
      <c r="AQ40" s="52"/>
      <c r="AR40" s="6"/>
      <c r="AS40" s="6"/>
      <c r="AT40" s="152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5"/>
      <c r="DC40" s="3"/>
      <c r="DD40" s="3"/>
      <c r="DE40" s="3"/>
      <c r="DF40" s="3"/>
      <c r="DG40" s="3"/>
      <c r="DH40" s="3"/>
      <c r="DI40" s="3"/>
      <c r="DJ40" s="3"/>
      <c r="DK40" s="3"/>
      <c r="DL40" s="5"/>
      <c r="DM40" s="3"/>
      <c r="DN40" s="3"/>
      <c r="DO40" s="3"/>
      <c r="DP40" s="3"/>
      <c r="DQ40" s="3"/>
      <c r="DR40" s="3"/>
      <c r="DS40" s="3"/>
      <c r="DT40" s="3"/>
      <c r="DU40" s="3"/>
      <c r="DV40" s="5"/>
      <c r="DW40" s="3"/>
      <c r="DX40" s="3"/>
      <c r="DY40" s="3"/>
      <c r="DZ40" s="3"/>
      <c r="EA40" s="3"/>
      <c r="EB40" s="3"/>
      <c r="EC40" s="3"/>
      <c r="ED40" s="3"/>
      <c r="EE40" s="3"/>
      <c r="EF40" s="5"/>
    </row>
    <row r="41" spans="1:136" ht="18" customHeight="1" x14ac:dyDescent="0.2">
      <c r="A41" s="36">
        <v>30</v>
      </c>
      <c r="B41" s="37">
        <v>1</v>
      </c>
      <c r="C41" s="636" t="s">
        <v>1272</v>
      </c>
      <c r="D41" s="637"/>
      <c r="E41" s="400" t="s">
        <v>580</v>
      </c>
      <c r="F41" s="400" t="s">
        <v>657</v>
      </c>
      <c r="G41" s="400"/>
      <c r="H41" s="401" t="s">
        <v>597</v>
      </c>
      <c r="I41" s="416">
        <v>5510.8</v>
      </c>
      <c r="J41" s="409">
        <f t="shared" si="4"/>
        <v>8.0381809217915396E-3</v>
      </c>
      <c r="K41" s="426">
        <v>4137.87</v>
      </c>
      <c r="L41" s="426">
        <v>0</v>
      </c>
      <c r="M41" s="112">
        <f t="shared" si="2"/>
        <v>1372.9300000000003</v>
      </c>
      <c r="N41" s="69">
        <f t="shared" si="5"/>
        <v>0.24913442694345653</v>
      </c>
      <c r="O41" s="111"/>
      <c r="P41" s="32">
        <v>38718</v>
      </c>
      <c r="Q41" s="143">
        <f t="shared" ca="1" si="0"/>
        <v>12.267831629849434</v>
      </c>
      <c r="R41" s="111"/>
      <c r="S41" s="4">
        <v>44286</v>
      </c>
      <c r="T41" s="111"/>
      <c r="U41" s="64">
        <f t="shared" ca="1" si="8"/>
        <v>48.400923178371251</v>
      </c>
      <c r="V41" s="111"/>
      <c r="W41" s="144" t="s">
        <v>591</v>
      </c>
      <c r="X41" s="67">
        <v>12</v>
      </c>
      <c r="Y41" s="111"/>
      <c r="Z41" s="309">
        <f t="shared" si="3"/>
        <v>44651</v>
      </c>
      <c r="AA41" s="111"/>
      <c r="AB41" s="2"/>
      <c r="AC41" s="111"/>
      <c r="AD41" s="1221" t="s">
        <v>646</v>
      </c>
      <c r="AE41" s="1222"/>
      <c r="AF41" s="1223"/>
      <c r="AG41" s="150"/>
      <c r="AH41" s="52"/>
      <c r="AI41" s="52"/>
      <c r="AJ41" s="3"/>
      <c r="AK41" s="3"/>
      <c r="AL41" s="52"/>
      <c r="AM41" s="52"/>
      <c r="AN41" s="3"/>
      <c r="AO41" s="3"/>
      <c r="AP41" s="52"/>
      <c r="AQ41" s="52"/>
      <c r="AR41" s="3"/>
      <c r="AS41" s="3"/>
      <c r="AT41" s="61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5"/>
      <c r="DC41" s="3"/>
      <c r="DD41" s="3"/>
      <c r="DE41" s="3"/>
      <c r="DF41" s="3"/>
      <c r="DG41" s="3"/>
      <c r="DH41" s="3"/>
      <c r="DI41" s="3"/>
      <c r="DJ41" s="3"/>
      <c r="DK41" s="3"/>
      <c r="DL41" s="5"/>
      <c r="DM41" s="3"/>
      <c r="DN41" s="3"/>
      <c r="DO41" s="3"/>
      <c r="DP41" s="3"/>
      <c r="DQ41" s="3"/>
      <c r="DR41" s="3"/>
      <c r="DS41" s="3"/>
      <c r="DT41" s="3"/>
      <c r="DU41" s="3"/>
      <c r="DV41" s="5"/>
      <c r="DW41" s="3"/>
      <c r="DX41" s="3"/>
      <c r="DY41" s="3"/>
      <c r="DZ41" s="3"/>
      <c r="EA41" s="3"/>
      <c r="EB41" s="3"/>
      <c r="EC41" s="3"/>
      <c r="ED41" s="3"/>
      <c r="EE41" s="3"/>
      <c r="EF41" s="5"/>
    </row>
    <row r="42" spans="1:136" ht="18" customHeight="1" x14ac:dyDescent="0.2">
      <c r="A42" s="36">
        <v>31</v>
      </c>
      <c r="B42" s="36">
        <v>3</v>
      </c>
      <c r="C42" s="675" t="s">
        <v>231</v>
      </c>
      <c r="D42" s="676"/>
      <c r="E42" s="400" t="s">
        <v>521</v>
      </c>
      <c r="F42" s="400"/>
      <c r="G42" s="400"/>
      <c r="H42" s="401" t="s">
        <v>597</v>
      </c>
      <c r="I42" s="421">
        <v>4890.8500000000004</v>
      </c>
      <c r="J42" s="409">
        <f t="shared" si="4"/>
        <v>7.1339074474385126E-3</v>
      </c>
      <c r="K42" s="421">
        <v>3979.62</v>
      </c>
      <c r="L42" s="426"/>
      <c r="M42" s="112">
        <f t="shared" si="2"/>
        <v>911.23000000000047</v>
      </c>
      <c r="N42" s="69">
        <f t="shared" si="5"/>
        <v>0.1863132175388737</v>
      </c>
      <c r="O42" s="111"/>
      <c r="P42" s="32">
        <v>42461</v>
      </c>
      <c r="Q42" s="143">
        <f t="shared" ca="1" si="0"/>
        <v>1.9837344763160789</v>
      </c>
      <c r="R42" s="111"/>
      <c r="S42" s="4">
        <v>42825</v>
      </c>
      <c r="T42" s="111"/>
      <c r="U42" s="64">
        <f t="shared" ca="1" si="8"/>
        <v>-11.803494889548302</v>
      </c>
      <c r="V42" s="111"/>
      <c r="W42" s="144"/>
      <c r="X42" s="67"/>
      <c r="Y42" s="111"/>
      <c r="Z42" s="309">
        <f t="shared" si="3"/>
        <v>42825</v>
      </c>
      <c r="AA42" s="111"/>
      <c r="AB42" s="2"/>
      <c r="AC42" s="111"/>
      <c r="AD42" s="1221" t="s">
        <v>649</v>
      </c>
      <c r="AE42" s="1222"/>
      <c r="AF42" s="1223"/>
      <c r="AG42" s="150"/>
      <c r="AH42" s="52"/>
      <c r="AI42" s="52"/>
      <c r="AJ42" s="3"/>
      <c r="AK42" s="3"/>
      <c r="AL42" s="52"/>
      <c r="AM42" s="52"/>
      <c r="AN42" s="3"/>
      <c r="AO42" s="3"/>
      <c r="AP42" s="52"/>
      <c r="AQ42" s="52"/>
      <c r="AR42" s="3"/>
      <c r="AS42" s="3"/>
      <c r="AT42" s="61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5"/>
      <c r="DC42" s="3"/>
      <c r="DD42" s="3"/>
      <c r="DE42" s="3"/>
      <c r="DF42" s="3"/>
      <c r="DG42" s="3"/>
      <c r="DH42" s="3"/>
      <c r="DI42" s="3"/>
      <c r="DJ42" s="3"/>
      <c r="DK42" s="3"/>
      <c r="DL42" s="5"/>
      <c r="DM42" s="3"/>
      <c r="DN42" s="3"/>
      <c r="DO42" s="3"/>
      <c r="DP42" s="3"/>
      <c r="DQ42" s="3"/>
      <c r="DR42" s="3"/>
      <c r="DS42" s="3"/>
      <c r="DT42" s="3"/>
      <c r="DU42" s="3"/>
      <c r="DV42" s="5"/>
      <c r="DW42" s="3"/>
      <c r="DX42" s="3"/>
      <c r="DY42" s="3"/>
      <c r="DZ42" s="3"/>
      <c r="EA42" s="3"/>
      <c r="EB42" s="3"/>
      <c r="EC42" s="3"/>
      <c r="ED42" s="3"/>
      <c r="EE42" s="3"/>
      <c r="EF42" s="5"/>
    </row>
    <row r="43" spans="1:136" ht="18" customHeight="1" x14ac:dyDescent="0.2">
      <c r="A43" s="36">
        <v>32</v>
      </c>
      <c r="B43" s="36">
        <v>4</v>
      </c>
      <c r="C43" s="636" t="s">
        <v>1273</v>
      </c>
      <c r="D43" s="637"/>
      <c r="E43" s="403" t="s">
        <v>580</v>
      </c>
      <c r="F43" s="403" t="s">
        <v>658</v>
      </c>
      <c r="G43" s="403" t="s">
        <v>548</v>
      </c>
      <c r="H43" s="401" t="s">
        <v>527</v>
      </c>
      <c r="I43" s="422">
        <v>4425.6099999999997</v>
      </c>
      <c r="J43" s="411">
        <f t="shared" si="4"/>
        <v>6.4552975737261105E-3</v>
      </c>
      <c r="K43" s="430">
        <v>3196</v>
      </c>
      <c r="L43" s="430">
        <v>985.43</v>
      </c>
      <c r="M43" s="112">
        <f t="shared" si="2"/>
        <v>244.17999999999972</v>
      </c>
      <c r="N43" s="69">
        <f t="shared" si="5"/>
        <v>5.5174314953192832E-2</v>
      </c>
      <c r="O43" s="111"/>
      <c r="P43" s="377">
        <v>42248</v>
      </c>
      <c r="Q43" s="143">
        <f t="shared" ca="1" si="0"/>
        <v>2.5689636223760854</v>
      </c>
      <c r="R43" s="111"/>
      <c r="S43" s="374">
        <v>43115</v>
      </c>
      <c r="T43" s="111"/>
      <c r="U43" s="64">
        <f t="shared" ca="1" si="8"/>
        <v>-2.2420046158918563</v>
      </c>
      <c r="V43" s="111"/>
      <c r="W43" s="144"/>
      <c r="X43" s="67"/>
      <c r="Y43" s="111"/>
      <c r="Z43" s="309">
        <f t="shared" si="3"/>
        <v>43115</v>
      </c>
      <c r="AA43" s="111"/>
      <c r="AB43" s="378"/>
      <c r="AC43" s="173"/>
      <c r="AD43" s="379"/>
      <c r="AE43" s="380"/>
      <c r="AF43" s="395"/>
      <c r="AG43" s="109"/>
      <c r="AH43" s="375"/>
      <c r="AI43" s="375"/>
      <c r="AJ43" s="375"/>
      <c r="AK43" s="375"/>
      <c r="AL43" s="375"/>
      <c r="AM43" s="375"/>
      <c r="AN43" s="375"/>
      <c r="AO43" s="375"/>
      <c r="AP43" s="375"/>
      <c r="AQ43" s="375"/>
      <c r="AR43" s="375"/>
      <c r="AS43" s="375"/>
      <c r="AT43" s="61"/>
      <c r="AU43" s="375"/>
      <c r="AV43" s="375"/>
      <c r="AW43" s="375"/>
      <c r="AX43" s="375"/>
      <c r="AY43" s="375"/>
      <c r="AZ43" s="375"/>
      <c r="BA43" s="375"/>
      <c r="BB43" s="375"/>
      <c r="BC43" s="375"/>
      <c r="BD43" s="375"/>
      <c r="BE43" s="375"/>
      <c r="BF43" s="375"/>
      <c r="BG43" s="375"/>
      <c r="BH43" s="375"/>
      <c r="BI43" s="375"/>
      <c r="BJ43" s="375"/>
      <c r="BK43" s="375"/>
      <c r="BL43" s="375"/>
      <c r="BM43" s="375"/>
      <c r="BN43" s="375"/>
      <c r="BO43" s="375"/>
      <c r="BP43" s="375"/>
      <c r="BQ43" s="375"/>
      <c r="BR43" s="375"/>
      <c r="BS43" s="375"/>
      <c r="BT43" s="375"/>
      <c r="BU43" s="375"/>
      <c r="BV43" s="375"/>
      <c r="BW43" s="375"/>
      <c r="BX43" s="375"/>
      <c r="BY43" s="375"/>
      <c r="BZ43" s="375"/>
      <c r="CA43" s="375"/>
      <c r="CB43" s="375"/>
      <c r="CC43" s="375"/>
      <c r="CD43" s="375"/>
      <c r="CE43" s="375"/>
      <c r="CF43" s="375"/>
      <c r="CG43" s="375"/>
      <c r="CH43" s="375"/>
      <c r="CI43" s="375"/>
      <c r="CJ43" s="375"/>
      <c r="CK43" s="375"/>
      <c r="CL43" s="375"/>
      <c r="CM43" s="375"/>
      <c r="CN43" s="375"/>
      <c r="CO43" s="375"/>
      <c r="CP43" s="375"/>
      <c r="CQ43" s="375"/>
      <c r="CR43" s="375"/>
      <c r="CS43" s="375"/>
      <c r="CT43" s="375"/>
      <c r="CU43" s="375"/>
      <c r="CV43" s="375"/>
      <c r="CW43" s="375"/>
      <c r="CX43" s="375"/>
      <c r="CY43" s="375"/>
      <c r="CZ43" s="375"/>
      <c r="DA43" s="375"/>
      <c r="DB43" s="376"/>
      <c r="DC43" s="375"/>
      <c r="DD43" s="375"/>
      <c r="DE43" s="375"/>
      <c r="DF43" s="375"/>
      <c r="DG43" s="375"/>
      <c r="DH43" s="375"/>
      <c r="DI43" s="375"/>
      <c r="DJ43" s="375"/>
      <c r="DK43" s="375"/>
      <c r="DL43" s="376"/>
      <c r="DM43" s="375"/>
      <c r="DN43" s="375"/>
      <c r="DO43" s="375"/>
      <c r="DP43" s="375"/>
      <c r="DQ43" s="375"/>
      <c r="DR43" s="375"/>
      <c r="DS43" s="375"/>
      <c r="DT43" s="375"/>
      <c r="DU43" s="375"/>
      <c r="DV43" s="376"/>
      <c r="DW43" s="375"/>
      <c r="DX43" s="375"/>
      <c r="DY43" s="375"/>
      <c r="DZ43" s="375"/>
      <c r="EA43" s="375"/>
      <c r="EB43" s="375"/>
      <c r="EC43" s="375"/>
      <c r="ED43" s="375"/>
      <c r="EE43" s="375"/>
      <c r="EF43" s="376"/>
    </row>
    <row r="44" spans="1:136" ht="18" customHeight="1" x14ac:dyDescent="0.2">
      <c r="A44" s="36">
        <v>33</v>
      </c>
      <c r="C44" s="675" t="s">
        <v>1274</v>
      </c>
      <c r="D44" s="676"/>
      <c r="E44" s="400" t="s">
        <v>521</v>
      </c>
      <c r="F44" s="400"/>
      <c r="G44" s="400"/>
      <c r="H44" s="401"/>
      <c r="I44" s="416">
        <v>4042.98</v>
      </c>
      <c r="J44" s="409">
        <f t="shared" si="4"/>
        <v>5.8971845654323795E-3</v>
      </c>
      <c r="K44" s="426">
        <v>3613.39</v>
      </c>
      <c r="L44" s="426">
        <v>1596.14</v>
      </c>
      <c r="M44" s="112">
        <f t="shared" si="2"/>
        <v>-1166.55</v>
      </c>
      <c r="N44" s="69">
        <f t="shared" si="5"/>
        <v>-0.2885371681284597</v>
      </c>
      <c r="O44" s="111"/>
      <c r="P44" s="32">
        <v>42979</v>
      </c>
      <c r="Q44" s="143">
        <f t="shared" ca="1" si="0"/>
        <v>0.56050115397296407</v>
      </c>
      <c r="R44" s="111"/>
      <c r="S44" s="4"/>
      <c r="T44" s="111"/>
      <c r="U44" s="64">
        <f t="shared" ca="1" si="8"/>
        <v>-1423.7718430596769</v>
      </c>
      <c r="V44" s="111"/>
      <c r="W44" s="144"/>
      <c r="X44" s="67"/>
      <c r="Y44" s="111"/>
      <c r="Z44" s="309">
        <f t="shared" si="3"/>
        <v>0</v>
      </c>
      <c r="AA44" s="111"/>
      <c r="AB44" s="2"/>
      <c r="AC44" s="111"/>
      <c r="AD44" s="1221"/>
      <c r="AE44" s="1222"/>
      <c r="AF44" s="1223"/>
      <c r="AG44" s="150"/>
      <c r="AH44" s="52"/>
      <c r="AI44" s="52"/>
      <c r="AJ44" s="3"/>
      <c r="AK44" s="3"/>
      <c r="AL44" s="52"/>
      <c r="AM44" s="52"/>
      <c r="AN44" s="3"/>
      <c r="AO44" s="3"/>
      <c r="AP44" s="52"/>
      <c r="AQ44" s="52"/>
      <c r="AR44" s="3"/>
      <c r="AS44" s="3"/>
      <c r="AT44" s="61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5"/>
      <c r="DC44" s="3"/>
      <c r="DD44" s="3"/>
      <c r="DE44" s="3"/>
      <c r="DF44" s="3"/>
      <c r="DG44" s="3"/>
      <c r="DH44" s="3"/>
      <c r="DI44" s="3"/>
      <c r="DJ44" s="3"/>
      <c r="DK44" s="3"/>
      <c r="DL44" s="5"/>
      <c r="DM44" s="3"/>
      <c r="DN44" s="3"/>
      <c r="DO44" s="3"/>
      <c r="DP44" s="3"/>
      <c r="DQ44" s="3"/>
      <c r="DR44" s="3"/>
      <c r="DS44" s="3"/>
      <c r="DT44" s="3"/>
      <c r="DU44" s="3"/>
      <c r="DV44" s="5"/>
      <c r="DW44" s="3"/>
      <c r="DX44" s="3"/>
      <c r="DY44" s="3"/>
      <c r="DZ44" s="3"/>
      <c r="EA44" s="3"/>
      <c r="EB44" s="3"/>
      <c r="EC44" s="3"/>
      <c r="ED44" s="3"/>
      <c r="EE44" s="3"/>
      <c r="EF44" s="5"/>
    </row>
    <row r="45" spans="1:136" ht="18" customHeight="1" x14ac:dyDescent="0.2">
      <c r="A45" s="36">
        <v>34</v>
      </c>
      <c r="C45" s="636" t="s">
        <v>1275</v>
      </c>
      <c r="D45" s="637"/>
      <c r="E45" s="400" t="s">
        <v>580</v>
      </c>
      <c r="F45" s="400"/>
      <c r="G45" s="400"/>
      <c r="H45" s="401"/>
      <c r="I45" s="421">
        <v>3591.3</v>
      </c>
      <c r="J45" s="409">
        <f t="shared" si="4"/>
        <v>5.2383536227825281E-3</v>
      </c>
      <c r="K45" s="421">
        <v>185.21</v>
      </c>
      <c r="L45" s="426"/>
      <c r="M45" s="112">
        <f t="shared" si="2"/>
        <v>3406.09</v>
      </c>
      <c r="N45" s="69">
        <f t="shared" si="5"/>
        <v>0.94842814579678669</v>
      </c>
      <c r="O45" s="111"/>
      <c r="P45" s="32">
        <v>39448</v>
      </c>
      <c r="Q45" s="143">
        <f t="shared" ca="1" si="0"/>
        <v>10.262116716122652</v>
      </c>
      <c r="R45" s="111"/>
      <c r="S45" s="4"/>
      <c r="T45" s="111"/>
      <c r="U45" s="64">
        <f t="shared" ca="1" si="8"/>
        <v>-1423.7718430596769</v>
      </c>
      <c r="V45" s="111"/>
      <c r="W45" s="144"/>
      <c r="X45" s="67"/>
      <c r="Y45" s="111"/>
      <c r="Z45" s="309">
        <f t="shared" si="3"/>
        <v>0</v>
      </c>
      <c r="AA45" s="111"/>
      <c r="AB45" s="2"/>
      <c r="AC45" s="173"/>
      <c r="AD45" s="1221" t="s">
        <v>646</v>
      </c>
      <c r="AE45" s="1222"/>
      <c r="AF45" s="1223"/>
      <c r="AG45" s="109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61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5"/>
      <c r="DC45" s="3"/>
      <c r="DD45" s="3"/>
      <c r="DE45" s="3"/>
      <c r="DF45" s="3"/>
      <c r="DG45" s="3"/>
      <c r="DH45" s="3"/>
      <c r="DI45" s="3"/>
      <c r="DJ45" s="3"/>
      <c r="DK45" s="3"/>
      <c r="DL45" s="5"/>
      <c r="DM45" s="3"/>
      <c r="DN45" s="3"/>
      <c r="DO45" s="3"/>
      <c r="DP45" s="3"/>
      <c r="DQ45" s="3"/>
      <c r="DR45" s="3"/>
      <c r="DS45" s="3"/>
      <c r="DT45" s="3"/>
      <c r="DU45" s="3"/>
      <c r="DV45" s="5"/>
      <c r="DW45" s="3"/>
      <c r="DX45" s="3"/>
      <c r="DY45" s="3"/>
      <c r="DZ45" s="3"/>
      <c r="EA45" s="3"/>
      <c r="EB45" s="3"/>
      <c r="EC45" s="3"/>
      <c r="ED45" s="3"/>
      <c r="EE45" s="3"/>
      <c r="EF45" s="5"/>
    </row>
    <row r="46" spans="1:136" ht="18" customHeight="1" x14ac:dyDescent="0.2">
      <c r="A46" s="36">
        <v>35</v>
      </c>
      <c r="C46" s="675" t="s">
        <v>1276</v>
      </c>
      <c r="D46" s="676"/>
      <c r="E46" s="400" t="s">
        <v>521</v>
      </c>
      <c r="F46" s="400"/>
      <c r="G46" s="400"/>
      <c r="H46" s="401"/>
      <c r="I46" s="416">
        <v>3425.94</v>
      </c>
      <c r="J46" s="409">
        <f t="shared" si="4"/>
        <v>4.9971556846923329E-3</v>
      </c>
      <c r="K46" s="426">
        <v>3072.39</v>
      </c>
      <c r="L46" s="426">
        <v>0</v>
      </c>
      <c r="M46" s="112">
        <f t="shared" si="2"/>
        <v>353.55000000000018</v>
      </c>
      <c r="N46" s="69">
        <f t="shared" si="5"/>
        <v>0.10319795443002509</v>
      </c>
      <c r="O46" s="111"/>
      <c r="P46" s="32">
        <v>40817</v>
      </c>
      <c r="Q46" s="143">
        <f t="shared" ca="1" si="0"/>
        <v>6.500714364215848</v>
      </c>
      <c r="R46" s="111"/>
      <c r="S46" s="4"/>
      <c r="T46" s="111"/>
      <c r="U46" s="64">
        <f t="shared" ca="1" si="8"/>
        <v>-1423.7718430596769</v>
      </c>
      <c r="V46" s="111"/>
      <c r="W46" s="144"/>
      <c r="X46" s="67"/>
      <c r="Y46" s="111"/>
      <c r="Z46" s="309">
        <f t="shared" si="3"/>
        <v>0</v>
      </c>
      <c r="AA46" s="111"/>
      <c r="AB46" s="2"/>
      <c r="AC46" s="111"/>
      <c r="AD46" s="1221" t="s">
        <v>209</v>
      </c>
      <c r="AE46" s="1222"/>
      <c r="AF46" s="1223"/>
      <c r="AG46" s="150"/>
      <c r="AH46" s="52"/>
      <c r="AI46" s="52"/>
      <c r="AJ46" s="3"/>
      <c r="AK46" s="3"/>
      <c r="AL46" s="52"/>
      <c r="AM46" s="52"/>
      <c r="AN46" s="3"/>
      <c r="AO46" s="3"/>
      <c r="AP46" s="52"/>
      <c r="AQ46" s="52"/>
      <c r="AR46" s="3"/>
      <c r="AS46" s="3"/>
      <c r="AT46" s="61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5"/>
      <c r="DC46" s="3"/>
      <c r="DD46" s="3"/>
      <c r="DE46" s="3"/>
      <c r="DF46" s="3"/>
      <c r="DG46" s="3"/>
      <c r="DH46" s="3"/>
      <c r="DI46" s="3"/>
      <c r="DJ46" s="3"/>
      <c r="DK46" s="3"/>
      <c r="DL46" s="5"/>
      <c r="DM46" s="3"/>
      <c r="DN46" s="3"/>
      <c r="DO46" s="3"/>
      <c r="DP46" s="3"/>
      <c r="DQ46" s="3"/>
      <c r="DR46" s="3"/>
      <c r="DS46" s="3"/>
      <c r="DT46" s="3"/>
      <c r="DU46" s="3"/>
      <c r="DV46" s="5"/>
      <c r="DW46" s="3"/>
      <c r="DX46" s="3"/>
      <c r="DY46" s="3"/>
      <c r="DZ46" s="3"/>
      <c r="EA46" s="3"/>
      <c r="EB46" s="3"/>
      <c r="EC46" s="3"/>
      <c r="ED46" s="3"/>
      <c r="EE46" s="3"/>
      <c r="EF46" s="5"/>
    </row>
    <row r="47" spans="1:136" ht="18" customHeight="1" x14ac:dyDescent="0.2">
      <c r="A47" s="36">
        <v>36</v>
      </c>
      <c r="C47" s="636" t="s">
        <v>1277</v>
      </c>
      <c r="D47" s="637"/>
      <c r="E47" s="400" t="s">
        <v>548</v>
      </c>
      <c r="F47" s="400"/>
      <c r="G47" s="400"/>
      <c r="H47" s="401"/>
      <c r="I47" s="415">
        <v>2998.23</v>
      </c>
      <c r="J47" s="409">
        <f t="shared" si="4"/>
        <v>4.3732879409782693E-3</v>
      </c>
      <c r="K47" s="425">
        <v>2117.15</v>
      </c>
      <c r="L47" s="425"/>
      <c r="M47" s="112">
        <f t="shared" si="2"/>
        <v>881.07999999999993</v>
      </c>
      <c r="N47" s="69">
        <f t="shared" si="5"/>
        <v>0.29386671469500336</v>
      </c>
      <c r="O47" s="111"/>
      <c r="P47" s="32">
        <v>42370</v>
      </c>
      <c r="Q47" s="143">
        <f t="shared" ca="1" si="0"/>
        <v>2.2337619518628422</v>
      </c>
      <c r="R47" s="111"/>
      <c r="S47" s="4"/>
      <c r="T47" s="111"/>
      <c r="U47" s="64">
        <f t="shared" ca="1" si="8"/>
        <v>-1423.7718430596769</v>
      </c>
      <c r="V47" s="111"/>
      <c r="W47" s="144"/>
      <c r="X47" s="67"/>
      <c r="Y47" s="111"/>
      <c r="Z47" s="309">
        <f t="shared" si="3"/>
        <v>0</v>
      </c>
      <c r="AA47" s="111"/>
      <c r="AB47" s="2"/>
      <c r="AC47" s="173"/>
      <c r="AD47" s="1221" t="s">
        <v>625</v>
      </c>
      <c r="AE47" s="1222"/>
      <c r="AF47" s="1223"/>
      <c r="AG47" s="109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61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5"/>
      <c r="DC47" s="3"/>
      <c r="DD47" s="3"/>
      <c r="DE47" s="3"/>
      <c r="DF47" s="3"/>
      <c r="DG47" s="3"/>
      <c r="DH47" s="3"/>
      <c r="DI47" s="3"/>
      <c r="DJ47" s="3"/>
      <c r="DK47" s="3"/>
      <c r="DL47" s="5"/>
      <c r="DM47" s="3"/>
      <c r="DN47" s="3"/>
      <c r="DO47" s="3"/>
      <c r="DP47" s="3"/>
      <c r="DQ47" s="3"/>
      <c r="DR47" s="3"/>
      <c r="DS47" s="3"/>
      <c r="DT47" s="3"/>
      <c r="DU47" s="3"/>
      <c r="DV47" s="5"/>
      <c r="DW47" s="3"/>
      <c r="DX47" s="3"/>
      <c r="DY47" s="3"/>
      <c r="DZ47" s="3"/>
      <c r="EA47" s="3"/>
      <c r="EB47" s="3"/>
      <c r="EC47" s="3"/>
      <c r="ED47" s="3"/>
      <c r="EE47" s="3"/>
      <c r="EF47" s="5"/>
    </row>
    <row r="48" spans="1:136" ht="18" customHeight="1" x14ac:dyDescent="0.2">
      <c r="A48" s="36">
        <v>37</v>
      </c>
      <c r="C48" s="636" t="s">
        <v>1278</v>
      </c>
      <c r="D48" s="637"/>
      <c r="E48" s="400" t="s">
        <v>521</v>
      </c>
      <c r="F48" s="400"/>
      <c r="G48" s="400"/>
      <c r="H48" s="401"/>
      <c r="I48" s="421">
        <v>2813.95</v>
      </c>
      <c r="J48" s="409">
        <f t="shared" si="4"/>
        <v>4.1044928512875261E-3</v>
      </c>
      <c r="K48" s="421"/>
      <c r="L48" s="426">
        <v>0</v>
      </c>
      <c r="M48" s="112">
        <f t="shared" si="2"/>
        <v>2813.95</v>
      </c>
      <c r="N48" s="69">
        <f t="shared" si="5"/>
        <v>1</v>
      </c>
      <c r="O48" s="111"/>
      <c r="P48" s="32">
        <v>42979</v>
      </c>
      <c r="Q48" s="143">
        <f t="shared" ca="1" si="0"/>
        <v>0.56050115397296407</v>
      </c>
      <c r="R48" s="111"/>
      <c r="S48" s="4"/>
      <c r="T48" s="111"/>
      <c r="U48" s="64">
        <f t="shared" ca="1" si="8"/>
        <v>-1423.7718430596769</v>
      </c>
      <c r="V48" s="111"/>
      <c r="W48" s="144"/>
      <c r="X48" s="67"/>
      <c r="Y48" s="111"/>
      <c r="Z48" s="309">
        <f t="shared" si="3"/>
        <v>0</v>
      </c>
      <c r="AA48" s="111"/>
      <c r="AB48" s="2"/>
      <c r="AC48" s="111"/>
      <c r="AD48" s="1221"/>
      <c r="AE48" s="1222"/>
      <c r="AF48" s="1223"/>
      <c r="AG48" s="150"/>
      <c r="AH48" s="52"/>
      <c r="AI48" s="52"/>
      <c r="AJ48" s="3"/>
      <c r="AK48" s="3"/>
      <c r="AL48" s="52"/>
      <c r="AM48" s="52"/>
      <c r="AN48" s="3"/>
      <c r="AO48" s="3"/>
      <c r="AP48" s="52"/>
      <c r="AQ48" s="52"/>
      <c r="AR48" s="3"/>
      <c r="AS48" s="3"/>
      <c r="AT48" s="61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5"/>
      <c r="DC48" s="3"/>
      <c r="DD48" s="3"/>
      <c r="DE48" s="3"/>
      <c r="DF48" s="3"/>
      <c r="DG48" s="3"/>
      <c r="DH48" s="3"/>
      <c r="DI48" s="3"/>
      <c r="DJ48" s="3"/>
      <c r="DK48" s="3"/>
      <c r="DL48" s="5"/>
      <c r="DM48" s="3"/>
      <c r="DN48" s="3"/>
      <c r="DO48" s="3"/>
      <c r="DP48" s="3"/>
      <c r="DQ48" s="3"/>
      <c r="DR48" s="3"/>
      <c r="DS48" s="3"/>
      <c r="DT48" s="3"/>
      <c r="DU48" s="3"/>
      <c r="DV48" s="5"/>
      <c r="DW48" s="3"/>
      <c r="DX48" s="3"/>
      <c r="DY48" s="3"/>
      <c r="DZ48" s="3"/>
      <c r="EA48" s="3"/>
      <c r="EB48" s="3"/>
      <c r="EC48" s="3"/>
      <c r="ED48" s="3"/>
      <c r="EE48" s="3"/>
      <c r="EF48" s="5"/>
    </row>
    <row r="49" spans="1:136" ht="18" customHeight="1" x14ac:dyDescent="0.2">
      <c r="A49" s="36">
        <v>38</v>
      </c>
      <c r="C49" s="664" t="s">
        <v>1279</v>
      </c>
      <c r="D49" s="665"/>
      <c r="E49" s="400" t="s">
        <v>521</v>
      </c>
      <c r="F49" s="400"/>
      <c r="G49" s="400"/>
      <c r="H49" s="401"/>
      <c r="I49" s="416">
        <v>2734.79</v>
      </c>
      <c r="J49" s="409">
        <f t="shared" si="4"/>
        <v>3.9890282360285773E-3</v>
      </c>
      <c r="K49" s="426">
        <v>1761.63</v>
      </c>
      <c r="L49" s="426">
        <v>91.32</v>
      </c>
      <c r="M49" s="112">
        <f t="shared" si="2"/>
        <v>881.83999999999992</v>
      </c>
      <c r="N49" s="69">
        <f t="shared" si="5"/>
        <v>0.32245254663063705</v>
      </c>
      <c r="O49" s="111"/>
      <c r="P49" s="32">
        <v>40179</v>
      </c>
      <c r="Q49" s="143">
        <f t="shared" ca="1" si="0"/>
        <v>8.2536542477195294</v>
      </c>
      <c r="R49" s="111"/>
      <c r="S49" s="4"/>
      <c r="T49" s="111"/>
      <c r="U49" s="64">
        <f t="shared" ca="1" si="8"/>
        <v>-1423.7718430596769</v>
      </c>
      <c r="V49" s="111"/>
      <c r="W49" s="144"/>
      <c r="X49" s="67"/>
      <c r="Y49" s="111"/>
      <c r="Z49" s="309">
        <f t="shared" si="3"/>
        <v>0</v>
      </c>
      <c r="AA49" s="111"/>
      <c r="AB49" s="2"/>
      <c r="AC49" s="111"/>
      <c r="AD49" s="1221" t="s">
        <v>625</v>
      </c>
      <c r="AE49" s="1222"/>
      <c r="AF49" s="1223"/>
      <c r="AG49" s="150"/>
      <c r="AH49" s="52"/>
      <c r="AI49" s="52"/>
      <c r="AJ49" s="3"/>
      <c r="AK49" s="3"/>
      <c r="AL49" s="52"/>
      <c r="AM49" s="52"/>
      <c r="AN49" s="3"/>
      <c r="AO49" s="3"/>
      <c r="AP49" s="52"/>
      <c r="AQ49" s="52"/>
      <c r="AR49" s="3"/>
      <c r="AS49" s="3"/>
      <c r="AT49" s="61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5"/>
      <c r="DC49" s="3"/>
      <c r="DD49" s="3"/>
      <c r="DE49" s="3"/>
      <c r="DF49" s="3"/>
      <c r="DG49" s="3"/>
      <c r="DH49" s="3"/>
      <c r="DI49" s="3"/>
      <c r="DJ49" s="3"/>
      <c r="DK49" s="3"/>
      <c r="DL49" s="5"/>
      <c r="DM49" s="3"/>
      <c r="DN49" s="3"/>
      <c r="DO49" s="3"/>
      <c r="DP49" s="3"/>
      <c r="DQ49" s="3"/>
      <c r="DR49" s="3"/>
      <c r="DS49" s="3"/>
      <c r="DT49" s="3"/>
      <c r="DU49" s="3"/>
      <c r="DV49" s="5"/>
      <c r="DW49" s="3"/>
      <c r="DX49" s="3"/>
      <c r="DY49" s="3"/>
      <c r="DZ49" s="3"/>
      <c r="EA49" s="3"/>
      <c r="EB49" s="3"/>
      <c r="EC49" s="3"/>
      <c r="ED49" s="3"/>
      <c r="EE49" s="3"/>
      <c r="EF49" s="5"/>
    </row>
    <row r="50" spans="1:136" ht="18" customHeight="1" thickBot="1" x14ac:dyDescent="0.25">
      <c r="A50" s="36">
        <v>39</v>
      </c>
      <c r="C50" s="675" t="s">
        <v>1280</v>
      </c>
      <c r="D50" s="676"/>
      <c r="E50" s="400" t="s">
        <v>580</v>
      </c>
      <c r="F50" s="400"/>
      <c r="G50" s="400"/>
      <c r="H50" s="401"/>
      <c r="I50" s="416">
        <v>2469.37</v>
      </c>
      <c r="J50" s="409">
        <f t="shared" si="4"/>
        <v>3.6018804570741767E-3</v>
      </c>
      <c r="K50" s="426">
        <v>1509.47</v>
      </c>
      <c r="L50" s="426">
        <v>67.47</v>
      </c>
      <c r="M50" s="112">
        <f t="shared" si="2"/>
        <v>892.42999999999984</v>
      </c>
      <c r="N50" s="69">
        <f t="shared" si="5"/>
        <v>0.36139987122221451</v>
      </c>
      <c r="O50" s="111"/>
      <c r="P50" s="35">
        <v>42125</v>
      </c>
      <c r="Q50" s="143">
        <f t="shared" ca="1" si="0"/>
        <v>2.9069128475656671</v>
      </c>
      <c r="R50" s="111"/>
      <c r="S50" s="7">
        <v>43221</v>
      </c>
      <c r="T50" s="111"/>
      <c r="U50" s="64">
        <f t="shared" ca="1" si="8"/>
        <v>13.287174414770854</v>
      </c>
      <c r="V50" s="111"/>
      <c r="W50" s="144" t="s">
        <v>659</v>
      </c>
      <c r="X50" s="67">
        <v>12</v>
      </c>
      <c r="Y50" s="111"/>
      <c r="Z50" s="310">
        <f t="shared" si="3"/>
        <v>43586</v>
      </c>
      <c r="AA50" s="111"/>
      <c r="AB50" s="9"/>
      <c r="AC50" s="111"/>
      <c r="AD50" s="1228" t="s">
        <v>649</v>
      </c>
      <c r="AE50" s="1229"/>
      <c r="AF50" s="1230"/>
      <c r="AG50" s="150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61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172"/>
      <c r="DC50" s="8"/>
      <c r="DD50" s="8"/>
      <c r="DE50" s="8"/>
      <c r="DF50" s="8"/>
      <c r="DG50" s="8"/>
      <c r="DH50" s="8"/>
      <c r="DI50" s="8"/>
      <c r="DJ50" s="8"/>
      <c r="DK50" s="8"/>
      <c r="DL50" s="172"/>
      <c r="DM50" s="8"/>
      <c r="DN50" s="8"/>
      <c r="DO50" s="8"/>
      <c r="DP50" s="8"/>
      <c r="DQ50" s="8"/>
      <c r="DR50" s="8"/>
      <c r="DS50" s="8"/>
      <c r="DT50" s="8"/>
      <c r="DU50" s="8"/>
      <c r="DV50" s="172"/>
      <c r="DW50" s="8"/>
      <c r="DX50" s="8"/>
      <c r="DY50" s="8"/>
      <c r="DZ50" s="8"/>
      <c r="EA50" s="8"/>
      <c r="EB50" s="8"/>
      <c r="EC50" s="8"/>
      <c r="ED50" s="8"/>
      <c r="EE50" s="8"/>
      <c r="EF50" s="172"/>
    </row>
    <row r="51" spans="1:136" ht="18" customHeight="1" thickBot="1" x14ac:dyDescent="0.25">
      <c r="A51" s="36">
        <v>40</v>
      </c>
      <c r="C51" s="675" t="s">
        <v>1291</v>
      </c>
      <c r="D51" s="676"/>
      <c r="E51" s="400" t="s">
        <v>521</v>
      </c>
      <c r="F51" s="400"/>
      <c r="G51" s="400"/>
      <c r="H51" s="401"/>
      <c r="I51" s="416">
        <v>2354.9699999999998</v>
      </c>
      <c r="J51" s="409">
        <f t="shared" si="4"/>
        <v>3.4350139590243558E-3</v>
      </c>
      <c r="K51" s="426"/>
      <c r="L51" s="426">
        <v>0</v>
      </c>
      <c r="M51" s="112">
        <f t="shared" si="2"/>
        <v>2354.9699999999998</v>
      </c>
      <c r="N51" s="69">
        <f t="shared" si="5"/>
        <v>1</v>
      </c>
      <c r="O51" s="111"/>
      <c r="P51" s="32">
        <v>42979</v>
      </c>
      <c r="Q51" s="143">
        <f t="shared" ca="1" si="0"/>
        <v>0.56050115397296407</v>
      </c>
      <c r="R51" s="111"/>
      <c r="S51" s="7"/>
      <c r="T51" s="111"/>
      <c r="U51" s="64">
        <f t="shared" ca="1" si="8"/>
        <v>-1423.7718430596769</v>
      </c>
      <c r="V51" s="111"/>
      <c r="W51" s="144"/>
      <c r="X51" s="67"/>
      <c r="Y51" s="111"/>
      <c r="Z51" s="310">
        <f t="shared" si="3"/>
        <v>0</v>
      </c>
      <c r="AA51" s="111"/>
      <c r="AB51" s="9"/>
      <c r="AC51" s="111"/>
      <c r="AD51" s="1228" t="s">
        <v>624</v>
      </c>
      <c r="AE51" s="1229"/>
      <c r="AF51" s="1230"/>
      <c r="AG51" s="150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61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172"/>
      <c r="DC51" s="8"/>
      <c r="DD51" s="8"/>
      <c r="DE51" s="8"/>
      <c r="DF51" s="8"/>
      <c r="DG51" s="8"/>
      <c r="DH51" s="8"/>
      <c r="DI51" s="8"/>
      <c r="DJ51" s="8"/>
      <c r="DK51" s="8"/>
      <c r="DL51" s="172"/>
      <c r="DM51" s="8"/>
      <c r="DN51" s="8"/>
      <c r="DO51" s="8"/>
      <c r="DP51" s="8"/>
      <c r="DQ51" s="8"/>
      <c r="DR51" s="8"/>
      <c r="DS51" s="8"/>
      <c r="DT51" s="8"/>
      <c r="DU51" s="8"/>
      <c r="DV51" s="172"/>
      <c r="DW51" s="8"/>
      <c r="DX51" s="8"/>
      <c r="DY51" s="8"/>
      <c r="DZ51" s="8"/>
      <c r="EA51" s="8"/>
      <c r="EB51" s="8"/>
      <c r="EC51" s="8"/>
      <c r="ED51" s="8"/>
      <c r="EE51" s="8"/>
      <c r="EF51" s="172"/>
    </row>
    <row r="52" spans="1:136" ht="18" customHeight="1" thickBot="1" x14ac:dyDescent="0.25">
      <c r="A52" s="36">
        <v>41</v>
      </c>
      <c r="C52" s="636" t="s">
        <v>1292</v>
      </c>
      <c r="D52" s="637" t="s">
        <v>1295</v>
      </c>
      <c r="E52" s="400" t="s">
        <v>521</v>
      </c>
      <c r="F52" s="400"/>
      <c r="G52" s="400"/>
      <c r="H52" s="401"/>
      <c r="I52" s="415">
        <v>2192.94</v>
      </c>
      <c r="J52" s="409">
        <f t="shared" si="4"/>
        <v>3.1986732363057158E-3</v>
      </c>
      <c r="K52" s="425">
        <v>1613.87</v>
      </c>
      <c r="L52" s="425">
        <v>0</v>
      </c>
      <c r="M52" s="112">
        <f t="shared" si="2"/>
        <v>579.07000000000016</v>
      </c>
      <c r="N52" s="69">
        <f t="shared" si="5"/>
        <v>0.26406103222158389</v>
      </c>
      <c r="O52" s="111"/>
      <c r="P52" s="35"/>
      <c r="Q52" s="143">
        <f t="shared" ca="1" si="0"/>
        <v>118.64765358830641</v>
      </c>
      <c r="R52" s="111"/>
      <c r="S52" s="7"/>
      <c r="T52" s="111"/>
      <c r="U52" s="64">
        <f t="shared" ca="1" si="8"/>
        <v>-1423.7718430596769</v>
      </c>
      <c r="V52" s="111"/>
      <c r="W52" s="144"/>
      <c r="X52" s="67"/>
      <c r="Y52" s="111"/>
      <c r="Z52" s="310">
        <f t="shared" si="3"/>
        <v>0</v>
      </c>
      <c r="AA52" s="111"/>
      <c r="AB52" s="9"/>
      <c r="AC52" s="111"/>
      <c r="AD52" s="1228" t="s">
        <v>625</v>
      </c>
      <c r="AE52" s="1229"/>
      <c r="AF52" s="1230"/>
      <c r="AG52" s="150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61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172"/>
      <c r="DC52" s="8"/>
      <c r="DD52" s="8"/>
      <c r="DE52" s="8"/>
      <c r="DF52" s="8"/>
      <c r="DG52" s="8"/>
      <c r="DH52" s="8"/>
      <c r="DI52" s="8"/>
      <c r="DJ52" s="8"/>
      <c r="DK52" s="8"/>
      <c r="DL52" s="172"/>
      <c r="DM52" s="8"/>
      <c r="DN52" s="8"/>
      <c r="DO52" s="8"/>
      <c r="DP52" s="8"/>
      <c r="DQ52" s="8"/>
      <c r="DR52" s="8"/>
      <c r="DS52" s="8"/>
      <c r="DT52" s="8"/>
      <c r="DU52" s="8"/>
      <c r="DV52" s="172"/>
      <c r="DW52" s="8"/>
      <c r="DX52" s="8"/>
      <c r="DY52" s="8"/>
      <c r="DZ52" s="8"/>
      <c r="EA52" s="8"/>
      <c r="EB52" s="8"/>
      <c r="EC52" s="8"/>
      <c r="ED52" s="8"/>
      <c r="EE52" s="8"/>
      <c r="EF52" s="172"/>
    </row>
    <row r="53" spans="1:136" ht="18" customHeight="1" thickBot="1" x14ac:dyDescent="0.25">
      <c r="A53" s="36">
        <v>42</v>
      </c>
      <c r="C53" s="601" t="s">
        <v>1293</v>
      </c>
      <c r="D53" s="734" t="s">
        <v>1296</v>
      </c>
      <c r="E53" s="403" t="s">
        <v>580</v>
      </c>
      <c r="F53" s="403" t="s">
        <v>657</v>
      </c>
      <c r="G53" s="403" t="s">
        <v>660</v>
      </c>
      <c r="H53" s="401" t="s">
        <v>527</v>
      </c>
      <c r="I53" s="415">
        <v>2068.27</v>
      </c>
      <c r="J53" s="409">
        <f t="shared" si="4"/>
        <v>3.0168266776355135E-3</v>
      </c>
      <c r="K53" s="425">
        <v>605.22</v>
      </c>
      <c r="L53" s="425"/>
      <c r="M53" s="112">
        <f t="shared" si="2"/>
        <v>1463.05</v>
      </c>
      <c r="N53" s="69">
        <f t="shared" si="5"/>
        <v>0.70737863044960281</v>
      </c>
      <c r="O53" s="111"/>
      <c r="P53" s="35"/>
      <c r="Q53" s="143">
        <f t="shared" ca="1" si="0"/>
        <v>118.64765358830641</v>
      </c>
      <c r="R53" s="111"/>
      <c r="S53" s="7"/>
      <c r="T53" s="111"/>
      <c r="U53" s="64">
        <f t="shared" ca="1" si="8"/>
        <v>-1423.7718430596769</v>
      </c>
      <c r="V53" s="111"/>
      <c r="W53" s="144"/>
      <c r="X53" s="67"/>
      <c r="Y53" s="111"/>
      <c r="Z53" s="310">
        <f t="shared" si="3"/>
        <v>0</v>
      </c>
      <c r="AA53" s="111"/>
      <c r="AB53" s="9"/>
      <c r="AC53" s="111"/>
      <c r="AD53" s="1228" t="s">
        <v>646</v>
      </c>
      <c r="AE53" s="1229"/>
      <c r="AF53" s="1230"/>
      <c r="AG53" s="150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61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172"/>
      <c r="DC53" s="8"/>
      <c r="DD53" s="8"/>
      <c r="DE53" s="8"/>
      <c r="DF53" s="8"/>
      <c r="DG53" s="8"/>
      <c r="DH53" s="8"/>
      <c r="DI53" s="8"/>
      <c r="DJ53" s="8"/>
      <c r="DK53" s="8"/>
      <c r="DL53" s="172"/>
      <c r="DM53" s="8"/>
      <c r="DN53" s="8"/>
      <c r="DO53" s="8"/>
      <c r="DP53" s="8"/>
      <c r="DQ53" s="8"/>
      <c r="DR53" s="8"/>
      <c r="DS53" s="8"/>
      <c r="DT53" s="8"/>
      <c r="DU53" s="8"/>
      <c r="DV53" s="172"/>
      <c r="DW53" s="8"/>
      <c r="DX53" s="8"/>
      <c r="DY53" s="8"/>
      <c r="DZ53" s="8"/>
      <c r="EA53" s="8"/>
      <c r="EB53" s="8"/>
      <c r="EC53" s="8"/>
      <c r="ED53" s="8"/>
      <c r="EE53" s="8"/>
      <c r="EF53" s="172"/>
    </row>
    <row r="54" spans="1:136" ht="18" customHeight="1" thickBot="1" x14ac:dyDescent="0.25">
      <c r="A54" s="36">
        <v>43</v>
      </c>
      <c r="C54" s="601" t="s">
        <v>1019</v>
      </c>
      <c r="D54" s="734" t="s">
        <v>1297</v>
      </c>
      <c r="E54" s="400" t="s">
        <v>521</v>
      </c>
      <c r="F54" s="400"/>
      <c r="G54" s="400"/>
      <c r="H54" s="401"/>
      <c r="I54" s="415">
        <v>2007.1</v>
      </c>
      <c r="J54" s="409">
        <f t="shared" si="4"/>
        <v>2.927602694368839E-3</v>
      </c>
      <c r="K54" s="425">
        <v>1648.91</v>
      </c>
      <c r="L54" s="425"/>
      <c r="M54" s="112">
        <f t="shared" si="2"/>
        <v>358.18999999999983</v>
      </c>
      <c r="N54" s="69">
        <f t="shared" si="5"/>
        <v>0.1784614618105724</v>
      </c>
      <c r="P54" s="35"/>
      <c r="Q54" s="143">
        <f t="shared" ca="1" si="0"/>
        <v>118.64765358830641</v>
      </c>
      <c r="R54" s="111"/>
      <c r="S54" s="7"/>
      <c r="T54" s="111"/>
      <c r="U54" s="64">
        <f t="shared" ca="1" si="8"/>
        <v>-1423.7718430596769</v>
      </c>
      <c r="V54" s="111"/>
      <c r="W54" s="144"/>
      <c r="X54" s="67"/>
      <c r="Y54" s="111"/>
      <c r="Z54" s="310">
        <f t="shared" si="3"/>
        <v>0</v>
      </c>
      <c r="AA54" s="111"/>
      <c r="AB54" s="9"/>
      <c r="AC54" s="111"/>
      <c r="AD54" s="1228" t="s">
        <v>649</v>
      </c>
      <c r="AE54" s="1229"/>
      <c r="AF54" s="1230"/>
      <c r="AG54" s="150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61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172"/>
      <c r="DC54" s="8"/>
      <c r="DD54" s="8"/>
      <c r="DE54" s="8"/>
      <c r="DF54" s="8"/>
      <c r="DG54" s="8"/>
      <c r="DH54" s="8"/>
      <c r="DI54" s="8"/>
      <c r="DJ54" s="8"/>
      <c r="DK54" s="8"/>
      <c r="DL54" s="172"/>
      <c r="DM54" s="8"/>
      <c r="DN54" s="8"/>
      <c r="DO54" s="8"/>
      <c r="DP54" s="8"/>
      <c r="DQ54" s="8"/>
      <c r="DR54" s="8"/>
      <c r="DS54" s="8"/>
      <c r="DT54" s="8"/>
      <c r="DU54" s="8"/>
      <c r="DV54" s="172"/>
      <c r="DW54" s="8"/>
      <c r="DX54" s="8"/>
      <c r="DY54" s="8"/>
      <c r="DZ54" s="8"/>
      <c r="EA54" s="8"/>
      <c r="EB54" s="8"/>
      <c r="EC54" s="8"/>
      <c r="ED54" s="8"/>
      <c r="EE54" s="8"/>
      <c r="EF54" s="172"/>
    </row>
    <row r="55" spans="1:136" ht="18" customHeight="1" thickBot="1" x14ac:dyDescent="0.25">
      <c r="A55" s="36">
        <v>44</v>
      </c>
      <c r="C55" s="601" t="s">
        <v>1294</v>
      </c>
      <c r="D55" s="734" t="s">
        <v>1298</v>
      </c>
      <c r="E55" s="400" t="s">
        <v>580</v>
      </c>
      <c r="F55" s="400"/>
      <c r="G55" s="400"/>
      <c r="H55" s="401"/>
      <c r="I55" s="416">
        <v>1880</v>
      </c>
      <c r="J55" s="409">
        <f t="shared" si="4"/>
        <v>2.7422116812383128E-3</v>
      </c>
      <c r="K55" s="426">
        <v>480</v>
      </c>
      <c r="L55" s="426">
        <v>0</v>
      </c>
      <c r="M55" s="112">
        <f t="shared" si="2"/>
        <v>1400</v>
      </c>
      <c r="N55" s="69">
        <f t="shared" si="5"/>
        <v>0.74468085106382975</v>
      </c>
      <c r="P55" s="35"/>
      <c r="Q55" s="143">
        <f t="shared" ca="1" si="0"/>
        <v>118.64765358830641</v>
      </c>
      <c r="R55" s="111"/>
      <c r="S55" s="7"/>
      <c r="T55" s="111"/>
      <c r="U55" s="64">
        <f t="shared" ca="1" si="8"/>
        <v>-1423.7718430596769</v>
      </c>
      <c r="V55" s="111"/>
      <c r="W55" s="144"/>
      <c r="X55" s="67"/>
      <c r="Y55" s="111"/>
      <c r="Z55" s="310">
        <f t="shared" si="3"/>
        <v>0</v>
      </c>
      <c r="AA55" s="111"/>
      <c r="AB55" s="9"/>
      <c r="AC55" s="111"/>
      <c r="AD55" s="1228" t="s">
        <v>646</v>
      </c>
      <c r="AE55" s="1229"/>
      <c r="AF55" s="1230"/>
      <c r="AG55" s="150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61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172"/>
      <c r="DC55" s="8"/>
      <c r="DD55" s="8"/>
      <c r="DE55" s="8"/>
      <c r="DF55" s="8"/>
      <c r="DG55" s="8"/>
      <c r="DH55" s="8"/>
      <c r="DI55" s="8"/>
      <c r="DJ55" s="8"/>
      <c r="DK55" s="8"/>
      <c r="DL55" s="172"/>
      <c r="DM55" s="8"/>
      <c r="DN55" s="8"/>
      <c r="DO55" s="8"/>
      <c r="DP55" s="8"/>
      <c r="DQ55" s="8"/>
      <c r="DR55" s="8"/>
      <c r="DS55" s="8"/>
      <c r="DT55" s="8"/>
      <c r="DU55" s="8"/>
      <c r="DV55" s="172"/>
      <c r="DW55" s="8"/>
      <c r="DX55" s="8"/>
      <c r="DY55" s="8"/>
      <c r="DZ55" s="8"/>
      <c r="EA55" s="8"/>
      <c r="EB55" s="8"/>
      <c r="EC55" s="8"/>
      <c r="ED55" s="8"/>
      <c r="EE55" s="8"/>
      <c r="EF55" s="172"/>
    </row>
    <row r="56" spans="1:136" ht="18" customHeight="1" thickBot="1" x14ac:dyDescent="0.25">
      <c r="A56" s="36">
        <v>45</v>
      </c>
      <c r="C56" s="636" t="s">
        <v>1136</v>
      </c>
      <c r="D56" s="637"/>
      <c r="E56" s="400" t="s">
        <v>580</v>
      </c>
      <c r="F56" s="400"/>
      <c r="G56" s="400"/>
      <c r="H56" s="401"/>
      <c r="I56" s="416">
        <v>1426.59</v>
      </c>
      <c r="J56" s="409">
        <f t="shared" si="4"/>
        <v>2.0808573203924281E-3</v>
      </c>
      <c r="K56" s="426">
        <v>422.11</v>
      </c>
      <c r="L56" s="426"/>
      <c r="M56" s="112">
        <f t="shared" si="2"/>
        <v>1004.4799999999999</v>
      </c>
      <c r="N56" s="69">
        <f t="shared" si="5"/>
        <v>0.70411260418200039</v>
      </c>
      <c r="P56" s="35">
        <v>40909</v>
      </c>
      <c r="Q56" s="143">
        <f t="shared" ca="1" si="0"/>
        <v>6.2479393339927469</v>
      </c>
      <c r="R56" s="111"/>
      <c r="S56" s="7">
        <v>43951</v>
      </c>
      <c r="T56" s="111"/>
      <c r="U56" s="64">
        <f t="shared" ca="1" si="8"/>
        <v>25.321463897131554</v>
      </c>
      <c r="V56" s="111"/>
      <c r="W56" s="144"/>
      <c r="X56" s="67"/>
      <c r="Y56" s="111"/>
      <c r="Z56" s="310">
        <f t="shared" si="3"/>
        <v>43951</v>
      </c>
      <c r="AA56" s="111"/>
      <c r="AB56" s="9"/>
      <c r="AC56" s="111"/>
      <c r="AD56" s="1228" t="s">
        <v>646</v>
      </c>
      <c r="AE56" s="1229"/>
      <c r="AF56" s="1230"/>
      <c r="AG56" s="150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61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172"/>
      <c r="DC56" s="8"/>
      <c r="DD56" s="8"/>
      <c r="DE56" s="8"/>
      <c r="DF56" s="8"/>
      <c r="DG56" s="8"/>
      <c r="DH56" s="8"/>
      <c r="DI56" s="8"/>
      <c r="DJ56" s="8"/>
      <c r="DK56" s="8"/>
      <c r="DL56" s="172"/>
      <c r="DM56" s="8"/>
      <c r="DN56" s="8"/>
      <c r="DO56" s="8"/>
      <c r="DP56" s="8"/>
      <c r="DQ56" s="8"/>
      <c r="DR56" s="8"/>
      <c r="DS56" s="8"/>
      <c r="DT56" s="8"/>
      <c r="DU56" s="8"/>
      <c r="DV56" s="172"/>
      <c r="DW56" s="8"/>
      <c r="DX56" s="8"/>
      <c r="DY56" s="8"/>
      <c r="DZ56" s="8"/>
      <c r="EA56" s="8"/>
      <c r="EB56" s="8"/>
      <c r="EC56" s="8"/>
      <c r="ED56" s="8"/>
      <c r="EE56" s="8"/>
      <c r="EF56" s="172"/>
    </row>
    <row r="57" spans="1:136" ht="18" customHeight="1" thickBot="1" x14ac:dyDescent="0.25">
      <c r="A57" s="36">
        <v>46</v>
      </c>
      <c r="C57" s="636" t="s">
        <v>1290</v>
      </c>
      <c r="D57" s="637"/>
      <c r="E57" s="400" t="s">
        <v>521</v>
      </c>
      <c r="F57" s="400"/>
      <c r="G57" s="400"/>
      <c r="H57" s="401"/>
      <c r="I57" s="416">
        <v>1304.01</v>
      </c>
      <c r="J57" s="409">
        <f t="shared" si="4"/>
        <v>1.9020592842827512E-3</v>
      </c>
      <c r="K57" s="426"/>
      <c r="L57" s="426"/>
      <c r="M57" s="112">
        <f t="shared" si="2"/>
        <v>1304.01</v>
      </c>
      <c r="N57" s="69">
        <f t="shared" si="5"/>
        <v>1</v>
      </c>
      <c r="P57" s="32">
        <v>42979</v>
      </c>
      <c r="Q57" s="143">
        <f t="shared" ca="1" si="0"/>
        <v>0.56050115397296407</v>
      </c>
      <c r="R57" s="111"/>
      <c r="S57" s="7"/>
      <c r="T57" s="111"/>
      <c r="U57" s="64">
        <f t="shared" ca="1" si="8"/>
        <v>-1423.7718430596769</v>
      </c>
      <c r="V57" s="111"/>
      <c r="W57" s="144"/>
      <c r="X57" s="67"/>
      <c r="Y57" s="111"/>
      <c r="Z57" s="310">
        <f t="shared" si="3"/>
        <v>0</v>
      </c>
      <c r="AA57" s="111"/>
      <c r="AB57" s="9"/>
      <c r="AC57" s="111"/>
      <c r="AD57" s="1228"/>
      <c r="AE57" s="1229"/>
      <c r="AF57" s="1230"/>
      <c r="AG57" s="150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61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172"/>
      <c r="DC57" s="8"/>
      <c r="DD57" s="8"/>
      <c r="DE57" s="8"/>
      <c r="DF57" s="8"/>
      <c r="DG57" s="8"/>
      <c r="DH57" s="8"/>
      <c r="DI57" s="8"/>
      <c r="DJ57" s="8"/>
      <c r="DK57" s="8"/>
      <c r="DL57" s="172"/>
      <c r="DM57" s="8"/>
      <c r="DN57" s="8"/>
      <c r="DO57" s="8"/>
      <c r="DP57" s="8"/>
      <c r="DQ57" s="8"/>
      <c r="DR57" s="8"/>
      <c r="DS57" s="8"/>
      <c r="DT57" s="8"/>
      <c r="DU57" s="8"/>
      <c r="DV57" s="172"/>
      <c r="DW57" s="8"/>
      <c r="DX57" s="8"/>
      <c r="DY57" s="8"/>
      <c r="DZ57" s="8"/>
      <c r="EA57" s="8"/>
      <c r="EB57" s="8"/>
      <c r="EC57" s="8"/>
      <c r="ED57" s="8"/>
      <c r="EE57" s="8"/>
      <c r="EF57" s="172"/>
    </row>
    <row r="58" spans="1:136" ht="18" customHeight="1" thickBot="1" x14ac:dyDescent="0.25">
      <c r="A58" s="36">
        <v>47</v>
      </c>
      <c r="C58" s="636" t="s">
        <v>1289</v>
      </c>
      <c r="D58" s="637"/>
      <c r="E58" s="400" t="s">
        <v>548</v>
      </c>
      <c r="F58" s="400"/>
      <c r="G58" s="400"/>
      <c r="H58" s="401"/>
      <c r="I58" s="415">
        <v>1282.6300000000001</v>
      </c>
      <c r="J58" s="409">
        <f t="shared" si="4"/>
        <v>1.870873919524839E-3</v>
      </c>
      <c r="K58" s="425">
        <v>950.24</v>
      </c>
      <c r="L58" s="425">
        <v>128.97999999999999</v>
      </c>
      <c r="M58" s="112">
        <f t="shared" si="2"/>
        <v>203.41000000000011</v>
      </c>
      <c r="N58" s="69">
        <f t="shared" si="5"/>
        <v>0.15858821328052525</v>
      </c>
      <c r="P58" s="35"/>
      <c r="Q58" s="143">
        <f t="shared" ca="1" si="0"/>
        <v>118.64765358830641</v>
      </c>
      <c r="R58" s="111"/>
      <c r="S58" s="7"/>
      <c r="T58" s="111"/>
      <c r="U58" s="64">
        <f t="shared" ca="1" si="8"/>
        <v>-1423.7718430596769</v>
      </c>
      <c r="V58" s="111"/>
      <c r="W58" s="144"/>
      <c r="X58" s="67"/>
      <c r="Y58" s="111"/>
      <c r="Z58" s="310">
        <f t="shared" si="3"/>
        <v>0</v>
      </c>
      <c r="AA58" s="111"/>
      <c r="AB58" s="9"/>
      <c r="AC58" s="111"/>
      <c r="AD58" s="1228" t="s">
        <v>625</v>
      </c>
      <c r="AE58" s="1229"/>
      <c r="AF58" s="1230"/>
      <c r="AG58" s="150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61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172"/>
      <c r="DC58" s="8"/>
      <c r="DD58" s="8"/>
      <c r="DE58" s="8"/>
      <c r="DF58" s="8"/>
      <c r="DG58" s="8"/>
      <c r="DH58" s="8"/>
      <c r="DI58" s="8"/>
      <c r="DJ58" s="8"/>
      <c r="DK58" s="8"/>
      <c r="DL58" s="172"/>
      <c r="DM58" s="8"/>
      <c r="DN58" s="8"/>
      <c r="DO58" s="8"/>
      <c r="DP58" s="8"/>
      <c r="DQ58" s="8"/>
      <c r="DR58" s="8"/>
      <c r="DS58" s="8"/>
      <c r="DT58" s="8"/>
      <c r="DU58" s="8"/>
      <c r="DV58" s="172"/>
      <c r="DW58" s="8"/>
      <c r="DX58" s="8"/>
      <c r="DY58" s="8"/>
      <c r="DZ58" s="8"/>
      <c r="EA58" s="8"/>
      <c r="EB58" s="8"/>
      <c r="EC58" s="8"/>
      <c r="ED58" s="8"/>
      <c r="EE58" s="8"/>
      <c r="EF58" s="172"/>
    </row>
    <row r="59" spans="1:136" ht="18" customHeight="1" thickBot="1" x14ac:dyDescent="0.25">
      <c r="A59" s="36">
        <v>48</v>
      </c>
      <c r="C59" s="636" t="s">
        <v>1026</v>
      </c>
      <c r="D59" s="637"/>
      <c r="E59" s="400" t="s">
        <v>580</v>
      </c>
      <c r="F59" s="400"/>
      <c r="G59" s="400"/>
      <c r="H59" s="401"/>
      <c r="I59" s="415">
        <v>1204.1099999999999</v>
      </c>
      <c r="J59" s="409">
        <f t="shared" si="4"/>
        <v>1.7563428231360981E-3</v>
      </c>
      <c r="K59" s="425">
        <v>669.65</v>
      </c>
      <c r="L59" s="425"/>
      <c r="M59" s="112">
        <f t="shared" si="2"/>
        <v>534.45999999999992</v>
      </c>
      <c r="N59" s="69">
        <f t="shared" si="5"/>
        <v>0.44386310220826997</v>
      </c>
      <c r="P59" s="35"/>
      <c r="Q59" s="143">
        <f t="shared" ca="1" si="0"/>
        <v>118.64765358830641</v>
      </c>
      <c r="R59" s="111"/>
      <c r="S59" s="7"/>
      <c r="T59" s="111"/>
      <c r="U59" s="64">
        <f t="shared" ca="1" si="8"/>
        <v>-1423.7718430596769</v>
      </c>
      <c r="V59" s="111"/>
      <c r="W59" s="144"/>
      <c r="X59" s="67"/>
      <c r="Y59" s="111"/>
      <c r="Z59" s="310">
        <f t="shared" si="3"/>
        <v>0</v>
      </c>
      <c r="AA59" s="111"/>
      <c r="AB59" s="9"/>
      <c r="AC59" s="111"/>
      <c r="AD59" s="1228" t="s">
        <v>646</v>
      </c>
      <c r="AE59" s="1229"/>
      <c r="AF59" s="1230"/>
      <c r="AG59" s="150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61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172"/>
      <c r="DC59" s="8"/>
      <c r="DD59" s="8"/>
      <c r="DE59" s="8"/>
      <c r="DF59" s="8"/>
      <c r="DG59" s="8"/>
      <c r="DH59" s="8"/>
      <c r="DI59" s="8"/>
      <c r="DJ59" s="8"/>
      <c r="DK59" s="8"/>
      <c r="DL59" s="172"/>
      <c r="DM59" s="8"/>
      <c r="DN59" s="8"/>
      <c r="DO59" s="8"/>
      <c r="DP59" s="8"/>
      <c r="DQ59" s="8"/>
      <c r="DR59" s="8"/>
      <c r="DS59" s="8"/>
      <c r="DT59" s="8"/>
      <c r="DU59" s="8"/>
      <c r="DV59" s="172"/>
      <c r="DW59" s="8"/>
      <c r="DX59" s="8"/>
      <c r="DY59" s="8"/>
      <c r="DZ59" s="8"/>
      <c r="EA59" s="8"/>
      <c r="EB59" s="8"/>
      <c r="EC59" s="8"/>
      <c r="ED59" s="8"/>
      <c r="EE59" s="8"/>
      <c r="EF59" s="172"/>
    </row>
    <row r="60" spans="1:136" ht="18" customHeight="1" thickBot="1" x14ac:dyDescent="0.25">
      <c r="A60" s="36">
        <v>49</v>
      </c>
      <c r="C60" s="636" t="s">
        <v>1281</v>
      </c>
      <c r="D60" s="637"/>
      <c r="E60" s="400" t="s">
        <v>521</v>
      </c>
      <c r="F60" s="400"/>
      <c r="G60" s="400"/>
      <c r="H60" s="401"/>
      <c r="I60" s="415">
        <v>1176.67</v>
      </c>
      <c r="J60" s="409">
        <f t="shared" si="4"/>
        <v>1.7163182015758967E-3</v>
      </c>
      <c r="K60" s="425">
        <v>934.26</v>
      </c>
      <c r="L60" s="425"/>
      <c r="M60" s="112">
        <f t="shared" si="2"/>
        <v>242.41000000000008</v>
      </c>
      <c r="N60" s="69">
        <f t="shared" si="5"/>
        <v>0.20601358069807174</v>
      </c>
      <c r="P60" s="35"/>
      <c r="Q60" s="143">
        <f t="shared" ca="1" si="0"/>
        <v>118.64765358830641</v>
      </c>
      <c r="R60" s="111"/>
      <c r="S60" s="7"/>
      <c r="T60" s="111"/>
      <c r="U60" s="64">
        <f t="shared" ca="1" si="8"/>
        <v>-1423.7718430596769</v>
      </c>
      <c r="V60" s="111"/>
      <c r="W60" s="144"/>
      <c r="X60" s="67"/>
      <c r="Y60" s="111"/>
      <c r="Z60" s="310">
        <f t="shared" si="3"/>
        <v>0</v>
      </c>
      <c r="AA60" s="111"/>
      <c r="AB60" s="9"/>
      <c r="AC60" s="111"/>
      <c r="AD60" s="1228" t="s">
        <v>661</v>
      </c>
      <c r="AE60" s="1229"/>
      <c r="AF60" s="1230"/>
      <c r="AG60" s="150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61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172"/>
      <c r="DC60" s="8"/>
      <c r="DD60" s="8"/>
      <c r="DE60" s="8"/>
      <c r="DF60" s="8"/>
      <c r="DG60" s="8"/>
      <c r="DH60" s="8"/>
      <c r="DI60" s="8"/>
      <c r="DJ60" s="8"/>
      <c r="DK60" s="8"/>
      <c r="DL60" s="172"/>
      <c r="DM60" s="8"/>
      <c r="DN60" s="8"/>
      <c r="DO60" s="8"/>
      <c r="DP60" s="8"/>
      <c r="DQ60" s="8"/>
      <c r="DR60" s="8"/>
      <c r="DS60" s="8"/>
      <c r="DT60" s="8"/>
      <c r="DU60" s="8"/>
      <c r="DV60" s="172"/>
      <c r="DW60" s="8"/>
      <c r="DX60" s="8"/>
      <c r="DY60" s="8"/>
      <c r="DZ60" s="8"/>
      <c r="EA60" s="8"/>
      <c r="EB60" s="8"/>
      <c r="EC60" s="8"/>
      <c r="ED60" s="8"/>
      <c r="EE60" s="8"/>
      <c r="EF60" s="172"/>
    </row>
    <row r="61" spans="1:136" ht="18" customHeight="1" thickBot="1" x14ac:dyDescent="0.25">
      <c r="A61" s="36">
        <v>50</v>
      </c>
      <c r="C61" s="636" t="s">
        <v>1282</v>
      </c>
      <c r="D61" s="637"/>
      <c r="E61" s="400" t="s">
        <v>521</v>
      </c>
      <c r="F61" s="400"/>
      <c r="G61" s="400"/>
      <c r="H61" s="401"/>
      <c r="I61" s="416">
        <v>1164.2</v>
      </c>
      <c r="J61" s="409">
        <f t="shared" si="4"/>
        <v>1.6981291698391723E-3</v>
      </c>
      <c r="K61" s="426">
        <v>1430.93</v>
      </c>
      <c r="L61" s="426">
        <v>564.32000000000005</v>
      </c>
      <c r="M61" s="112">
        <f t="shared" si="2"/>
        <v>-831.05000000000007</v>
      </c>
      <c r="N61" s="69">
        <f t="shared" si="5"/>
        <v>-0.71383782855179523</v>
      </c>
      <c r="P61" s="35">
        <v>42461</v>
      </c>
      <c r="Q61" s="143">
        <f t="shared" ca="1" si="0"/>
        <v>1.9837344763160789</v>
      </c>
      <c r="R61" s="111"/>
      <c r="S61" s="7"/>
      <c r="T61" s="111"/>
      <c r="U61" s="64">
        <f t="shared" ca="1" si="8"/>
        <v>-1423.7718430596769</v>
      </c>
      <c r="V61" s="111"/>
      <c r="W61" s="144"/>
      <c r="X61" s="67"/>
      <c r="Y61" s="111"/>
      <c r="Z61" s="310">
        <f t="shared" si="3"/>
        <v>0</v>
      </c>
      <c r="AA61" s="111"/>
      <c r="AB61" s="9"/>
      <c r="AC61" s="111"/>
      <c r="AD61" s="1228" t="s">
        <v>649</v>
      </c>
      <c r="AE61" s="1229"/>
      <c r="AF61" s="1230"/>
      <c r="AG61" s="150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61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172"/>
      <c r="DC61" s="8"/>
      <c r="DD61" s="8"/>
      <c r="DE61" s="8"/>
      <c r="DF61" s="8"/>
      <c r="DG61" s="8"/>
      <c r="DH61" s="8"/>
      <c r="DI61" s="8"/>
      <c r="DJ61" s="8"/>
      <c r="DK61" s="8"/>
      <c r="DL61" s="172"/>
      <c r="DM61" s="8"/>
      <c r="DN61" s="8"/>
      <c r="DO61" s="8"/>
      <c r="DP61" s="8"/>
      <c r="DQ61" s="8"/>
      <c r="DR61" s="8"/>
      <c r="DS61" s="8"/>
      <c r="DT61" s="8"/>
      <c r="DU61" s="8"/>
      <c r="DV61" s="172"/>
      <c r="DW61" s="8"/>
      <c r="DX61" s="8"/>
      <c r="DY61" s="8"/>
      <c r="DZ61" s="8"/>
      <c r="EA61" s="8"/>
      <c r="EB61" s="8"/>
      <c r="EC61" s="8"/>
      <c r="ED61" s="8"/>
      <c r="EE61" s="8"/>
      <c r="EF61" s="172"/>
    </row>
    <row r="62" spans="1:136" ht="18" customHeight="1" thickBot="1" x14ac:dyDescent="0.25">
      <c r="A62" s="36">
        <v>51</v>
      </c>
      <c r="C62" s="636" t="s">
        <v>1283</v>
      </c>
      <c r="D62" s="637"/>
      <c r="E62" s="400" t="s">
        <v>547</v>
      </c>
      <c r="F62" s="400"/>
      <c r="G62" s="400"/>
      <c r="H62" s="401"/>
      <c r="I62" s="415">
        <v>1163</v>
      </c>
      <c r="J62" s="409">
        <f t="shared" si="4"/>
        <v>1.6963788219575308E-3</v>
      </c>
      <c r="K62" s="425"/>
      <c r="L62" s="425"/>
      <c r="M62" s="112">
        <f t="shared" si="2"/>
        <v>1163</v>
      </c>
      <c r="N62" s="69">
        <f t="shared" si="5"/>
        <v>1</v>
      </c>
      <c r="P62" s="35"/>
      <c r="Q62" s="143">
        <f t="shared" ca="1" si="0"/>
        <v>118.64765358830641</v>
      </c>
      <c r="R62" s="111"/>
      <c r="S62" s="7"/>
      <c r="T62" s="111"/>
      <c r="U62" s="64">
        <f t="shared" ca="1" si="8"/>
        <v>-1423.7718430596769</v>
      </c>
      <c r="V62" s="111"/>
      <c r="W62" s="144"/>
      <c r="X62" s="67"/>
      <c r="Y62" s="111"/>
      <c r="Z62" s="310">
        <f t="shared" si="3"/>
        <v>0</v>
      </c>
      <c r="AA62" s="111"/>
      <c r="AB62" s="9"/>
      <c r="AC62" s="111"/>
      <c r="AD62" s="1228"/>
      <c r="AE62" s="1229"/>
      <c r="AF62" s="1230"/>
      <c r="AG62" s="150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61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172"/>
      <c r="DC62" s="8"/>
      <c r="DD62" s="8"/>
      <c r="DE62" s="8"/>
      <c r="DF62" s="8"/>
      <c r="DG62" s="8"/>
      <c r="DH62" s="8"/>
      <c r="DI62" s="8"/>
      <c r="DJ62" s="8"/>
      <c r="DK62" s="8"/>
      <c r="DL62" s="172"/>
      <c r="DM62" s="8"/>
      <c r="DN62" s="8"/>
      <c r="DO62" s="8"/>
      <c r="DP62" s="8"/>
      <c r="DQ62" s="8"/>
      <c r="DR62" s="8"/>
      <c r="DS62" s="8"/>
      <c r="DT62" s="8"/>
      <c r="DU62" s="8"/>
      <c r="DV62" s="172"/>
      <c r="DW62" s="8"/>
      <c r="DX62" s="8"/>
      <c r="DY62" s="8"/>
      <c r="DZ62" s="8"/>
      <c r="EA62" s="8"/>
      <c r="EB62" s="8"/>
      <c r="EC62" s="8"/>
      <c r="ED62" s="8"/>
      <c r="EE62" s="8"/>
      <c r="EF62" s="172"/>
    </row>
    <row r="63" spans="1:136" ht="18" customHeight="1" thickBot="1" x14ac:dyDescent="0.25">
      <c r="A63" s="36">
        <v>52</v>
      </c>
      <c r="C63" s="636" t="s">
        <v>1284</v>
      </c>
      <c r="D63" s="637"/>
      <c r="E63" s="400" t="s">
        <v>521</v>
      </c>
      <c r="F63" s="400"/>
      <c r="G63" s="400"/>
      <c r="H63" s="401"/>
      <c r="I63" s="415">
        <v>943.24</v>
      </c>
      <c r="J63" s="409">
        <f t="shared" si="4"/>
        <v>1.3758317798995884E-3</v>
      </c>
      <c r="K63" s="425">
        <v>539.20000000000005</v>
      </c>
      <c r="L63" s="425"/>
      <c r="M63" s="112">
        <f t="shared" si="2"/>
        <v>404.03999999999996</v>
      </c>
      <c r="N63" s="69">
        <f t="shared" si="5"/>
        <v>0.42835333531232767</v>
      </c>
      <c r="P63" s="35">
        <v>42461</v>
      </c>
      <c r="Q63" s="143">
        <f t="shared" ca="1" si="0"/>
        <v>1.9837344763160789</v>
      </c>
      <c r="R63" s="111"/>
      <c r="S63" s="7"/>
      <c r="T63" s="111"/>
      <c r="U63" s="64">
        <f t="shared" ca="1" si="8"/>
        <v>-1423.7718430596769</v>
      </c>
      <c r="V63" s="111"/>
      <c r="W63" s="144"/>
      <c r="X63" s="67"/>
      <c r="Y63" s="111"/>
      <c r="Z63" s="310">
        <f t="shared" si="3"/>
        <v>0</v>
      </c>
      <c r="AA63" s="111"/>
      <c r="AB63" s="9"/>
      <c r="AC63" s="111"/>
      <c r="AD63" s="1228"/>
      <c r="AE63" s="1229"/>
      <c r="AF63" s="1230"/>
      <c r="AG63" s="150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61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172"/>
      <c r="DC63" s="8"/>
      <c r="DD63" s="8"/>
      <c r="DE63" s="8"/>
      <c r="DF63" s="8"/>
      <c r="DG63" s="8"/>
      <c r="DH63" s="8"/>
      <c r="DI63" s="8"/>
      <c r="DJ63" s="8"/>
      <c r="DK63" s="8"/>
      <c r="DL63" s="172"/>
      <c r="DM63" s="8"/>
      <c r="DN63" s="8"/>
      <c r="DO63" s="8"/>
      <c r="DP63" s="8"/>
      <c r="DQ63" s="8"/>
      <c r="DR63" s="8"/>
      <c r="DS63" s="8"/>
      <c r="DT63" s="8"/>
      <c r="DU63" s="8"/>
      <c r="DV63" s="172"/>
      <c r="DW63" s="8"/>
      <c r="DX63" s="8"/>
      <c r="DY63" s="8"/>
      <c r="DZ63" s="8"/>
      <c r="EA63" s="8"/>
      <c r="EB63" s="8"/>
      <c r="EC63" s="8"/>
      <c r="ED63" s="8"/>
      <c r="EE63" s="8"/>
      <c r="EF63" s="172"/>
    </row>
    <row r="64" spans="1:136" ht="18" customHeight="1" thickBot="1" x14ac:dyDescent="0.25">
      <c r="A64" s="36">
        <v>53</v>
      </c>
      <c r="C64" s="601" t="s">
        <v>1285</v>
      </c>
      <c r="D64" s="734"/>
      <c r="E64" s="400" t="s">
        <v>521</v>
      </c>
      <c r="F64" s="400"/>
      <c r="G64" s="400"/>
      <c r="H64" s="401"/>
      <c r="I64" s="416">
        <v>905.8</v>
      </c>
      <c r="J64" s="409">
        <f t="shared" si="4"/>
        <v>1.3212209259923743E-3</v>
      </c>
      <c r="K64" s="426">
        <v>535.24</v>
      </c>
      <c r="L64" s="426">
        <v>97</v>
      </c>
      <c r="M64" s="112">
        <f t="shared" si="2"/>
        <v>273.55999999999995</v>
      </c>
      <c r="N64" s="69">
        <f t="shared" si="5"/>
        <v>0.30200927357032453</v>
      </c>
      <c r="P64" s="35"/>
      <c r="Q64" s="143">
        <f t="shared" ca="1" si="0"/>
        <v>118.64765358830641</v>
      </c>
      <c r="R64" s="111"/>
      <c r="S64" s="7"/>
      <c r="T64" s="111"/>
      <c r="U64" s="64">
        <f t="shared" ca="1" si="8"/>
        <v>-1423.7718430596769</v>
      </c>
      <c r="V64" s="111"/>
      <c r="W64" s="144"/>
      <c r="X64" s="67"/>
      <c r="Y64" s="111"/>
      <c r="Z64" s="310">
        <f t="shared" si="3"/>
        <v>0</v>
      </c>
      <c r="AA64" s="111"/>
      <c r="AB64" s="9"/>
      <c r="AC64" s="111"/>
      <c r="AD64" s="1228" t="s">
        <v>649</v>
      </c>
      <c r="AE64" s="1229"/>
      <c r="AF64" s="1230"/>
      <c r="AG64" s="150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61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172"/>
      <c r="DC64" s="8"/>
      <c r="DD64" s="8"/>
      <c r="DE64" s="8"/>
      <c r="DF64" s="8"/>
      <c r="DG64" s="8"/>
      <c r="DH64" s="8"/>
      <c r="DI64" s="8"/>
      <c r="DJ64" s="8"/>
      <c r="DK64" s="8"/>
      <c r="DL64" s="172"/>
      <c r="DM64" s="8"/>
      <c r="DN64" s="8"/>
      <c r="DO64" s="8"/>
      <c r="DP64" s="8"/>
      <c r="DQ64" s="8"/>
      <c r="DR64" s="8"/>
      <c r="DS64" s="8"/>
      <c r="DT64" s="8"/>
      <c r="DU64" s="8"/>
      <c r="DV64" s="172"/>
      <c r="DW64" s="8"/>
      <c r="DX64" s="8"/>
      <c r="DY64" s="8"/>
      <c r="DZ64" s="8"/>
      <c r="EA64" s="8"/>
      <c r="EB64" s="8"/>
      <c r="EC64" s="8"/>
      <c r="ED64" s="8"/>
      <c r="EE64" s="8"/>
      <c r="EF64" s="172"/>
    </row>
    <row r="65" spans="1:136" ht="18" customHeight="1" thickBot="1" x14ac:dyDescent="0.25">
      <c r="A65" s="36">
        <v>54</v>
      </c>
      <c r="C65" s="601" t="s">
        <v>1286</v>
      </c>
      <c r="D65" s="734"/>
      <c r="E65" s="400" t="s">
        <v>547</v>
      </c>
      <c r="F65" s="400"/>
      <c r="G65" s="400"/>
      <c r="H65" s="401"/>
      <c r="I65" s="416">
        <v>810.55</v>
      </c>
      <c r="J65" s="409">
        <f t="shared" si="4"/>
        <v>1.182287062887082E-3</v>
      </c>
      <c r="K65" s="426">
        <v>584.30999999999995</v>
      </c>
      <c r="L65" s="426"/>
      <c r="M65" s="112">
        <f t="shared" si="2"/>
        <v>226.24</v>
      </c>
      <c r="N65" s="69">
        <f t="shared" si="5"/>
        <v>0.27911911664918887</v>
      </c>
      <c r="P65" s="35"/>
      <c r="Q65" s="143">
        <f t="shared" ca="1" si="0"/>
        <v>118.64765358830641</v>
      </c>
      <c r="R65" s="111"/>
      <c r="S65" s="7"/>
      <c r="T65" s="111"/>
      <c r="U65" s="64">
        <f t="shared" ca="1" si="8"/>
        <v>-1423.7718430596769</v>
      </c>
      <c r="V65" s="111"/>
      <c r="W65" s="144"/>
      <c r="X65" s="67"/>
      <c r="Y65" s="111"/>
      <c r="Z65" s="310">
        <f t="shared" si="3"/>
        <v>0</v>
      </c>
      <c r="AA65" s="111"/>
      <c r="AB65" s="9"/>
      <c r="AC65" s="111"/>
      <c r="AD65" s="1228"/>
      <c r="AE65" s="1229"/>
      <c r="AF65" s="1230"/>
      <c r="AG65" s="150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61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172"/>
      <c r="DC65" s="8"/>
      <c r="DD65" s="8"/>
      <c r="DE65" s="8"/>
      <c r="DF65" s="8"/>
      <c r="DG65" s="8"/>
      <c r="DH65" s="8"/>
      <c r="DI65" s="8"/>
      <c r="DJ65" s="8"/>
      <c r="DK65" s="8"/>
      <c r="DL65" s="172"/>
      <c r="DM65" s="8"/>
      <c r="DN65" s="8"/>
      <c r="DO65" s="8"/>
      <c r="DP65" s="8"/>
      <c r="DQ65" s="8"/>
      <c r="DR65" s="8"/>
      <c r="DS65" s="8"/>
      <c r="DT65" s="8"/>
      <c r="DU65" s="8"/>
      <c r="DV65" s="172"/>
      <c r="DW65" s="8"/>
      <c r="DX65" s="8"/>
      <c r="DY65" s="8"/>
      <c r="DZ65" s="8"/>
      <c r="EA65" s="8"/>
      <c r="EB65" s="8"/>
      <c r="EC65" s="8"/>
      <c r="ED65" s="8"/>
      <c r="EE65" s="8"/>
      <c r="EF65" s="172"/>
    </row>
    <row r="66" spans="1:136" ht="18" customHeight="1" thickBot="1" x14ac:dyDescent="0.25">
      <c r="A66" s="36">
        <v>55</v>
      </c>
      <c r="C66" s="601" t="s">
        <v>1287</v>
      </c>
      <c r="D66" s="734"/>
      <c r="E66" s="400" t="s">
        <v>521</v>
      </c>
      <c r="F66" s="400"/>
      <c r="G66" s="400"/>
      <c r="H66" s="401"/>
      <c r="I66" s="415">
        <v>753.57</v>
      </c>
      <c r="J66" s="409">
        <f t="shared" si="4"/>
        <v>1.0991747109738062E-3</v>
      </c>
      <c r="K66" s="425"/>
      <c r="L66" s="425"/>
      <c r="M66" s="112">
        <f t="shared" si="2"/>
        <v>753.57</v>
      </c>
      <c r="N66" s="69">
        <f t="shared" si="5"/>
        <v>1</v>
      </c>
      <c r="P66" s="35"/>
      <c r="Q66" s="143">
        <f t="shared" ca="1" si="0"/>
        <v>118.64765358830641</v>
      </c>
      <c r="R66" s="111"/>
      <c r="S66" s="7"/>
      <c r="T66" s="111"/>
      <c r="U66" s="64">
        <f t="shared" ca="1" si="8"/>
        <v>-1423.7718430596769</v>
      </c>
      <c r="V66" s="111"/>
      <c r="W66" s="144"/>
      <c r="X66" s="67"/>
      <c r="Y66" s="111"/>
      <c r="Z66" s="310">
        <f t="shared" si="3"/>
        <v>0</v>
      </c>
      <c r="AA66" s="111"/>
      <c r="AB66" s="9"/>
      <c r="AC66" s="111"/>
      <c r="AD66" s="1228"/>
      <c r="AE66" s="1229"/>
      <c r="AF66" s="1230"/>
      <c r="AG66" s="150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61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172"/>
      <c r="DC66" s="8"/>
      <c r="DD66" s="8"/>
      <c r="DE66" s="8"/>
      <c r="DF66" s="8"/>
      <c r="DG66" s="8"/>
      <c r="DH66" s="8"/>
      <c r="DI66" s="8"/>
      <c r="DJ66" s="8"/>
      <c r="DK66" s="8"/>
      <c r="DL66" s="172"/>
      <c r="DM66" s="8"/>
      <c r="DN66" s="8"/>
      <c r="DO66" s="8"/>
      <c r="DP66" s="8"/>
      <c r="DQ66" s="8"/>
      <c r="DR66" s="8"/>
      <c r="DS66" s="8"/>
      <c r="DT66" s="8"/>
      <c r="DU66" s="8"/>
      <c r="DV66" s="172"/>
      <c r="DW66" s="8"/>
      <c r="DX66" s="8"/>
      <c r="DY66" s="8"/>
      <c r="DZ66" s="8"/>
      <c r="EA66" s="8"/>
      <c r="EB66" s="8"/>
      <c r="EC66" s="8"/>
      <c r="ED66" s="8"/>
      <c r="EE66" s="8"/>
      <c r="EF66" s="172"/>
    </row>
    <row r="67" spans="1:136" ht="18" customHeight="1" thickBot="1" x14ac:dyDescent="0.25">
      <c r="A67" s="36">
        <v>56</v>
      </c>
      <c r="C67" s="756" t="s">
        <v>1288</v>
      </c>
      <c r="D67" s="806"/>
      <c r="E67" s="400" t="s">
        <v>580</v>
      </c>
      <c r="F67" s="400"/>
      <c r="G67" s="400"/>
      <c r="H67" s="401"/>
      <c r="I67" s="416">
        <v>698.7</v>
      </c>
      <c r="J67" s="409">
        <f t="shared" si="4"/>
        <v>1.0191400540857495E-3</v>
      </c>
      <c r="K67" s="426"/>
      <c r="L67" s="426"/>
      <c r="M67" s="112">
        <f t="shared" si="2"/>
        <v>698.7</v>
      </c>
      <c r="N67" s="69">
        <f t="shared" si="5"/>
        <v>1</v>
      </c>
      <c r="P67" s="35"/>
      <c r="Q67" s="143">
        <f t="shared" ca="1" si="0"/>
        <v>118.64765358830641</v>
      </c>
      <c r="R67" s="111"/>
      <c r="S67" s="7"/>
      <c r="T67" s="111"/>
      <c r="U67" s="64">
        <f t="shared" ca="1" si="8"/>
        <v>-1423.7718430596769</v>
      </c>
      <c r="V67" s="111"/>
      <c r="W67" s="144"/>
      <c r="X67" s="67"/>
      <c r="Y67" s="111"/>
      <c r="Z67" s="310">
        <f t="shared" si="3"/>
        <v>0</v>
      </c>
      <c r="AA67" s="111"/>
      <c r="AB67" s="9"/>
      <c r="AC67" s="111"/>
      <c r="AD67" s="1228"/>
      <c r="AE67" s="1229"/>
      <c r="AF67" s="1230"/>
      <c r="AG67" s="150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61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172"/>
      <c r="DC67" s="8"/>
      <c r="DD67" s="8"/>
      <c r="DE67" s="8"/>
      <c r="DF67" s="8"/>
      <c r="DG67" s="8"/>
      <c r="DH67" s="8"/>
      <c r="DI67" s="8"/>
      <c r="DJ67" s="8"/>
      <c r="DK67" s="8"/>
      <c r="DL67" s="172"/>
      <c r="DM67" s="8"/>
      <c r="DN67" s="8"/>
      <c r="DO67" s="8"/>
      <c r="DP67" s="8"/>
      <c r="DQ67" s="8"/>
      <c r="DR67" s="8"/>
      <c r="DS67" s="8"/>
      <c r="DT67" s="8"/>
      <c r="DU67" s="8"/>
      <c r="DV67" s="172"/>
      <c r="DW67" s="8"/>
      <c r="DX67" s="8"/>
      <c r="DY67" s="8"/>
      <c r="DZ67" s="8"/>
      <c r="EA67" s="8"/>
      <c r="EB67" s="8"/>
      <c r="EC67" s="8"/>
      <c r="ED67" s="8"/>
      <c r="EE67" s="8"/>
      <c r="EF67" s="172"/>
    </row>
    <row r="68" spans="1:136" ht="18" customHeight="1" thickBot="1" x14ac:dyDescent="0.25">
      <c r="A68" s="36">
        <v>57</v>
      </c>
      <c r="C68" s="398" t="s">
        <v>1299</v>
      </c>
      <c r="D68" s="399"/>
      <c r="E68" s="400" t="s">
        <v>580</v>
      </c>
      <c r="F68" s="400"/>
      <c r="G68" s="400"/>
      <c r="H68" s="401"/>
      <c r="I68" s="416">
        <v>586.77</v>
      </c>
      <c r="J68" s="409">
        <f t="shared" si="4"/>
        <v>8.5587635542564084E-4</v>
      </c>
      <c r="K68" s="426">
        <v>217.68</v>
      </c>
      <c r="L68" s="426">
        <v>20.63</v>
      </c>
      <c r="M68" s="112">
        <f t="shared" si="2"/>
        <v>348.46</v>
      </c>
      <c r="N68" s="69">
        <f t="shared" si="5"/>
        <v>0.59386130851952212</v>
      </c>
      <c r="P68" s="35"/>
      <c r="Q68" s="143">
        <f t="shared" ca="1" si="0"/>
        <v>118.64765358830641</v>
      </c>
      <c r="R68" s="111"/>
      <c r="S68" s="7"/>
      <c r="T68" s="111"/>
      <c r="U68" s="64">
        <f t="shared" ca="1" si="8"/>
        <v>-1423.7718430596769</v>
      </c>
      <c r="V68" s="111"/>
      <c r="W68" s="144"/>
      <c r="X68" s="67"/>
      <c r="Y68" s="111"/>
      <c r="Z68" s="310">
        <f t="shared" si="3"/>
        <v>0</v>
      </c>
      <c r="AA68" s="111"/>
      <c r="AB68" s="9"/>
      <c r="AC68" s="111"/>
      <c r="AD68" s="1228"/>
      <c r="AE68" s="1229"/>
      <c r="AF68" s="1230"/>
      <c r="AG68" s="150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61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172"/>
      <c r="DC68" s="8"/>
      <c r="DD68" s="8"/>
      <c r="DE68" s="8"/>
      <c r="DF68" s="8"/>
      <c r="DG68" s="8"/>
      <c r="DH68" s="8"/>
      <c r="DI68" s="8"/>
      <c r="DJ68" s="8"/>
      <c r="DK68" s="8"/>
      <c r="DL68" s="172"/>
      <c r="DM68" s="8"/>
      <c r="DN68" s="8"/>
      <c r="DO68" s="8"/>
      <c r="DP68" s="8"/>
      <c r="DQ68" s="8"/>
      <c r="DR68" s="8"/>
      <c r="DS68" s="8"/>
      <c r="DT68" s="8"/>
      <c r="DU68" s="8"/>
      <c r="DV68" s="172"/>
      <c r="DW68" s="8"/>
      <c r="DX68" s="8"/>
      <c r="DY68" s="8"/>
      <c r="DZ68" s="8"/>
      <c r="EA68" s="8"/>
      <c r="EB68" s="8"/>
      <c r="EC68" s="8"/>
      <c r="ED68" s="8"/>
      <c r="EE68" s="8"/>
      <c r="EF68" s="172"/>
    </row>
    <row r="69" spans="1:136" ht="18" customHeight="1" thickBot="1" x14ac:dyDescent="0.25">
      <c r="A69" s="36">
        <v>58</v>
      </c>
      <c r="C69" s="398" t="s">
        <v>1300</v>
      </c>
      <c r="D69" s="399"/>
      <c r="E69" s="400" t="s">
        <v>521</v>
      </c>
      <c r="F69" s="400"/>
      <c r="G69" s="400"/>
      <c r="H69" s="401"/>
      <c r="I69" s="416">
        <v>568.12</v>
      </c>
      <c r="J69" s="409">
        <f t="shared" si="4"/>
        <v>8.2867303209846292E-4</v>
      </c>
      <c r="K69" s="426">
        <v>609.41999999999996</v>
      </c>
      <c r="L69" s="426"/>
      <c r="M69" s="112">
        <f t="shared" si="2"/>
        <v>-41.299999999999955</v>
      </c>
      <c r="N69" s="69">
        <f t="shared" si="5"/>
        <v>-7.2695909314933388E-2</v>
      </c>
      <c r="P69" s="35"/>
      <c r="Q69" s="143">
        <f t="shared" ca="1" si="0"/>
        <v>118.64765358830641</v>
      </c>
      <c r="R69" s="111"/>
      <c r="S69" s="7"/>
      <c r="T69" s="111"/>
      <c r="U69" s="64">
        <f t="shared" ca="1" si="8"/>
        <v>-1423.7718430596769</v>
      </c>
      <c r="V69" s="111"/>
      <c r="W69" s="144"/>
      <c r="X69" s="67"/>
      <c r="Y69" s="111"/>
      <c r="Z69" s="310">
        <f t="shared" si="3"/>
        <v>0</v>
      </c>
      <c r="AA69" s="111"/>
      <c r="AB69" s="9"/>
      <c r="AC69" s="111"/>
      <c r="AD69" s="1228"/>
      <c r="AE69" s="1229"/>
      <c r="AF69" s="1230"/>
      <c r="AG69" s="150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61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172"/>
      <c r="DC69" s="8"/>
      <c r="DD69" s="8"/>
      <c r="DE69" s="8"/>
      <c r="DF69" s="8"/>
      <c r="DG69" s="8"/>
      <c r="DH69" s="8"/>
      <c r="DI69" s="8"/>
      <c r="DJ69" s="8"/>
      <c r="DK69" s="8"/>
      <c r="DL69" s="172"/>
      <c r="DM69" s="8"/>
      <c r="DN69" s="8"/>
      <c r="DO69" s="8"/>
      <c r="DP69" s="8"/>
      <c r="DQ69" s="8"/>
      <c r="DR69" s="8"/>
      <c r="DS69" s="8"/>
      <c r="DT69" s="8"/>
      <c r="DU69" s="8"/>
      <c r="DV69" s="172"/>
      <c r="DW69" s="8"/>
      <c r="DX69" s="8"/>
      <c r="DY69" s="8"/>
      <c r="DZ69" s="8"/>
      <c r="EA69" s="8"/>
      <c r="EB69" s="8"/>
      <c r="EC69" s="8"/>
      <c r="ED69" s="8"/>
      <c r="EE69" s="8"/>
      <c r="EF69" s="172"/>
    </row>
    <row r="70" spans="1:136" ht="18" customHeight="1" thickBot="1" x14ac:dyDescent="0.25">
      <c r="A70" s="36">
        <v>59</v>
      </c>
      <c r="C70" s="398" t="s">
        <v>1301</v>
      </c>
      <c r="D70" s="399"/>
      <c r="E70" s="400" t="s">
        <v>580</v>
      </c>
      <c r="F70" s="400"/>
      <c r="G70" s="400"/>
      <c r="H70" s="401"/>
      <c r="I70" s="415">
        <v>555.66999999999996</v>
      </c>
      <c r="J70" s="409">
        <f t="shared" si="4"/>
        <v>8.1051317282643254E-4</v>
      </c>
      <c r="K70" s="425">
        <v>237.83</v>
      </c>
      <c r="L70" s="425"/>
      <c r="M70" s="112">
        <f t="shared" si="2"/>
        <v>317.83999999999992</v>
      </c>
      <c r="N70" s="69">
        <f t="shared" si="5"/>
        <v>0.57199416920114443</v>
      </c>
      <c r="P70" s="35"/>
      <c r="Q70" s="143">
        <f t="shared" ca="1" si="0"/>
        <v>118.64765358830641</v>
      </c>
      <c r="R70" s="111"/>
      <c r="S70" s="7"/>
      <c r="T70" s="111"/>
      <c r="U70" s="64">
        <f t="shared" ca="1" si="8"/>
        <v>-1423.7718430596769</v>
      </c>
      <c r="V70" s="111"/>
      <c r="W70" s="144"/>
      <c r="X70" s="67"/>
      <c r="Y70" s="111"/>
      <c r="Z70" s="310">
        <f t="shared" si="3"/>
        <v>0</v>
      </c>
      <c r="AA70" s="111"/>
      <c r="AB70" s="9"/>
      <c r="AC70" s="111"/>
      <c r="AD70" s="1228"/>
      <c r="AE70" s="1229"/>
      <c r="AF70" s="1230"/>
      <c r="AG70" s="150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61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172"/>
      <c r="DC70" s="8"/>
      <c r="DD70" s="8"/>
      <c r="DE70" s="8"/>
      <c r="DF70" s="8"/>
      <c r="DG70" s="8"/>
      <c r="DH70" s="8"/>
      <c r="DI70" s="8"/>
      <c r="DJ70" s="8"/>
      <c r="DK70" s="8"/>
      <c r="DL70" s="172"/>
      <c r="DM70" s="8"/>
      <c r="DN70" s="8"/>
      <c r="DO70" s="8"/>
      <c r="DP70" s="8"/>
      <c r="DQ70" s="8"/>
      <c r="DR70" s="8"/>
      <c r="DS70" s="8"/>
      <c r="DT70" s="8"/>
      <c r="DU70" s="8"/>
      <c r="DV70" s="172"/>
      <c r="DW70" s="8"/>
      <c r="DX70" s="8"/>
      <c r="DY70" s="8"/>
      <c r="DZ70" s="8"/>
      <c r="EA70" s="8"/>
      <c r="EB70" s="8"/>
      <c r="EC70" s="8"/>
      <c r="ED70" s="8"/>
      <c r="EE70" s="8"/>
      <c r="EF70" s="172"/>
    </row>
    <row r="71" spans="1:136" ht="18" customHeight="1" thickBot="1" x14ac:dyDescent="0.25">
      <c r="A71" s="36">
        <v>60</v>
      </c>
      <c r="C71" s="398" t="s">
        <v>1302</v>
      </c>
      <c r="D71" s="399"/>
      <c r="E71" s="400" t="s">
        <v>580</v>
      </c>
      <c r="F71" s="400"/>
      <c r="G71" s="400"/>
      <c r="H71" s="401"/>
      <c r="I71" s="415">
        <v>532.37</v>
      </c>
      <c r="J71" s="409">
        <f t="shared" si="4"/>
        <v>7.7652725145789395E-4</v>
      </c>
      <c r="K71" s="425"/>
      <c r="L71" s="425"/>
      <c r="M71" s="112">
        <f t="shared" si="2"/>
        <v>532.37</v>
      </c>
      <c r="N71" s="69">
        <f t="shared" si="5"/>
        <v>1</v>
      </c>
      <c r="P71" s="35"/>
      <c r="Q71" s="143">
        <f t="shared" ca="1" si="0"/>
        <v>118.64765358830641</v>
      </c>
      <c r="R71" s="111"/>
      <c r="S71" s="7"/>
      <c r="T71" s="111"/>
      <c r="U71" s="64">
        <f t="shared" ca="1" si="8"/>
        <v>-1423.7718430596769</v>
      </c>
      <c r="V71" s="111"/>
      <c r="W71" s="144"/>
      <c r="X71" s="67"/>
      <c r="Y71" s="111"/>
      <c r="Z71" s="310">
        <f t="shared" si="3"/>
        <v>0</v>
      </c>
      <c r="AA71" s="111"/>
      <c r="AB71" s="9"/>
      <c r="AC71" s="111"/>
      <c r="AD71" s="1228"/>
      <c r="AE71" s="1229"/>
      <c r="AF71" s="1230"/>
      <c r="AG71" s="150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61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172"/>
      <c r="DC71" s="8"/>
      <c r="DD71" s="8"/>
      <c r="DE71" s="8"/>
      <c r="DF71" s="8"/>
      <c r="DG71" s="8"/>
      <c r="DH71" s="8"/>
      <c r="DI71" s="8"/>
      <c r="DJ71" s="8"/>
      <c r="DK71" s="8"/>
      <c r="DL71" s="172"/>
      <c r="DM71" s="8"/>
      <c r="DN71" s="8"/>
      <c r="DO71" s="8"/>
      <c r="DP71" s="8"/>
      <c r="DQ71" s="8"/>
      <c r="DR71" s="8"/>
      <c r="DS71" s="8"/>
      <c r="DT71" s="8"/>
      <c r="DU71" s="8"/>
      <c r="DV71" s="172"/>
      <c r="DW71" s="8"/>
      <c r="DX71" s="8"/>
      <c r="DY71" s="8"/>
      <c r="DZ71" s="8"/>
      <c r="EA71" s="8"/>
      <c r="EB71" s="8"/>
      <c r="EC71" s="8"/>
      <c r="ED71" s="8"/>
      <c r="EE71" s="8"/>
      <c r="EF71" s="172"/>
    </row>
    <row r="72" spans="1:136" ht="18" customHeight="1" thickBot="1" x14ac:dyDescent="0.25">
      <c r="A72" s="36">
        <v>61</v>
      </c>
      <c r="C72" s="398" t="s">
        <v>1303</v>
      </c>
      <c r="D72" s="399"/>
      <c r="E72" s="400" t="s">
        <v>580</v>
      </c>
      <c r="F72" s="400"/>
      <c r="G72" s="400"/>
      <c r="H72" s="401"/>
      <c r="I72" s="415">
        <v>524.66</v>
      </c>
      <c r="J72" s="409">
        <f t="shared" si="4"/>
        <v>7.652812663183474E-4</v>
      </c>
      <c r="K72" s="425">
        <v>764.72</v>
      </c>
      <c r="L72" s="425"/>
      <c r="M72" s="112">
        <f t="shared" si="2"/>
        <v>-240.06000000000006</v>
      </c>
      <c r="N72" s="69">
        <f t="shared" si="5"/>
        <v>-0.45755346319521228</v>
      </c>
      <c r="P72" s="35"/>
      <c r="Q72" s="143">
        <f t="shared" ca="1" si="0"/>
        <v>118.64765358830641</v>
      </c>
      <c r="R72" s="111"/>
      <c r="S72" s="7"/>
      <c r="T72" s="111"/>
      <c r="U72" s="64">
        <f t="shared" ca="1" si="8"/>
        <v>-1423.7718430596769</v>
      </c>
      <c r="V72" s="111"/>
      <c r="W72" s="144"/>
      <c r="X72" s="67"/>
      <c r="Y72" s="111"/>
      <c r="Z72" s="310">
        <f t="shared" si="3"/>
        <v>0</v>
      </c>
      <c r="AA72" s="111"/>
      <c r="AB72" s="9"/>
      <c r="AC72" s="111"/>
      <c r="AD72" s="1228"/>
      <c r="AE72" s="1229"/>
      <c r="AF72" s="1230"/>
      <c r="AG72" s="150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61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172"/>
      <c r="DC72" s="8"/>
      <c r="DD72" s="8"/>
      <c r="DE72" s="8"/>
      <c r="DF72" s="8"/>
      <c r="DG72" s="8"/>
      <c r="DH72" s="8"/>
      <c r="DI72" s="8"/>
      <c r="DJ72" s="8"/>
      <c r="DK72" s="8"/>
      <c r="DL72" s="172"/>
      <c r="DM72" s="8"/>
      <c r="DN72" s="8"/>
      <c r="DO72" s="8"/>
      <c r="DP72" s="8"/>
      <c r="DQ72" s="8"/>
      <c r="DR72" s="8"/>
      <c r="DS72" s="8"/>
      <c r="DT72" s="8"/>
      <c r="DU72" s="8"/>
      <c r="DV72" s="172"/>
      <c r="DW72" s="8"/>
      <c r="DX72" s="8"/>
      <c r="DY72" s="8"/>
      <c r="DZ72" s="8"/>
      <c r="EA72" s="8"/>
      <c r="EB72" s="8"/>
      <c r="EC72" s="8"/>
      <c r="ED72" s="8"/>
      <c r="EE72" s="8"/>
      <c r="EF72" s="172"/>
    </row>
    <row r="73" spans="1:136" ht="18" customHeight="1" thickBot="1" x14ac:dyDescent="0.25">
      <c r="A73" s="36">
        <v>62</v>
      </c>
      <c r="C73" s="398" t="s">
        <v>1304</v>
      </c>
      <c r="D73" s="399"/>
      <c r="E73" s="400" t="s">
        <v>580</v>
      </c>
      <c r="F73" s="400"/>
      <c r="G73" s="400"/>
      <c r="H73" s="401"/>
      <c r="I73" s="415">
        <v>438</v>
      </c>
      <c r="J73" s="409">
        <f t="shared" si="4"/>
        <v>6.3887697679913878E-4</v>
      </c>
      <c r="K73" s="425">
        <v>292.44</v>
      </c>
      <c r="L73" s="425">
        <v>22.08</v>
      </c>
      <c r="M73" s="112">
        <f t="shared" si="2"/>
        <v>123.48</v>
      </c>
      <c r="N73" s="69">
        <f t="shared" si="5"/>
        <v>0.28191780821917811</v>
      </c>
      <c r="P73" s="35"/>
      <c r="Q73" s="143">
        <f t="shared" ca="1" si="0"/>
        <v>118.64765358830641</v>
      </c>
      <c r="R73" s="111"/>
      <c r="S73" s="7"/>
      <c r="T73" s="111"/>
      <c r="U73" s="64">
        <f t="shared" ca="1" si="8"/>
        <v>-1423.7718430596769</v>
      </c>
      <c r="V73" s="111"/>
      <c r="W73" s="144"/>
      <c r="X73" s="67"/>
      <c r="Y73" s="111"/>
      <c r="Z73" s="310">
        <f t="shared" si="3"/>
        <v>0</v>
      </c>
      <c r="AA73" s="111"/>
      <c r="AB73" s="9"/>
      <c r="AC73" s="111"/>
      <c r="AD73" s="1228"/>
      <c r="AE73" s="1229"/>
      <c r="AF73" s="1230"/>
      <c r="AG73" s="150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61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172"/>
      <c r="DC73" s="8"/>
      <c r="DD73" s="8"/>
      <c r="DE73" s="8"/>
      <c r="DF73" s="8"/>
      <c r="DG73" s="8"/>
      <c r="DH73" s="8"/>
      <c r="DI73" s="8"/>
      <c r="DJ73" s="8"/>
      <c r="DK73" s="8"/>
      <c r="DL73" s="172"/>
      <c r="DM73" s="8"/>
      <c r="DN73" s="8"/>
      <c r="DO73" s="8"/>
      <c r="DP73" s="8"/>
      <c r="DQ73" s="8"/>
      <c r="DR73" s="8"/>
      <c r="DS73" s="8"/>
      <c r="DT73" s="8"/>
      <c r="DU73" s="8"/>
      <c r="DV73" s="172"/>
      <c r="DW73" s="8"/>
      <c r="DX73" s="8"/>
      <c r="DY73" s="8"/>
      <c r="DZ73" s="8"/>
      <c r="EA73" s="8"/>
      <c r="EB73" s="8"/>
      <c r="EC73" s="8"/>
      <c r="ED73" s="8"/>
      <c r="EE73" s="8"/>
      <c r="EF73" s="172"/>
    </row>
    <row r="74" spans="1:136" ht="18" customHeight="1" thickBot="1" x14ac:dyDescent="0.25">
      <c r="A74" s="36">
        <v>63</v>
      </c>
      <c r="C74" s="398" t="s">
        <v>1305</v>
      </c>
      <c r="D74" s="399"/>
      <c r="E74" s="400" t="s">
        <v>521</v>
      </c>
      <c r="F74" s="400"/>
      <c r="G74" s="400"/>
      <c r="H74" s="401"/>
      <c r="I74" s="415">
        <v>417.89</v>
      </c>
      <c r="J74" s="409">
        <f t="shared" si="4"/>
        <v>6.0954406354929707E-4</v>
      </c>
      <c r="K74" s="425">
        <v>350.38</v>
      </c>
      <c r="L74" s="425"/>
      <c r="M74" s="112">
        <f t="shared" si="2"/>
        <v>67.509999999999991</v>
      </c>
      <c r="N74" s="69">
        <f t="shared" si="5"/>
        <v>0.1615496901098375</v>
      </c>
      <c r="P74" s="35"/>
      <c r="Q74" s="143">
        <f t="shared" ca="1" si="0"/>
        <v>118.64765358830641</v>
      </c>
      <c r="R74" s="111"/>
      <c r="S74" s="7"/>
      <c r="T74" s="111"/>
      <c r="U74" s="64">
        <f t="shared" ca="1" si="8"/>
        <v>-1423.7718430596769</v>
      </c>
      <c r="V74" s="111"/>
      <c r="W74" s="144"/>
      <c r="X74" s="67"/>
      <c r="Y74" s="111"/>
      <c r="Z74" s="310">
        <f t="shared" si="3"/>
        <v>0</v>
      </c>
      <c r="AA74" s="111"/>
      <c r="AB74" s="9"/>
      <c r="AC74" s="111"/>
      <c r="AD74" s="1228"/>
      <c r="AE74" s="1229"/>
      <c r="AF74" s="1230"/>
      <c r="AG74" s="150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61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172"/>
      <c r="DC74" s="8"/>
      <c r="DD74" s="8"/>
      <c r="DE74" s="8"/>
      <c r="DF74" s="8"/>
      <c r="DG74" s="8"/>
      <c r="DH74" s="8"/>
      <c r="DI74" s="8"/>
      <c r="DJ74" s="8"/>
      <c r="DK74" s="8"/>
      <c r="DL74" s="172"/>
      <c r="DM74" s="8"/>
      <c r="DN74" s="8"/>
      <c r="DO74" s="8"/>
      <c r="DP74" s="8"/>
      <c r="DQ74" s="8"/>
      <c r="DR74" s="8"/>
      <c r="DS74" s="8"/>
      <c r="DT74" s="8"/>
      <c r="DU74" s="8"/>
      <c r="DV74" s="172"/>
      <c r="DW74" s="8"/>
      <c r="DX74" s="8"/>
      <c r="DY74" s="8"/>
      <c r="DZ74" s="8"/>
      <c r="EA74" s="8"/>
      <c r="EB74" s="8"/>
      <c r="EC74" s="8"/>
      <c r="ED74" s="8"/>
      <c r="EE74" s="8"/>
      <c r="EF74" s="172"/>
    </row>
    <row r="75" spans="1:136" ht="18" customHeight="1" thickBot="1" x14ac:dyDescent="0.25">
      <c r="A75" s="36">
        <v>64</v>
      </c>
      <c r="C75" s="398" t="s">
        <v>1306</v>
      </c>
      <c r="D75" s="399"/>
      <c r="E75" s="400" t="s">
        <v>580</v>
      </c>
      <c r="F75" s="400"/>
      <c r="G75" s="400"/>
      <c r="H75" s="401"/>
      <c r="I75" s="415">
        <v>398.32</v>
      </c>
      <c r="J75" s="409">
        <f t="shared" si="4"/>
        <v>5.8099880684619402E-4</v>
      </c>
      <c r="K75" s="425">
        <v>384.28</v>
      </c>
      <c r="L75" s="425"/>
      <c r="M75" s="112">
        <f t="shared" si="2"/>
        <v>14.04000000000002</v>
      </c>
      <c r="N75" s="69">
        <f t="shared" si="5"/>
        <v>3.524804177545697E-2</v>
      </c>
      <c r="P75" s="35"/>
      <c r="Q75" s="143">
        <f t="shared" ca="1" si="0"/>
        <v>118.64765358830641</v>
      </c>
      <c r="R75" s="111"/>
      <c r="S75" s="7"/>
      <c r="T75" s="111"/>
      <c r="U75" s="64">
        <f t="shared" ca="1" si="8"/>
        <v>-1423.7718430596769</v>
      </c>
      <c r="V75" s="111"/>
      <c r="W75" s="144"/>
      <c r="X75" s="67"/>
      <c r="Y75" s="111"/>
      <c r="Z75" s="310">
        <f t="shared" si="3"/>
        <v>0</v>
      </c>
      <c r="AA75" s="111"/>
      <c r="AB75" s="9"/>
      <c r="AC75" s="111"/>
      <c r="AD75" s="1228"/>
      <c r="AE75" s="1229"/>
      <c r="AF75" s="1230"/>
      <c r="AG75" s="150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61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172"/>
      <c r="DC75" s="8"/>
      <c r="DD75" s="8"/>
      <c r="DE75" s="8"/>
      <c r="DF75" s="8"/>
      <c r="DG75" s="8"/>
      <c r="DH75" s="8"/>
      <c r="DI75" s="8"/>
      <c r="DJ75" s="8"/>
      <c r="DK75" s="8"/>
      <c r="DL75" s="172"/>
      <c r="DM75" s="8"/>
      <c r="DN75" s="8"/>
      <c r="DO75" s="8"/>
      <c r="DP75" s="8"/>
      <c r="DQ75" s="8"/>
      <c r="DR75" s="8"/>
      <c r="DS75" s="8"/>
      <c r="DT75" s="8"/>
      <c r="DU75" s="8"/>
      <c r="DV75" s="172"/>
      <c r="DW75" s="8"/>
      <c r="DX75" s="8"/>
      <c r="DY75" s="8"/>
      <c r="DZ75" s="8"/>
      <c r="EA75" s="8"/>
      <c r="EB75" s="8"/>
      <c r="EC75" s="8"/>
      <c r="ED75" s="8"/>
      <c r="EE75" s="8"/>
      <c r="EF75" s="172"/>
    </row>
    <row r="76" spans="1:136" ht="18" customHeight="1" thickBot="1" x14ac:dyDescent="0.25">
      <c r="A76" s="36">
        <v>65</v>
      </c>
      <c r="C76" s="398" t="s">
        <v>1307</v>
      </c>
      <c r="D76" s="399"/>
      <c r="E76" s="400" t="s">
        <v>580</v>
      </c>
      <c r="F76" s="400"/>
      <c r="G76" s="400"/>
      <c r="H76" s="401"/>
      <c r="I76" s="415">
        <v>383.7</v>
      </c>
      <c r="J76" s="409">
        <f t="shared" si="4"/>
        <v>5.5967373515486201E-4</v>
      </c>
      <c r="K76" s="425">
        <v>230.83</v>
      </c>
      <c r="L76" s="425"/>
      <c r="M76" s="112">
        <f t="shared" si="2"/>
        <v>152.86999999999998</v>
      </c>
      <c r="N76" s="69">
        <f t="shared" si="5"/>
        <v>0.39841021631482926</v>
      </c>
      <c r="P76" s="35"/>
      <c r="Q76" s="143">
        <f t="shared" ref="Q76:Q103" ca="1" si="9">($I$1-P76)/30.33/12</f>
        <v>118.64765358830641</v>
      </c>
      <c r="R76" s="111"/>
      <c r="S76" s="7"/>
      <c r="T76" s="111"/>
      <c r="U76" s="64">
        <f t="shared" ca="1" si="8"/>
        <v>-1423.7718430596769</v>
      </c>
      <c r="V76" s="111"/>
      <c r="W76" s="144"/>
      <c r="X76" s="67"/>
      <c r="Y76" s="111"/>
      <c r="Z76" s="310">
        <f t="shared" si="3"/>
        <v>0</v>
      </c>
      <c r="AA76" s="111"/>
      <c r="AB76" s="9"/>
      <c r="AC76" s="111"/>
      <c r="AD76" s="1228"/>
      <c r="AE76" s="1229"/>
      <c r="AF76" s="1230"/>
      <c r="AG76" s="150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61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172"/>
      <c r="DC76" s="8"/>
      <c r="DD76" s="8"/>
      <c r="DE76" s="8"/>
      <c r="DF76" s="8"/>
      <c r="DG76" s="8"/>
      <c r="DH76" s="8"/>
      <c r="DI76" s="8"/>
      <c r="DJ76" s="8"/>
      <c r="DK76" s="8"/>
      <c r="DL76" s="172"/>
      <c r="DM76" s="8"/>
      <c r="DN76" s="8"/>
      <c r="DO76" s="8"/>
      <c r="DP76" s="8"/>
      <c r="DQ76" s="8"/>
      <c r="DR76" s="8"/>
      <c r="DS76" s="8"/>
      <c r="DT76" s="8"/>
      <c r="DU76" s="8"/>
      <c r="DV76" s="172"/>
      <c r="DW76" s="8"/>
      <c r="DX76" s="8"/>
      <c r="DY76" s="8"/>
      <c r="DZ76" s="8"/>
      <c r="EA76" s="8"/>
      <c r="EB76" s="8"/>
      <c r="EC76" s="8"/>
      <c r="ED76" s="8"/>
      <c r="EE76" s="8"/>
      <c r="EF76" s="172"/>
    </row>
    <row r="77" spans="1:136" ht="18" customHeight="1" thickBot="1" x14ac:dyDescent="0.25">
      <c r="A77" s="36">
        <v>66</v>
      </c>
      <c r="C77" s="398" t="s">
        <v>1308</v>
      </c>
      <c r="D77" s="399"/>
      <c r="E77" s="400" t="s">
        <v>521</v>
      </c>
      <c r="F77" s="400"/>
      <c r="G77" s="400"/>
      <c r="H77" s="401"/>
      <c r="I77" s="416">
        <v>382.98</v>
      </c>
      <c r="J77" s="409">
        <f t="shared" si="4"/>
        <v>5.5862352642587713E-4</v>
      </c>
      <c r="K77" s="426">
        <v>259.67</v>
      </c>
      <c r="L77" s="426"/>
      <c r="M77" s="112">
        <f t="shared" ref="M77:M103" si="10">+I77-K77-L77</f>
        <v>123.31</v>
      </c>
      <c r="N77" s="69">
        <f t="shared" si="5"/>
        <v>0.32197503786098491</v>
      </c>
      <c r="P77" s="35"/>
      <c r="Q77" s="143">
        <f t="shared" ca="1" si="9"/>
        <v>118.64765358830641</v>
      </c>
      <c r="R77" s="111"/>
      <c r="S77" s="7"/>
      <c r="T77" s="111"/>
      <c r="U77" s="64">
        <f t="shared" ca="1" si="8"/>
        <v>-1423.7718430596769</v>
      </c>
      <c r="V77" s="111"/>
      <c r="W77" s="144"/>
      <c r="X77" s="67"/>
      <c r="Y77" s="111"/>
      <c r="Z77" s="310">
        <f t="shared" si="3"/>
        <v>0</v>
      </c>
      <c r="AA77" s="111"/>
      <c r="AB77" s="9"/>
      <c r="AC77" s="111"/>
      <c r="AD77" s="1228"/>
      <c r="AE77" s="1229"/>
      <c r="AF77" s="1230"/>
      <c r="AG77" s="150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61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172"/>
      <c r="DC77" s="8"/>
      <c r="DD77" s="8"/>
      <c r="DE77" s="8"/>
      <c r="DF77" s="8"/>
      <c r="DG77" s="8"/>
      <c r="DH77" s="8"/>
      <c r="DI77" s="8"/>
      <c r="DJ77" s="8"/>
      <c r="DK77" s="8"/>
      <c r="DL77" s="172"/>
      <c r="DM77" s="8"/>
      <c r="DN77" s="8"/>
      <c r="DO77" s="8"/>
      <c r="DP77" s="8"/>
      <c r="DQ77" s="8"/>
      <c r="DR77" s="8"/>
      <c r="DS77" s="8"/>
      <c r="DT77" s="8"/>
      <c r="DU77" s="8"/>
      <c r="DV77" s="172"/>
      <c r="DW77" s="8"/>
      <c r="DX77" s="8"/>
      <c r="DY77" s="8"/>
      <c r="DZ77" s="8"/>
      <c r="EA77" s="8"/>
      <c r="EB77" s="8"/>
      <c r="EC77" s="8"/>
      <c r="ED77" s="8"/>
      <c r="EE77" s="8"/>
      <c r="EF77" s="172"/>
    </row>
    <row r="78" spans="1:136" ht="18" customHeight="1" thickBot="1" x14ac:dyDescent="0.25">
      <c r="A78" s="36">
        <v>67</v>
      </c>
      <c r="C78" s="398" t="s">
        <v>1309</v>
      </c>
      <c r="D78" s="399"/>
      <c r="E78" s="400" t="s">
        <v>521</v>
      </c>
      <c r="F78" s="400"/>
      <c r="G78" s="400" t="s">
        <v>660</v>
      </c>
      <c r="H78" s="401" t="s">
        <v>527</v>
      </c>
      <c r="I78" s="415">
        <v>378.83</v>
      </c>
      <c r="J78" s="409">
        <f t="shared" si="4"/>
        <v>5.5257024000186696E-4</v>
      </c>
      <c r="K78" s="425">
        <v>218.18</v>
      </c>
      <c r="L78" s="425"/>
      <c r="M78" s="112">
        <f t="shared" si="10"/>
        <v>160.64999999999998</v>
      </c>
      <c r="N78" s="69">
        <f t="shared" si="5"/>
        <v>0.42406884354459778</v>
      </c>
      <c r="P78" s="35"/>
      <c r="Q78" s="143">
        <f t="shared" ca="1" si="9"/>
        <v>118.64765358830641</v>
      </c>
      <c r="R78" s="111"/>
      <c r="S78" s="7"/>
      <c r="T78" s="111"/>
      <c r="U78" s="64">
        <f t="shared" ca="1" si="8"/>
        <v>-1423.7718430596769</v>
      </c>
      <c r="V78" s="111"/>
      <c r="W78" s="144"/>
      <c r="X78" s="67"/>
      <c r="Y78" s="111"/>
      <c r="Z78" s="310">
        <f t="shared" si="3"/>
        <v>0</v>
      </c>
      <c r="AA78" s="111"/>
      <c r="AB78" s="9"/>
      <c r="AC78" s="111"/>
      <c r="AD78" s="1228"/>
      <c r="AE78" s="1229"/>
      <c r="AF78" s="1230"/>
      <c r="AG78" s="150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61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172"/>
      <c r="DC78" s="8"/>
      <c r="DD78" s="8"/>
      <c r="DE78" s="8"/>
      <c r="DF78" s="8"/>
      <c r="DG78" s="8"/>
      <c r="DH78" s="8"/>
      <c r="DI78" s="8"/>
      <c r="DJ78" s="8"/>
      <c r="DK78" s="8"/>
      <c r="DL78" s="172"/>
      <c r="DM78" s="8"/>
      <c r="DN78" s="8"/>
      <c r="DO78" s="8"/>
      <c r="DP78" s="8"/>
      <c r="DQ78" s="8"/>
      <c r="DR78" s="8"/>
      <c r="DS78" s="8"/>
      <c r="DT78" s="8"/>
      <c r="DU78" s="8"/>
      <c r="DV78" s="172"/>
      <c r="DW78" s="8"/>
      <c r="DX78" s="8"/>
      <c r="DY78" s="8"/>
      <c r="DZ78" s="8"/>
      <c r="EA78" s="8"/>
      <c r="EB78" s="8"/>
      <c r="EC78" s="8"/>
      <c r="ED78" s="8"/>
      <c r="EE78" s="8"/>
      <c r="EF78" s="172"/>
    </row>
    <row r="79" spans="1:136" ht="18" customHeight="1" thickBot="1" x14ac:dyDescent="0.25">
      <c r="A79" s="36">
        <v>68</v>
      </c>
      <c r="C79" s="398" t="s">
        <v>1310</v>
      </c>
      <c r="D79" s="399"/>
      <c r="E79" s="400" t="s">
        <v>548</v>
      </c>
      <c r="F79" s="400"/>
      <c r="G79" s="400" t="s">
        <v>662</v>
      </c>
      <c r="H79" s="401" t="s">
        <v>527</v>
      </c>
      <c r="I79" s="416">
        <v>360.33</v>
      </c>
      <c r="J79" s="409">
        <f t="shared" si="4"/>
        <v>5.2558571015989429E-4</v>
      </c>
      <c r="K79" s="426">
        <v>308.39999999999998</v>
      </c>
      <c r="L79" s="426"/>
      <c r="M79" s="112">
        <f t="shared" si="10"/>
        <v>51.930000000000007</v>
      </c>
      <c r="N79" s="69">
        <f t="shared" si="5"/>
        <v>0.14411789193239533</v>
      </c>
      <c r="P79" s="35"/>
      <c r="Q79" s="143">
        <f t="shared" ca="1" si="9"/>
        <v>118.64765358830641</v>
      </c>
      <c r="R79" s="111"/>
      <c r="S79" s="7"/>
      <c r="T79" s="111"/>
      <c r="U79" s="64">
        <f t="shared" ca="1" si="8"/>
        <v>-1423.7718430596769</v>
      </c>
      <c r="V79" s="111"/>
      <c r="W79" s="144"/>
      <c r="X79" s="67"/>
      <c r="Y79" s="111"/>
      <c r="Z79" s="310">
        <f t="shared" ref="Z79:Z103" si="11">IF(OR(W79="",W79="N"),S79,EDATE(S79,X79))</f>
        <v>0</v>
      </c>
      <c r="AA79" s="111"/>
      <c r="AB79" s="9"/>
      <c r="AC79" s="111"/>
      <c r="AD79" s="1228"/>
      <c r="AE79" s="1229"/>
      <c r="AF79" s="1230"/>
      <c r="AG79" s="150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61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172"/>
      <c r="DC79" s="8"/>
      <c r="DD79" s="8"/>
      <c r="DE79" s="8"/>
      <c r="DF79" s="8"/>
      <c r="DG79" s="8"/>
      <c r="DH79" s="8"/>
      <c r="DI79" s="8"/>
      <c r="DJ79" s="8"/>
      <c r="DK79" s="8"/>
      <c r="DL79" s="172"/>
      <c r="DM79" s="8"/>
      <c r="DN79" s="8"/>
      <c r="DO79" s="8"/>
      <c r="DP79" s="8"/>
      <c r="DQ79" s="8"/>
      <c r="DR79" s="8"/>
      <c r="DS79" s="8"/>
      <c r="DT79" s="8"/>
      <c r="DU79" s="8"/>
      <c r="DV79" s="172"/>
      <c r="DW79" s="8"/>
      <c r="DX79" s="8"/>
      <c r="DY79" s="8"/>
      <c r="DZ79" s="8"/>
      <c r="EA79" s="8"/>
      <c r="EB79" s="8"/>
      <c r="EC79" s="8"/>
      <c r="ED79" s="8"/>
      <c r="EE79" s="8"/>
      <c r="EF79" s="172"/>
    </row>
    <row r="80" spans="1:136" ht="18" customHeight="1" thickBot="1" x14ac:dyDescent="0.25">
      <c r="A80" s="36">
        <v>69</v>
      </c>
      <c r="C80" s="398" t="s">
        <v>1311</v>
      </c>
      <c r="D80" s="399"/>
      <c r="E80" s="400" t="s">
        <v>580</v>
      </c>
      <c r="F80" s="400"/>
      <c r="G80" s="400"/>
      <c r="H80" s="401"/>
      <c r="I80" s="415">
        <v>350.24</v>
      </c>
      <c r="J80" s="409">
        <f t="shared" si="4"/>
        <v>5.1086820172175891E-4</v>
      </c>
      <c r="K80" s="425">
        <v>293.27</v>
      </c>
      <c r="L80" s="425">
        <v>0</v>
      </c>
      <c r="M80" s="112">
        <f t="shared" si="10"/>
        <v>56.970000000000027</v>
      </c>
      <c r="N80" s="69">
        <f t="shared" si="5"/>
        <v>0.16265989036089545</v>
      </c>
      <c r="P80" s="35"/>
      <c r="Q80" s="143">
        <f t="shared" ca="1" si="9"/>
        <v>118.64765358830641</v>
      </c>
      <c r="R80" s="111"/>
      <c r="S80" s="7"/>
      <c r="T80" s="111"/>
      <c r="U80" s="64">
        <f t="shared" ca="1" si="8"/>
        <v>-1423.7718430596769</v>
      </c>
      <c r="V80" s="111"/>
      <c r="W80" s="144"/>
      <c r="X80" s="67"/>
      <c r="Y80" s="111"/>
      <c r="Z80" s="310">
        <f t="shared" si="11"/>
        <v>0</v>
      </c>
      <c r="AA80" s="111"/>
      <c r="AB80" s="9"/>
      <c r="AC80" s="111"/>
      <c r="AD80" s="1228"/>
      <c r="AE80" s="1229"/>
      <c r="AF80" s="1230"/>
      <c r="AG80" s="150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61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172"/>
      <c r="DC80" s="8"/>
      <c r="DD80" s="8"/>
      <c r="DE80" s="8"/>
      <c r="DF80" s="8"/>
      <c r="DG80" s="8"/>
      <c r="DH80" s="8"/>
      <c r="DI80" s="8"/>
      <c r="DJ80" s="8"/>
      <c r="DK80" s="8"/>
      <c r="DL80" s="172"/>
      <c r="DM80" s="8"/>
      <c r="DN80" s="8"/>
      <c r="DO80" s="8"/>
      <c r="DP80" s="8"/>
      <c r="DQ80" s="8"/>
      <c r="DR80" s="8"/>
      <c r="DS80" s="8"/>
      <c r="DT80" s="8"/>
      <c r="DU80" s="8"/>
      <c r="DV80" s="172"/>
      <c r="DW80" s="8"/>
      <c r="DX80" s="8"/>
      <c r="DY80" s="8"/>
      <c r="DZ80" s="8"/>
      <c r="EA80" s="8"/>
      <c r="EB80" s="8"/>
      <c r="EC80" s="8"/>
      <c r="ED80" s="8"/>
      <c r="EE80" s="8"/>
      <c r="EF80" s="172"/>
    </row>
    <row r="81" spans="1:136" ht="18" customHeight="1" thickBot="1" x14ac:dyDescent="0.25">
      <c r="A81" s="36">
        <v>70</v>
      </c>
      <c r="C81" s="398" t="s">
        <v>1312</v>
      </c>
      <c r="D81" s="399"/>
      <c r="E81" s="400" t="s">
        <v>547</v>
      </c>
      <c r="F81" s="400"/>
      <c r="G81" s="400"/>
      <c r="H81" s="401"/>
      <c r="I81" s="416">
        <v>296.93</v>
      </c>
      <c r="J81" s="412">
        <f t="shared" ref="J81:J102" si="12">I81/$I$2</f>
        <v>4.3310899707983631E-4</v>
      </c>
      <c r="K81" s="426">
        <v>129.77000000000001</v>
      </c>
      <c r="L81" s="426"/>
      <c r="M81" s="112">
        <f t="shared" si="10"/>
        <v>167.16</v>
      </c>
      <c r="N81" s="69">
        <f t="shared" ref="N81:N103" si="13">M81/I81</f>
        <v>0.56296096723133393</v>
      </c>
      <c r="P81" s="35"/>
      <c r="Q81" s="143">
        <f t="shared" ca="1" si="9"/>
        <v>118.64765358830641</v>
      </c>
      <c r="R81" s="111"/>
      <c r="S81" s="7"/>
      <c r="T81" s="111"/>
      <c r="U81" s="64">
        <f t="shared" ca="1" si="8"/>
        <v>-1423.7718430596769</v>
      </c>
      <c r="V81" s="111"/>
      <c r="W81" s="144"/>
      <c r="X81" s="67"/>
      <c r="Y81" s="111"/>
      <c r="Z81" s="310">
        <f t="shared" si="11"/>
        <v>0</v>
      </c>
      <c r="AA81" s="111"/>
      <c r="AB81" s="9"/>
      <c r="AC81" s="111"/>
      <c r="AD81" s="1228"/>
      <c r="AE81" s="1229"/>
      <c r="AF81" s="1230"/>
      <c r="AG81" s="150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61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172"/>
      <c r="DC81" s="8"/>
      <c r="DD81" s="8"/>
      <c r="DE81" s="8"/>
      <c r="DF81" s="8"/>
      <c r="DG81" s="8"/>
      <c r="DH81" s="8"/>
      <c r="DI81" s="8"/>
      <c r="DJ81" s="8"/>
      <c r="DK81" s="8"/>
      <c r="DL81" s="172"/>
      <c r="DM81" s="8"/>
      <c r="DN81" s="8"/>
      <c r="DO81" s="8"/>
      <c r="DP81" s="8"/>
      <c r="DQ81" s="8"/>
      <c r="DR81" s="8"/>
      <c r="DS81" s="8"/>
      <c r="DT81" s="8"/>
      <c r="DU81" s="8"/>
      <c r="DV81" s="172"/>
      <c r="DW81" s="8"/>
      <c r="DX81" s="8"/>
      <c r="DY81" s="8"/>
      <c r="DZ81" s="8"/>
      <c r="EA81" s="8"/>
      <c r="EB81" s="8"/>
      <c r="EC81" s="8"/>
      <c r="ED81" s="8"/>
      <c r="EE81" s="8"/>
      <c r="EF81" s="172"/>
    </row>
    <row r="82" spans="1:136" ht="18" customHeight="1" thickBot="1" x14ac:dyDescent="0.25">
      <c r="A82" s="36">
        <v>71</v>
      </c>
      <c r="C82" s="398" t="s">
        <v>1313</v>
      </c>
      <c r="D82" s="399"/>
      <c r="E82" s="400" t="s">
        <v>521</v>
      </c>
      <c r="F82" s="400"/>
      <c r="G82" s="400"/>
      <c r="H82" s="401"/>
      <c r="I82" s="416">
        <v>264.22000000000003</v>
      </c>
      <c r="J82" s="412">
        <f t="shared" si="12"/>
        <v>3.8539743107275908E-4</v>
      </c>
      <c r="K82" s="426">
        <v>225.77</v>
      </c>
      <c r="L82" s="426"/>
      <c r="M82" s="112">
        <f t="shared" si="10"/>
        <v>38.450000000000017</v>
      </c>
      <c r="N82" s="69">
        <f t="shared" si="13"/>
        <v>0.14552267050185458</v>
      </c>
      <c r="P82" s="35"/>
      <c r="Q82" s="143">
        <f t="shared" ca="1" si="9"/>
        <v>118.64765358830641</v>
      </c>
      <c r="R82" s="111"/>
      <c r="S82" s="7"/>
      <c r="T82" s="111"/>
      <c r="U82" s="64">
        <f t="shared" ca="1" si="8"/>
        <v>-1423.7718430596769</v>
      </c>
      <c r="V82" s="111"/>
      <c r="W82" s="144"/>
      <c r="X82" s="67"/>
      <c r="Y82" s="111"/>
      <c r="Z82" s="310">
        <f t="shared" si="11"/>
        <v>0</v>
      </c>
      <c r="AA82" s="111"/>
      <c r="AB82" s="9"/>
      <c r="AC82" s="111"/>
      <c r="AD82" s="1228"/>
      <c r="AE82" s="1229"/>
      <c r="AF82" s="1230"/>
      <c r="AG82" s="150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61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172"/>
      <c r="DC82" s="8"/>
      <c r="DD82" s="8"/>
      <c r="DE82" s="8"/>
      <c r="DF82" s="8"/>
      <c r="DG82" s="8"/>
      <c r="DH82" s="8"/>
      <c r="DI82" s="8"/>
      <c r="DJ82" s="8"/>
      <c r="DK82" s="8"/>
      <c r="DL82" s="172"/>
      <c r="DM82" s="8"/>
      <c r="DN82" s="8"/>
      <c r="DO82" s="8"/>
      <c r="DP82" s="8"/>
      <c r="DQ82" s="8"/>
      <c r="DR82" s="8"/>
      <c r="DS82" s="8"/>
      <c r="DT82" s="8"/>
      <c r="DU82" s="8"/>
      <c r="DV82" s="172"/>
      <c r="DW82" s="8"/>
      <c r="DX82" s="8"/>
      <c r="DY82" s="8"/>
      <c r="DZ82" s="8"/>
      <c r="EA82" s="8"/>
      <c r="EB82" s="8"/>
      <c r="EC82" s="8"/>
      <c r="ED82" s="8"/>
      <c r="EE82" s="8"/>
      <c r="EF82" s="172"/>
    </row>
    <row r="83" spans="1:136" ht="18" customHeight="1" thickBot="1" x14ac:dyDescent="0.25">
      <c r="A83" s="36">
        <v>72</v>
      </c>
      <c r="C83" s="398" t="s">
        <v>1314</v>
      </c>
      <c r="D83" s="399"/>
      <c r="E83" s="400" t="s">
        <v>580</v>
      </c>
      <c r="F83" s="400"/>
      <c r="G83" s="400"/>
      <c r="H83" s="401"/>
      <c r="I83" s="416">
        <v>261.38</v>
      </c>
      <c r="J83" s="412">
        <f t="shared" si="12"/>
        <v>3.8125494108620753E-4</v>
      </c>
      <c r="K83" s="426">
        <v>173.39</v>
      </c>
      <c r="L83" s="426"/>
      <c r="M83" s="112">
        <f t="shared" si="10"/>
        <v>87.990000000000009</v>
      </c>
      <c r="N83" s="69">
        <f t="shared" si="13"/>
        <v>0.33663631494376006</v>
      </c>
      <c r="P83" s="35"/>
      <c r="Q83" s="143">
        <f t="shared" ca="1" si="9"/>
        <v>118.64765358830641</v>
      </c>
      <c r="R83" s="111"/>
      <c r="S83" s="7"/>
      <c r="T83" s="111"/>
      <c r="U83" s="64">
        <f t="shared" ca="1" si="8"/>
        <v>-1423.7718430596769</v>
      </c>
      <c r="V83" s="111"/>
      <c r="W83" s="144"/>
      <c r="X83" s="67"/>
      <c r="Y83" s="111"/>
      <c r="Z83" s="310">
        <f t="shared" si="11"/>
        <v>0</v>
      </c>
      <c r="AA83" s="111"/>
      <c r="AB83" s="9"/>
      <c r="AC83" s="111"/>
      <c r="AD83" s="1228"/>
      <c r="AE83" s="1229"/>
      <c r="AF83" s="1230"/>
      <c r="AG83" s="150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61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172"/>
      <c r="DC83" s="8"/>
      <c r="DD83" s="8"/>
      <c r="DE83" s="8"/>
      <c r="DF83" s="8"/>
      <c r="DG83" s="8"/>
      <c r="DH83" s="8"/>
      <c r="DI83" s="8"/>
      <c r="DJ83" s="8"/>
      <c r="DK83" s="8"/>
      <c r="DL83" s="172"/>
      <c r="DM83" s="8"/>
      <c r="DN83" s="8"/>
      <c r="DO83" s="8"/>
      <c r="DP83" s="8"/>
      <c r="DQ83" s="8"/>
      <c r="DR83" s="8"/>
      <c r="DS83" s="8"/>
      <c r="DT83" s="8"/>
      <c r="DU83" s="8"/>
      <c r="DV83" s="172"/>
      <c r="DW83" s="8"/>
      <c r="DX83" s="8"/>
      <c r="DY83" s="8"/>
      <c r="DZ83" s="8"/>
      <c r="EA83" s="8"/>
      <c r="EB83" s="8"/>
      <c r="EC83" s="8"/>
      <c r="ED83" s="8"/>
      <c r="EE83" s="8"/>
      <c r="EF83" s="172"/>
    </row>
    <row r="84" spans="1:136" ht="18" customHeight="1" thickBot="1" x14ac:dyDescent="0.25">
      <c r="A84" s="36">
        <v>73</v>
      </c>
      <c r="C84" s="398" t="s">
        <v>1315</v>
      </c>
      <c r="D84" s="399"/>
      <c r="E84" s="400" t="s">
        <v>521</v>
      </c>
      <c r="F84" s="400"/>
      <c r="G84" s="400"/>
      <c r="H84" s="401"/>
      <c r="I84" s="415">
        <v>242.2</v>
      </c>
      <c r="J84" s="412">
        <f t="shared" si="12"/>
        <v>3.5327854744463796E-4</v>
      </c>
      <c r="K84" s="425"/>
      <c r="L84" s="425"/>
      <c r="M84" s="112">
        <f t="shared" si="10"/>
        <v>242.2</v>
      </c>
      <c r="N84" s="69">
        <f t="shared" si="13"/>
        <v>1</v>
      </c>
      <c r="P84" s="35"/>
      <c r="Q84" s="143">
        <f t="shared" ca="1" si="9"/>
        <v>118.64765358830641</v>
      </c>
      <c r="R84" s="111"/>
      <c r="S84" s="7"/>
      <c r="T84" s="111"/>
      <c r="U84" s="64">
        <f t="shared" ca="1" si="8"/>
        <v>-1423.7718430596769</v>
      </c>
      <c r="V84" s="111"/>
      <c r="W84" s="144"/>
      <c r="X84" s="67"/>
      <c r="Y84" s="111"/>
      <c r="Z84" s="310">
        <f t="shared" si="11"/>
        <v>0</v>
      </c>
      <c r="AA84" s="111"/>
      <c r="AB84" s="9"/>
      <c r="AC84" s="111"/>
      <c r="AD84" s="1228"/>
      <c r="AE84" s="1229"/>
      <c r="AF84" s="1230"/>
      <c r="AG84" s="150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61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172"/>
      <c r="DC84" s="8"/>
      <c r="DD84" s="8"/>
      <c r="DE84" s="8"/>
      <c r="DF84" s="8"/>
      <c r="DG84" s="8"/>
      <c r="DH84" s="8"/>
      <c r="DI84" s="8"/>
      <c r="DJ84" s="8"/>
      <c r="DK84" s="8"/>
      <c r="DL84" s="172"/>
      <c r="DM84" s="8"/>
      <c r="DN84" s="8"/>
      <c r="DO84" s="8"/>
      <c r="DP84" s="8"/>
      <c r="DQ84" s="8"/>
      <c r="DR84" s="8"/>
      <c r="DS84" s="8"/>
      <c r="DT84" s="8"/>
      <c r="DU84" s="8"/>
      <c r="DV84" s="172"/>
      <c r="DW84" s="8"/>
      <c r="DX84" s="8"/>
      <c r="DY84" s="8"/>
      <c r="DZ84" s="8"/>
      <c r="EA84" s="8"/>
      <c r="EB84" s="8"/>
      <c r="EC84" s="8"/>
      <c r="ED84" s="8"/>
      <c r="EE84" s="8"/>
      <c r="EF84" s="172"/>
    </row>
    <row r="85" spans="1:136" ht="18" customHeight="1" thickBot="1" x14ac:dyDescent="0.25">
      <c r="A85" s="36">
        <v>74</v>
      </c>
      <c r="C85" s="398" t="s">
        <v>1316</v>
      </c>
      <c r="D85" s="399"/>
      <c r="E85" s="400" t="s">
        <v>580</v>
      </c>
      <c r="F85" s="400"/>
      <c r="G85" s="400"/>
      <c r="H85" s="401"/>
      <c r="I85" s="415">
        <v>227.69</v>
      </c>
      <c r="J85" s="412">
        <f t="shared" si="12"/>
        <v>3.3211392430912309E-4</v>
      </c>
      <c r="K85" s="425">
        <v>63.05</v>
      </c>
      <c r="L85" s="425"/>
      <c r="M85" s="112">
        <f t="shared" si="10"/>
        <v>164.64</v>
      </c>
      <c r="N85" s="69">
        <f t="shared" si="13"/>
        <v>0.72308840967982779</v>
      </c>
      <c r="P85" s="35"/>
      <c r="Q85" s="143">
        <f t="shared" ca="1" si="9"/>
        <v>118.64765358830641</v>
      </c>
      <c r="R85" s="111"/>
      <c r="S85" s="7"/>
      <c r="T85" s="111"/>
      <c r="U85" s="64">
        <f t="shared" ca="1" si="8"/>
        <v>-1423.7718430596769</v>
      </c>
      <c r="V85" s="111"/>
      <c r="W85" s="144"/>
      <c r="X85" s="67"/>
      <c r="Y85" s="111"/>
      <c r="Z85" s="310">
        <f t="shared" si="11"/>
        <v>0</v>
      </c>
      <c r="AA85" s="111"/>
      <c r="AB85" s="9"/>
      <c r="AC85" s="111"/>
      <c r="AD85" s="1228"/>
      <c r="AE85" s="1229"/>
      <c r="AF85" s="1230"/>
      <c r="AG85" s="150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61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172"/>
      <c r="DC85" s="8"/>
      <c r="DD85" s="8"/>
      <c r="DE85" s="8"/>
      <c r="DF85" s="8"/>
      <c r="DG85" s="8"/>
      <c r="DH85" s="8"/>
      <c r="DI85" s="8"/>
      <c r="DJ85" s="8"/>
      <c r="DK85" s="8"/>
      <c r="DL85" s="172"/>
      <c r="DM85" s="8"/>
      <c r="DN85" s="8"/>
      <c r="DO85" s="8"/>
      <c r="DP85" s="8"/>
      <c r="DQ85" s="8"/>
      <c r="DR85" s="8"/>
      <c r="DS85" s="8"/>
      <c r="DT85" s="8"/>
      <c r="DU85" s="8"/>
      <c r="DV85" s="172"/>
      <c r="DW85" s="8"/>
      <c r="DX85" s="8"/>
      <c r="DY85" s="8"/>
      <c r="DZ85" s="8"/>
      <c r="EA85" s="8"/>
      <c r="EB85" s="8"/>
      <c r="EC85" s="8"/>
      <c r="ED85" s="8"/>
      <c r="EE85" s="8"/>
      <c r="EF85" s="172"/>
    </row>
    <row r="86" spans="1:136" ht="18" customHeight="1" thickBot="1" x14ac:dyDescent="0.25">
      <c r="A86" s="36">
        <v>75</v>
      </c>
      <c r="C86" s="398" t="s">
        <v>1317</v>
      </c>
      <c r="D86" s="399"/>
      <c r="E86" s="400" t="s">
        <v>521</v>
      </c>
      <c r="F86" s="400"/>
      <c r="G86" s="400"/>
      <c r="H86" s="401"/>
      <c r="I86" s="416">
        <v>227.66</v>
      </c>
      <c r="J86" s="412">
        <f t="shared" si="12"/>
        <v>3.3207016561208206E-4</v>
      </c>
      <c r="K86" s="426">
        <v>165.71</v>
      </c>
      <c r="L86" s="426"/>
      <c r="M86" s="112">
        <f t="shared" si="10"/>
        <v>61.949999999999989</v>
      </c>
      <c r="N86" s="69">
        <f t="shared" si="13"/>
        <v>0.27211631380128259</v>
      </c>
      <c r="P86" s="35"/>
      <c r="Q86" s="143">
        <f t="shared" ca="1" si="9"/>
        <v>118.64765358830641</v>
      </c>
      <c r="R86" s="111"/>
      <c r="S86" s="7"/>
      <c r="T86" s="111"/>
      <c r="U86" s="64">
        <f t="shared" ca="1" si="8"/>
        <v>-1423.7718430596769</v>
      </c>
      <c r="V86" s="111"/>
      <c r="W86" s="144"/>
      <c r="X86" s="67"/>
      <c r="Y86" s="111"/>
      <c r="Z86" s="310">
        <f t="shared" si="11"/>
        <v>0</v>
      </c>
      <c r="AA86" s="111"/>
      <c r="AB86" s="9"/>
      <c r="AC86" s="111"/>
      <c r="AD86" s="1228"/>
      <c r="AE86" s="1229"/>
      <c r="AF86" s="1230"/>
      <c r="AG86" s="150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61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172"/>
      <c r="DC86" s="8"/>
      <c r="DD86" s="8"/>
      <c r="DE86" s="8"/>
      <c r="DF86" s="8"/>
      <c r="DG86" s="8"/>
      <c r="DH86" s="8"/>
      <c r="DI86" s="8"/>
      <c r="DJ86" s="8"/>
      <c r="DK86" s="8"/>
      <c r="DL86" s="172"/>
      <c r="DM86" s="8"/>
      <c r="DN86" s="8"/>
      <c r="DO86" s="8"/>
      <c r="DP86" s="8"/>
      <c r="DQ86" s="8"/>
      <c r="DR86" s="8"/>
      <c r="DS86" s="8"/>
      <c r="DT86" s="8"/>
      <c r="DU86" s="8"/>
      <c r="DV86" s="172"/>
      <c r="DW86" s="8"/>
      <c r="DX86" s="8"/>
      <c r="DY86" s="8"/>
      <c r="DZ86" s="8"/>
      <c r="EA86" s="8"/>
      <c r="EB86" s="8"/>
      <c r="EC86" s="8"/>
      <c r="ED86" s="8"/>
      <c r="EE86" s="8"/>
      <c r="EF86" s="172"/>
    </row>
    <row r="87" spans="1:136" ht="18" customHeight="1" thickBot="1" x14ac:dyDescent="0.25">
      <c r="A87" s="36">
        <v>76</v>
      </c>
      <c r="C87" s="398" t="s">
        <v>1318</v>
      </c>
      <c r="D87" s="399"/>
      <c r="E87" s="400" t="s">
        <v>521</v>
      </c>
      <c r="F87" s="400"/>
      <c r="G87" s="400"/>
      <c r="H87" s="401"/>
      <c r="I87" s="415">
        <v>226.32</v>
      </c>
      <c r="J87" s="412">
        <f t="shared" si="12"/>
        <v>3.3011561047758241E-4</v>
      </c>
      <c r="K87" s="425">
        <v>163.24</v>
      </c>
      <c r="L87" s="425"/>
      <c r="M87" s="112">
        <f t="shared" si="10"/>
        <v>63.079999999999984</v>
      </c>
      <c r="N87" s="69">
        <f t="shared" si="13"/>
        <v>0.27872039589961112</v>
      </c>
      <c r="P87" s="35"/>
      <c r="Q87" s="143">
        <f t="shared" ca="1" si="9"/>
        <v>118.64765358830641</v>
      </c>
      <c r="R87" s="111"/>
      <c r="S87" s="7"/>
      <c r="T87" s="111"/>
      <c r="U87" s="64">
        <f t="shared" ca="1" si="8"/>
        <v>-1423.7718430596769</v>
      </c>
      <c r="V87" s="111"/>
      <c r="W87" s="144"/>
      <c r="X87" s="67"/>
      <c r="Y87" s="111"/>
      <c r="Z87" s="310">
        <f t="shared" si="11"/>
        <v>0</v>
      </c>
      <c r="AA87" s="111"/>
      <c r="AB87" s="9"/>
      <c r="AC87" s="111"/>
      <c r="AD87" s="1228"/>
      <c r="AE87" s="1229"/>
      <c r="AF87" s="1230"/>
      <c r="AG87" s="150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61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172"/>
      <c r="DC87" s="8"/>
      <c r="DD87" s="8"/>
      <c r="DE87" s="8"/>
      <c r="DF87" s="8"/>
      <c r="DG87" s="8"/>
      <c r="DH87" s="8"/>
      <c r="DI87" s="8"/>
      <c r="DJ87" s="8"/>
      <c r="DK87" s="8"/>
      <c r="DL87" s="172"/>
      <c r="DM87" s="8"/>
      <c r="DN87" s="8"/>
      <c r="DO87" s="8"/>
      <c r="DP87" s="8"/>
      <c r="DQ87" s="8"/>
      <c r="DR87" s="8"/>
      <c r="DS87" s="8"/>
      <c r="DT87" s="8"/>
      <c r="DU87" s="8"/>
      <c r="DV87" s="172"/>
      <c r="DW87" s="8"/>
      <c r="DX87" s="8"/>
      <c r="DY87" s="8"/>
      <c r="DZ87" s="8"/>
      <c r="EA87" s="8"/>
      <c r="EB87" s="8"/>
      <c r="EC87" s="8"/>
      <c r="ED87" s="8"/>
      <c r="EE87" s="8"/>
      <c r="EF87" s="172"/>
    </row>
    <row r="88" spans="1:136" ht="18" customHeight="1" thickBot="1" x14ac:dyDescent="0.25">
      <c r="A88" s="36">
        <v>77</v>
      </c>
      <c r="C88" s="398" t="s">
        <v>1319</v>
      </c>
      <c r="D88" s="399"/>
      <c r="E88" s="400" t="s">
        <v>521</v>
      </c>
      <c r="F88" s="400"/>
      <c r="G88" s="400"/>
      <c r="H88" s="401"/>
      <c r="I88" s="415">
        <v>220.04</v>
      </c>
      <c r="J88" s="412">
        <f t="shared" si="12"/>
        <v>3.2095545656365867E-4</v>
      </c>
      <c r="K88" s="425">
        <v>33.75</v>
      </c>
      <c r="L88" s="425">
        <v>0</v>
      </c>
      <c r="M88" s="112">
        <f t="shared" si="10"/>
        <v>186.29</v>
      </c>
      <c r="N88" s="69">
        <f t="shared" si="13"/>
        <v>0.84661879658243955</v>
      </c>
      <c r="P88" s="35"/>
      <c r="Q88" s="143">
        <f t="shared" ca="1" si="9"/>
        <v>118.64765358830641</v>
      </c>
      <c r="R88" s="111"/>
      <c r="S88" s="7"/>
      <c r="T88" s="111"/>
      <c r="U88" s="64">
        <f t="shared" ca="1" si="8"/>
        <v>-1423.7718430596769</v>
      </c>
      <c r="V88" s="111"/>
      <c r="W88" s="144"/>
      <c r="X88" s="67"/>
      <c r="Y88" s="111"/>
      <c r="Z88" s="310">
        <f t="shared" si="11"/>
        <v>0</v>
      </c>
      <c r="AA88" s="111"/>
      <c r="AB88" s="9"/>
      <c r="AC88" s="111"/>
      <c r="AD88" s="1228"/>
      <c r="AE88" s="1229"/>
      <c r="AF88" s="1230"/>
      <c r="AG88" s="150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61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172"/>
      <c r="DC88" s="8"/>
      <c r="DD88" s="8"/>
      <c r="DE88" s="8"/>
      <c r="DF88" s="8"/>
      <c r="DG88" s="8"/>
      <c r="DH88" s="8"/>
      <c r="DI88" s="8"/>
      <c r="DJ88" s="8"/>
      <c r="DK88" s="8"/>
      <c r="DL88" s="172"/>
      <c r="DM88" s="8"/>
      <c r="DN88" s="8"/>
      <c r="DO88" s="8"/>
      <c r="DP88" s="8"/>
      <c r="DQ88" s="8"/>
      <c r="DR88" s="8"/>
      <c r="DS88" s="8"/>
      <c r="DT88" s="8"/>
      <c r="DU88" s="8"/>
      <c r="DV88" s="172"/>
      <c r="DW88" s="8"/>
      <c r="DX88" s="8"/>
      <c r="DY88" s="8"/>
      <c r="DZ88" s="8"/>
      <c r="EA88" s="8"/>
      <c r="EB88" s="8"/>
      <c r="EC88" s="8"/>
      <c r="ED88" s="8"/>
      <c r="EE88" s="8"/>
      <c r="EF88" s="172"/>
    </row>
    <row r="89" spans="1:136" ht="18" customHeight="1" thickBot="1" x14ac:dyDescent="0.25">
      <c r="A89" s="36">
        <v>78</v>
      </c>
      <c r="C89" s="398" t="s">
        <v>1320</v>
      </c>
      <c r="D89" s="399"/>
      <c r="E89" s="400" t="s">
        <v>521</v>
      </c>
      <c r="F89" s="400"/>
      <c r="G89" s="400"/>
      <c r="H89" s="401"/>
      <c r="I89" s="416">
        <v>201.84</v>
      </c>
      <c r="J89" s="412">
        <f t="shared" si="12"/>
        <v>2.9440851369209631E-4</v>
      </c>
      <c r="K89" s="426">
        <v>110.27</v>
      </c>
      <c r="L89" s="426">
        <v>0</v>
      </c>
      <c r="M89" s="112">
        <f t="shared" si="10"/>
        <v>91.570000000000007</v>
      </c>
      <c r="N89" s="69">
        <f t="shared" si="13"/>
        <v>0.45367617915180342</v>
      </c>
      <c r="P89" s="35"/>
      <c r="Q89" s="143">
        <f t="shared" ca="1" si="9"/>
        <v>118.64765358830641</v>
      </c>
      <c r="R89" s="111"/>
      <c r="S89" s="7"/>
      <c r="T89" s="111"/>
      <c r="U89" s="64">
        <f t="shared" ca="1" si="8"/>
        <v>-1423.7718430596769</v>
      </c>
      <c r="V89" s="111"/>
      <c r="W89" s="144"/>
      <c r="X89" s="67"/>
      <c r="Y89" s="111"/>
      <c r="Z89" s="310">
        <f t="shared" si="11"/>
        <v>0</v>
      </c>
      <c r="AA89" s="111"/>
      <c r="AB89" s="9"/>
      <c r="AC89" s="111"/>
      <c r="AD89" s="1228"/>
      <c r="AE89" s="1229"/>
      <c r="AF89" s="1230"/>
      <c r="AG89" s="150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61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172"/>
      <c r="DC89" s="8"/>
      <c r="DD89" s="8"/>
      <c r="DE89" s="8"/>
      <c r="DF89" s="8"/>
      <c r="DG89" s="8"/>
      <c r="DH89" s="8"/>
      <c r="DI89" s="8"/>
      <c r="DJ89" s="8"/>
      <c r="DK89" s="8"/>
      <c r="DL89" s="172"/>
      <c r="DM89" s="8"/>
      <c r="DN89" s="8"/>
      <c r="DO89" s="8"/>
      <c r="DP89" s="8"/>
      <c r="DQ89" s="8"/>
      <c r="DR89" s="8"/>
      <c r="DS89" s="8"/>
      <c r="DT89" s="8"/>
      <c r="DU89" s="8"/>
      <c r="DV89" s="172"/>
      <c r="DW89" s="8"/>
      <c r="DX89" s="8"/>
      <c r="DY89" s="8"/>
      <c r="DZ89" s="8"/>
      <c r="EA89" s="8"/>
      <c r="EB89" s="8"/>
      <c r="EC89" s="8"/>
      <c r="ED89" s="8"/>
      <c r="EE89" s="8"/>
      <c r="EF89" s="172"/>
    </row>
    <row r="90" spans="1:136" ht="18" customHeight="1" thickBot="1" x14ac:dyDescent="0.25">
      <c r="A90" s="36">
        <v>79</v>
      </c>
      <c r="C90" s="398" t="s">
        <v>1321</v>
      </c>
      <c r="D90" s="399"/>
      <c r="E90" s="400" t="s">
        <v>521</v>
      </c>
      <c r="F90" s="400"/>
      <c r="G90" s="400"/>
      <c r="H90" s="401"/>
      <c r="I90" s="416">
        <v>196.44</v>
      </c>
      <c r="J90" s="412">
        <f t="shared" si="12"/>
        <v>2.8653194822470966E-4</v>
      </c>
      <c r="K90" s="426">
        <v>65.290000000000006</v>
      </c>
      <c r="L90" s="426"/>
      <c r="M90" s="112">
        <f t="shared" si="10"/>
        <v>131.14999999999998</v>
      </c>
      <c r="N90" s="69">
        <f t="shared" si="13"/>
        <v>0.66763388311952754</v>
      </c>
      <c r="P90" s="35"/>
      <c r="Q90" s="143">
        <f t="shared" ca="1" si="9"/>
        <v>118.64765358830641</v>
      </c>
      <c r="R90" s="111"/>
      <c r="S90" s="7"/>
      <c r="T90" s="111"/>
      <c r="U90" s="64">
        <f t="shared" ca="1" si="8"/>
        <v>-1423.7718430596769</v>
      </c>
      <c r="V90" s="111"/>
      <c r="W90" s="144"/>
      <c r="X90" s="67"/>
      <c r="Y90" s="111"/>
      <c r="Z90" s="310">
        <f t="shared" si="11"/>
        <v>0</v>
      </c>
      <c r="AA90" s="111"/>
      <c r="AB90" s="9"/>
      <c r="AC90" s="111"/>
      <c r="AD90" s="1228"/>
      <c r="AE90" s="1229"/>
      <c r="AF90" s="1230"/>
      <c r="AG90" s="150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61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172"/>
      <c r="DC90" s="8"/>
      <c r="DD90" s="8"/>
      <c r="DE90" s="8"/>
      <c r="DF90" s="8"/>
      <c r="DG90" s="8"/>
      <c r="DH90" s="8"/>
      <c r="DI90" s="8"/>
      <c r="DJ90" s="8"/>
      <c r="DK90" s="8"/>
      <c r="DL90" s="172"/>
      <c r="DM90" s="8"/>
      <c r="DN90" s="8"/>
      <c r="DO90" s="8"/>
      <c r="DP90" s="8"/>
      <c r="DQ90" s="8"/>
      <c r="DR90" s="8"/>
      <c r="DS90" s="8"/>
      <c r="DT90" s="8"/>
      <c r="DU90" s="8"/>
      <c r="DV90" s="172"/>
      <c r="DW90" s="8"/>
      <c r="DX90" s="8"/>
      <c r="DY90" s="8"/>
      <c r="DZ90" s="8"/>
      <c r="EA90" s="8"/>
      <c r="EB90" s="8"/>
      <c r="EC90" s="8"/>
      <c r="ED90" s="8"/>
      <c r="EE90" s="8"/>
      <c r="EF90" s="172"/>
    </row>
    <row r="91" spans="1:136" ht="18" customHeight="1" thickBot="1" x14ac:dyDescent="0.25">
      <c r="A91" s="36">
        <v>80</v>
      </c>
      <c r="C91" s="398" t="s">
        <v>1322</v>
      </c>
      <c r="D91" s="399"/>
      <c r="E91" s="400" t="s">
        <v>521</v>
      </c>
      <c r="F91" s="400"/>
      <c r="G91" s="400"/>
      <c r="H91" s="401"/>
      <c r="I91" s="415">
        <v>186.29</v>
      </c>
      <c r="J91" s="412">
        <f t="shared" si="12"/>
        <v>2.7172692239249216E-4</v>
      </c>
      <c r="K91" s="425">
        <v>293.69</v>
      </c>
      <c r="L91" s="425"/>
      <c r="M91" s="112">
        <f t="shared" si="10"/>
        <v>-107.4</v>
      </c>
      <c r="N91" s="69">
        <f t="shared" si="13"/>
        <v>-0.57652047882334001</v>
      </c>
      <c r="P91" s="35"/>
      <c r="Q91" s="143">
        <f t="shared" ca="1" si="9"/>
        <v>118.64765358830641</v>
      </c>
      <c r="R91" s="111"/>
      <c r="S91" s="7"/>
      <c r="T91" s="111"/>
      <c r="U91" s="64">
        <f t="shared" ca="1" si="8"/>
        <v>-1423.7718430596769</v>
      </c>
      <c r="V91" s="111"/>
      <c r="W91" s="144"/>
      <c r="X91" s="67"/>
      <c r="Y91" s="111"/>
      <c r="Z91" s="310">
        <f t="shared" si="11"/>
        <v>0</v>
      </c>
      <c r="AA91" s="111"/>
      <c r="AB91" s="9"/>
      <c r="AC91" s="111"/>
      <c r="AD91" s="1228"/>
      <c r="AE91" s="1229"/>
      <c r="AF91" s="1230"/>
      <c r="AG91" s="150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61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172"/>
      <c r="DC91" s="8"/>
      <c r="DD91" s="8"/>
      <c r="DE91" s="8"/>
      <c r="DF91" s="8"/>
      <c r="DG91" s="8"/>
      <c r="DH91" s="8"/>
      <c r="DI91" s="8"/>
      <c r="DJ91" s="8"/>
      <c r="DK91" s="8"/>
      <c r="DL91" s="172"/>
      <c r="DM91" s="8"/>
      <c r="DN91" s="8"/>
      <c r="DO91" s="8"/>
      <c r="DP91" s="8"/>
      <c r="DQ91" s="8"/>
      <c r="DR91" s="8"/>
      <c r="DS91" s="8"/>
      <c r="DT91" s="8"/>
      <c r="DU91" s="8"/>
      <c r="DV91" s="172"/>
      <c r="DW91" s="8"/>
      <c r="DX91" s="8"/>
      <c r="DY91" s="8"/>
      <c r="DZ91" s="8"/>
      <c r="EA91" s="8"/>
      <c r="EB91" s="8"/>
      <c r="EC91" s="8"/>
      <c r="ED91" s="8"/>
      <c r="EE91" s="8"/>
      <c r="EF91" s="172"/>
    </row>
    <row r="92" spans="1:136" ht="18" customHeight="1" thickBot="1" x14ac:dyDescent="0.25">
      <c r="A92" s="36">
        <v>81</v>
      </c>
      <c r="C92" s="398" t="s">
        <v>1323</v>
      </c>
      <c r="D92" s="399"/>
      <c r="E92" s="400" t="s">
        <v>521</v>
      </c>
      <c r="F92" s="400"/>
      <c r="G92" s="400"/>
      <c r="H92" s="401"/>
      <c r="I92" s="415">
        <v>182.21</v>
      </c>
      <c r="J92" s="412">
        <f t="shared" si="12"/>
        <v>2.6577573959491119E-4</v>
      </c>
      <c r="K92" s="425">
        <v>105.79</v>
      </c>
      <c r="L92" s="425"/>
      <c r="M92" s="112">
        <f t="shared" si="10"/>
        <v>76.42</v>
      </c>
      <c r="N92" s="69">
        <f t="shared" si="13"/>
        <v>0.4194061796827836</v>
      </c>
      <c r="P92" s="35"/>
      <c r="Q92" s="143">
        <f t="shared" ca="1" si="9"/>
        <v>118.64765358830641</v>
      </c>
      <c r="R92" s="111"/>
      <c r="S92" s="7"/>
      <c r="T92" s="111"/>
      <c r="U92" s="64">
        <f t="shared" ca="1" si="8"/>
        <v>-1423.7718430596769</v>
      </c>
      <c r="V92" s="111"/>
      <c r="W92" s="144"/>
      <c r="X92" s="67"/>
      <c r="Y92" s="111"/>
      <c r="Z92" s="310">
        <f t="shared" si="11"/>
        <v>0</v>
      </c>
      <c r="AA92" s="111"/>
      <c r="AB92" s="9"/>
      <c r="AC92" s="111"/>
      <c r="AD92" s="1228"/>
      <c r="AE92" s="1229"/>
      <c r="AF92" s="1230"/>
      <c r="AG92" s="150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61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172"/>
      <c r="DC92" s="8"/>
      <c r="DD92" s="8"/>
      <c r="DE92" s="8"/>
      <c r="DF92" s="8"/>
      <c r="DG92" s="8"/>
      <c r="DH92" s="8"/>
      <c r="DI92" s="8"/>
      <c r="DJ92" s="8"/>
      <c r="DK92" s="8"/>
      <c r="DL92" s="172"/>
      <c r="DM92" s="8"/>
      <c r="DN92" s="8"/>
      <c r="DO92" s="8"/>
      <c r="DP92" s="8"/>
      <c r="DQ92" s="8"/>
      <c r="DR92" s="8"/>
      <c r="DS92" s="8"/>
      <c r="DT92" s="8"/>
      <c r="DU92" s="8"/>
      <c r="DV92" s="172"/>
      <c r="DW92" s="8"/>
      <c r="DX92" s="8"/>
      <c r="DY92" s="8"/>
      <c r="DZ92" s="8"/>
      <c r="EA92" s="8"/>
      <c r="EB92" s="8"/>
      <c r="EC92" s="8"/>
      <c r="ED92" s="8"/>
      <c r="EE92" s="8"/>
      <c r="EF92" s="172"/>
    </row>
    <row r="93" spans="1:136" ht="18" customHeight="1" thickBot="1" x14ac:dyDescent="0.25">
      <c r="A93" s="36">
        <v>82</v>
      </c>
      <c r="C93" s="398" t="s">
        <v>1324</v>
      </c>
      <c r="D93" s="399"/>
      <c r="E93" s="400" t="s">
        <v>521</v>
      </c>
      <c r="F93" s="400"/>
      <c r="G93" s="400"/>
      <c r="H93" s="401"/>
      <c r="I93" s="416">
        <v>181.03</v>
      </c>
      <c r="J93" s="412">
        <f t="shared" si="12"/>
        <v>2.6405456417796368E-4</v>
      </c>
      <c r="K93" s="426">
        <v>120.82</v>
      </c>
      <c r="L93" s="426"/>
      <c r="M93" s="112">
        <f t="shared" si="10"/>
        <v>60.210000000000008</v>
      </c>
      <c r="N93" s="69">
        <f t="shared" si="13"/>
        <v>0.33259680715903445</v>
      </c>
      <c r="P93" s="35"/>
      <c r="Q93" s="143">
        <f t="shared" ca="1" si="9"/>
        <v>118.64765358830641</v>
      </c>
      <c r="R93" s="111"/>
      <c r="S93" s="7"/>
      <c r="T93" s="111"/>
      <c r="U93" s="64">
        <f t="shared" ca="1" si="8"/>
        <v>-1423.7718430596769</v>
      </c>
      <c r="V93" s="111"/>
      <c r="W93" s="144"/>
      <c r="X93" s="67"/>
      <c r="Y93" s="111"/>
      <c r="Z93" s="310">
        <f t="shared" si="11"/>
        <v>0</v>
      </c>
      <c r="AA93" s="111"/>
      <c r="AB93" s="9"/>
      <c r="AC93" s="111"/>
      <c r="AD93" s="1228"/>
      <c r="AE93" s="1229"/>
      <c r="AF93" s="1230"/>
      <c r="AG93" s="150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61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172"/>
      <c r="DC93" s="8"/>
      <c r="DD93" s="8"/>
      <c r="DE93" s="8"/>
      <c r="DF93" s="8"/>
      <c r="DG93" s="8"/>
      <c r="DH93" s="8"/>
      <c r="DI93" s="8"/>
      <c r="DJ93" s="8"/>
      <c r="DK93" s="8"/>
      <c r="DL93" s="172"/>
      <c r="DM93" s="8"/>
      <c r="DN93" s="8"/>
      <c r="DO93" s="8"/>
      <c r="DP93" s="8"/>
      <c r="DQ93" s="8"/>
      <c r="DR93" s="8"/>
      <c r="DS93" s="8"/>
      <c r="DT93" s="8"/>
      <c r="DU93" s="8"/>
      <c r="DV93" s="172"/>
      <c r="DW93" s="8"/>
      <c r="DX93" s="8"/>
      <c r="DY93" s="8"/>
      <c r="DZ93" s="8"/>
      <c r="EA93" s="8"/>
      <c r="EB93" s="8"/>
      <c r="EC93" s="8"/>
      <c r="ED93" s="8"/>
      <c r="EE93" s="8"/>
      <c r="EF93" s="172"/>
    </row>
    <row r="94" spans="1:136" ht="18" customHeight="1" thickBot="1" x14ac:dyDescent="0.25">
      <c r="A94" s="36">
        <v>83</v>
      </c>
      <c r="C94" s="398" t="s">
        <v>1325</v>
      </c>
      <c r="D94" s="399"/>
      <c r="E94" s="400" t="s">
        <v>521</v>
      </c>
      <c r="F94" s="400"/>
      <c r="G94" s="400"/>
      <c r="H94" s="401"/>
      <c r="I94" s="416">
        <v>165.56</v>
      </c>
      <c r="J94" s="412">
        <f t="shared" si="12"/>
        <v>2.4148966273713568E-4</v>
      </c>
      <c r="K94" s="426">
        <v>22.05</v>
      </c>
      <c r="L94" s="426">
        <v>0</v>
      </c>
      <c r="M94" s="112">
        <f t="shared" si="10"/>
        <v>143.51</v>
      </c>
      <c r="N94" s="69">
        <f t="shared" si="13"/>
        <v>0.86681565595554477</v>
      </c>
      <c r="P94" s="35"/>
      <c r="Q94" s="143">
        <f t="shared" ca="1" si="9"/>
        <v>118.64765358830641</v>
      </c>
      <c r="R94" s="111"/>
      <c r="S94" s="7"/>
      <c r="T94" s="111"/>
      <c r="U94" s="64">
        <f t="shared" ca="1" si="8"/>
        <v>-1423.7718430596769</v>
      </c>
      <c r="V94" s="111"/>
      <c r="W94" s="144"/>
      <c r="X94" s="67"/>
      <c r="Y94" s="111"/>
      <c r="Z94" s="310">
        <f t="shared" si="11"/>
        <v>0</v>
      </c>
      <c r="AA94" s="111"/>
      <c r="AB94" s="9"/>
      <c r="AC94" s="111"/>
      <c r="AD94" s="1228"/>
      <c r="AE94" s="1229"/>
      <c r="AF94" s="1230"/>
      <c r="AG94" s="150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61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172"/>
      <c r="DC94" s="8"/>
      <c r="DD94" s="8"/>
      <c r="DE94" s="8"/>
      <c r="DF94" s="8"/>
      <c r="DG94" s="8"/>
      <c r="DH94" s="8"/>
      <c r="DI94" s="8"/>
      <c r="DJ94" s="8"/>
      <c r="DK94" s="8"/>
      <c r="DL94" s="172"/>
      <c r="DM94" s="8"/>
      <c r="DN94" s="8"/>
      <c r="DO94" s="8"/>
      <c r="DP94" s="8"/>
      <c r="DQ94" s="8"/>
      <c r="DR94" s="8"/>
      <c r="DS94" s="8"/>
      <c r="DT94" s="8"/>
      <c r="DU94" s="8"/>
      <c r="DV94" s="172"/>
      <c r="DW94" s="8"/>
      <c r="DX94" s="8"/>
      <c r="DY94" s="8"/>
      <c r="DZ94" s="8"/>
      <c r="EA94" s="8"/>
      <c r="EB94" s="8"/>
      <c r="EC94" s="8"/>
      <c r="ED94" s="8"/>
      <c r="EE94" s="8"/>
      <c r="EF94" s="172"/>
    </row>
    <row r="95" spans="1:136" ht="18" customHeight="1" thickBot="1" x14ac:dyDescent="0.25">
      <c r="A95" s="36">
        <v>84</v>
      </c>
      <c r="C95" s="398" t="s">
        <v>1326</v>
      </c>
      <c r="D95" s="399"/>
      <c r="E95" s="400" t="s">
        <v>580</v>
      </c>
      <c r="F95" s="400"/>
      <c r="G95" s="400"/>
      <c r="H95" s="401"/>
      <c r="I95" s="415">
        <v>158.01</v>
      </c>
      <c r="J95" s="412">
        <f t="shared" si="12"/>
        <v>2.3047705731514136E-4</v>
      </c>
      <c r="K95" s="425">
        <v>71.14</v>
      </c>
      <c r="L95" s="425">
        <v>0</v>
      </c>
      <c r="M95" s="112">
        <f t="shared" si="10"/>
        <v>86.86999999999999</v>
      </c>
      <c r="N95" s="69">
        <f t="shared" si="13"/>
        <v>0.54977533067527373</v>
      </c>
      <c r="P95" s="35"/>
      <c r="Q95" s="143">
        <f t="shared" ca="1" si="9"/>
        <v>118.64765358830641</v>
      </c>
      <c r="R95" s="111"/>
      <c r="S95" s="7"/>
      <c r="T95" s="111"/>
      <c r="U95" s="64">
        <f t="shared" ca="1" si="8"/>
        <v>-1423.7718430596769</v>
      </c>
      <c r="V95" s="111"/>
      <c r="W95" s="144"/>
      <c r="X95" s="67"/>
      <c r="Y95" s="111"/>
      <c r="Z95" s="310">
        <f t="shared" si="11"/>
        <v>0</v>
      </c>
      <c r="AA95" s="111"/>
      <c r="AB95" s="9"/>
      <c r="AC95" s="111"/>
      <c r="AD95" s="1228"/>
      <c r="AE95" s="1229"/>
      <c r="AF95" s="1230"/>
      <c r="AG95" s="150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61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172"/>
      <c r="DC95" s="8"/>
      <c r="DD95" s="8"/>
      <c r="DE95" s="8"/>
      <c r="DF95" s="8"/>
      <c r="DG95" s="8"/>
      <c r="DH95" s="8"/>
      <c r="DI95" s="8"/>
      <c r="DJ95" s="8"/>
      <c r="DK95" s="8"/>
      <c r="DL95" s="172"/>
      <c r="DM95" s="8"/>
      <c r="DN95" s="8"/>
      <c r="DO95" s="8"/>
      <c r="DP95" s="8"/>
      <c r="DQ95" s="8"/>
      <c r="DR95" s="8"/>
      <c r="DS95" s="8"/>
      <c r="DT95" s="8"/>
      <c r="DU95" s="8"/>
      <c r="DV95" s="172"/>
      <c r="DW95" s="8"/>
      <c r="DX95" s="8"/>
      <c r="DY95" s="8"/>
      <c r="DZ95" s="8"/>
      <c r="EA95" s="8"/>
      <c r="EB95" s="8"/>
      <c r="EC95" s="8"/>
      <c r="ED95" s="8"/>
      <c r="EE95" s="8"/>
      <c r="EF95" s="172"/>
    </row>
    <row r="96" spans="1:136" ht="18" customHeight="1" thickBot="1" x14ac:dyDescent="0.25">
      <c r="A96" s="36">
        <v>85</v>
      </c>
      <c r="C96" s="398" t="s">
        <v>1327</v>
      </c>
      <c r="D96" s="399"/>
      <c r="E96" s="400" t="s">
        <v>521</v>
      </c>
      <c r="F96" s="400"/>
      <c r="G96" s="400"/>
      <c r="H96" s="401"/>
      <c r="I96" s="416">
        <v>154.35</v>
      </c>
      <c r="J96" s="412">
        <f t="shared" si="12"/>
        <v>2.2513849627613488E-4</v>
      </c>
      <c r="K96" s="426">
        <v>75.7</v>
      </c>
      <c r="L96" s="426"/>
      <c r="M96" s="112">
        <f t="shared" si="10"/>
        <v>78.649999999999991</v>
      </c>
      <c r="N96" s="69">
        <f t="shared" si="13"/>
        <v>0.50955620343375441</v>
      </c>
      <c r="P96" s="35"/>
      <c r="Q96" s="143">
        <f t="shared" ca="1" si="9"/>
        <v>118.64765358830641</v>
      </c>
      <c r="R96" s="111"/>
      <c r="S96" s="7"/>
      <c r="T96" s="111"/>
      <c r="U96" s="64">
        <f t="shared" ca="1" si="8"/>
        <v>-1423.7718430596769</v>
      </c>
      <c r="V96" s="111"/>
      <c r="W96" s="144"/>
      <c r="X96" s="67"/>
      <c r="Y96" s="111"/>
      <c r="Z96" s="310">
        <f t="shared" si="11"/>
        <v>0</v>
      </c>
      <c r="AA96" s="111"/>
      <c r="AB96" s="9"/>
      <c r="AC96" s="111"/>
      <c r="AD96" s="1228"/>
      <c r="AE96" s="1229"/>
      <c r="AF96" s="1230"/>
      <c r="AG96" s="150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61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172"/>
      <c r="DC96" s="8"/>
      <c r="DD96" s="8"/>
      <c r="DE96" s="8"/>
      <c r="DF96" s="8"/>
      <c r="DG96" s="8"/>
      <c r="DH96" s="8"/>
      <c r="DI96" s="8"/>
      <c r="DJ96" s="8"/>
      <c r="DK96" s="8"/>
      <c r="DL96" s="172"/>
      <c r="DM96" s="8"/>
      <c r="DN96" s="8"/>
      <c r="DO96" s="8"/>
      <c r="DP96" s="8"/>
      <c r="DQ96" s="8"/>
      <c r="DR96" s="8"/>
      <c r="DS96" s="8"/>
      <c r="DT96" s="8"/>
      <c r="DU96" s="8"/>
      <c r="DV96" s="172"/>
      <c r="DW96" s="8"/>
      <c r="DX96" s="8"/>
      <c r="DY96" s="8"/>
      <c r="DZ96" s="8"/>
      <c r="EA96" s="8"/>
      <c r="EB96" s="8"/>
      <c r="EC96" s="8"/>
      <c r="ED96" s="8"/>
      <c r="EE96" s="8"/>
      <c r="EF96" s="172"/>
    </row>
    <row r="97" spans="1:136" ht="18" customHeight="1" thickBot="1" x14ac:dyDescent="0.25">
      <c r="A97" s="36">
        <v>86</v>
      </c>
      <c r="C97" s="398" t="s">
        <v>1328</v>
      </c>
      <c r="D97" s="399"/>
      <c r="E97" s="400" t="s">
        <v>547</v>
      </c>
      <c r="F97" s="400"/>
      <c r="G97" s="400"/>
      <c r="H97" s="401"/>
      <c r="I97" s="416">
        <v>110.53</v>
      </c>
      <c r="J97" s="412">
        <f t="shared" si="12"/>
        <v>1.6122162613152696E-4</v>
      </c>
      <c r="K97" s="426">
        <v>117.94</v>
      </c>
      <c r="L97" s="426"/>
      <c r="M97" s="112">
        <f t="shared" si="10"/>
        <v>-7.4099999999999966</v>
      </c>
      <c r="N97" s="69">
        <f t="shared" si="13"/>
        <v>-6.7040622455441928E-2</v>
      </c>
      <c r="P97" s="35"/>
      <c r="Q97" s="143">
        <f t="shared" ca="1" si="9"/>
        <v>118.64765358830641</v>
      </c>
      <c r="R97" s="111"/>
      <c r="S97" s="7"/>
      <c r="T97" s="111"/>
      <c r="U97" s="64">
        <f t="shared" ca="1" si="8"/>
        <v>-1423.7718430596769</v>
      </c>
      <c r="V97" s="111"/>
      <c r="W97" s="144"/>
      <c r="X97" s="67"/>
      <c r="Y97" s="111"/>
      <c r="Z97" s="310">
        <f t="shared" si="11"/>
        <v>0</v>
      </c>
      <c r="AA97" s="111"/>
      <c r="AB97" s="9"/>
      <c r="AC97" s="111"/>
      <c r="AD97" s="1228"/>
      <c r="AE97" s="1229"/>
      <c r="AF97" s="1230"/>
      <c r="AG97" s="150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61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172"/>
      <c r="DC97" s="8"/>
      <c r="DD97" s="8"/>
      <c r="DE97" s="8"/>
      <c r="DF97" s="8"/>
      <c r="DG97" s="8"/>
      <c r="DH97" s="8"/>
      <c r="DI97" s="8"/>
      <c r="DJ97" s="8"/>
      <c r="DK97" s="8"/>
      <c r="DL97" s="172"/>
      <c r="DM97" s="8"/>
      <c r="DN97" s="8"/>
      <c r="DO97" s="8"/>
      <c r="DP97" s="8"/>
      <c r="DQ97" s="8"/>
      <c r="DR97" s="8"/>
      <c r="DS97" s="8"/>
      <c r="DT97" s="8"/>
      <c r="DU97" s="8"/>
      <c r="DV97" s="172"/>
      <c r="DW97" s="8"/>
      <c r="DX97" s="8"/>
      <c r="DY97" s="8"/>
      <c r="DZ97" s="8"/>
      <c r="EA97" s="8"/>
      <c r="EB97" s="8"/>
      <c r="EC97" s="8"/>
      <c r="ED97" s="8"/>
      <c r="EE97" s="8"/>
      <c r="EF97" s="172"/>
    </row>
    <row r="98" spans="1:136" ht="18" customHeight="1" thickBot="1" x14ac:dyDescent="0.25">
      <c r="A98" s="36">
        <v>87</v>
      </c>
      <c r="C98" s="398" t="s">
        <v>1329</v>
      </c>
      <c r="D98" s="399"/>
      <c r="E98" s="400" t="s">
        <v>580</v>
      </c>
      <c r="F98" s="400"/>
      <c r="G98" s="400"/>
      <c r="H98" s="401"/>
      <c r="I98" s="415">
        <v>110</v>
      </c>
      <c r="J98" s="412">
        <f t="shared" si="12"/>
        <v>1.6044855581713531E-4</v>
      </c>
      <c r="K98" s="425">
        <v>322.99</v>
      </c>
      <c r="L98" s="425"/>
      <c r="M98" s="112">
        <f t="shared" si="10"/>
        <v>-212.99</v>
      </c>
      <c r="N98" s="69">
        <f t="shared" si="13"/>
        <v>-1.9362727272727274</v>
      </c>
      <c r="P98" s="35"/>
      <c r="Q98" s="143">
        <f t="shared" ca="1" si="9"/>
        <v>118.64765358830641</v>
      </c>
      <c r="R98" s="111"/>
      <c r="S98" s="7"/>
      <c r="T98" s="111"/>
      <c r="U98" s="64">
        <f t="shared" ca="1" si="8"/>
        <v>-1423.7718430596769</v>
      </c>
      <c r="V98" s="111"/>
      <c r="W98" s="144"/>
      <c r="X98" s="67"/>
      <c r="Y98" s="111"/>
      <c r="Z98" s="310">
        <f t="shared" si="11"/>
        <v>0</v>
      </c>
      <c r="AA98" s="111"/>
      <c r="AB98" s="9"/>
      <c r="AC98" s="111"/>
      <c r="AD98" s="1228"/>
      <c r="AE98" s="1229"/>
      <c r="AF98" s="1230"/>
      <c r="AG98" s="150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61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172"/>
      <c r="DC98" s="8"/>
      <c r="DD98" s="8"/>
      <c r="DE98" s="8"/>
      <c r="DF98" s="8"/>
      <c r="DG98" s="8"/>
      <c r="DH98" s="8"/>
      <c r="DI98" s="8"/>
      <c r="DJ98" s="8"/>
      <c r="DK98" s="8"/>
      <c r="DL98" s="172"/>
      <c r="DM98" s="8"/>
      <c r="DN98" s="8"/>
      <c r="DO98" s="8"/>
      <c r="DP98" s="8"/>
      <c r="DQ98" s="8"/>
      <c r="DR98" s="8"/>
      <c r="DS98" s="8"/>
      <c r="DT98" s="8"/>
      <c r="DU98" s="8"/>
      <c r="DV98" s="172"/>
      <c r="DW98" s="8"/>
      <c r="DX98" s="8"/>
      <c r="DY98" s="8"/>
      <c r="DZ98" s="8"/>
      <c r="EA98" s="8"/>
      <c r="EB98" s="8"/>
      <c r="EC98" s="8"/>
      <c r="ED98" s="8"/>
      <c r="EE98" s="8"/>
      <c r="EF98" s="172"/>
    </row>
    <row r="99" spans="1:136" ht="18" customHeight="1" thickBot="1" x14ac:dyDescent="0.25">
      <c r="A99" s="36">
        <v>88</v>
      </c>
      <c r="C99" s="398" t="s">
        <v>1330</v>
      </c>
      <c r="D99" s="399"/>
      <c r="E99" s="400" t="s">
        <v>547</v>
      </c>
      <c r="F99" s="400"/>
      <c r="G99" s="400"/>
      <c r="H99" s="401"/>
      <c r="I99" s="415">
        <v>108.24</v>
      </c>
      <c r="J99" s="412">
        <f t="shared" si="12"/>
        <v>1.5788137892406114E-4</v>
      </c>
      <c r="K99" s="425">
        <v>83.68</v>
      </c>
      <c r="L99" s="425"/>
      <c r="M99" s="112">
        <f t="shared" si="10"/>
        <v>24.559999999999988</v>
      </c>
      <c r="N99" s="69">
        <f t="shared" si="13"/>
        <v>0.22690317812269023</v>
      </c>
      <c r="P99" s="35"/>
      <c r="Q99" s="143">
        <f t="shared" ca="1" si="9"/>
        <v>118.64765358830641</v>
      </c>
      <c r="R99" s="111"/>
      <c r="S99" s="7"/>
      <c r="T99" s="111"/>
      <c r="U99" s="64">
        <f t="shared" ca="1" si="8"/>
        <v>-1423.7718430596769</v>
      </c>
      <c r="V99" s="111"/>
      <c r="W99" s="144"/>
      <c r="X99" s="67"/>
      <c r="Y99" s="111"/>
      <c r="Z99" s="310">
        <f t="shared" si="11"/>
        <v>0</v>
      </c>
      <c r="AA99" s="111"/>
      <c r="AB99" s="9"/>
      <c r="AC99" s="111"/>
      <c r="AD99" s="1228"/>
      <c r="AE99" s="1229"/>
      <c r="AF99" s="1230"/>
      <c r="AG99" s="150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61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172"/>
      <c r="DC99" s="8"/>
      <c r="DD99" s="8"/>
      <c r="DE99" s="8"/>
      <c r="DF99" s="8"/>
      <c r="DG99" s="8"/>
      <c r="DH99" s="8"/>
      <c r="DI99" s="8"/>
      <c r="DJ99" s="8"/>
      <c r="DK99" s="8"/>
      <c r="DL99" s="172"/>
      <c r="DM99" s="8"/>
      <c r="DN99" s="8"/>
      <c r="DO99" s="8"/>
      <c r="DP99" s="8"/>
      <c r="DQ99" s="8"/>
      <c r="DR99" s="8"/>
      <c r="DS99" s="8"/>
      <c r="DT99" s="8"/>
      <c r="DU99" s="8"/>
      <c r="DV99" s="172"/>
      <c r="DW99" s="8"/>
      <c r="DX99" s="8"/>
      <c r="DY99" s="8"/>
      <c r="DZ99" s="8"/>
      <c r="EA99" s="8"/>
      <c r="EB99" s="8"/>
      <c r="EC99" s="8"/>
      <c r="ED99" s="8"/>
      <c r="EE99" s="8"/>
      <c r="EF99" s="172"/>
    </row>
    <row r="100" spans="1:136" ht="18" customHeight="1" thickBot="1" x14ac:dyDescent="0.25">
      <c r="A100" s="36">
        <v>89</v>
      </c>
      <c r="C100" s="398" t="s">
        <v>1331</v>
      </c>
      <c r="D100" s="399"/>
      <c r="E100" s="400" t="s">
        <v>580</v>
      </c>
      <c r="F100" s="400"/>
      <c r="G100" s="400"/>
      <c r="H100" s="401"/>
      <c r="I100" s="415">
        <v>102</v>
      </c>
      <c r="J100" s="412">
        <f t="shared" si="12"/>
        <v>1.4877956993952549E-4</v>
      </c>
      <c r="K100" s="425">
        <v>58.26</v>
      </c>
      <c r="L100" s="425"/>
      <c r="M100" s="112">
        <f t="shared" si="10"/>
        <v>43.74</v>
      </c>
      <c r="N100" s="69">
        <f t="shared" si="13"/>
        <v>0.42882352941176471</v>
      </c>
      <c r="P100" s="35"/>
      <c r="Q100" s="143">
        <f t="shared" ca="1" si="9"/>
        <v>118.64765358830641</v>
      </c>
      <c r="R100" s="111"/>
      <c r="S100" s="7"/>
      <c r="T100" s="111"/>
      <c r="U100" s="64">
        <f t="shared" ca="1" si="8"/>
        <v>-1423.7718430596769</v>
      </c>
      <c r="V100" s="111"/>
      <c r="W100" s="144"/>
      <c r="X100" s="67"/>
      <c r="Y100" s="111"/>
      <c r="Z100" s="310">
        <f t="shared" si="11"/>
        <v>0</v>
      </c>
      <c r="AA100" s="111"/>
      <c r="AB100" s="9"/>
      <c r="AC100" s="111"/>
      <c r="AD100" s="1228"/>
      <c r="AE100" s="1229"/>
      <c r="AF100" s="1230"/>
      <c r="AG100" s="150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61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172"/>
      <c r="DC100" s="8"/>
      <c r="DD100" s="8"/>
      <c r="DE100" s="8"/>
      <c r="DF100" s="8"/>
      <c r="DG100" s="8"/>
      <c r="DH100" s="8"/>
      <c r="DI100" s="8"/>
      <c r="DJ100" s="8"/>
      <c r="DK100" s="8"/>
      <c r="DL100" s="172"/>
      <c r="DM100" s="8"/>
      <c r="DN100" s="8"/>
      <c r="DO100" s="8"/>
      <c r="DP100" s="8"/>
      <c r="DQ100" s="8"/>
      <c r="DR100" s="8"/>
      <c r="DS100" s="8"/>
      <c r="DT100" s="8"/>
      <c r="DU100" s="8"/>
      <c r="DV100" s="172"/>
      <c r="DW100" s="8"/>
      <c r="DX100" s="8"/>
      <c r="DY100" s="8"/>
      <c r="DZ100" s="8"/>
      <c r="EA100" s="8"/>
      <c r="EB100" s="8"/>
      <c r="EC100" s="8"/>
      <c r="ED100" s="8"/>
      <c r="EE100" s="8"/>
      <c r="EF100" s="172"/>
    </row>
    <row r="101" spans="1:136" ht="18" customHeight="1" thickBot="1" x14ac:dyDescent="0.25">
      <c r="A101" s="36">
        <v>90</v>
      </c>
      <c r="C101" s="398" t="s">
        <v>1332</v>
      </c>
      <c r="D101" s="399"/>
      <c r="E101" s="400" t="s">
        <v>548</v>
      </c>
      <c r="F101" s="400"/>
      <c r="G101" s="400"/>
      <c r="H101" s="401"/>
      <c r="I101" s="415">
        <v>98.29</v>
      </c>
      <c r="J101" s="412">
        <f t="shared" si="12"/>
        <v>1.4336807773878392E-4</v>
      </c>
      <c r="K101" s="425">
        <v>40.5</v>
      </c>
      <c r="L101" s="425"/>
      <c r="M101" s="112">
        <f t="shared" si="10"/>
        <v>57.790000000000006</v>
      </c>
      <c r="N101" s="69">
        <f t="shared" si="13"/>
        <v>0.58795401363312649</v>
      </c>
      <c r="P101" s="35"/>
      <c r="Q101" s="143">
        <f t="shared" ca="1" si="9"/>
        <v>118.64765358830641</v>
      </c>
      <c r="R101" s="111"/>
      <c r="S101" s="7"/>
      <c r="T101" s="111"/>
      <c r="U101" s="64">
        <f t="shared" ca="1" si="8"/>
        <v>-1423.7718430596769</v>
      </c>
      <c r="V101" s="111"/>
      <c r="W101" s="144"/>
      <c r="X101" s="67"/>
      <c r="Y101" s="111"/>
      <c r="Z101" s="310">
        <f t="shared" si="11"/>
        <v>0</v>
      </c>
      <c r="AA101" s="111"/>
      <c r="AB101" s="9"/>
      <c r="AC101" s="111"/>
      <c r="AD101" s="1228"/>
      <c r="AE101" s="1229"/>
      <c r="AF101" s="1230"/>
      <c r="AG101" s="150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61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172"/>
      <c r="DC101" s="8"/>
      <c r="DD101" s="8"/>
      <c r="DE101" s="8"/>
      <c r="DF101" s="8"/>
      <c r="DG101" s="8"/>
      <c r="DH101" s="8"/>
      <c r="DI101" s="8"/>
      <c r="DJ101" s="8"/>
      <c r="DK101" s="8"/>
      <c r="DL101" s="172"/>
      <c r="DM101" s="8"/>
      <c r="DN101" s="8"/>
      <c r="DO101" s="8"/>
      <c r="DP101" s="8"/>
      <c r="DQ101" s="8"/>
      <c r="DR101" s="8"/>
      <c r="DS101" s="8"/>
      <c r="DT101" s="8"/>
      <c r="DU101" s="8"/>
      <c r="DV101" s="172"/>
      <c r="DW101" s="8"/>
      <c r="DX101" s="8"/>
      <c r="DY101" s="8"/>
      <c r="DZ101" s="8"/>
      <c r="EA101" s="8"/>
      <c r="EB101" s="8"/>
      <c r="EC101" s="8"/>
      <c r="ED101" s="8"/>
      <c r="EE101" s="8"/>
      <c r="EF101" s="172"/>
    </row>
    <row r="102" spans="1:136" ht="18" customHeight="1" thickBot="1" x14ac:dyDescent="0.25">
      <c r="A102" s="36">
        <v>91</v>
      </c>
      <c r="C102" s="398" t="s">
        <v>1333</v>
      </c>
      <c r="D102" s="399"/>
      <c r="E102" s="400" t="s">
        <v>521</v>
      </c>
      <c r="F102" s="400"/>
      <c r="G102" s="400"/>
      <c r="H102" s="401"/>
      <c r="I102" s="416">
        <v>97.51</v>
      </c>
      <c r="J102" s="412">
        <f t="shared" si="12"/>
        <v>1.4223035161571696E-4</v>
      </c>
      <c r="K102" s="426">
        <v>177.96</v>
      </c>
      <c r="L102" s="426"/>
      <c r="M102" s="112">
        <f t="shared" si="10"/>
        <v>-80.45</v>
      </c>
      <c r="N102" s="69">
        <f t="shared" si="13"/>
        <v>-0.82504358527330524</v>
      </c>
      <c r="P102" s="35"/>
      <c r="Q102" s="143">
        <f t="shared" ca="1" si="9"/>
        <v>118.64765358830641</v>
      </c>
      <c r="R102" s="111"/>
      <c r="S102" s="7"/>
      <c r="T102" s="111"/>
      <c r="U102" s="64">
        <f t="shared" ca="1" si="8"/>
        <v>-1423.7718430596769</v>
      </c>
      <c r="V102" s="111"/>
      <c r="W102" s="144"/>
      <c r="X102" s="67"/>
      <c r="Y102" s="111"/>
      <c r="Z102" s="310">
        <f t="shared" si="11"/>
        <v>0</v>
      </c>
      <c r="AA102" s="111"/>
      <c r="AB102" s="9"/>
      <c r="AC102" s="111"/>
      <c r="AD102" s="1228"/>
      <c r="AE102" s="1229"/>
      <c r="AF102" s="1230"/>
      <c r="AG102" s="150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61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172"/>
      <c r="DC102" s="8"/>
      <c r="DD102" s="8"/>
      <c r="DE102" s="8"/>
      <c r="DF102" s="8"/>
      <c r="DG102" s="8"/>
      <c r="DH102" s="8"/>
      <c r="DI102" s="8"/>
      <c r="DJ102" s="8"/>
      <c r="DK102" s="8"/>
      <c r="DL102" s="172"/>
      <c r="DM102" s="8"/>
      <c r="DN102" s="8"/>
      <c r="DO102" s="8"/>
      <c r="DP102" s="8"/>
      <c r="DQ102" s="8"/>
      <c r="DR102" s="8"/>
      <c r="DS102" s="8"/>
      <c r="DT102" s="8"/>
      <c r="DU102" s="8"/>
      <c r="DV102" s="172"/>
      <c r="DW102" s="8"/>
      <c r="DX102" s="8"/>
      <c r="DY102" s="8"/>
      <c r="DZ102" s="8"/>
      <c r="EA102" s="8"/>
      <c r="EB102" s="8"/>
      <c r="EC102" s="8"/>
      <c r="ED102" s="8"/>
      <c r="EE102" s="8"/>
      <c r="EF102" s="172"/>
    </row>
    <row r="103" spans="1:136" ht="18" customHeight="1" thickBot="1" x14ac:dyDescent="0.25">
      <c r="A103" s="36">
        <v>92</v>
      </c>
      <c r="C103" s="406" t="s">
        <v>1334</v>
      </c>
      <c r="D103" s="407"/>
      <c r="E103" s="404" t="s">
        <v>580</v>
      </c>
      <c r="F103" s="404"/>
      <c r="G103" s="404"/>
      <c r="H103" s="405"/>
      <c r="I103" s="423">
        <v>87.94</v>
      </c>
      <c r="J103" s="413">
        <f>I103/$I$2</f>
        <v>1.2827132725962617E-4</v>
      </c>
      <c r="K103" s="431">
        <v>50.63</v>
      </c>
      <c r="L103" s="432"/>
      <c r="M103" s="112">
        <f t="shared" si="10"/>
        <v>37.309999999999995</v>
      </c>
      <c r="N103" s="69">
        <f t="shared" si="13"/>
        <v>0.42426654537184438</v>
      </c>
      <c r="P103" s="35"/>
      <c r="Q103" s="143">
        <f t="shared" ca="1" si="9"/>
        <v>118.64765358830641</v>
      </c>
      <c r="R103" s="111"/>
      <c r="S103" s="7"/>
      <c r="T103" s="111"/>
      <c r="U103" s="64">
        <f t="shared" ref="U103" ca="1" si="14">(Z103-$I$1)/30.33</f>
        <v>-1423.7718430596769</v>
      </c>
      <c r="V103" s="111"/>
      <c r="W103" s="144"/>
      <c r="X103" s="67"/>
      <c r="Y103" s="111"/>
      <c r="Z103" s="310">
        <f t="shared" si="11"/>
        <v>0</v>
      </c>
      <c r="AA103" s="111"/>
      <c r="AB103" s="9"/>
      <c r="AC103" s="111"/>
      <c r="AD103" s="1228"/>
      <c r="AE103" s="1229"/>
      <c r="AF103" s="1230"/>
      <c r="AG103" s="150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61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172"/>
      <c r="DC103" s="8"/>
      <c r="DD103" s="8"/>
      <c r="DE103" s="8"/>
      <c r="DF103" s="8"/>
      <c r="DG103" s="8"/>
      <c r="DH103" s="8"/>
      <c r="DI103" s="8"/>
      <c r="DJ103" s="8"/>
      <c r="DK103" s="8"/>
      <c r="DL103" s="172"/>
      <c r="DM103" s="8"/>
      <c r="DN103" s="8"/>
      <c r="DO103" s="8"/>
      <c r="DP103" s="8"/>
      <c r="DQ103" s="8"/>
      <c r="DR103" s="8"/>
      <c r="DS103" s="8"/>
      <c r="DT103" s="8"/>
      <c r="DU103" s="8"/>
      <c r="DV103" s="172"/>
      <c r="DW103" s="8"/>
      <c r="DX103" s="8"/>
      <c r="DY103" s="8"/>
      <c r="DZ103" s="8"/>
      <c r="EA103" s="8"/>
      <c r="EB103" s="8"/>
      <c r="EC103" s="8"/>
      <c r="ED103" s="8"/>
      <c r="EE103" s="8"/>
      <c r="EF103" s="172"/>
    </row>
  </sheetData>
  <sheetProtection selectLockedCells="1"/>
  <autoFilter ref="A11:EF103">
    <filterColumn colId="22" showButton="0"/>
    <filterColumn colId="29" showButton="0"/>
    <filterColumn colId="30" showButton="0"/>
  </autoFilter>
  <mergeCells count="134">
    <mergeCell ref="AD99:AF99"/>
    <mergeCell ref="AD100:AF100"/>
    <mergeCell ref="AD101:AF101"/>
    <mergeCell ref="AD102:AF102"/>
    <mergeCell ref="AD103:AF103"/>
    <mergeCell ref="AD93:AF93"/>
    <mergeCell ref="AD94:AF94"/>
    <mergeCell ref="AD95:AF95"/>
    <mergeCell ref="AD96:AF96"/>
    <mergeCell ref="AD97:AF97"/>
    <mergeCell ref="AD98:AF98"/>
    <mergeCell ref="AD87:AF87"/>
    <mergeCell ref="AD88:AF88"/>
    <mergeCell ref="AD89:AF89"/>
    <mergeCell ref="AD90:AF90"/>
    <mergeCell ref="AD91:AF91"/>
    <mergeCell ref="AD92:AF92"/>
    <mergeCell ref="AD81:AF81"/>
    <mergeCell ref="AD82:AF82"/>
    <mergeCell ref="AD83:AF83"/>
    <mergeCell ref="AD84:AF84"/>
    <mergeCell ref="AD85:AF85"/>
    <mergeCell ref="AD86:AF86"/>
    <mergeCell ref="AD75:AF75"/>
    <mergeCell ref="AD76:AF76"/>
    <mergeCell ref="AD77:AF77"/>
    <mergeCell ref="AD78:AF78"/>
    <mergeCell ref="AD79:AF79"/>
    <mergeCell ref="AD80:AF80"/>
    <mergeCell ref="AD69:AF69"/>
    <mergeCell ref="AD70:AF70"/>
    <mergeCell ref="AD71:AF71"/>
    <mergeCell ref="AD72:AF72"/>
    <mergeCell ref="AD73:AF73"/>
    <mergeCell ref="AD74:AF74"/>
    <mergeCell ref="AD63:AF63"/>
    <mergeCell ref="AD64:AF64"/>
    <mergeCell ref="AD65:AF65"/>
    <mergeCell ref="AD66:AF66"/>
    <mergeCell ref="AD67:AF67"/>
    <mergeCell ref="AD68:AF68"/>
    <mergeCell ref="AD57:AF57"/>
    <mergeCell ref="AD58:AF58"/>
    <mergeCell ref="AD59:AF59"/>
    <mergeCell ref="AD60:AF60"/>
    <mergeCell ref="AD61:AF61"/>
    <mergeCell ref="AD62:AF62"/>
    <mergeCell ref="AD51:AF51"/>
    <mergeCell ref="AD52:AF52"/>
    <mergeCell ref="AD53:AF53"/>
    <mergeCell ref="AD54:AF54"/>
    <mergeCell ref="AD55:AF55"/>
    <mergeCell ref="AD56:AF56"/>
    <mergeCell ref="AD45:AF45"/>
    <mergeCell ref="AD46:AF46"/>
    <mergeCell ref="AD47:AF47"/>
    <mergeCell ref="AD48:AF48"/>
    <mergeCell ref="AD49:AF49"/>
    <mergeCell ref="AD50:AF50"/>
    <mergeCell ref="AD38:AF38"/>
    <mergeCell ref="AD39:AF39"/>
    <mergeCell ref="AD40:AF40"/>
    <mergeCell ref="AD41:AF41"/>
    <mergeCell ref="AD42:AF42"/>
    <mergeCell ref="AD44:AF44"/>
    <mergeCell ref="AD32:AF32"/>
    <mergeCell ref="AD33:AF33"/>
    <mergeCell ref="AD34:AF34"/>
    <mergeCell ref="AD35:AF35"/>
    <mergeCell ref="AD36:AF36"/>
    <mergeCell ref="AD37:AF37"/>
    <mergeCell ref="AD26:AF26"/>
    <mergeCell ref="AD27:AF27"/>
    <mergeCell ref="AD28:AF28"/>
    <mergeCell ref="AD29:AF29"/>
    <mergeCell ref="AD30:AF30"/>
    <mergeCell ref="AD31:AF31"/>
    <mergeCell ref="AD20:AF20"/>
    <mergeCell ref="AD21:AF21"/>
    <mergeCell ref="AD22:AF22"/>
    <mergeCell ref="AD23:AF23"/>
    <mergeCell ref="AD24:AF24"/>
    <mergeCell ref="AD25:AF25"/>
    <mergeCell ref="AD14:AF14"/>
    <mergeCell ref="AD15:AF15"/>
    <mergeCell ref="AD16:AF16"/>
    <mergeCell ref="AD17:AF17"/>
    <mergeCell ref="AD18:AF18"/>
    <mergeCell ref="AD19:AF19"/>
    <mergeCell ref="DW10:EA10"/>
    <mergeCell ref="EB10:EF10"/>
    <mergeCell ref="W11:X11"/>
    <mergeCell ref="AD11:AF11"/>
    <mergeCell ref="AD12:AF12"/>
    <mergeCell ref="AD13:AF13"/>
    <mergeCell ref="CS10:CW10"/>
    <mergeCell ref="CX10:DB10"/>
    <mergeCell ref="DC10:DG10"/>
    <mergeCell ref="DH10:DL10"/>
    <mergeCell ref="DM10:DQ10"/>
    <mergeCell ref="DR10:DV10"/>
    <mergeCell ref="BO10:BS10"/>
    <mergeCell ref="BT10:BX10"/>
    <mergeCell ref="BY10:CC10"/>
    <mergeCell ref="CD10:CH10"/>
    <mergeCell ref="CI10:CM10"/>
    <mergeCell ref="CN10:CR10"/>
    <mergeCell ref="I10:K10"/>
    <mergeCell ref="L10:N10"/>
    <mergeCell ref="AU10:AY10"/>
    <mergeCell ref="AZ10:BD10"/>
    <mergeCell ref="BE10:BI10"/>
    <mergeCell ref="BJ10:BN10"/>
    <mergeCell ref="P7:S7"/>
    <mergeCell ref="T7:V7"/>
    <mergeCell ref="Z7:AE7"/>
    <mergeCell ref="P8:S8"/>
    <mergeCell ref="T8:V8"/>
    <mergeCell ref="Z8:AE8"/>
    <mergeCell ref="L4:N4"/>
    <mergeCell ref="P4:S4"/>
    <mergeCell ref="T4:V4"/>
    <mergeCell ref="Y4:AD4"/>
    <mergeCell ref="L6:N6"/>
    <mergeCell ref="P6:S6"/>
    <mergeCell ref="T6:V6"/>
    <mergeCell ref="Y6:AD6"/>
    <mergeCell ref="L2:N2"/>
    <mergeCell ref="P2:S2"/>
    <mergeCell ref="T2:V2"/>
    <mergeCell ref="Y2:AD2"/>
    <mergeCell ref="L3:N3"/>
    <mergeCell ref="P3:S3"/>
    <mergeCell ref="Y3:AD3"/>
  </mergeCells>
  <conditionalFormatting sqref="N12:N103">
    <cfRule type="iconSet" priority="1">
      <iconSet>
        <cfvo type="percent" val="0"/>
        <cfvo type="formula" val="0.13"/>
        <cfvo type="formula" val="0.18"/>
      </iconSet>
    </cfRule>
  </conditionalFormatting>
  <dataValidations count="6">
    <dataValidation type="list" allowBlank="1" showInputMessage="1" showErrorMessage="1" sqref="E12:G103">
      <formula1>Origine</formula1>
    </dataValidation>
    <dataValidation type="list" allowBlank="1" showInputMessage="1" showErrorMessage="1" sqref="H12:H103">
      <formula1>Statut</formula1>
    </dataValidation>
    <dataValidation type="list" allowBlank="1" showInputMessage="1" showErrorMessage="1" sqref="X12:X103">
      <formula1>Reconduction</formula1>
    </dataValidation>
    <dataValidation type="list" allowBlank="1" showInputMessage="1" showErrorMessage="1" sqref="W12:W103">
      <formula1>OuiNon</formula1>
    </dataValidation>
    <dataValidation type="list" allowBlank="1" showInputMessage="1" showErrorMessage="1" sqref="AB33:AB43 AB12:AB31">
      <formula1>Risque</formula1>
    </dataValidation>
    <dataValidation type="list" allowBlank="1" showInputMessage="1" showErrorMessage="1" sqref="AL33:AL43 AH33:AH43 AP33:AP43 AH12:AH31 AP12:AP31 AL12:AL31">
      <formula1>civilité</formula1>
    </dataValidation>
  </dataValidations>
  <pageMargins left="0.19685039370078741" right="0.19685039370078741" top="0.55118110236220474" bottom="0.55118110236220474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Aide</vt:lpstr>
      <vt:lpstr>REGION</vt:lpstr>
      <vt:lpstr>Synthèse DR</vt:lpstr>
      <vt:lpstr>Renouvel_mois</vt:lpstr>
      <vt:lpstr>      </vt:lpstr>
      <vt:lpstr>011_NANTES</vt:lpstr>
      <vt:lpstr>048_BOURGES</vt:lpstr>
      <vt:lpstr>049_ORLEANS</vt:lpstr>
      <vt:lpstr>052_CHAURAY</vt:lpstr>
      <vt:lpstr>057_RENNES TERTIAIRE</vt:lpstr>
      <vt:lpstr>083_RENNES INDUSTRIE</vt:lpstr>
      <vt:lpstr>Chauray</vt:lpstr>
      <vt:lpstr>civilité</vt:lpstr>
      <vt:lpstr>Origine</vt:lpstr>
      <vt:lpstr>Orléans_CdS</vt:lpstr>
      <vt:lpstr>OuiNon</vt:lpstr>
      <vt:lpstr>Reconduction</vt:lpstr>
      <vt:lpstr>Risque</vt:lpstr>
      <vt:lpstr>Statut</vt:lpstr>
      <vt:lpstr>'048_BOURGES'!Zone_d_impression</vt:lpstr>
    </vt:vector>
  </TitlesOfParts>
  <Company>DERICHEBOURG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MARIONNEAU Dominique</dc:creator>
  <cp:lastModifiedBy>EVE François</cp:lastModifiedBy>
  <cp:lastPrinted>2018-02-09T14:52:46Z</cp:lastPrinted>
  <dcterms:created xsi:type="dcterms:W3CDTF">2016-02-12T08:19:28Z</dcterms:created>
  <dcterms:modified xsi:type="dcterms:W3CDTF">2018-03-24T19:22:25Z</dcterms:modified>
</cp:coreProperties>
</file>