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style9.xml" ContentType="application/vnd.ms-office.chartstyle+xml"/>
  <Override PartName="/xl/charts/style8.xml" ContentType="application/vnd.ms-office.chartstyle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charts/colors9.xml" ContentType="application/vnd.ms-office.chartcolorstyle+xml"/>
  <Override PartName="/xl/charts/colors8.xml" ContentType="application/vnd.ms-office.chartcolor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5480" windowHeight="7455" tabRatio="658" firstSheet="1" activeTab="2"/>
  </bookViews>
  <sheets>
    <sheet name="Aide" sheetId="11" state="hidden" r:id="rId1"/>
    <sheet name="Renouvel_X mois" sheetId="9" r:id="rId2"/>
    <sheet name="011_BREST" sheetId="1" r:id="rId3"/>
    <sheet name="048_ANGERS" sheetId="5" r:id="rId4"/>
  </sheets>
  <definedNames>
    <definedName name="Chauray">Aide!$E$44:$E$56</definedName>
    <definedName name="civilité">Aide!$C$16:$C$21</definedName>
    <definedName name="Durée">Aide!#REF!</definedName>
    <definedName name="Origine">Aide!$C$7:$C$12</definedName>
    <definedName name="Orléans_CdS">Aide!$C$26:$C$38</definedName>
    <definedName name="OuiNon">Aide!$I$7:$I$10</definedName>
    <definedName name="Reconduction">Aide!$G$7:$G$12</definedName>
    <definedName name="Risque">Aide!$E$7:$E$12</definedName>
    <definedName name="Statut">Aide!$A$7:$A$12</definedName>
    <definedName name="_xlnm.Print_Area" localSheetId="3">'048_ANGERS'!$A$1:$AA$71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16" i="5"/>
  <c r="G16"/>
  <c r="W40" i="1"/>
  <c r="W18"/>
  <c r="W65"/>
  <c r="W66"/>
  <c r="W62"/>
  <c r="K40" l="1"/>
  <c r="K16"/>
  <c r="K17"/>
  <c r="K18"/>
  <c r="K19"/>
  <c r="K20"/>
  <c r="K21"/>
  <c r="K22"/>
  <c r="K23"/>
  <c r="K24"/>
  <c r="K25"/>
  <c r="K26"/>
  <c r="K27"/>
  <c r="K28"/>
  <c r="K29"/>
  <c r="U7" l="1"/>
  <c r="U6"/>
  <c r="U3"/>
  <c r="U2"/>
  <c r="R7"/>
  <c r="R6"/>
  <c r="R3"/>
  <c r="R2"/>
  <c r="M71"/>
  <c r="M70"/>
  <c r="M69"/>
  <c r="M68"/>
  <c r="M55"/>
  <c r="F32"/>
  <c r="F55" s="1"/>
  <c r="F60"/>
  <c r="M58"/>
  <c r="M57"/>
  <c r="M56"/>
  <c r="F4" i="5"/>
  <c r="M28"/>
  <c r="U7"/>
  <c r="U6"/>
  <c r="U3"/>
  <c r="U2"/>
  <c r="R7"/>
  <c r="R6"/>
  <c r="R3"/>
  <c r="R2"/>
  <c r="M55"/>
  <c r="M69"/>
  <c r="M68"/>
  <c r="F60"/>
  <c r="M58"/>
  <c r="M57"/>
  <c r="M56"/>
  <c r="M32" i="1" l="1"/>
  <c r="H3"/>
  <c r="H2"/>
  <c r="F4"/>
  <c r="H2" i="5"/>
  <c r="H4" s="1"/>
  <c r="H3"/>
  <c r="M71"/>
  <c r="M70"/>
  <c r="K37"/>
  <c r="K46"/>
  <c r="K47"/>
  <c r="K48"/>
  <c r="K49"/>
  <c r="K50"/>
  <c r="K51"/>
  <c r="K52"/>
  <c r="K53"/>
  <c r="K62"/>
  <c r="K63"/>
  <c r="K64"/>
  <c r="K65"/>
  <c r="K66"/>
  <c r="F13"/>
  <c r="F28"/>
  <c r="F55" s="1"/>
  <c r="F68" s="1"/>
  <c r="W66"/>
  <c r="W53"/>
  <c r="W62"/>
  <c r="W63"/>
  <c r="W64"/>
  <c r="W65"/>
  <c r="W48"/>
  <c r="W49"/>
  <c r="W46"/>
  <c r="G66"/>
  <c r="G52"/>
  <c r="G53"/>
  <c r="G62"/>
  <c r="G63"/>
  <c r="G64"/>
  <c r="G65"/>
  <c r="G49"/>
  <c r="G48"/>
  <c r="G46"/>
  <c r="M31"/>
  <c r="G37"/>
  <c r="M29"/>
  <c r="M30"/>
  <c r="W64" i="1" l="1"/>
  <c r="M34"/>
  <c r="M33"/>
  <c r="N58"/>
  <c r="N55"/>
  <c r="W41"/>
  <c r="G66"/>
  <c r="G65"/>
  <c r="G62"/>
  <c r="G64"/>
  <c r="G28"/>
  <c r="G29"/>
  <c r="G40"/>
  <c r="G18"/>
  <c r="F13"/>
  <c r="G15"/>
  <c r="W15" l="1"/>
  <c r="K19" i="5" l="1"/>
  <c r="W50"/>
  <c r="W52"/>
  <c r="W47"/>
  <c r="W45"/>
  <c r="W38"/>
  <c r="W39"/>
  <c r="W41"/>
  <c r="W42"/>
  <c r="W43"/>
  <c r="W44"/>
  <c r="W51"/>
  <c r="W40"/>
  <c r="W36"/>
  <c r="W19"/>
  <c r="W20"/>
  <c r="W18"/>
  <c r="W22"/>
  <c r="W21"/>
  <c r="W23"/>
  <c r="W24"/>
  <c r="W25"/>
  <c r="W35"/>
  <c r="W15"/>
  <c r="W17"/>
  <c r="W49" i="1"/>
  <c r="W63"/>
  <c r="W51"/>
  <c r="W46"/>
  <c r="W47"/>
  <c r="W48"/>
  <c r="W52"/>
  <c r="W44"/>
  <c r="W53"/>
  <c r="W45"/>
  <c r="W50"/>
  <c r="W39"/>
  <c r="W43"/>
  <c r="W28"/>
  <c r="W19"/>
  <c r="W29"/>
  <c r="W27"/>
  <c r="W26"/>
  <c r="W25"/>
  <c r="W24"/>
  <c r="W23"/>
  <c r="W22"/>
  <c r="W21"/>
  <c r="W20"/>
  <c r="W17"/>
  <c r="W16"/>
  <c r="N70" i="5" l="1"/>
  <c r="N56"/>
  <c r="N29"/>
  <c r="N28"/>
  <c r="U4"/>
  <c r="R8"/>
  <c r="R4"/>
  <c r="N31"/>
  <c r="N55"/>
  <c r="N71"/>
  <c r="N69"/>
  <c r="N68"/>
  <c r="N58"/>
  <c r="N30"/>
  <c r="G68" l="1"/>
  <c r="K38"/>
  <c r="K39"/>
  <c r="K41"/>
  <c r="K42"/>
  <c r="K43"/>
  <c r="K44"/>
  <c r="K40"/>
  <c r="K20"/>
  <c r="K18"/>
  <c r="K22"/>
  <c r="K21"/>
  <c r="K23"/>
  <c r="K24"/>
  <c r="K25"/>
  <c r="K35"/>
  <c r="K45"/>
  <c r="K36"/>
  <c r="K15"/>
  <c r="K17"/>
  <c r="G38"/>
  <c r="G39"/>
  <c r="G41"/>
  <c r="G42"/>
  <c r="G43"/>
  <c r="G44"/>
  <c r="G51"/>
  <c r="G40"/>
  <c r="G50"/>
  <c r="G47"/>
  <c r="G45"/>
  <c r="G36"/>
  <c r="G17"/>
  <c r="G19"/>
  <c r="G20"/>
  <c r="G18"/>
  <c r="G22"/>
  <c r="G21"/>
  <c r="G23"/>
  <c r="G24"/>
  <c r="G25"/>
  <c r="G35"/>
  <c r="G15"/>
  <c r="U8" l="1"/>
  <c r="F1"/>
  <c r="U8" i="1"/>
  <c r="U4"/>
  <c r="R8"/>
  <c r="R4"/>
  <c r="N16" i="5" l="1"/>
  <c r="R16"/>
  <c r="R37"/>
  <c r="R41"/>
  <c r="R45"/>
  <c r="R49"/>
  <c r="R53"/>
  <c r="R65"/>
  <c r="R40"/>
  <c r="R52"/>
  <c r="R38"/>
  <c r="R42"/>
  <c r="R46"/>
  <c r="R50"/>
  <c r="R62"/>
  <c r="R66"/>
  <c r="R44"/>
  <c r="R64"/>
  <c r="R39"/>
  <c r="R43"/>
  <c r="R47"/>
  <c r="R51"/>
  <c r="R63"/>
  <c r="R48"/>
  <c r="N46"/>
  <c r="N50"/>
  <c r="N62"/>
  <c r="N66"/>
  <c r="N52"/>
  <c r="N53"/>
  <c r="N47"/>
  <c r="N51"/>
  <c r="N63"/>
  <c r="N48"/>
  <c r="N64"/>
  <c r="N49"/>
  <c r="N65"/>
  <c r="R20"/>
  <c r="N37"/>
  <c r="N19"/>
  <c r="R36"/>
  <c r="R15"/>
  <c r="R22"/>
  <c r="R23"/>
  <c r="R25"/>
  <c r="R19"/>
  <c r="R18"/>
  <c r="R21"/>
  <c r="R24"/>
  <c r="R35"/>
  <c r="N20"/>
  <c r="R17"/>
  <c r="N32" i="1"/>
  <c r="G17"/>
  <c r="G20"/>
  <c r="G19"/>
  <c r="G21"/>
  <c r="G22"/>
  <c r="G23"/>
  <c r="G24"/>
  <c r="G25"/>
  <c r="G16"/>
  <c r="G27"/>
  <c r="G26"/>
  <c r="G63"/>
  <c r="G49"/>
  <c r="G43"/>
  <c r="G39"/>
  <c r="G41"/>
  <c r="G50"/>
  <c r="G42"/>
  <c r="G45"/>
  <c r="G53"/>
  <c r="G44"/>
  <c r="G51"/>
  <c r="G46"/>
  <c r="G47"/>
  <c r="G48"/>
  <c r="G52"/>
  <c r="B61" i="9" l="1" a="1"/>
  <c r="B61" s="1"/>
  <c r="F61" a="1"/>
  <c r="F61" s="1"/>
  <c r="J61" a="1"/>
  <c r="J61" s="1"/>
  <c r="N61" a="1"/>
  <c r="N61" s="1"/>
  <c r="R61" a="1"/>
  <c r="R61" s="1"/>
  <c r="D62" a="1"/>
  <c r="D62" s="1"/>
  <c r="H62" a="1"/>
  <c r="H62" s="1"/>
  <c r="L62" a="1"/>
  <c r="L62" s="1"/>
  <c r="P62" a="1"/>
  <c r="P62" s="1"/>
  <c r="B63" a="1"/>
  <c r="B63" s="1"/>
  <c r="F63" a="1"/>
  <c r="F63" s="1"/>
  <c r="J63" a="1"/>
  <c r="J63" s="1"/>
  <c r="N63" a="1"/>
  <c r="N63" s="1"/>
  <c r="R63" a="1"/>
  <c r="R63" s="1"/>
  <c r="D64" a="1"/>
  <c r="D64" s="1"/>
  <c r="H64" a="1"/>
  <c r="H64" s="1"/>
  <c r="L64" a="1"/>
  <c r="L64" s="1"/>
  <c r="P64" a="1"/>
  <c r="P64" s="1"/>
  <c r="B65" a="1"/>
  <c r="B65" s="1"/>
  <c r="F65" a="1"/>
  <c r="F65" s="1"/>
  <c r="J65" a="1"/>
  <c r="J65" s="1"/>
  <c r="N65" a="1"/>
  <c r="N65" s="1"/>
  <c r="R65" a="1"/>
  <c r="R65" s="1"/>
  <c r="H61" a="1"/>
  <c r="H61" s="1"/>
  <c r="L61" a="1"/>
  <c r="L61" s="1"/>
  <c r="F62" a="1"/>
  <c r="F62" s="1"/>
  <c r="N62" a="1"/>
  <c r="N62" s="1"/>
  <c r="R62" a="1"/>
  <c r="R62" s="1"/>
  <c r="L63" a="1"/>
  <c r="L63" s="1"/>
  <c r="B64" a="1"/>
  <c r="B64" s="1"/>
  <c r="F64" a="1"/>
  <c r="F64" s="1"/>
  <c r="N64" a="1"/>
  <c r="N64" s="1"/>
  <c r="D65" a="1"/>
  <c r="D65" s="1"/>
  <c r="P65" a="1"/>
  <c r="P65" s="1"/>
  <c r="F66" a="1"/>
  <c r="F66" s="1"/>
  <c r="N66" a="1"/>
  <c r="N66" s="1"/>
  <c r="D67" a="1"/>
  <c r="D67" s="1"/>
  <c r="H67" a="1"/>
  <c r="H67" s="1"/>
  <c r="P67" a="1"/>
  <c r="P67" s="1"/>
  <c r="F68" a="1"/>
  <c r="F68" s="1"/>
  <c r="N68" a="1"/>
  <c r="N68" s="1"/>
  <c r="D69" a="1"/>
  <c r="D69" s="1"/>
  <c r="L69" a="1"/>
  <c r="L69" s="1"/>
  <c r="B70" a="1"/>
  <c r="B70" s="1"/>
  <c r="J70" a="1"/>
  <c r="J70" s="1"/>
  <c r="R70" a="1"/>
  <c r="R70" s="1"/>
  <c r="D61" a="1"/>
  <c r="D61" s="1"/>
  <c r="P61" a="1"/>
  <c r="P61" s="1"/>
  <c r="B62" a="1"/>
  <c r="B62" s="1"/>
  <c r="J62" a="1"/>
  <c r="J62" s="1"/>
  <c r="D63" a="1"/>
  <c r="D63" s="1"/>
  <c r="H63" a="1"/>
  <c r="H63" s="1"/>
  <c r="P63" a="1"/>
  <c r="P63" s="1"/>
  <c r="J64" a="1"/>
  <c r="J64" s="1"/>
  <c r="R64" a="1"/>
  <c r="R64" s="1"/>
  <c r="H65" a="1"/>
  <c r="H65" s="1"/>
  <c r="L65" a="1"/>
  <c r="L65" s="1"/>
  <c r="B66" a="1"/>
  <c r="B66" s="1"/>
  <c r="J66" a="1"/>
  <c r="J66" s="1"/>
  <c r="R66" a="1"/>
  <c r="R66" s="1"/>
  <c r="L67" a="1"/>
  <c r="L67" s="1"/>
  <c r="B68" a="1"/>
  <c r="B68" s="1"/>
  <c r="J68" a="1"/>
  <c r="J68" s="1"/>
  <c r="R68" a="1"/>
  <c r="R68" s="1"/>
  <c r="H69" a="1"/>
  <c r="H69" s="1"/>
  <c r="P69" a="1"/>
  <c r="P69" s="1"/>
  <c r="F70" a="1"/>
  <c r="F70" s="1"/>
  <c r="N70" a="1"/>
  <c r="N70" s="1"/>
  <c r="D66" a="1"/>
  <c r="D66" s="1"/>
  <c r="B67" a="1"/>
  <c r="B67" s="1"/>
  <c r="R67" a="1"/>
  <c r="R67" s="1"/>
  <c r="P68" a="1"/>
  <c r="P68" s="1"/>
  <c r="N69" a="1"/>
  <c r="N69" s="1"/>
  <c r="L70" a="1"/>
  <c r="L70" s="1"/>
  <c r="J69" a="1"/>
  <c r="J69" s="1"/>
  <c r="H66" a="1"/>
  <c r="H66" s="1"/>
  <c r="F67" a="1"/>
  <c r="F67" s="1"/>
  <c r="D68" a="1"/>
  <c r="D68" s="1"/>
  <c r="B69" a="1"/>
  <c r="B69" s="1"/>
  <c r="R69" a="1"/>
  <c r="R69" s="1"/>
  <c r="P70" a="1"/>
  <c r="P70" s="1"/>
  <c r="L68" a="1"/>
  <c r="L68" s="1"/>
  <c r="H70" a="1"/>
  <c r="H70" s="1"/>
  <c r="L66" a="1"/>
  <c r="L66" s="1"/>
  <c r="J67" a="1"/>
  <c r="J67" s="1"/>
  <c r="H68" a="1"/>
  <c r="H68" s="1"/>
  <c r="F69" a="1"/>
  <c r="F69" s="1"/>
  <c r="D70" a="1"/>
  <c r="D70" s="1"/>
  <c r="P66" a="1"/>
  <c r="P66" s="1"/>
  <c r="N67" a="1"/>
  <c r="N67" s="1"/>
  <c r="B46" a="1"/>
  <c r="B46" s="1"/>
  <c r="B44"/>
  <c r="H40"/>
  <c r="H38"/>
  <c r="P46" a="1"/>
  <c r="P46" s="1"/>
  <c r="P47" a="1"/>
  <c r="P47" s="1"/>
  <c r="P49" a="1"/>
  <c r="P49" s="1"/>
  <c r="P51" a="1"/>
  <c r="P51" s="1"/>
  <c r="P53" a="1"/>
  <c r="P53" s="1"/>
  <c r="P57" a="1"/>
  <c r="P57" s="1"/>
  <c r="P50" a="1"/>
  <c r="P50" s="1"/>
  <c r="P52" a="1"/>
  <c r="P52" s="1"/>
  <c r="P58" a="1"/>
  <c r="P58" s="1"/>
  <c r="P55" a="1"/>
  <c r="P55" s="1"/>
  <c r="P48" a="1"/>
  <c r="P48" s="1"/>
  <c r="P54" a="1"/>
  <c r="P54" s="1"/>
  <c r="P56" a="1"/>
  <c r="P56" s="1"/>
  <c r="P60" a="1"/>
  <c r="P60" s="1"/>
  <c r="P59" a="1"/>
  <c r="P59" s="1"/>
  <c r="J46" a="1"/>
  <c r="J46" s="1"/>
  <c r="J47" a="1"/>
  <c r="J47" s="1"/>
  <c r="J49" a="1"/>
  <c r="J49" s="1"/>
  <c r="J51" a="1"/>
  <c r="J51" s="1"/>
  <c r="J53" a="1"/>
  <c r="J53" s="1"/>
  <c r="J57" a="1"/>
  <c r="J57" s="1"/>
  <c r="J50" a="1"/>
  <c r="J50" s="1"/>
  <c r="J52" a="1"/>
  <c r="J52" s="1"/>
  <c r="J56" a="1"/>
  <c r="J56" s="1"/>
  <c r="J60" a="1"/>
  <c r="J60" s="1"/>
  <c r="J59" a="1"/>
  <c r="J59" s="1"/>
  <c r="J48" a="1"/>
  <c r="J48" s="1"/>
  <c r="J54" a="1"/>
  <c r="J54" s="1"/>
  <c r="J58" a="1"/>
  <c r="J58" s="1"/>
  <c r="J55" a="1"/>
  <c r="J55" s="1"/>
  <c r="D46" a="1"/>
  <c r="D46" s="1"/>
  <c r="D47" a="1"/>
  <c r="D47" s="1"/>
  <c r="D49" a="1"/>
  <c r="D49" s="1"/>
  <c r="D51" a="1"/>
  <c r="D51" s="1"/>
  <c r="D53" a="1"/>
  <c r="D53" s="1"/>
  <c r="D57" a="1"/>
  <c r="D57" s="1"/>
  <c r="D50" a="1"/>
  <c r="D50" s="1"/>
  <c r="D52" a="1"/>
  <c r="D52" s="1"/>
  <c r="D56" a="1"/>
  <c r="D56" s="1"/>
  <c r="D60" a="1"/>
  <c r="D60" s="1"/>
  <c r="D59" a="1"/>
  <c r="D59" s="1"/>
  <c r="D48" a="1"/>
  <c r="D48" s="1"/>
  <c r="D54" a="1"/>
  <c r="D54" s="1"/>
  <c r="D58" a="1"/>
  <c r="D58" s="1"/>
  <c r="D55" a="1"/>
  <c r="D55" s="1"/>
  <c r="F46" a="1"/>
  <c r="F46" s="1"/>
  <c r="R60" a="1"/>
  <c r="R60" s="1"/>
  <c r="R47" a="1"/>
  <c r="R47" s="1"/>
  <c r="R49" a="1"/>
  <c r="R49" s="1"/>
  <c r="R51" a="1"/>
  <c r="R51" s="1"/>
  <c r="R53" a="1"/>
  <c r="R53" s="1"/>
  <c r="R59" a="1"/>
  <c r="R59" s="1"/>
  <c r="R50" a="1"/>
  <c r="R50" s="1"/>
  <c r="R52" a="1"/>
  <c r="R52" s="1"/>
  <c r="R56" a="1"/>
  <c r="R56" s="1"/>
  <c r="R55" a="1"/>
  <c r="R55" s="1"/>
  <c r="R48" a="1"/>
  <c r="R48" s="1"/>
  <c r="R54" a="1"/>
  <c r="R54" s="1"/>
  <c r="R58" a="1"/>
  <c r="R58" s="1"/>
  <c r="R57" a="1"/>
  <c r="R57" s="1"/>
  <c r="R46" a="1"/>
  <c r="R46" s="1"/>
  <c r="N60" a="1"/>
  <c r="N60" s="1"/>
  <c r="N58" a="1"/>
  <c r="N58" s="1"/>
  <c r="N59" a="1"/>
  <c r="N59" s="1"/>
  <c r="N44"/>
  <c r="H44"/>
  <c r="B47" a="1"/>
  <c r="B47" s="1"/>
  <c r="N47" a="1"/>
  <c r="N47" s="1"/>
  <c r="N49" a="1"/>
  <c r="N49" s="1"/>
  <c r="N51" a="1"/>
  <c r="N51" s="1"/>
  <c r="N55" a="1"/>
  <c r="N55" s="1"/>
  <c r="N50" a="1"/>
  <c r="N50" s="1"/>
  <c r="N52" a="1"/>
  <c r="N52" s="1"/>
  <c r="N56" a="1"/>
  <c r="N56" s="1"/>
  <c r="N57" a="1"/>
  <c r="N57" s="1"/>
  <c r="N48" a="1"/>
  <c r="N48" s="1"/>
  <c r="N54" a="1"/>
  <c r="N54" s="1"/>
  <c r="N53" a="1"/>
  <c r="N53" s="1"/>
  <c r="N46" a="1"/>
  <c r="N46" s="1"/>
  <c r="L47" a="1"/>
  <c r="L47" s="1"/>
  <c r="L49" a="1"/>
  <c r="L49" s="1"/>
  <c r="L51" a="1"/>
  <c r="L51" s="1"/>
  <c r="L53" a="1"/>
  <c r="L53" s="1"/>
  <c r="L55" a="1"/>
  <c r="L55" s="1"/>
  <c r="L57" a="1"/>
  <c r="L57" s="1"/>
  <c r="L59" a="1"/>
  <c r="L59" s="1"/>
  <c r="L48" a="1"/>
  <c r="L48" s="1"/>
  <c r="L50" a="1"/>
  <c r="L50" s="1"/>
  <c r="L52" a="1"/>
  <c r="L52" s="1"/>
  <c r="L54" a="1"/>
  <c r="L54" s="1"/>
  <c r="L56" a="1"/>
  <c r="L56" s="1"/>
  <c r="L58" a="1"/>
  <c r="L58" s="1"/>
  <c r="L60" a="1"/>
  <c r="L60" s="1"/>
  <c r="H47" a="1"/>
  <c r="H47" s="1"/>
  <c r="H49" a="1"/>
  <c r="H49" s="1"/>
  <c r="H51" a="1"/>
  <c r="H51" s="1"/>
  <c r="H53" a="1"/>
  <c r="H53" s="1"/>
  <c r="H57" a="1"/>
  <c r="H57" s="1"/>
  <c r="H50" a="1"/>
  <c r="H50" s="1"/>
  <c r="H52" a="1"/>
  <c r="H52" s="1"/>
  <c r="H58" a="1"/>
  <c r="H58" s="1"/>
  <c r="H55" a="1"/>
  <c r="H55" s="1"/>
  <c r="H48" a="1"/>
  <c r="H48" s="1"/>
  <c r="H54" a="1"/>
  <c r="H54" s="1"/>
  <c r="H56" a="1"/>
  <c r="H56" s="1"/>
  <c r="H60" a="1"/>
  <c r="H60" s="1"/>
  <c r="H59" a="1"/>
  <c r="H59" s="1"/>
  <c r="H46" a="1"/>
  <c r="H46" s="1"/>
  <c r="L46" a="1"/>
  <c r="L46" s="1"/>
  <c r="F57" a="1"/>
  <c r="F57" s="1"/>
  <c r="F59" a="1"/>
  <c r="F59" s="1"/>
  <c r="F58" a="1"/>
  <c r="F58" s="1"/>
  <c r="F60" a="1"/>
  <c r="F60" s="1"/>
  <c r="B58" a="1"/>
  <c r="B58" s="1"/>
  <c r="B59" a="1"/>
  <c r="B59" s="1"/>
  <c r="B60" a="1"/>
  <c r="B60" s="1"/>
  <c r="B48" a="1"/>
  <c r="B48" s="1"/>
  <c r="B49" a="1"/>
  <c r="B49" s="1"/>
  <c r="B50" a="1"/>
  <c r="B50" s="1"/>
  <c r="B52" a="1"/>
  <c r="B52" s="1"/>
  <c r="B55" a="1"/>
  <c r="B55" s="1"/>
  <c r="F48" a="1"/>
  <c r="F48" s="1"/>
  <c r="F49" a="1"/>
  <c r="F49" s="1"/>
  <c r="F52" a="1"/>
  <c r="F52" s="1"/>
  <c r="F54" a="1"/>
  <c r="F54" s="1"/>
  <c r="F56" a="1"/>
  <c r="F56" s="1"/>
  <c r="B51" a="1"/>
  <c r="B51" s="1"/>
  <c r="B56" a="1"/>
  <c r="B56" s="1"/>
  <c r="F47" a="1"/>
  <c r="F47" s="1"/>
  <c r="F50" a="1"/>
  <c r="F50" s="1"/>
  <c r="F51" a="1"/>
  <c r="F51" s="1"/>
  <c r="F53" a="1"/>
  <c r="F53" s="1"/>
  <c r="F55" a="1"/>
  <c r="F55" s="1"/>
  <c r="B53" a="1"/>
  <c r="B53" s="1"/>
  <c r="B54" a="1"/>
  <c r="B54" s="1"/>
  <c r="B57" a="1"/>
  <c r="B57" s="1"/>
  <c r="T38"/>
  <c r="T40"/>
  <c r="T39"/>
  <c r="H39"/>
  <c r="F44" l="1"/>
  <c r="L44"/>
  <c r="R44"/>
  <c r="Z46"/>
  <c r="Z49"/>
  <c r="Z48"/>
  <c r="Z47"/>
  <c r="L38"/>
  <c r="S38" s="1"/>
  <c r="R38"/>
  <c r="L40"/>
  <c r="S40" s="1"/>
  <c r="R40"/>
  <c r="N71" i="1" l="1"/>
  <c r="N70"/>
  <c r="N69"/>
  <c r="N68"/>
  <c r="G13"/>
  <c r="G60"/>
  <c r="N57"/>
  <c r="N56"/>
  <c r="K43"/>
  <c r="K39"/>
  <c r="K41"/>
  <c r="K50"/>
  <c r="K42"/>
  <c r="K45"/>
  <c r="K53"/>
  <c r="K44"/>
  <c r="K51"/>
  <c r="K46"/>
  <c r="K47"/>
  <c r="K48"/>
  <c r="K52"/>
  <c r="M35"/>
  <c r="N35" s="1"/>
  <c r="N34"/>
  <c r="N33"/>
  <c r="G32"/>
  <c r="K15"/>
  <c r="H4"/>
  <c r="F1"/>
  <c r="R65" s="1"/>
  <c r="R62" l="1"/>
  <c r="R66"/>
  <c r="N62"/>
  <c r="N64"/>
  <c r="N65"/>
  <c r="N66"/>
  <c r="R64"/>
  <c r="R49"/>
  <c r="N18"/>
  <c r="R18"/>
  <c r="L39" i="9"/>
  <c r="R63" i="1"/>
  <c r="R46"/>
  <c r="R48"/>
  <c r="R44"/>
  <c r="R51"/>
  <c r="R47"/>
  <c r="R52"/>
  <c r="R53"/>
  <c r="R43"/>
  <c r="R41"/>
  <c r="R42"/>
  <c r="R50"/>
  <c r="R39"/>
  <c r="R45"/>
  <c r="R29"/>
  <c r="R28"/>
  <c r="R21"/>
  <c r="R22"/>
  <c r="R19"/>
  <c r="R20"/>
  <c r="R17"/>
  <c r="R16"/>
  <c r="R23"/>
  <c r="R25"/>
  <c r="R24"/>
  <c r="R26"/>
  <c r="R15"/>
  <c r="N63"/>
  <c r="N15"/>
  <c r="R39" i="9" l="1"/>
  <c r="S39"/>
  <c r="N53" i="1" l="1"/>
  <c r="N52"/>
  <c r="N48"/>
  <c r="N45"/>
  <c r="N39"/>
  <c r="N46"/>
  <c r="N50"/>
  <c r="N51"/>
  <c r="N41"/>
  <c r="N47"/>
  <c r="N44"/>
  <c r="N42"/>
  <c r="N43"/>
  <c r="N49"/>
  <c r="N29"/>
  <c r="N28"/>
  <c r="N27"/>
  <c r="R27"/>
  <c r="H3" i="9" s="1"/>
  <c r="N23" i="1"/>
  <c r="N20"/>
  <c r="N25"/>
  <c r="N21"/>
  <c r="N26"/>
  <c r="N24"/>
  <c r="N22"/>
  <c r="N19"/>
  <c r="N17"/>
  <c r="N16"/>
  <c r="N45" i="5"/>
  <c r="N38"/>
  <c r="N44"/>
  <c r="N43"/>
  <c r="N36"/>
  <c r="N39"/>
  <c r="N41"/>
  <c r="N42"/>
  <c r="N40"/>
  <c r="N22"/>
  <c r="N24"/>
  <c r="N18"/>
  <c r="N23"/>
  <c r="N25"/>
  <c r="N35"/>
  <c r="N21"/>
  <c r="N15"/>
  <c r="N17"/>
  <c r="B25" i="9" l="1" a="1"/>
  <c r="B25" s="1"/>
  <c r="R25" a="1"/>
  <c r="R25" s="1"/>
  <c r="P26" a="1"/>
  <c r="P26" s="1"/>
  <c r="N27" a="1"/>
  <c r="N27" s="1"/>
  <c r="L28" a="1"/>
  <c r="L28" s="1"/>
  <c r="J29" a="1"/>
  <c r="J29" s="1"/>
  <c r="H30" a="1"/>
  <c r="H30" s="1"/>
  <c r="N26" a="1"/>
  <c r="N26" s="1"/>
  <c r="J28" a="1"/>
  <c r="J28" s="1"/>
  <c r="F30" a="1"/>
  <c r="F30" s="1"/>
  <c r="B32" a="1"/>
  <c r="B32" s="1"/>
  <c r="P33" a="1"/>
  <c r="P33" s="1"/>
  <c r="J26" a="1"/>
  <c r="J26" s="1"/>
  <c r="F28" a="1"/>
  <c r="F28" s="1"/>
  <c r="B30" a="1"/>
  <c r="B30" s="1"/>
  <c r="P31" a="1"/>
  <c r="P31" s="1"/>
  <c r="L33" a="1"/>
  <c r="L33" s="1"/>
  <c r="N31" a="1"/>
  <c r="N31" s="1"/>
  <c r="J33" a="1"/>
  <c r="J33" s="1"/>
  <c r="R31" a="1"/>
  <c r="R31" s="1"/>
  <c r="J31" a="1"/>
  <c r="J31" s="1"/>
  <c r="F25" a="1"/>
  <c r="F25" s="1"/>
  <c r="D26" a="1"/>
  <c r="D26" s="1"/>
  <c r="B27" a="1"/>
  <c r="B27" s="1"/>
  <c r="R27" a="1"/>
  <c r="R27" s="1"/>
  <c r="P28" a="1"/>
  <c r="P28" s="1"/>
  <c r="N29" a="1"/>
  <c r="N29" s="1"/>
  <c r="H25" a="1"/>
  <c r="H25" s="1"/>
  <c r="D27" a="1"/>
  <c r="D27" s="1"/>
  <c r="R28" a="1"/>
  <c r="R28" s="1"/>
  <c r="N30" a="1"/>
  <c r="N30" s="1"/>
  <c r="J32" a="1"/>
  <c r="J32" s="1"/>
  <c r="F34" a="1"/>
  <c r="F34" s="1"/>
  <c r="D25" a="1"/>
  <c r="D25" s="1"/>
  <c r="R26" a="1"/>
  <c r="R26" s="1"/>
  <c r="N28" a="1"/>
  <c r="N28" s="1"/>
  <c r="J30" a="1"/>
  <c r="J30" s="1"/>
  <c r="F32" a="1"/>
  <c r="F32" s="1"/>
  <c r="B34" a="1"/>
  <c r="B34" s="1"/>
  <c r="D32" a="1"/>
  <c r="D32" s="1"/>
  <c r="H34" a="1"/>
  <c r="H34" s="1"/>
  <c r="P32" a="1"/>
  <c r="P32" s="1"/>
  <c r="R33" a="1"/>
  <c r="R33" s="1"/>
  <c r="H32" a="1"/>
  <c r="H32" s="1"/>
  <c r="J25" a="1"/>
  <c r="J25" s="1"/>
  <c r="H26" a="1"/>
  <c r="H26" s="1"/>
  <c r="F27" a="1"/>
  <c r="F27" s="1"/>
  <c r="D28" a="1"/>
  <c r="D28" s="1"/>
  <c r="B29" a="1"/>
  <c r="B29" s="1"/>
  <c r="R29" a="1"/>
  <c r="R29" s="1"/>
  <c r="P25" a="1"/>
  <c r="P25" s="1"/>
  <c r="L27" a="1"/>
  <c r="L27" s="1"/>
  <c r="H29" a="1"/>
  <c r="H29" s="1"/>
  <c r="D31" a="1"/>
  <c r="D31" s="1"/>
  <c r="R32" a="1"/>
  <c r="R32" s="1"/>
  <c r="N34" a="1"/>
  <c r="N34" s="1"/>
  <c r="L25" a="1"/>
  <c r="L25" s="1"/>
  <c r="H27" a="1"/>
  <c r="H27" s="1"/>
  <c r="D29" a="1"/>
  <c r="D29" s="1"/>
  <c r="R30" a="1"/>
  <c r="R30" s="1"/>
  <c r="N32" a="1"/>
  <c r="N32" s="1"/>
  <c r="J34" a="1"/>
  <c r="J34" s="1"/>
  <c r="P30" a="1"/>
  <c r="P30" s="1"/>
  <c r="L32" a="1"/>
  <c r="L32" s="1"/>
  <c r="N33" a="1"/>
  <c r="N33" s="1"/>
  <c r="F33" a="1"/>
  <c r="F33" s="1"/>
  <c r="P34" a="1"/>
  <c r="P34" s="1"/>
  <c r="N25" a="1"/>
  <c r="N25" s="1"/>
  <c r="L26" a="1"/>
  <c r="L26" s="1"/>
  <c r="J27" a="1"/>
  <c r="J27" s="1"/>
  <c r="H28" a="1"/>
  <c r="H28" s="1"/>
  <c r="F29" a="1"/>
  <c r="F29" s="1"/>
  <c r="D30" a="1"/>
  <c r="D30" s="1"/>
  <c r="F26" a="1"/>
  <c r="F26" s="1"/>
  <c r="B28" a="1"/>
  <c r="B28" s="1"/>
  <c r="P29" a="1"/>
  <c r="P29" s="1"/>
  <c r="L31" a="1"/>
  <c r="L31" s="1"/>
  <c r="H33" a="1"/>
  <c r="H33" s="1"/>
  <c r="B26" a="1"/>
  <c r="B26" s="1"/>
  <c r="P27" a="1"/>
  <c r="P27" s="1"/>
  <c r="L29" a="1"/>
  <c r="L29" s="1"/>
  <c r="H31" a="1"/>
  <c r="H31" s="1"/>
  <c r="D33" a="1"/>
  <c r="D33" s="1"/>
  <c r="R34" a="1"/>
  <c r="R34" s="1"/>
  <c r="F31" a="1"/>
  <c r="F31" s="1"/>
  <c r="B33" a="1"/>
  <c r="B33" s="1"/>
  <c r="B31" a="1"/>
  <c r="B31" s="1"/>
  <c r="L34" a="1"/>
  <c r="L34" s="1"/>
  <c r="L30" a="1"/>
  <c r="L30" s="1"/>
  <c r="D34" a="1"/>
  <c r="D34" s="1"/>
  <c r="F10" a="1"/>
  <c r="F10" s="1"/>
  <c r="B8"/>
  <c r="B10" a="1"/>
  <c r="B10" s="1"/>
  <c r="H2"/>
  <c r="P10" a="1"/>
  <c r="P10" s="1"/>
  <c r="P11" a="1"/>
  <c r="P11" s="1"/>
  <c r="P21" a="1"/>
  <c r="P21" s="1"/>
  <c r="P19" a="1"/>
  <c r="P19" s="1"/>
  <c r="P24" a="1"/>
  <c r="P24" s="1"/>
  <c r="P20" a="1"/>
  <c r="P20" s="1"/>
  <c r="P13" a="1"/>
  <c r="P13" s="1"/>
  <c r="P14" a="1"/>
  <c r="P14" s="1"/>
  <c r="P12" a="1"/>
  <c r="P12" s="1"/>
  <c r="P23" a="1"/>
  <c r="P23" s="1"/>
  <c r="P22" a="1"/>
  <c r="P22" s="1"/>
  <c r="P15" a="1"/>
  <c r="P15" s="1"/>
  <c r="P16" a="1"/>
  <c r="P16" s="1"/>
  <c r="P18" a="1"/>
  <c r="P18" s="1"/>
  <c r="P17" a="1"/>
  <c r="P17" s="1"/>
  <c r="J10" a="1"/>
  <c r="J10" s="1"/>
  <c r="J11" a="1"/>
  <c r="J11" s="1"/>
  <c r="J19" a="1"/>
  <c r="J19" s="1"/>
  <c r="J14" a="1"/>
  <c r="J14" s="1"/>
  <c r="J22" a="1"/>
  <c r="J22" s="1"/>
  <c r="J12" a="1"/>
  <c r="J12" s="1"/>
  <c r="J13" a="1"/>
  <c r="J13" s="1"/>
  <c r="J21" a="1"/>
  <c r="J21" s="1"/>
  <c r="J16" a="1"/>
  <c r="J16" s="1"/>
  <c r="J24" a="1"/>
  <c r="J24" s="1"/>
  <c r="J20" a="1"/>
  <c r="J20" s="1"/>
  <c r="J15" a="1"/>
  <c r="J15" s="1"/>
  <c r="J23" a="1"/>
  <c r="J23" s="1"/>
  <c r="J18" a="1"/>
  <c r="J18" s="1"/>
  <c r="J17" a="1"/>
  <c r="J17" s="1"/>
  <c r="D10" a="1"/>
  <c r="D10" s="1"/>
  <c r="D11" a="1"/>
  <c r="D11" s="1"/>
  <c r="D19" a="1"/>
  <c r="D19" s="1"/>
  <c r="D16" a="1"/>
  <c r="D16" s="1"/>
  <c r="D24" a="1"/>
  <c r="D24" s="1"/>
  <c r="D22" a="1"/>
  <c r="D22" s="1"/>
  <c r="D13" a="1"/>
  <c r="D13" s="1"/>
  <c r="D21" a="1"/>
  <c r="D21" s="1"/>
  <c r="D18" a="1"/>
  <c r="D18" s="1"/>
  <c r="D14" a="1"/>
  <c r="D14" s="1"/>
  <c r="D15" a="1"/>
  <c r="D15" s="1"/>
  <c r="D23" a="1"/>
  <c r="D23" s="1"/>
  <c r="D20" a="1"/>
  <c r="D20" s="1"/>
  <c r="D17" a="1"/>
  <c r="D17" s="1"/>
  <c r="D12" a="1"/>
  <c r="D12" s="1"/>
  <c r="N10" a="1"/>
  <c r="N10" s="1"/>
  <c r="T4"/>
  <c r="N8"/>
  <c r="H4"/>
  <c r="N14" a="1"/>
  <c r="N14" s="1"/>
  <c r="N22" a="1"/>
  <c r="N22" s="1"/>
  <c r="N21" a="1"/>
  <c r="N21" s="1"/>
  <c r="N18" a="1"/>
  <c r="N18" s="1"/>
  <c r="N24" a="1"/>
  <c r="N24" s="1"/>
  <c r="N19" a="1"/>
  <c r="N19" s="1"/>
  <c r="N16" a="1"/>
  <c r="N16" s="1"/>
  <c r="N15" a="1"/>
  <c r="N15" s="1"/>
  <c r="N23" a="1"/>
  <c r="N23" s="1"/>
  <c r="N17" a="1"/>
  <c r="N17" s="1"/>
  <c r="N20" a="1"/>
  <c r="N20" s="1"/>
  <c r="R14" a="1"/>
  <c r="R14" s="1"/>
  <c r="R19" a="1"/>
  <c r="R19" s="1"/>
  <c r="R21" a="1"/>
  <c r="R21" s="1"/>
  <c r="R16" a="1"/>
  <c r="R16" s="1"/>
  <c r="R20" a="1"/>
  <c r="R20" s="1"/>
  <c r="R23" a="1"/>
  <c r="R23" s="1"/>
  <c r="R17" a="1"/>
  <c r="R17" s="1"/>
  <c r="R18" a="1"/>
  <c r="R18" s="1"/>
  <c r="R24" a="1"/>
  <c r="R24" s="1"/>
  <c r="R22" a="1"/>
  <c r="R22" s="1"/>
  <c r="R15" a="1"/>
  <c r="R15" s="1"/>
  <c r="N13" a="1"/>
  <c r="N13" s="1"/>
  <c r="R13" a="1"/>
  <c r="R13" s="1"/>
  <c r="N12" a="1"/>
  <c r="N12" s="1"/>
  <c r="R12" a="1"/>
  <c r="R12" s="1"/>
  <c r="N11" a="1"/>
  <c r="N11" s="1"/>
  <c r="R11" a="1"/>
  <c r="R11" s="1"/>
  <c r="R10" a="1"/>
  <c r="R10" s="1"/>
  <c r="F20" a="1"/>
  <c r="F20" s="1"/>
  <c r="F21" a="1"/>
  <c r="F21" s="1"/>
  <c r="F22" a="1"/>
  <c r="F22" s="1"/>
  <c r="F23" a="1"/>
  <c r="F23" s="1"/>
  <c r="F24" a="1"/>
  <c r="F24" s="1"/>
  <c r="B20" a="1"/>
  <c r="B20" s="1"/>
  <c r="B23" a="1"/>
  <c r="B23" s="1"/>
  <c r="B22" a="1"/>
  <c r="B22" s="1"/>
  <c r="B24" a="1"/>
  <c r="B24" s="1"/>
  <c r="B21" a="1"/>
  <c r="B21" s="1"/>
  <c r="L13" a="1"/>
  <c r="L13" s="1"/>
  <c r="L14" a="1"/>
  <c r="L14" s="1"/>
  <c r="L22" a="1"/>
  <c r="L22" s="1"/>
  <c r="L15" a="1"/>
  <c r="L15" s="1"/>
  <c r="L23" a="1"/>
  <c r="L23" s="1"/>
  <c r="L24" a="1"/>
  <c r="L24" s="1"/>
  <c r="L16" a="1"/>
  <c r="L16" s="1"/>
  <c r="L21" a="1"/>
  <c r="L21" s="1"/>
  <c r="L17" a="1"/>
  <c r="L17" s="1"/>
  <c r="L18" a="1"/>
  <c r="L18" s="1"/>
  <c r="L19" a="1"/>
  <c r="L19" s="1"/>
  <c r="L20" a="1"/>
  <c r="L20" s="1"/>
  <c r="H13" a="1"/>
  <c r="H13" s="1"/>
  <c r="H14" a="1"/>
  <c r="H14" s="1"/>
  <c r="H22" a="1"/>
  <c r="H22" s="1"/>
  <c r="H23" a="1"/>
  <c r="H23" s="1"/>
  <c r="H15" a="1"/>
  <c r="H15" s="1"/>
  <c r="H24" a="1"/>
  <c r="H24" s="1"/>
  <c r="H16" a="1"/>
  <c r="H16" s="1"/>
  <c r="H17" a="1"/>
  <c r="H17" s="1"/>
  <c r="H18" a="1"/>
  <c r="H18" s="1"/>
  <c r="H19" a="1"/>
  <c r="H19" s="1"/>
  <c r="H20" a="1"/>
  <c r="H20" s="1"/>
  <c r="H21" a="1"/>
  <c r="H21" s="1"/>
  <c r="B14" a="1"/>
  <c r="B14" s="1"/>
  <c r="B18" a="1"/>
  <c r="B18" s="1"/>
  <c r="B15" a="1"/>
  <c r="B15" s="1"/>
  <c r="B16" a="1"/>
  <c r="B16" s="1"/>
  <c r="B17" a="1"/>
  <c r="B17" s="1"/>
  <c r="B19" a="1"/>
  <c r="B19" s="1"/>
  <c r="F14" a="1"/>
  <c r="F14" s="1"/>
  <c r="F16" a="1"/>
  <c r="F16" s="1"/>
  <c r="F15" a="1"/>
  <c r="F15" s="1"/>
  <c r="F19" a="1"/>
  <c r="F19" s="1"/>
  <c r="F17" a="1"/>
  <c r="F17" s="1"/>
  <c r="F18" a="1"/>
  <c r="F18" s="1"/>
  <c r="F13" a="1"/>
  <c r="F13" s="1"/>
  <c r="B13" a="1"/>
  <c r="B13" s="1"/>
  <c r="R8" l="1"/>
  <c r="L2"/>
  <c r="S2" s="1"/>
  <c r="Z13"/>
  <c r="L4"/>
  <c r="S4" s="1"/>
  <c r="R4"/>
  <c r="H11" l="1" a="1"/>
  <c r="H11" s="1"/>
  <c r="F12" a="1"/>
  <c r="F12" s="1"/>
  <c r="L12" a="1"/>
  <c r="L12" s="1"/>
  <c r="H8"/>
  <c r="F11" a="1"/>
  <c r="F11" s="1"/>
  <c r="T3"/>
  <c r="H10" a="1"/>
  <c r="H10" s="1"/>
  <c r="B11" a="1"/>
  <c r="B11" s="1"/>
  <c r="L11" a="1"/>
  <c r="L11" s="1"/>
  <c r="H12" a="1"/>
  <c r="H12" s="1"/>
  <c r="B12" a="1"/>
  <c r="B12" s="1"/>
  <c r="T2"/>
  <c r="R3"/>
  <c r="L10" a="1"/>
  <c r="L10" s="1"/>
  <c r="L8" l="1"/>
  <c r="F8"/>
  <c r="Z10"/>
  <c r="Z11"/>
  <c r="Z12"/>
  <c r="R2"/>
  <c r="L3"/>
  <c r="S3" s="1"/>
  <c r="N57" i="5" l="1"/>
  <c r="G28"/>
  <c r="G13"/>
  <c r="G55"/>
  <c r="G60"/>
  <c r="F33"/>
  <c r="G33" s="1"/>
  <c r="G55" i="1"/>
  <c r="F37"/>
  <c r="G37" s="1"/>
  <c r="F68"/>
  <c r="G68" s="1"/>
</calcChain>
</file>

<file path=xl/comments1.xml><?xml version="1.0" encoding="utf-8"?>
<comments xmlns="http://schemas.openxmlformats.org/spreadsheetml/2006/main">
  <authors>
    <author>EVE François</author>
  </authors>
  <commentList>
    <comment ref="P16" authorId="0">
      <text>
        <r>
          <rPr>
            <sz val="9"/>
            <color indexed="81"/>
            <rFont val="Tahoma"/>
            <family val="2"/>
          </rPr>
          <t>Sauf tacite reconduction</t>
        </r>
      </text>
    </comment>
    <comment ref="P22" authorId="0">
      <text>
        <r>
          <rPr>
            <sz val="9"/>
            <color indexed="81"/>
            <rFont val="Arial Narrow"/>
            <family val="2"/>
          </rPr>
          <t>(compt nat date anniversaire démarrage 1/10/2015)</t>
        </r>
      </text>
    </comment>
    <comment ref="P25" authorId="0">
      <text>
        <r>
          <rPr>
            <sz val="9"/>
            <color indexed="81"/>
            <rFont val="Tahoma"/>
            <family val="2"/>
          </rPr>
          <t xml:space="preserve"> + Tacite reconduction (36 mois)</t>
        </r>
      </text>
    </comment>
    <comment ref="P26" authorId="0">
      <text>
        <r>
          <rPr>
            <sz val="9"/>
            <color indexed="81"/>
            <rFont val="Arial Narrow"/>
            <family val="2"/>
          </rPr>
          <t>COMPTE NAT 31/10/2017 (tacite reconduction annuelle) sauf partie Chargement /déchargement date anniversaire 30/04/1</t>
        </r>
        <r>
          <rPr>
            <b/>
            <sz val="9"/>
            <color indexed="81"/>
            <rFont val="Tahoma"/>
            <family val="2"/>
          </rPr>
          <t>7</t>
        </r>
      </text>
    </comment>
    <comment ref="P28" authorId="0">
      <text>
        <r>
          <rPr>
            <b/>
            <sz val="9"/>
            <color indexed="81"/>
            <rFont val="Tahoma"/>
            <family val="2"/>
          </rPr>
          <t xml:space="preserve"> + Tacite reconduction (24 mois)</t>
        </r>
      </text>
    </comment>
  </commentList>
</comments>
</file>

<file path=xl/sharedStrings.xml><?xml version="1.0" encoding="utf-8"?>
<sst xmlns="http://schemas.openxmlformats.org/spreadsheetml/2006/main" count="1005" uniqueCount="258">
  <si>
    <t>Chiffre d'Affaire</t>
  </si>
  <si>
    <t>Coût MO</t>
  </si>
  <si>
    <t>Coûts directs</t>
  </si>
  <si>
    <t>Marge MO&amp;CD</t>
  </si>
  <si>
    <t>Taux Marge MO/CD</t>
  </si>
  <si>
    <t>Type de rdv</t>
  </si>
  <si>
    <t>Risque client</t>
  </si>
  <si>
    <t>Date rdv</t>
  </si>
  <si>
    <t>Interlocuteur interne</t>
  </si>
  <si>
    <t>Interlocuteur client</t>
  </si>
  <si>
    <t>31/12/2017</t>
  </si>
  <si>
    <t>30/06/2017</t>
  </si>
  <si>
    <t>31/03/2018</t>
  </si>
  <si>
    <t>SIRE</t>
  </si>
  <si>
    <t>FAIBLE</t>
  </si>
  <si>
    <t xml:space="preserve">IDRAC SARL                         </t>
  </si>
  <si>
    <t xml:space="preserve">BOULANGER                </t>
  </si>
  <si>
    <t xml:space="preserve">CENTRE FRANCE            </t>
  </si>
  <si>
    <t>Faible</t>
  </si>
  <si>
    <t>Nombre total de clients</t>
  </si>
  <si>
    <t>€</t>
  </si>
  <si>
    <t>MOYEN</t>
  </si>
  <si>
    <t>30/04/2017</t>
  </si>
  <si>
    <t>VBK/CT + F.Guibert</t>
  </si>
  <si>
    <t>31/12/2019</t>
  </si>
  <si>
    <t>31/05/2017</t>
  </si>
  <si>
    <t>Sylvain MARIE/FG/CT</t>
  </si>
  <si>
    <t>Rodolphe SOULARD/FG/CT</t>
  </si>
  <si>
    <t>Date origine contrat</t>
  </si>
  <si>
    <t>31/10/2017</t>
  </si>
  <si>
    <t>DCN</t>
  </si>
  <si>
    <t>Nbre mois au renouvel.</t>
  </si>
  <si>
    <t>Chiffre d'Affaire à date</t>
  </si>
  <si>
    <t>% CA Agence</t>
  </si>
  <si>
    <r>
      <t xml:space="preserve">Ancienneté Client
</t>
    </r>
    <r>
      <rPr>
        <sz val="7"/>
        <color indexed="9"/>
        <rFont val="Arial Narrow"/>
        <family val="2"/>
      </rPr>
      <t>année</t>
    </r>
  </si>
  <si>
    <t>%Client 10 000 / Nbre total Clients</t>
  </si>
  <si>
    <t>Perdu</t>
  </si>
  <si>
    <t>Pertes sur exercice en cours</t>
  </si>
  <si>
    <t>Perte</t>
  </si>
  <si>
    <t>Orig.</t>
  </si>
  <si>
    <t>Nbre Clients concernés</t>
  </si>
  <si>
    <t>% CA perdu vs Global Agence</t>
  </si>
  <si>
    <t>Civilité</t>
  </si>
  <si>
    <t>Mme</t>
  </si>
  <si>
    <t>Prénom</t>
  </si>
  <si>
    <t>M.</t>
  </si>
  <si>
    <t>30/09/2017</t>
  </si>
  <si>
    <t xml:space="preserve">30/09/2017                     </t>
  </si>
  <si>
    <t>Impact Comptes Nationaux vs CA Ag.</t>
  </si>
  <si>
    <t>4 mois</t>
  </si>
  <si>
    <t>8 mois</t>
  </si>
  <si>
    <t xml:space="preserve">renouvellement à </t>
  </si>
  <si>
    <t>Listes</t>
  </si>
  <si>
    <t>REG</t>
  </si>
  <si>
    <t>AO</t>
  </si>
  <si>
    <t>ORIGINE</t>
  </si>
  <si>
    <t>RISQUE</t>
  </si>
  <si>
    <t>FORT</t>
  </si>
  <si>
    <t>IMPORTANT</t>
  </si>
  <si>
    <t>Reconduction</t>
  </si>
  <si>
    <t>Durée</t>
  </si>
  <si>
    <r>
      <t xml:space="preserve">Interlocuteur Client </t>
    </r>
    <r>
      <rPr>
        <b/>
        <sz val="11"/>
        <color rgb="FF002060"/>
        <rFont val="Arial Narrow"/>
        <family val="2"/>
      </rPr>
      <t>#2</t>
    </r>
  </si>
  <si>
    <r>
      <t>Interlocuteur Client</t>
    </r>
    <r>
      <rPr>
        <b/>
        <sz val="11"/>
        <color rgb="FF002060"/>
        <rFont val="Arial Narrow"/>
        <family val="2"/>
      </rPr>
      <t xml:space="preserve"> #1</t>
    </r>
  </si>
  <si>
    <t>Melle</t>
  </si>
  <si>
    <t>Fonction</t>
  </si>
  <si>
    <t>Liste Chefs Secteur</t>
  </si>
  <si>
    <t>DA COSTA Tiago</t>
  </si>
  <si>
    <t>GUITTON Arnaud</t>
  </si>
  <si>
    <t>MORAT Vanessa</t>
  </si>
  <si>
    <t>MORIN Cédric</t>
  </si>
  <si>
    <t>RAMOS Antonio</t>
  </si>
  <si>
    <t>DANOT Sylvia</t>
  </si>
  <si>
    <t>ARHEL Valérie</t>
  </si>
  <si>
    <t>CHAUVIRE Julien</t>
  </si>
  <si>
    <t>GAECKLER Annick</t>
  </si>
  <si>
    <t>Orléans_CdS</t>
  </si>
  <si>
    <t>Bourges_CdS</t>
  </si>
  <si>
    <t>TOURNAYE Raphaël</t>
  </si>
  <si>
    <t>CALUCEIRA Claude</t>
  </si>
  <si>
    <t>JOHARANE Marie-Ch.</t>
  </si>
  <si>
    <t>BLIN Francis</t>
  </si>
  <si>
    <t>GLOMERON Sandrine</t>
  </si>
  <si>
    <t>GENTY Caroline</t>
  </si>
  <si>
    <t>FORESTIER Jean-Cyril</t>
  </si>
  <si>
    <t>Nantes_CdS</t>
  </si>
  <si>
    <t>Chauray_CdS</t>
  </si>
  <si>
    <t>Rennes Tert_CdS</t>
  </si>
  <si>
    <t>Multiples</t>
  </si>
  <si>
    <r>
      <t xml:space="preserve">Interlocuteur Client </t>
    </r>
    <r>
      <rPr>
        <b/>
        <sz val="11"/>
        <color rgb="FF002060"/>
        <rFont val="Arial Narrow"/>
        <family val="2"/>
      </rPr>
      <t>#3</t>
    </r>
  </si>
  <si>
    <t>DI</t>
  </si>
  <si>
    <t>Nom</t>
  </si>
  <si>
    <t>È</t>
  </si>
  <si>
    <t>Total TOP 35 - % TOP 35 vs CA total</t>
  </si>
  <si>
    <t>Total TOP 30 - % TOP 30 vs CA total</t>
  </si>
  <si>
    <t>Total TOP 30 DCN - % vs CA total</t>
  </si>
  <si>
    <t>Total TOP 30 AO P - % vs CA total</t>
  </si>
  <si>
    <t>Total TOP 30 DI C - % vs CA total</t>
  </si>
  <si>
    <t>Total TOP 10 000 - % TOP 10 000 vs CA total</t>
  </si>
  <si>
    <t>Total TOP 35 DCN - % vs CA total</t>
  </si>
  <si>
    <t>Total TOP 35 AO P - % vs CA total</t>
  </si>
  <si>
    <t>Total TOP 35 DI C - % vs CA total</t>
  </si>
  <si>
    <t>Total TOP 35 REG - % vs CA total</t>
  </si>
  <si>
    <t>Total TOP 30 REG - % vs CA total</t>
  </si>
  <si>
    <t>Total TOP 10 Ke DCN - % vs CA total</t>
  </si>
  <si>
    <t>Total TOP 10 Ke AO P - % vs CA total</t>
  </si>
  <si>
    <t>Total TOP 10 Ke DI C - % vs CA total</t>
  </si>
  <si>
    <t>Total TOP 10 Ke REG - % vs CA total</t>
  </si>
  <si>
    <t>Impact AO Publics vs CA Ag.</t>
  </si>
  <si>
    <t>Impact Dév. Commercial vs CA Ag.</t>
  </si>
  <si>
    <t>Impact Dév. Régional vs CA Ag.</t>
  </si>
  <si>
    <t>Statut</t>
  </si>
  <si>
    <t>% CA actif vs Global Agence</t>
  </si>
  <si>
    <t>Date  origine fin contrat</t>
  </si>
  <si>
    <t>Tacite Reconduction</t>
  </si>
  <si>
    <t>O / N</t>
  </si>
  <si>
    <t>OuiNon</t>
  </si>
  <si>
    <t>O</t>
  </si>
  <si>
    <t>N</t>
  </si>
  <si>
    <t>Nvelle Date fin contrat</t>
  </si>
  <si>
    <t>Responsable Client_CdS</t>
  </si>
  <si>
    <t>DUFUS</t>
  </si>
  <si>
    <t>Frédéric</t>
  </si>
  <si>
    <t>Catherine</t>
  </si>
  <si>
    <t>CHOPIN</t>
  </si>
  <si>
    <t>C.</t>
  </si>
  <si>
    <t>Florent</t>
  </si>
  <si>
    <t>Viala</t>
  </si>
  <si>
    <t>Bejanin</t>
  </si>
  <si>
    <t>Primault</t>
  </si>
  <si>
    <t>M. LE MEZZO</t>
  </si>
  <si>
    <t>Vitrac-Lasalle</t>
  </si>
  <si>
    <t>LEGOFF</t>
  </si>
  <si>
    <t>Tacite reconduction</t>
  </si>
  <si>
    <t>Rennes Ind_CdS</t>
  </si>
  <si>
    <t>Reconduit</t>
  </si>
  <si>
    <t>Renouvellement à</t>
  </si>
  <si>
    <t>BUT</t>
  </si>
  <si>
    <t>CONFORAMA</t>
  </si>
  <si>
    <t>31/01/2017</t>
  </si>
  <si>
    <t>28/02/2017</t>
  </si>
  <si>
    <t>Nouveau</t>
  </si>
  <si>
    <t>Inderm.</t>
  </si>
  <si>
    <t>Cce</t>
  </si>
  <si>
    <t>10 mois</t>
  </si>
  <si>
    <t>Origine</t>
  </si>
  <si>
    <t>RDV pour litige commande - MAE</t>
  </si>
  <si>
    <t>Fort</t>
  </si>
  <si>
    <t>10/10/2016</t>
  </si>
  <si>
    <t>FG</t>
  </si>
  <si>
    <t>Catherine BREYTON</t>
  </si>
  <si>
    <t>RDV Commerciale - Site IFFSTAR</t>
  </si>
  <si>
    <t>22/11/2016</t>
  </si>
  <si>
    <t>SM/FG</t>
  </si>
  <si>
    <t>Florent VIALLA</t>
  </si>
  <si>
    <t>Réunion trimestrielle</t>
  </si>
  <si>
    <t>12/10/16</t>
  </si>
  <si>
    <t>VBK/CT/CS</t>
  </si>
  <si>
    <t>Mr Primault/MR Bejanin/Md Vitrac-Lasalle/Mr Le Mezzo</t>
  </si>
  <si>
    <t>13/01/16</t>
  </si>
  <si>
    <t>Mr Primault/MR Bejanin/Md Vitrac-Lasalle/Mr Rosière</t>
  </si>
  <si>
    <t>visite AO FILACTION</t>
  </si>
  <si>
    <t>6/02:17</t>
  </si>
  <si>
    <t>A.Ramard/C.Taupin</t>
  </si>
  <si>
    <t>Mr Primault/Md Vitrac-Lasalle</t>
  </si>
  <si>
    <t>réunion mensuelle</t>
  </si>
  <si>
    <t>moyen</t>
  </si>
  <si>
    <t>F.Guibert/CT</t>
  </si>
  <si>
    <t>Mr Morand/Mr Legoff</t>
  </si>
  <si>
    <t>Revue d'activité annuelle</t>
  </si>
  <si>
    <t>C.LEGOFF/F.CARRIOU</t>
  </si>
  <si>
    <t>05/10/2016 - 26/10/2016</t>
  </si>
  <si>
    <t>SM/FG/CT</t>
  </si>
  <si>
    <t>Christian SIRE</t>
  </si>
  <si>
    <t>Réunion pour élaboration CDC - Atlantic GFC</t>
  </si>
  <si>
    <t>03/11/2016</t>
  </si>
  <si>
    <t>Céline BOURREAU</t>
  </si>
  <si>
    <t>Réunion trimestrielle - Cloture Plan d'action</t>
  </si>
  <si>
    <t>21/12/2016</t>
  </si>
  <si>
    <t>Visite commerciale mensuelle</t>
  </si>
  <si>
    <t>Déjeuner commercial</t>
  </si>
  <si>
    <t>Point annuel</t>
  </si>
  <si>
    <t>Moyen</t>
  </si>
  <si>
    <t>10/02/2017</t>
  </si>
  <si>
    <t>Frédéric DUFUS</t>
  </si>
  <si>
    <t>Risque Client</t>
  </si>
  <si>
    <r>
      <t xml:space="preserve">CA total de référence - </t>
    </r>
    <r>
      <rPr>
        <b/>
        <sz val="11"/>
        <color rgb="FFC00000"/>
        <rFont val="Arial Narrow"/>
        <family val="2"/>
      </rPr>
      <t>30 sep. 2017</t>
    </r>
  </si>
  <si>
    <t>HYDROVIDE</t>
  </si>
  <si>
    <t>INTERMARCHE Base</t>
  </si>
  <si>
    <r>
      <t>CA total de référence -</t>
    </r>
    <r>
      <rPr>
        <b/>
        <sz val="11"/>
        <color rgb="FF002060"/>
        <rFont val="Arial Narrow"/>
        <family val="2"/>
      </rPr>
      <t xml:space="preserve"> 30 sep. 2017</t>
    </r>
  </si>
  <si>
    <t>LA POSTE</t>
  </si>
  <si>
    <t>BREST</t>
  </si>
  <si>
    <t>ANGERS</t>
  </si>
  <si>
    <t>048 - Angers</t>
  </si>
  <si>
    <t>011_BREST</t>
  </si>
  <si>
    <t>Engineering</t>
  </si>
  <si>
    <t>CARREFOUR</t>
  </si>
  <si>
    <t>ECONO</t>
  </si>
  <si>
    <t xml:space="preserve">BARBA      </t>
  </si>
  <si>
    <t>AFM</t>
  </si>
  <si>
    <t>Intermarché</t>
  </si>
  <si>
    <t xml:space="preserve">SIMRA                </t>
  </si>
  <si>
    <t xml:space="preserve">LIDL                     </t>
  </si>
  <si>
    <t xml:space="preserve">CONSTRUCTION SA          </t>
  </si>
  <si>
    <t>Varadeas</t>
  </si>
  <si>
    <t xml:space="preserve">MAAF                 </t>
  </si>
  <si>
    <t>KERIA</t>
  </si>
  <si>
    <t xml:space="preserve">CG PAYS DE LA LOIRE        </t>
  </si>
  <si>
    <t xml:space="preserve">MATFORM                  </t>
  </si>
  <si>
    <t>CORP. SA</t>
  </si>
  <si>
    <t xml:space="preserve">SICLI BTP                  </t>
  </si>
  <si>
    <t xml:space="preserve">AIR Dépôt   </t>
  </si>
  <si>
    <t>ESPACE</t>
  </si>
  <si>
    <t>AEROSYSTEMS France</t>
  </si>
  <si>
    <t>BTB</t>
  </si>
  <si>
    <t>LVMH</t>
  </si>
  <si>
    <t>HABITAT BZH</t>
  </si>
  <si>
    <t>CHANTIERS ATLANTIQUE</t>
  </si>
  <si>
    <t>DECA France</t>
  </si>
  <si>
    <t>AG France</t>
  </si>
  <si>
    <t>AEROSPACIALE</t>
  </si>
  <si>
    <t>ATLANT galerie</t>
  </si>
  <si>
    <t>Manutention de Bretagne</t>
  </si>
  <si>
    <t>BRO</t>
  </si>
  <si>
    <t>BIC</t>
  </si>
  <si>
    <t xml:space="preserve">France DEPOT        </t>
  </si>
  <si>
    <t>CIGUR</t>
  </si>
  <si>
    <t>Angers</t>
  </si>
  <si>
    <t>Brest</t>
  </si>
  <si>
    <t>RESAH</t>
  </si>
  <si>
    <t>France Propreté</t>
  </si>
  <si>
    <t xml:space="preserve">France MANUT           </t>
  </si>
  <si>
    <t>FREE</t>
  </si>
  <si>
    <t>CRCD</t>
  </si>
  <si>
    <t xml:space="preserve">Agence KAPPA                      </t>
  </si>
  <si>
    <t xml:space="preserve">JC ROUX                          </t>
  </si>
  <si>
    <t xml:space="preserve">LINDE                      </t>
  </si>
  <si>
    <t>MAAF</t>
  </si>
  <si>
    <t>MEUNIER</t>
  </si>
  <si>
    <t>GATT</t>
  </si>
  <si>
    <t>TERRITORIALE</t>
  </si>
  <si>
    <t>BGP LOGISTIC</t>
  </si>
  <si>
    <t>SAINT ARSULA</t>
  </si>
  <si>
    <t>MARKET PROJECT</t>
  </si>
  <si>
    <t xml:space="preserve">FRANCAISE DU CENTRE         </t>
  </si>
  <si>
    <t xml:space="preserve">LESAGE                      </t>
  </si>
  <si>
    <t>GEDCAF</t>
  </si>
  <si>
    <t>EFS</t>
  </si>
  <si>
    <t>ATAC</t>
  </si>
  <si>
    <t>MECA FORM</t>
  </si>
  <si>
    <t>LE POINCONNET</t>
  </si>
  <si>
    <t>CONSEIL GENERAL ANJOU</t>
  </si>
  <si>
    <t>BATTERIES SMECTA</t>
  </si>
  <si>
    <t>SIROP LORGEAT</t>
  </si>
  <si>
    <t>MATLOR</t>
  </si>
  <si>
    <t xml:space="preserve">LINDE </t>
  </si>
  <si>
    <t>France BOISSON</t>
  </si>
  <si>
    <t>MATLUR</t>
  </si>
  <si>
    <t>SOCIETE PRINCLIB</t>
  </si>
</sst>
</file>

<file path=xl/styles.xml><?xml version="1.0" encoding="utf-8"?>
<styleSheet xmlns="http://schemas.openxmlformats.org/spreadsheetml/2006/main">
  <numFmts count="12">
    <numFmt numFmtId="5" formatCode="#,##0\ &quot;€&quot;;\-#,##0\ &quot;€&quot;"/>
    <numFmt numFmtId="6" formatCode="#,##0\ &quot;€&quot;;[Red]\-#,##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0;\(0\)"/>
    <numFmt numFmtId="165" formatCode="00"/>
    <numFmt numFmtId="166" formatCode="#,##0.0%"/>
    <numFmt numFmtId="167" formatCode="0.0%"/>
    <numFmt numFmtId="168" formatCode="_-* #,##0\ &quot;€&quot;_-;\-* #,##0\ &quot;€&quot;_-;_-* &quot;-&quot;??\ &quot;€&quot;_-;_-@_-"/>
    <numFmt numFmtId="169" formatCode="[$-40C]mmm\-yy;@"/>
    <numFmt numFmtId="170" formatCode="#,##0\ &quot;€&quot;"/>
    <numFmt numFmtId="171" formatCode="0\ &quot;mois&quot;"/>
  </numFmts>
  <fonts count="77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Arial Narrow"/>
      <family val="2"/>
    </font>
    <font>
      <b/>
      <sz val="14"/>
      <color rgb="FF000000"/>
      <name val="Arial Narrow"/>
      <family val="2"/>
    </font>
    <font>
      <sz val="22"/>
      <color theme="1"/>
      <name val="Arial Narrow"/>
      <family val="2"/>
    </font>
    <font>
      <sz val="9"/>
      <color rgb="FF333333"/>
      <name val="Arial Narrow"/>
      <family val="2"/>
    </font>
    <font>
      <b/>
      <sz val="9"/>
      <color rgb="FFFFFFFF"/>
      <name val="Arial Narrow"/>
      <family val="2"/>
    </font>
    <font>
      <b/>
      <sz val="8"/>
      <color rgb="FFFFFFFF"/>
      <name val="Arial Narrow"/>
      <family val="2"/>
    </font>
    <font>
      <b/>
      <sz val="7"/>
      <color rgb="FFFFFFFF"/>
      <name val="Arial Narrow"/>
      <family val="2"/>
    </font>
    <font>
      <b/>
      <sz val="7"/>
      <color indexed="9"/>
      <name val="Arial Narrow"/>
      <family val="2"/>
    </font>
    <font>
      <b/>
      <sz val="9"/>
      <color rgb="FF000000"/>
      <name val="Arial Narrow"/>
      <family val="2"/>
    </font>
    <font>
      <sz val="9"/>
      <color rgb="FF000000"/>
      <name val="Arial Narrow"/>
      <family val="2"/>
    </font>
    <font>
      <sz val="11"/>
      <color theme="0"/>
      <name val="Arial Narrow"/>
      <family val="2"/>
    </font>
    <font>
      <sz val="10"/>
      <color rgb="FF000000"/>
      <name val="Arial Narrow"/>
      <family val="2"/>
    </font>
    <font>
      <sz val="10"/>
      <color indexed="8"/>
      <name val="Arial Narrow"/>
      <family val="2"/>
    </font>
    <font>
      <sz val="10"/>
      <color theme="1"/>
      <name val="Arial Narrow"/>
      <family val="2"/>
    </font>
    <font>
      <b/>
      <sz val="10"/>
      <color rgb="FF000000"/>
      <name val="Arial Narrow"/>
      <family val="2"/>
    </font>
    <font>
      <b/>
      <strike/>
      <sz val="10"/>
      <color rgb="FF000000"/>
      <name val="Arial Narrow"/>
      <family val="2"/>
    </font>
    <font>
      <strike/>
      <sz val="10"/>
      <color rgb="FF000000"/>
      <name val="Arial Narrow"/>
      <family val="2"/>
    </font>
    <font>
      <strike/>
      <sz val="10"/>
      <color indexed="8"/>
      <name val="Arial Narrow"/>
      <family val="2"/>
    </font>
    <font>
      <b/>
      <sz val="14"/>
      <color rgb="FFC00000"/>
      <name val="Arial Narrow"/>
      <family val="2"/>
    </font>
    <font>
      <sz val="14"/>
      <color theme="1"/>
      <name val="Arial Narrow"/>
      <family val="2"/>
    </font>
    <font>
      <sz val="14"/>
      <color rgb="FFC00000"/>
      <name val="Arial Narrow"/>
      <family val="2"/>
    </font>
    <font>
      <sz val="10"/>
      <color rgb="FF002060"/>
      <name val="Arial Narrow"/>
      <family val="2"/>
    </font>
    <font>
      <b/>
      <sz val="11"/>
      <color theme="0"/>
      <name val="Arial Narrow"/>
      <family val="2"/>
    </font>
    <font>
      <sz val="11"/>
      <color rgb="FF000000"/>
      <name val="Arial Narrow"/>
      <family val="2"/>
    </font>
    <font>
      <b/>
      <sz val="11"/>
      <color rgb="FFFFFFFF"/>
      <name val="Arial Narrow"/>
      <family val="2"/>
    </font>
    <font>
      <sz val="7"/>
      <color indexed="9"/>
      <name val="Arial Narrow"/>
      <family val="2"/>
    </font>
    <font>
      <b/>
      <sz val="12"/>
      <color rgb="FFC00000"/>
      <name val="Arial Narrow"/>
      <family val="2"/>
    </font>
    <font>
      <sz val="10"/>
      <color rgb="FFFF0000"/>
      <name val="Arial Narrow"/>
      <family val="2"/>
    </font>
    <font>
      <sz val="8"/>
      <color theme="1"/>
      <name val="Arial Narrow"/>
      <family val="2"/>
    </font>
    <font>
      <b/>
      <sz val="10"/>
      <color theme="1"/>
      <name val="Arial Narrow"/>
      <family val="2"/>
    </font>
    <font>
      <b/>
      <sz val="11"/>
      <color rgb="FFFF0000"/>
      <name val="Arial Narrow"/>
      <family val="2"/>
    </font>
    <font>
      <b/>
      <sz val="10"/>
      <color rgb="FF002060"/>
      <name val="Arial Narrow"/>
      <family val="2"/>
    </font>
    <font>
      <sz val="9"/>
      <color indexed="81"/>
      <name val="Arial Narrow"/>
      <family val="2"/>
    </font>
    <font>
      <sz val="10"/>
      <name val="Arial Narrow"/>
      <family val="2"/>
    </font>
    <font>
      <sz val="9"/>
      <color rgb="FF002060"/>
      <name val="Arial Narrow"/>
      <family val="2"/>
    </font>
    <font>
      <b/>
      <sz val="10"/>
      <color rgb="FFFF0000"/>
      <name val="Arial Narrow"/>
      <family val="2"/>
    </font>
    <font>
      <sz val="11"/>
      <color rgb="FF002060"/>
      <name val="Arial Narrow"/>
      <family val="2"/>
    </font>
    <font>
      <b/>
      <sz val="12"/>
      <color theme="0"/>
      <name val="Arial Narrow"/>
      <family val="2"/>
    </font>
    <font>
      <b/>
      <sz val="12"/>
      <color rgb="FF002060"/>
      <name val="Arial Narrow"/>
      <family val="2"/>
    </font>
    <font>
      <b/>
      <sz val="13"/>
      <color theme="0"/>
      <name val="Arial Narrow"/>
      <family val="2"/>
    </font>
    <font>
      <b/>
      <sz val="13"/>
      <color rgb="FF002060"/>
      <name val="Arial Narrow"/>
      <family val="2"/>
    </font>
    <font>
      <b/>
      <sz val="18"/>
      <color theme="0"/>
      <name val="Arial Narrow"/>
      <family val="2"/>
    </font>
    <font>
      <b/>
      <sz val="11"/>
      <color rgb="FF002060"/>
      <name val="Arial Narrow"/>
      <family val="2"/>
    </font>
    <font>
      <sz val="10"/>
      <color rgb="FFC00000"/>
      <name val="Arial Narrow"/>
      <family val="2"/>
    </font>
    <font>
      <b/>
      <sz val="7"/>
      <color theme="0"/>
      <name val="Arial Narrow"/>
      <family val="2"/>
    </font>
    <font>
      <sz val="10"/>
      <color theme="0"/>
      <name val="Arial Narrow"/>
      <family val="2"/>
    </font>
    <font>
      <b/>
      <sz val="10"/>
      <color rgb="FFC00000"/>
      <name val="Arial Narrow"/>
      <family val="2"/>
    </font>
    <font>
      <sz val="10"/>
      <color rgb="FFC00000"/>
      <name val="Wingdings 3"/>
      <family val="1"/>
      <charset val="2"/>
    </font>
    <font>
      <b/>
      <sz val="10"/>
      <color theme="0"/>
      <name val="Arial Narrow"/>
      <family val="2"/>
    </font>
    <font>
      <b/>
      <sz val="12.5"/>
      <color theme="0"/>
      <name val="Arial Narrow"/>
      <family val="2"/>
    </font>
    <font>
      <b/>
      <sz val="12.5"/>
      <color rgb="FF002060"/>
      <name val="Arial Narrow"/>
      <family val="2"/>
    </font>
    <font>
      <sz val="9"/>
      <color theme="1"/>
      <name val="Arial Narrow"/>
      <family val="2"/>
    </font>
    <font>
      <b/>
      <sz val="11"/>
      <color theme="1"/>
      <name val="Arial Narrow"/>
      <family val="2"/>
    </font>
    <font>
      <b/>
      <sz val="9"/>
      <color rgb="FF002060"/>
      <name val="Arial Narrow"/>
      <family val="2"/>
    </font>
    <font>
      <b/>
      <sz val="9"/>
      <color theme="1"/>
      <name val="Arial Narrow"/>
      <family val="2"/>
    </font>
    <font>
      <b/>
      <sz val="9"/>
      <color indexed="9"/>
      <name val="Arial Narrow"/>
      <family val="2"/>
    </font>
    <font>
      <b/>
      <sz val="9"/>
      <color theme="0"/>
      <name val="Arial Narrow"/>
      <family val="2"/>
    </font>
    <font>
      <sz val="9"/>
      <color indexed="9"/>
      <name val="Arial Narrow"/>
      <family val="2"/>
    </font>
    <font>
      <sz val="9"/>
      <color rgb="FFFF0000"/>
      <name val="Arial Narrow"/>
      <family val="2"/>
    </font>
    <font>
      <b/>
      <sz val="11"/>
      <color rgb="FFC00000"/>
      <name val="Arial Narrow"/>
      <family val="2"/>
    </font>
    <font>
      <sz val="9"/>
      <color rgb="FFFFFFFF"/>
      <name val="Arial Narrow"/>
      <family val="2"/>
    </font>
    <font>
      <b/>
      <sz val="8"/>
      <color theme="0"/>
      <name val="Arial Narrow"/>
      <family val="2"/>
    </font>
    <font>
      <b/>
      <sz val="7"/>
      <color indexed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b/>
      <sz val="9"/>
      <color indexed="8"/>
      <name val="Arial"/>
      <family val="2"/>
    </font>
    <font>
      <sz val="11"/>
      <color rgb="FF002060"/>
      <name val="Calibri"/>
      <family val="2"/>
      <scheme val="minor"/>
    </font>
    <font>
      <sz val="11"/>
      <color rgb="FFFF0000"/>
      <name val="Arial Narrow"/>
      <family val="2"/>
    </font>
    <font>
      <b/>
      <sz val="8"/>
      <color rgb="FFFF0000"/>
      <name val="Arial Narrow"/>
      <family val="2"/>
    </font>
    <font>
      <sz val="8"/>
      <color rgb="FFFF0000"/>
      <name val="Arial Narrow"/>
      <family val="2"/>
    </font>
  </fonts>
  <fills count="39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FFFF"/>
        <bgColor rgb="FFFFFFFF"/>
      </patternFill>
    </fill>
    <fill>
      <patternFill patternType="solid">
        <fgColor rgb="FFFF0000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indexed="9"/>
        <bgColor indexed="9"/>
      </patternFill>
    </fill>
    <fill>
      <patternFill patternType="solid">
        <fgColor indexed="10"/>
        <bgColor indexed="9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C00000"/>
        <bgColor rgb="FFFFFFFF"/>
      </patternFill>
    </fill>
    <fill>
      <patternFill patternType="solid">
        <fgColor rgb="FF002060"/>
        <bgColor rgb="FFFFFFFF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FFFFFF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9"/>
      </patternFill>
    </fill>
    <fill>
      <patternFill patternType="solid">
        <fgColor rgb="FF7030A0"/>
        <bgColor indexed="9"/>
      </patternFill>
    </fill>
    <fill>
      <patternFill patternType="solid">
        <fgColor theme="2" tint="-0.499984740745262"/>
        <bgColor indexed="9"/>
      </patternFill>
    </fill>
    <fill>
      <patternFill patternType="solid">
        <fgColor theme="1" tint="0.499984740745262"/>
        <bgColor indexed="9"/>
      </patternFill>
    </fill>
    <fill>
      <patternFill patternType="solid">
        <fgColor theme="4" tint="-0.249977111117893"/>
        <bgColor indexed="9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 tint="0.499984740745262"/>
        <bgColor rgb="FFFFFFFF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rgb="FFFFFFFF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rgb="FFFFFFFF"/>
      </patternFill>
    </fill>
    <fill>
      <patternFill patternType="solid">
        <fgColor rgb="FF7030A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34998626667073579"/>
        <bgColor indexed="9"/>
      </patternFill>
    </fill>
    <fill>
      <patternFill patternType="solid">
        <fgColor theme="0" tint="-0.34998626667073579"/>
        <bgColor indexed="64"/>
      </patternFill>
    </fill>
  </fills>
  <borders count="102">
    <border>
      <left/>
      <right/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CACAD9"/>
      </left>
      <right style="thin">
        <color rgb="FFCACAD9"/>
      </right>
      <top style="thin">
        <color rgb="FFCACAD9"/>
      </top>
      <bottom/>
      <diagonal/>
    </border>
    <border>
      <left/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CACAD9"/>
      </right>
      <top style="thin">
        <color rgb="FFCACAD9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rgb="FFCAC9D9"/>
      </top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/>
      <right/>
      <top style="thin">
        <color theme="0"/>
      </top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rgb="FFCACAD9"/>
      </left>
      <right/>
      <top style="thin">
        <color rgb="FFCACAD9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rgb="FFC00000"/>
      </top>
      <bottom style="thin">
        <color rgb="FFC00000"/>
      </bottom>
      <diagonal/>
    </border>
    <border>
      <left style="thin">
        <color theme="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C00000"/>
      </left>
      <right/>
      <top style="thin">
        <color rgb="FFC00000"/>
      </top>
      <bottom style="thin">
        <color rgb="FFC00000"/>
      </bottom>
      <diagonal/>
    </border>
    <border>
      <left/>
      <right/>
      <top style="thin">
        <color rgb="FFC00000"/>
      </top>
      <bottom style="thin">
        <color rgb="FFC00000"/>
      </bottom>
      <diagonal/>
    </border>
    <border>
      <left style="thin">
        <color rgb="FF002060"/>
      </left>
      <right style="thin">
        <color theme="0"/>
      </right>
      <top style="thin">
        <color rgb="FF00206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rgb="FF002060"/>
      </top>
      <bottom style="thin">
        <color theme="0"/>
      </bottom>
      <diagonal/>
    </border>
    <border>
      <left style="thin">
        <color theme="0"/>
      </left>
      <right style="thin">
        <color rgb="FF002060"/>
      </right>
      <top style="thin">
        <color rgb="FF002060"/>
      </top>
      <bottom style="thin">
        <color theme="0"/>
      </bottom>
      <diagonal/>
    </border>
    <border>
      <left style="thin">
        <color rgb="FF00206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rgb="FF002060"/>
      </right>
      <top style="thin">
        <color theme="0"/>
      </top>
      <bottom style="thin">
        <color theme="0"/>
      </bottom>
      <diagonal/>
    </border>
    <border>
      <left style="thin">
        <color rgb="FF002060"/>
      </left>
      <right style="thin">
        <color theme="0"/>
      </right>
      <top style="thin">
        <color theme="0"/>
      </top>
      <bottom style="thin">
        <color rgb="FFCAC9D9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rgb="FFCAC9D9"/>
      </bottom>
      <diagonal/>
    </border>
    <border>
      <left style="thin">
        <color theme="0"/>
      </left>
      <right style="thin">
        <color rgb="FF002060"/>
      </right>
      <top style="thin">
        <color theme="0"/>
      </top>
      <bottom style="thin">
        <color rgb="FFCAC9D9"/>
      </bottom>
      <diagonal/>
    </border>
    <border>
      <left style="thin">
        <color rgb="FFC00000"/>
      </left>
      <right style="thin">
        <color theme="0"/>
      </right>
      <top style="thin">
        <color rgb="FFC00000"/>
      </top>
      <bottom style="thin">
        <color rgb="FFC00000"/>
      </bottom>
      <diagonal/>
    </border>
    <border>
      <left style="thin">
        <color theme="0"/>
      </left>
      <right style="thin">
        <color theme="0"/>
      </right>
      <top style="thin">
        <color rgb="FFC00000"/>
      </top>
      <bottom style="thin">
        <color rgb="FFC00000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002060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theme="0"/>
      </bottom>
      <diagonal/>
    </border>
    <border>
      <left style="thin">
        <color rgb="FF00206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rgb="FF002060"/>
      </right>
      <top style="thin">
        <color theme="0"/>
      </top>
      <bottom/>
      <diagonal/>
    </border>
    <border>
      <left style="thin">
        <color rgb="FF002060"/>
      </left>
      <right style="thin">
        <color theme="0"/>
      </right>
      <top style="thin">
        <color rgb="FF002060"/>
      </top>
      <bottom style="thin">
        <color rgb="FF002060"/>
      </bottom>
      <diagonal/>
    </border>
    <border>
      <left style="thin">
        <color theme="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theme="0"/>
      </left>
      <right style="thin">
        <color theme="0"/>
      </right>
      <top style="thin">
        <color rgb="FF002060"/>
      </top>
      <bottom style="thin">
        <color rgb="FF002060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6" tint="0.79998168889431442"/>
      </top>
      <bottom style="thin">
        <color theme="6" tint="0.79998168889431442"/>
      </bottom>
      <diagonal/>
    </border>
    <border>
      <left style="thin">
        <color rgb="FF002060"/>
      </left>
      <right style="thin">
        <color theme="0"/>
      </right>
      <top style="thin">
        <color rgb="FFCAC9D9"/>
      </top>
      <bottom style="thin">
        <color rgb="FF002060"/>
      </bottom>
      <diagonal/>
    </border>
    <border>
      <left style="thin">
        <color theme="0"/>
      </left>
      <right style="thin">
        <color theme="0"/>
      </right>
      <top style="thin">
        <color rgb="FFCAC9D9"/>
      </top>
      <bottom style="thin">
        <color rgb="FF002060"/>
      </bottom>
      <diagonal/>
    </border>
    <border>
      <left style="thin">
        <color theme="0"/>
      </left>
      <right style="thin">
        <color rgb="FF002060"/>
      </right>
      <top style="thin">
        <color rgb="FFCAC9D9"/>
      </top>
      <bottom style="thin">
        <color rgb="FF002060"/>
      </bottom>
      <diagonal/>
    </border>
    <border>
      <left style="thin">
        <color rgb="FF002060"/>
      </left>
      <right style="thin">
        <color theme="0"/>
      </right>
      <top style="thin">
        <color theme="0"/>
      </top>
      <bottom style="thin">
        <color rgb="FF002060"/>
      </bottom>
      <diagonal/>
    </border>
    <border>
      <left style="thin">
        <color theme="0"/>
      </left>
      <right style="thin">
        <color rgb="FF002060"/>
      </right>
      <top style="thin">
        <color theme="0"/>
      </top>
      <bottom style="thin">
        <color rgb="FF00206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indexed="22"/>
      </right>
      <top style="thin">
        <color indexed="8"/>
      </top>
      <bottom/>
      <diagonal/>
    </border>
    <border>
      <left style="thin">
        <color indexed="8"/>
      </left>
      <right style="thin">
        <color indexed="22"/>
      </right>
      <top style="thin">
        <color indexed="8"/>
      </top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8">
    <xf numFmtId="0" fontId="0" fillId="0" borderId="0"/>
    <xf numFmtId="0" fontId="1" fillId="2" borderId="0" applyNumberFormat="0" applyBorder="0" applyAlignment="0" applyProtection="0"/>
    <xf numFmtId="0" fontId="2" fillId="0" borderId="0"/>
    <xf numFmtId="0" fontId="3" fillId="0" borderId="0"/>
    <xf numFmtId="0" fontId="3" fillId="0" borderId="0"/>
    <xf numFmtId="0" fontId="2" fillId="0" borderId="0"/>
    <xf numFmtId="0" fontId="2" fillId="0" borderId="0"/>
    <xf numFmtId="9" fontId="4" fillId="0" borderId="0" applyFont="0" applyFill="0" applyBorder="0" applyAlignment="0" applyProtection="0"/>
  </cellStyleXfs>
  <cellXfs count="663">
    <xf numFmtId="0" fontId="0" fillId="0" borderId="0" xfId="0"/>
    <xf numFmtId="49" fontId="21" fillId="3" borderId="9" xfId="0" applyNumberFormat="1" applyFont="1" applyFill="1" applyBorder="1" applyAlignment="1" applyProtection="1">
      <alignment horizontal="left" vertical="center"/>
      <protection locked="0"/>
    </xf>
    <xf numFmtId="49" fontId="21" fillId="3" borderId="11" xfId="0" applyNumberFormat="1" applyFont="1" applyFill="1" applyBorder="1" applyAlignment="1" applyProtection="1">
      <alignment horizontal="left" vertical="center"/>
      <protection locked="0"/>
    </xf>
    <xf numFmtId="49" fontId="21" fillId="3" borderId="6" xfId="0" applyNumberFormat="1" applyFont="1" applyFill="1" applyBorder="1" applyAlignment="1" applyProtection="1">
      <alignment horizontal="left" vertical="center"/>
      <protection locked="0"/>
    </xf>
    <xf numFmtId="49" fontId="21" fillId="0" borderId="9" xfId="0" applyNumberFormat="1" applyFont="1" applyFill="1" applyBorder="1" applyAlignment="1" applyProtection="1">
      <alignment horizontal="left" vertical="center"/>
      <protection locked="0"/>
    </xf>
    <xf numFmtId="0" fontId="20" fillId="0" borderId="2" xfId="0" applyFont="1" applyBorder="1" applyAlignment="1" applyProtection="1">
      <alignment horizontal="center" vertical="center"/>
      <protection locked="0"/>
    </xf>
    <xf numFmtId="0" fontId="20" fillId="0" borderId="2" xfId="0" applyFont="1" applyBorder="1" applyAlignment="1" applyProtection="1">
      <alignment vertical="center"/>
      <protection locked="0"/>
    </xf>
    <xf numFmtId="14" fontId="20" fillId="0" borderId="2" xfId="0" applyNumberFormat="1" applyFont="1" applyBorder="1" applyAlignment="1" applyProtection="1">
      <alignment horizontal="center" vertical="center"/>
      <protection locked="0"/>
    </xf>
    <xf numFmtId="14" fontId="19" fillId="0" borderId="7" xfId="6" applyNumberFormat="1" applyFont="1" applyFill="1" applyBorder="1" applyAlignment="1" applyProtection="1">
      <alignment horizontal="center" vertical="center"/>
      <protection locked="0"/>
    </xf>
    <xf numFmtId="49" fontId="19" fillId="0" borderId="7" xfId="6" applyNumberFormat="1" applyFont="1" applyFill="1" applyBorder="1" applyAlignment="1" applyProtection="1">
      <alignment horizontal="center" vertical="center"/>
      <protection locked="0"/>
    </xf>
    <xf numFmtId="14" fontId="19" fillId="0" borderId="2" xfId="6" applyNumberFormat="1" applyFont="1" applyFill="1" applyBorder="1" applyAlignment="1" applyProtection="1">
      <alignment horizontal="center" vertical="center"/>
      <protection locked="0"/>
    </xf>
    <xf numFmtId="49" fontId="19" fillId="0" borderId="2" xfId="6" applyNumberFormat="1" applyFont="1" applyFill="1" applyBorder="1" applyAlignment="1" applyProtection="1">
      <alignment horizontal="center" vertical="center"/>
      <protection locked="0"/>
    </xf>
    <xf numFmtId="14" fontId="19" fillId="0" borderId="12" xfId="6" applyNumberFormat="1" applyFont="1" applyFill="1" applyBorder="1" applyAlignment="1" applyProtection="1">
      <alignment horizontal="center" vertical="center"/>
      <protection locked="0"/>
    </xf>
    <xf numFmtId="49" fontId="19" fillId="0" borderId="12" xfId="6" applyNumberFormat="1" applyFont="1" applyFill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vertical="center"/>
      <protection locked="0"/>
    </xf>
    <xf numFmtId="49" fontId="15" fillId="3" borderId="2" xfId="0" applyNumberFormat="1" applyFont="1" applyFill="1" applyBorder="1" applyAlignment="1" applyProtection="1">
      <alignment horizontal="left" vertical="center"/>
      <protection locked="0"/>
    </xf>
    <xf numFmtId="49" fontId="21" fillId="3" borderId="22" xfId="0" applyNumberFormat="1" applyFont="1" applyFill="1" applyBorder="1" applyAlignment="1" applyProtection="1">
      <alignment horizontal="left" vertical="center"/>
      <protection locked="0"/>
    </xf>
    <xf numFmtId="49" fontId="21" fillId="3" borderId="16" xfId="0" applyNumberFormat="1" applyFont="1" applyFill="1" applyBorder="1" applyAlignment="1" applyProtection="1">
      <alignment horizontal="center" vertical="center"/>
      <protection locked="0"/>
    </xf>
    <xf numFmtId="49" fontId="21" fillId="3" borderId="17" xfId="0" applyNumberFormat="1" applyFont="1" applyFill="1" applyBorder="1" applyAlignment="1" applyProtection="1">
      <alignment horizontal="center" vertical="center"/>
      <protection locked="0"/>
    </xf>
    <xf numFmtId="49" fontId="21" fillId="0" borderId="17" xfId="0" applyNumberFormat="1" applyFont="1" applyFill="1" applyBorder="1" applyAlignment="1" applyProtection="1">
      <alignment horizontal="center" vertical="center"/>
      <protection locked="0"/>
    </xf>
    <xf numFmtId="49" fontId="21" fillId="3" borderId="18" xfId="0" applyNumberFormat="1" applyFont="1" applyFill="1" applyBorder="1" applyAlignment="1" applyProtection="1">
      <alignment horizontal="center" vertical="center"/>
      <protection locked="0"/>
    </xf>
    <xf numFmtId="49" fontId="15" fillId="3" borderId="17" xfId="0" applyNumberFormat="1" applyFont="1" applyFill="1" applyBorder="1" applyAlignment="1" applyProtection="1">
      <alignment horizontal="center" vertical="center"/>
      <protection locked="0"/>
    </xf>
    <xf numFmtId="14" fontId="7" fillId="0" borderId="0" xfId="0" applyNumberFormat="1" applyFont="1" applyAlignment="1" applyProtection="1">
      <alignment vertical="center"/>
      <protection hidden="1"/>
    </xf>
    <xf numFmtId="49" fontId="24" fillId="0" borderId="0" xfId="2" applyNumberFormat="1" applyFont="1" applyFill="1" applyBorder="1" applyAlignment="1" applyProtection="1">
      <alignment horizontal="center" vertical="center"/>
      <protection hidden="1"/>
    </xf>
    <xf numFmtId="49" fontId="24" fillId="0" borderId="0" xfId="2" applyNumberFormat="1" applyFont="1" applyFill="1" applyBorder="1" applyAlignment="1" applyProtection="1">
      <alignment horizontal="left" vertical="center"/>
      <protection hidden="1"/>
    </xf>
    <xf numFmtId="49" fontId="19" fillId="0" borderId="0" xfId="2" applyNumberFormat="1" applyFont="1" applyFill="1" applyBorder="1" applyAlignment="1" applyProtection="1">
      <alignment horizontal="right" vertical="center"/>
      <protection hidden="1"/>
    </xf>
    <xf numFmtId="0" fontId="20" fillId="0" borderId="0" xfId="0" applyFont="1" applyBorder="1" applyAlignment="1" applyProtection="1">
      <alignment vertical="center"/>
      <protection hidden="1"/>
    </xf>
    <xf numFmtId="0" fontId="20" fillId="0" borderId="0" xfId="0" applyFont="1" applyFill="1" applyBorder="1" applyAlignment="1" applyProtection="1">
      <alignment vertical="center"/>
      <protection hidden="1"/>
    </xf>
    <xf numFmtId="49" fontId="19" fillId="0" borderId="0" xfId="2" applyNumberFormat="1" applyFont="1" applyFill="1" applyBorder="1" applyAlignment="1" applyProtection="1">
      <alignment horizontal="left" vertical="center"/>
      <protection hidden="1"/>
    </xf>
    <xf numFmtId="0" fontId="20" fillId="0" borderId="0" xfId="0" applyFont="1" applyAlignment="1" applyProtection="1">
      <alignment vertical="center"/>
      <protection hidden="1"/>
    </xf>
    <xf numFmtId="0" fontId="17" fillId="0" borderId="0" xfId="0" applyFont="1" applyFill="1" applyAlignment="1" applyProtection="1">
      <alignment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7" fillId="0" borderId="0" xfId="0" applyFont="1" applyAlignment="1" applyProtection="1">
      <alignment vertical="center"/>
      <protection hidden="1"/>
    </xf>
    <xf numFmtId="0" fontId="20" fillId="0" borderId="0" xfId="0" applyFont="1" applyAlignment="1" applyProtection="1">
      <alignment horizontal="center" vertical="center"/>
      <protection hidden="1"/>
    </xf>
    <xf numFmtId="0" fontId="30" fillId="0" borderId="0" xfId="2" applyFont="1" applyAlignment="1" applyProtection="1">
      <alignment vertical="center"/>
      <protection hidden="1"/>
    </xf>
    <xf numFmtId="49" fontId="15" fillId="3" borderId="0" xfId="0" applyNumberFormat="1" applyFont="1" applyFill="1" applyBorder="1" applyAlignment="1" applyProtection="1">
      <alignment horizontal="left" vertical="center"/>
      <protection hidden="1"/>
    </xf>
    <xf numFmtId="3" fontId="16" fillId="3" borderId="25" xfId="0" applyNumberFormat="1" applyFont="1" applyFill="1" applyBorder="1" applyAlignment="1" applyProtection="1">
      <alignment horizontal="right" vertical="center"/>
      <protection hidden="1"/>
    </xf>
    <xf numFmtId="3" fontId="16" fillId="3" borderId="0" xfId="0" applyNumberFormat="1" applyFont="1" applyFill="1" applyBorder="1" applyAlignment="1" applyProtection="1">
      <alignment horizontal="right" vertical="center"/>
      <protection hidden="1"/>
    </xf>
    <xf numFmtId="3" fontId="15" fillId="3" borderId="0" xfId="0" applyNumberFormat="1" applyFont="1" applyFill="1" applyBorder="1" applyAlignment="1" applyProtection="1">
      <alignment horizontal="right" vertical="center"/>
      <protection hidden="1"/>
    </xf>
    <xf numFmtId="166" fontId="16" fillId="3" borderId="0" xfId="0" applyNumberFormat="1" applyFont="1" applyFill="1" applyBorder="1" applyAlignment="1" applyProtection="1">
      <alignment horizontal="right" vertical="center"/>
      <protection hidden="1"/>
    </xf>
    <xf numFmtId="166" fontId="16" fillId="3" borderId="0" xfId="0" applyNumberFormat="1" applyFont="1" applyFill="1" applyBorder="1" applyAlignment="1" applyProtection="1">
      <alignment horizontal="center" vertical="center"/>
      <protection hidden="1"/>
    </xf>
    <xf numFmtId="49" fontId="25" fillId="3" borderId="0" xfId="0" applyNumberFormat="1" applyFont="1" applyFill="1" applyBorder="1" applyAlignment="1" applyProtection="1">
      <alignment vertical="center"/>
      <protection hidden="1"/>
    </xf>
    <xf numFmtId="0" fontId="26" fillId="0" borderId="0" xfId="0" applyFont="1" applyAlignment="1" applyProtection="1">
      <alignment horizontal="center" vertical="center"/>
      <protection hidden="1"/>
    </xf>
    <xf numFmtId="3" fontId="8" fillId="13" borderId="0" xfId="0" applyNumberFormat="1" applyFont="1" applyFill="1" applyBorder="1" applyAlignment="1" applyProtection="1">
      <alignment horizontal="center" vertical="center"/>
      <protection hidden="1"/>
    </xf>
    <xf numFmtId="164" fontId="10" fillId="3" borderId="0" xfId="0" applyNumberFormat="1" applyFont="1" applyFill="1" applyBorder="1" applyAlignment="1" applyProtection="1">
      <alignment horizontal="left" vertical="center"/>
      <protection hidden="1"/>
    </xf>
    <xf numFmtId="165" fontId="11" fillId="13" borderId="0" xfId="0" applyNumberFormat="1" applyFont="1" applyFill="1" applyBorder="1" applyAlignment="1" applyProtection="1">
      <alignment horizontal="center" vertical="center"/>
      <protection hidden="1"/>
    </xf>
    <xf numFmtId="49" fontId="12" fillId="4" borderId="19" xfId="0" applyNumberFormat="1" applyFont="1" applyFill="1" applyBorder="1" applyAlignment="1" applyProtection="1">
      <alignment horizontal="center" vertical="center" wrapText="1"/>
      <protection hidden="1"/>
    </xf>
    <xf numFmtId="49" fontId="12" fillId="4" borderId="4" xfId="0" applyNumberFormat="1" applyFont="1" applyFill="1" applyBorder="1" applyAlignment="1" applyProtection="1">
      <alignment horizontal="center" vertical="center" wrapText="1"/>
      <protection hidden="1"/>
    </xf>
    <xf numFmtId="49" fontId="27" fillId="3" borderId="0" xfId="0" applyNumberFormat="1" applyFont="1" applyFill="1" applyBorder="1" applyAlignment="1" applyProtection="1">
      <alignment horizontal="center" vertical="center"/>
      <protection hidden="1"/>
    </xf>
    <xf numFmtId="0" fontId="26" fillId="0" borderId="0" xfId="0" applyFont="1" applyBorder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center" vertical="center"/>
      <protection hidden="1"/>
    </xf>
    <xf numFmtId="0" fontId="33" fillId="0" borderId="0" xfId="0" quotePrefix="1" applyFont="1" applyAlignment="1" applyProtection="1">
      <alignment vertical="center"/>
      <protection hidden="1"/>
    </xf>
    <xf numFmtId="164" fontId="10" fillId="3" borderId="0" xfId="0" applyNumberFormat="1" applyFont="1" applyFill="1" applyBorder="1" applyAlignment="1" applyProtection="1">
      <alignment horizontal="center" vertical="center"/>
      <protection hidden="1"/>
    </xf>
    <xf numFmtId="49" fontId="21" fillId="0" borderId="0" xfId="0" applyNumberFormat="1" applyFont="1" applyFill="1" applyBorder="1" applyAlignment="1" applyProtection="1">
      <alignment horizontal="left" vertical="center"/>
      <protection hidden="1"/>
    </xf>
    <xf numFmtId="49" fontId="18" fillId="0" borderId="0" xfId="0" applyNumberFormat="1" applyFont="1" applyFill="1" applyBorder="1" applyAlignment="1" applyProtection="1">
      <alignment horizontal="center" vertical="center"/>
      <protection hidden="1"/>
    </xf>
    <xf numFmtId="3" fontId="18" fillId="0" borderId="0" xfId="0" applyNumberFormat="1" applyFont="1" applyFill="1" applyBorder="1" applyAlignment="1" applyProtection="1">
      <alignment horizontal="right" vertical="center"/>
      <protection hidden="1"/>
    </xf>
    <xf numFmtId="3" fontId="18" fillId="0" borderId="0" xfId="0" applyNumberFormat="1" applyFont="1" applyFill="1" applyBorder="1" applyAlignment="1" applyProtection="1">
      <alignment horizontal="center" vertical="center"/>
      <protection hidden="1"/>
    </xf>
    <xf numFmtId="3" fontId="21" fillId="0" borderId="0" xfId="0" applyNumberFormat="1" applyFont="1" applyFill="1" applyBorder="1" applyAlignment="1" applyProtection="1">
      <alignment horizontal="right" vertical="center"/>
      <protection hidden="1"/>
    </xf>
    <xf numFmtId="166" fontId="18" fillId="0" borderId="0" xfId="0" applyNumberFormat="1" applyFont="1" applyFill="1" applyBorder="1" applyAlignment="1" applyProtection="1">
      <alignment horizontal="right" vertical="center"/>
      <protection hidden="1"/>
    </xf>
    <xf numFmtId="166" fontId="18" fillId="0" borderId="0" xfId="0" applyNumberFormat="1" applyFont="1" applyFill="1" applyBorder="1" applyAlignment="1" applyProtection="1">
      <alignment horizontal="center" vertical="center"/>
      <protection hidden="1"/>
    </xf>
    <xf numFmtId="0" fontId="17" fillId="0" borderId="0" xfId="0" applyFont="1" applyFill="1" applyBorder="1" applyAlignment="1" applyProtection="1">
      <alignment vertical="center"/>
      <protection hidden="1"/>
    </xf>
    <xf numFmtId="49" fontId="21" fillId="3" borderId="0" xfId="0" applyNumberFormat="1" applyFont="1" applyFill="1" applyBorder="1" applyAlignment="1" applyProtection="1">
      <alignment horizontal="left" vertical="center"/>
      <protection hidden="1"/>
    </xf>
    <xf numFmtId="49" fontId="16" fillId="3" borderId="0" xfId="0" applyNumberFormat="1" applyFont="1" applyFill="1" applyBorder="1" applyAlignment="1" applyProtection="1">
      <alignment horizontal="center" vertical="center"/>
      <protection hidden="1"/>
    </xf>
    <xf numFmtId="3" fontId="16" fillId="3" borderId="0" xfId="0" applyNumberFormat="1" applyFont="1" applyFill="1" applyBorder="1" applyAlignment="1" applyProtection="1">
      <alignment horizontal="center" vertical="center"/>
      <protection hidden="1"/>
    </xf>
    <xf numFmtId="3" fontId="15" fillId="3" borderId="25" xfId="0" applyNumberFormat="1" applyFont="1" applyFill="1" applyBorder="1" applyAlignment="1" applyProtection="1">
      <alignment horizontal="right" vertical="center"/>
      <protection hidden="1"/>
    </xf>
    <xf numFmtId="166" fontId="16" fillId="3" borderId="25" xfId="0" applyNumberFormat="1" applyFont="1" applyFill="1" applyBorder="1" applyAlignment="1" applyProtection="1">
      <alignment horizontal="right" vertical="center"/>
      <protection hidden="1"/>
    </xf>
    <xf numFmtId="0" fontId="20" fillId="0" borderId="2" xfId="0" applyFont="1" applyBorder="1" applyAlignment="1" applyProtection="1">
      <alignment horizontal="left" vertical="center"/>
      <protection locked="0"/>
    </xf>
    <xf numFmtId="0" fontId="41" fillId="0" borderId="0" xfId="0" applyFont="1" applyAlignment="1" applyProtection="1">
      <alignment vertical="center"/>
      <protection hidden="1"/>
    </xf>
    <xf numFmtId="0" fontId="41" fillId="0" borderId="0" xfId="0" applyFont="1" applyBorder="1" applyAlignment="1" applyProtection="1">
      <alignment vertical="center"/>
      <protection hidden="1"/>
    </xf>
    <xf numFmtId="0" fontId="41" fillId="0" borderId="0" xfId="0" applyFont="1" applyAlignment="1" applyProtection="1">
      <alignment horizontal="center" vertical="center" wrapText="1"/>
      <protection hidden="1"/>
    </xf>
    <xf numFmtId="0" fontId="7" fillId="0" borderId="0" xfId="0" applyFont="1" applyAlignment="1" applyProtection="1">
      <alignment vertical="center" wrapText="1"/>
      <protection locked="0"/>
    </xf>
    <xf numFmtId="49" fontId="21" fillId="3" borderId="6" xfId="0" applyNumberFormat="1" applyFont="1" applyFill="1" applyBorder="1" applyAlignment="1" applyProtection="1">
      <alignment horizontal="left" vertical="center" wrapText="1"/>
      <protection locked="0"/>
    </xf>
    <xf numFmtId="49" fontId="21" fillId="3" borderId="16" xfId="0" applyNumberFormat="1" applyFont="1" applyFill="1" applyBorder="1" applyAlignment="1" applyProtection="1">
      <alignment horizontal="center" vertical="center" wrapText="1"/>
      <protection locked="0"/>
    </xf>
    <xf numFmtId="49" fontId="19" fillId="0" borderId="7" xfId="5" applyNumberFormat="1" applyFont="1" applyFill="1" applyBorder="1" applyAlignment="1" applyProtection="1">
      <alignment horizontal="center" vertical="center" wrapText="1"/>
      <protection locked="0"/>
    </xf>
    <xf numFmtId="0" fontId="20" fillId="0" borderId="7" xfId="0" applyFont="1" applyBorder="1" applyAlignment="1" applyProtection="1">
      <alignment horizontal="center" vertical="center" wrapText="1"/>
      <protection locked="0"/>
    </xf>
    <xf numFmtId="0" fontId="20" fillId="0" borderId="0" xfId="0" applyFont="1" applyAlignment="1" applyProtection="1">
      <alignment vertical="center" wrapText="1"/>
      <protection locked="0"/>
    </xf>
    <xf numFmtId="49" fontId="19" fillId="0" borderId="2" xfId="5" applyNumberFormat="1" applyFont="1" applyFill="1" applyBorder="1" applyAlignment="1" applyProtection="1">
      <alignment horizontal="center" vertical="center" wrapText="1"/>
      <protection locked="0"/>
    </xf>
    <xf numFmtId="49" fontId="19" fillId="6" borderId="2" xfId="3" applyNumberFormat="1" applyFont="1" applyFill="1" applyBorder="1" applyAlignment="1" applyProtection="1">
      <alignment horizontal="center" vertical="center" wrapText="1"/>
      <protection locked="0"/>
    </xf>
    <xf numFmtId="0" fontId="20" fillId="0" borderId="2" xfId="0" applyFont="1" applyBorder="1" applyAlignment="1" applyProtection="1">
      <alignment horizontal="center" vertical="center" wrapText="1"/>
      <protection locked="0"/>
    </xf>
    <xf numFmtId="49" fontId="21" fillId="3" borderId="9" xfId="0" applyNumberFormat="1" applyFont="1" applyFill="1" applyBorder="1" applyAlignment="1" applyProtection="1">
      <alignment horizontal="left" vertical="center" wrapText="1"/>
      <protection locked="0"/>
    </xf>
    <xf numFmtId="49" fontId="21" fillId="3" borderId="17" xfId="0" applyNumberFormat="1" applyFont="1" applyFill="1" applyBorder="1" applyAlignment="1" applyProtection="1">
      <alignment horizontal="center" vertical="center" wrapText="1"/>
      <protection locked="0"/>
    </xf>
    <xf numFmtId="49" fontId="40" fillId="0" borderId="2" xfId="1" applyNumberFormat="1" applyFont="1" applyFill="1" applyBorder="1" applyAlignment="1" applyProtection="1">
      <alignment horizontal="center" vertical="center" wrapText="1"/>
      <protection locked="0"/>
    </xf>
    <xf numFmtId="49" fontId="21" fillId="0" borderId="9" xfId="0" applyNumberFormat="1" applyFont="1" applyFill="1" applyBorder="1" applyAlignment="1" applyProtection="1">
      <alignment horizontal="left" vertical="center" wrapText="1"/>
      <protection locked="0"/>
    </xf>
    <xf numFmtId="49" fontId="21" fillId="0" borderId="17" xfId="0" applyNumberFormat="1" applyFont="1" applyFill="1" applyBorder="1" applyAlignment="1" applyProtection="1">
      <alignment horizontal="center" vertical="center" wrapText="1"/>
      <protection locked="0"/>
    </xf>
    <xf numFmtId="49" fontId="19" fillId="0" borderId="2" xfId="3" applyNumberFormat="1" applyFont="1" applyFill="1" applyBorder="1" applyAlignment="1" applyProtection="1">
      <alignment horizontal="center" vertical="center" wrapText="1"/>
      <protection locked="0"/>
    </xf>
    <xf numFmtId="49" fontId="21" fillId="3" borderId="11" xfId="0" applyNumberFormat="1" applyFont="1" applyFill="1" applyBorder="1" applyAlignment="1" applyProtection="1">
      <alignment horizontal="left" vertical="center" wrapText="1"/>
      <protection locked="0"/>
    </xf>
    <xf numFmtId="49" fontId="21" fillId="3" borderId="18" xfId="0" applyNumberFormat="1" applyFont="1" applyFill="1" applyBorder="1" applyAlignment="1" applyProtection="1">
      <alignment horizontal="center" vertical="center" wrapText="1"/>
      <protection locked="0"/>
    </xf>
    <xf numFmtId="49" fontId="19" fillId="0" borderId="12" xfId="5" applyNumberFormat="1" applyFont="1" applyFill="1" applyBorder="1" applyAlignment="1" applyProtection="1">
      <alignment horizontal="center" vertical="center" wrapText="1"/>
      <protection locked="0"/>
    </xf>
    <xf numFmtId="14" fontId="18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18" fillId="0" borderId="12" xfId="0" applyNumberFormat="1" applyFont="1" applyFill="1" applyBorder="1" applyAlignment="1" applyProtection="1">
      <alignment horizontal="center" vertical="center" wrapText="1"/>
      <protection locked="0"/>
    </xf>
    <xf numFmtId="49" fontId="15" fillId="3" borderId="6" xfId="0" applyNumberFormat="1" applyFont="1" applyFill="1" applyBorder="1" applyAlignment="1" applyProtection="1">
      <alignment horizontal="left" vertical="center" wrapText="1"/>
      <protection locked="0"/>
    </xf>
    <xf numFmtId="49" fontId="15" fillId="3" borderId="16" xfId="0" applyNumberFormat="1" applyFont="1" applyFill="1" applyBorder="1" applyAlignment="1" applyProtection="1">
      <alignment horizontal="center" vertical="center" wrapText="1"/>
      <protection locked="0"/>
    </xf>
    <xf numFmtId="49" fontId="15" fillId="3" borderId="11" xfId="0" applyNumberFormat="1" applyFont="1" applyFill="1" applyBorder="1" applyAlignment="1" applyProtection="1">
      <alignment horizontal="left" vertical="center" wrapText="1"/>
      <protection locked="0"/>
    </xf>
    <xf numFmtId="49" fontId="15" fillId="3" borderId="18" xfId="0" applyNumberFormat="1" applyFont="1" applyFill="1" applyBorder="1" applyAlignment="1" applyProtection="1">
      <alignment horizontal="center" vertical="center" wrapText="1"/>
      <protection locked="0"/>
    </xf>
    <xf numFmtId="0" fontId="41" fillId="0" borderId="0" xfId="0" applyFont="1" applyAlignment="1" applyProtection="1">
      <alignment vertical="center" wrapText="1"/>
      <protection hidden="1"/>
    </xf>
    <xf numFmtId="49" fontId="7" fillId="0" borderId="0" xfId="0" applyNumberFormat="1" applyFont="1" applyAlignment="1" applyProtection="1">
      <alignment horizontal="center" vertical="center"/>
      <protection hidden="1"/>
    </xf>
    <xf numFmtId="168" fontId="44" fillId="9" borderId="29" xfId="0" applyNumberFormat="1" applyFont="1" applyFill="1" applyBorder="1" applyAlignment="1" applyProtection="1">
      <alignment horizontal="right" vertical="center" indent="1"/>
      <protection hidden="1"/>
    </xf>
    <xf numFmtId="3" fontId="45" fillId="13" borderId="0" xfId="0" applyNumberFormat="1" applyFont="1" applyFill="1" applyBorder="1" applyAlignment="1" applyProtection="1">
      <alignment horizontal="left" vertical="center"/>
      <protection hidden="1"/>
    </xf>
    <xf numFmtId="6" fontId="7" fillId="0" borderId="0" xfId="0" applyNumberFormat="1" applyFont="1" applyAlignment="1" applyProtection="1">
      <alignment horizontal="center" vertical="center"/>
      <protection hidden="1"/>
    </xf>
    <xf numFmtId="49" fontId="19" fillId="6" borderId="12" xfId="3" applyNumberFormat="1" applyFont="1" applyFill="1" applyBorder="1" applyAlignment="1" applyProtection="1">
      <alignment horizontal="center" vertical="center" wrapText="1"/>
      <protection locked="0"/>
    </xf>
    <xf numFmtId="166" fontId="18" fillId="0" borderId="2" xfId="0" applyNumberFormat="1" applyFont="1" applyFill="1" applyBorder="1" applyAlignment="1" applyProtection="1">
      <alignment horizontal="center" vertical="center" wrapText="1"/>
      <protection locked="0"/>
    </xf>
    <xf numFmtId="166" fontId="18" fillId="0" borderId="12" xfId="0" applyNumberFormat="1" applyFont="1" applyFill="1" applyBorder="1" applyAlignment="1" applyProtection="1">
      <alignment horizontal="center" vertical="center" wrapText="1"/>
      <protection locked="0"/>
    </xf>
    <xf numFmtId="0" fontId="20" fillId="0" borderId="0" xfId="0" applyFont="1"/>
    <xf numFmtId="0" fontId="38" fillId="8" borderId="0" xfId="0" applyFont="1" applyFill="1"/>
    <xf numFmtId="0" fontId="20" fillId="17" borderId="0" xfId="0" applyFont="1" applyFill="1"/>
    <xf numFmtId="0" fontId="20" fillId="0" borderId="30" xfId="0" applyFont="1" applyBorder="1"/>
    <xf numFmtId="0" fontId="20" fillId="0" borderId="31" xfId="0" applyFont="1" applyBorder="1"/>
    <xf numFmtId="0" fontId="20" fillId="0" borderId="32" xfId="0" applyFont="1" applyBorder="1"/>
    <xf numFmtId="0" fontId="36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50" fillId="0" borderId="31" xfId="0" applyFont="1" applyBorder="1"/>
    <xf numFmtId="0" fontId="43" fillId="0" borderId="0" xfId="0" applyFont="1" applyAlignment="1" applyProtection="1">
      <alignment vertical="center"/>
      <protection hidden="1"/>
    </xf>
    <xf numFmtId="168" fontId="18" fillId="16" borderId="34" xfId="0" applyNumberFormat="1" applyFont="1" applyFill="1" applyBorder="1" applyAlignment="1" applyProtection="1">
      <alignment horizontal="right" vertical="center"/>
      <protection hidden="1"/>
    </xf>
    <xf numFmtId="10" fontId="18" fillId="16" borderId="35" xfId="7" applyNumberFormat="1" applyFont="1" applyFill="1" applyBorder="1" applyAlignment="1" applyProtection="1">
      <alignment horizontal="center" vertical="center"/>
      <protection hidden="1"/>
    </xf>
    <xf numFmtId="49" fontId="13" fillId="4" borderId="37" xfId="0" applyNumberFormat="1" applyFont="1" applyFill="1" applyBorder="1" applyAlignment="1" applyProtection="1">
      <alignment horizontal="center" vertical="center" wrapText="1"/>
      <protection hidden="1"/>
    </xf>
    <xf numFmtId="3" fontId="18" fillId="0" borderId="0" xfId="0" quotePrefix="1" applyNumberFormat="1" applyFont="1" applyFill="1" applyBorder="1" applyAlignment="1" applyProtection="1">
      <alignment horizontal="right" vertical="center"/>
      <protection hidden="1"/>
    </xf>
    <xf numFmtId="49" fontId="14" fillId="20" borderId="36" xfId="2" applyNumberFormat="1" applyFont="1" applyFill="1" applyBorder="1" applyAlignment="1" applyProtection="1">
      <alignment horizontal="center" vertical="center" wrapText="1"/>
      <protection hidden="1"/>
    </xf>
    <xf numFmtId="49" fontId="14" fillId="19" borderId="38" xfId="2" applyNumberFormat="1" applyFont="1" applyFill="1" applyBorder="1" applyAlignment="1" applyProtection="1">
      <alignment horizontal="center" vertical="center" textRotation="90" wrapText="1"/>
      <protection hidden="1"/>
    </xf>
    <xf numFmtId="49" fontId="14" fillId="19" borderId="38" xfId="2" applyNumberFormat="1" applyFont="1" applyFill="1" applyBorder="1" applyAlignment="1" applyProtection="1">
      <alignment horizontal="center" vertical="center" wrapText="1"/>
      <protection hidden="1"/>
    </xf>
    <xf numFmtId="49" fontId="14" fillId="21" borderId="38" xfId="2" applyNumberFormat="1" applyFont="1" applyFill="1" applyBorder="1" applyAlignment="1" applyProtection="1">
      <alignment horizontal="center" vertical="center" textRotation="90" wrapText="1"/>
      <protection hidden="1"/>
    </xf>
    <xf numFmtId="49" fontId="14" fillId="21" borderId="38" xfId="2" applyNumberFormat="1" applyFont="1" applyFill="1" applyBorder="1" applyAlignment="1" applyProtection="1">
      <alignment horizontal="center" vertical="center" wrapText="1"/>
      <protection hidden="1"/>
    </xf>
    <xf numFmtId="49" fontId="14" fillId="18" borderId="38" xfId="2" applyNumberFormat="1" applyFont="1" applyFill="1" applyBorder="1" applyAlignment="1" applyProtection="1">
      <alignment horizontal="center" vertical="center" textRotation="90" wrapText="1"/>
      <protection hidden="1"/>
    </xf>
    <xf numFmtId="49" fontId="14" fillId="18" borderId="38" xfId="2" applyNumberFormat="1" applyFont="1" applyFill="1" applyBorder="1" applyAlignment="1" applyProtection="1">
      <alignment horizontal="center" vertical="center" wrapText="1"/>
      <protection hidden="1"/>
    </xf>
    <xf numFmtId="0" fontId="7" fillId="0" borderId="0" xfId="0" applyFont="1" applyFill="1" applyBorder="1" applyAlignment="1" applyProtection="1">
      <alignment vertical="center"/>
      <protection hidden="1"/>
    </xf>
    <xf numFmtId="164" fontId="10" fillId="0" borderId="0" xfId="0" applyNumberFormat="1" applyFont="1" applyFill="1" applyBorder="1" applyAlignment="1" applyProtection="1">
      <alignment horizontal="left" vertical="center"/>
      <protection hidden="1"/>
    </xf>
    <xf numFmtId="49" fontId="14" fillId="0" borderId="39" xfId="2" applyNumberFormat="1" applyFont="1" applyFill="1" applyBorder="1" applyAlignment="1" applyProtection="1">
      <alignment horizontal="center" vertical="center" wrapText="1"/>
      <protection hidden="1"/>
    </xf>
    <xf numFmtId="49" fontId="17" fillId="0" borderId="0" xfId="0" applyNumberFormat="1" applyFont="1" applyFill="1" applyBorder="1" applyAlignment="1" applyProtection="1">
      <alignment horizontal="left" vertical="center" indent="1"/>
      <protection hidden="1"/>
    </xf>
    <xf numFmtId="49" fontId="17" fillId="0" borderId="0" xfId="0" applyNumberFormat="1" applyFont="1" applyFill="1" applyBorder="1" applyAlignment="1" applyProtection="1">
      <alignment horizontal="left" vertical="center" indent="2"/>
      <protection hidden="1"/>
    </xf>
    <xf numFmtId="49" fontId="14" fillId="22" borderId="36" xfId="2" applyNumberFormat="1" applyFont="1" applyFill="1" applyBorder="1" applyAlignment="1" applyProtection="1">
      <alignment horizontal="center" vertical="center" wrapText="1"/>
      <protection hidden="1"/>
    </xf>
    <xf numFmtId="1" fontId="53" fillId="23" borderId="7" xfId="0" applyNumberFormat="1" applyFont="1" applyFill="1" applyBorder="1" applyAlignment="1" applyProtection="1">
      <alignment horizontal="center" vertical="center"/>
      <protection hidden="1"/>
    </xf>
    <xf numFmtId="1" fontId="53" fillId="23" borderId="2" xfId="0" applyNumberFormat="1" applyFont="1" applyFill="1" applyBorder="1" applyAlignment="1" applyProtection="1">
      <alignment horizontal="center" vertical="center"/>
      <protection hidden="1"/>
    </xf>
    <xf numFmtId="1" fontId="53" fillId="23" borderId="12" xfId="0" applyNumberFormat="1" applyFont="1" applyFill="1" applyBorder="1" applyAlignment="1" applyProtection="1">
      <alignment horizontal="center" vertical="center"/>
      <protection hidden="1"/>
    </xf>
    <xf numFmtId="171" fontId="50" fillId="0" borderId="7" xfId="0" applyNumberFormat="1" applyFont="1" applyFill="1" applyBorder="1" applyAlignment="1" applyProtection="1">
      <alignment horizontal="center" vertical="center"/>
      <protection locked="0"/>
    </xf>
    <xf numFmtId="171" fontId="50" fillId="0" borderId="2" xfId="0" applyNumberFormat="1" applyFont="1" applyFill="1" applyBorder="1" applyAlignment="1" applyProtection="1">
      <alignment horizontal="center" vertical="center"/>
      <protection locked="0"/>
    </xf>
    <xf numFmtId="171" fontId="50" fillId="0" borderId="12" xfId="0" applyNumberFormat="1" applyFont="1" applyFill="1" applyBorder="1" applyAlignment="1" applyProtection="1">
      <alignment horizontal="center" vertical="center"/>
      <protection locked="0"/>
    </xf>
    <xf numFmtId="166" fontId="18" fillId="13" borderId="7" xfId="0" applyNumberFormat="1" applyFont="1" applyFill="1" applyBorder="1" applyAlignment="1" applyProtection="1">
      <alignment horizontal="right" vertical="center"/>
      <protection hidden="1"/>
    </xf>
    <xf numFmtId="166" fontId="18" fillId="13" borderId="2" xfId="0" applyNumberFormat="1" applyFont="1" applyFill="1" applyBorder="1" applyAlignment="1" applyProtection="1">
      <alignment horizontal="right" vertical="center"/>
      <protection hidden="1"/>
    </xf>
    <xf numFmtId="166" fontId="18" fillId="13" borderId="12" xfId="0" applyNumberFormat="1" applyFont="1" applyFill="1" applyBorder="1" applyAlignment="1" applyProtection="1">
      <alignment horizontal="right" vertical="center"/>
      <protection hidden="1"/>
    </xf>
    <xf numFmtId="49" fontId="54" fillId="0" borderId="0" xfId="0" applyNumberFormat="1" applyFont="1" applyFill="1" applyBorder="1" applyAlignment="1" applyProtection="1">
      <alignment horizontal="center" vertical="center"/>
      <protection hidden="1"/>
    </xf>
    <xf numFmtId="168" fontId="29" fillId="9" borderId="43" xfId="0" applyNumberFormat="1" applyFont="1" applyFill="1" applyBorder="1" applyAlignment="1" applyProtection="1">
      <alignment vertical="center"/>
      <protection hidden="1"/>
    </xf>
    <xf numFmtId="167" fontId="29" fillId="9" borderId="44" xfId="7" applyNumberFormat="1" applyFont="1" applyFill="1" applyBorder="1" applyAlignment="1" applyProtection="1">
      <alignment horizontal="center" vertical="center"/>
      <protection hidden="1"/>
    </xf>
    <xf numFmtId="49" fontId="17" fillId="13" borderId="0" xfId="0" applyNumberFormat="1" applyFont="1" applyFill="1" applyBorder="1" applyAlignment="1" applyProtection="1">
      <alignment horizontal="right" vertical="center" indent="1"/>
      <protection hidden="1"/>
    </xf>
    <xf numFmtId="168" fontId="29" fillId="14" borderId="0" xfId="0" applyNumberFormat="1" applyFont="1" applyFill="1" applyBorder="1" applyAlignment="1" applyProtection="1">
      <alignment vertical="center"/>
      <protection hidden="1"/>
    </xf>
    <xf numFmtId="167" fontId="29" fillId="14" borderId="0" xfId="7" applyNumberFormat="1" applyFont="1" applyFill="1" applyBorder="1" applyAlignment="1" applyProtection="1">
      <alignment horizontal="center" vertical="center"/>
      <protection hidden="1"/>
    </xf>
    <xf numFmtId="168" fontId="52" fillId="25" borderId="47" xfId="0" applyNumberFormat="1" applyFont="1" applyFill="1" applyBorder="1" applyAlignment="1" applyProtection="1">
      <alignment vertical="center"/>
      <protection hidden="1"/>
    </xf>
    <xf numFmtId="167" fontId="55" fillId="25" borderId="49" xfId="7" applyNumberFormat="1" applyFont="1" applyFill="1" applyBorder="1" applyAlignment="1" applyProtection="1">
      <alignment horizontal="center" vertical="center"/>
      <protection hidden="1"/>
    </xf>
    <xf numFmtId="168" fontId="52" fillId="28" borderId="50" xfId="0" applyNumberFormat="1" applyFont="1" applyFill="1" applyBorder="1" applyAlignment="1" applyProtection="1">
      <alignment vertical="center"/>
      <protection hidden="1"/>
    </xf>
    <xf numFmtId="167" fontId="55" fillId="28" borderId="52" xfId="7" applyNumberFormat="1" applyFont="1" applyFill="1" applyBorder="1" applyAlignment="1" applyProtection="1">
      <alignment horizontal="center" vertical="center"/>
      <protection hidden="1"/>
    </xf>
    <xf numFmtId="168" fontId="52" fillId="30" borderId="50" xfId="0" applyNumberFormat="1" applyFont="1" applyFill="1" applyBorder="1" applyAlignment="1" applyProtection="1">
      <alignment vertical="center"/>
      <protection hidden="1"/>
    </xf>
    <xf numFmtId="167" fontId="55" fillId="30" borderId="52" xfId="7" applyNumberFormat="1" applyFont="1" applyFill="1" applyBorder="1" applyAlignment="1" applyProtection="1">
      <alignment horizontal="center" vertical="center"/>
      <protection hidden="1"/>
    </xf>
    <xf numFmtId="168" fontId="29" fillId="9" borderId="57" xfId="0" applyNumberFormat="1" applyFont="1" applyFill="1" applyBorder="1" applyAlignment="1" applyProtection="1">
      <alignment vertical="center"/>
      <protection hidden="1"/>
    </xf>
    <xf numFmtId="0" fontId="7" fillId="14" borderId="0" xfId="0" applyFont="1" applyFill="1" applyAlignment="1" applyProtection="1">
      <alignment vertical="center"/>
      <protection hidden="1"/>
    </xf>
    <xf numFmtId="49" fontId="17" fillId="13" borderId="0" xfId="0" applyNumberFormat="1" applyFont="1" applyFill="1" applyBorder="1" applyAlignment="1" applyProtection="1">
      <alignment horizontal="left" vertical="center" indent="2"/>
      <protection hidden="1"/>
    </xf>
    <xf numFmtId="49" fontId="17" fillId="13" borderId="0" xfId="0" applyNumberFormat="1" applyFont="1" applyFill="1" applyBorder="1" applyAlignment="1" applyProtection="1">
      <alignment horizontal="center" vertical="center"/>
      <protection hidden="1"/>
    </xf>
    <xf numFmtId="0" fontId="7" fillId="14" borderId="0" xfId="0" applyFont="1" applyFill="1" applyBorder="1" applyAlignment="1" applyProtection="1">
      <alignment vertical="center"/>
      <protection hidden="1"/>
    </xf>
    <xf numFmtId="168" fontId="17" fillId="14" borderId="20" xfId="0" applyNumberFormat="1" applyFont="1" applyFill="1" applyBorder="1" applyAlignment="1" applyProtection="1">
      <alignment vertical="center"/>
      <protection hidden="1"/>
    </xf>
    <xf numFmtId="49" fontId="17" fillId="13" borderId="29" xfId="0" applyNumberFormat="1" applyFont="1" applyFill="1" applyBorder="1" applyAlignment="1" applyProtection="1">
      <alignment vertical="center"/>
      <protection hidden="1"/>
    </xf>
    <xf numFmtId="49" fontId="17" fillId="13" borderId="21" xfId="0" applyNumberFormat="1" applyFont="1" applyFill="1" applyBorder="1" applyAlignment="1" applyProtection="1">
      <alignment vertical="center"/>
      <protection hidden="1"/>
    </xf>
    <xf numFmtId="49" fontId="17" fillId="13" borderId="41" xfId="0" applyNumberFormat="1" applyFont="1" applyFill="1" applyBorder="1" applyAlignment="1" applyProtection="1">
      <alignment vertical="center"/>
      <protection hidden="1"/>
    </xf>
    <xf numFmtId="167" fontId="29" fillId="14" borderId="33" xfId="7" applyNumberFormat="1" applyFont="1" applyFill="1" applyBorder="1" applyAlignment="1" applyProtection="1">
      <alignment horizontal="center" vertical="center"/>
      <protection hidden="1"/>
    </xf>
    <xf numFmtId="49" fontId="17" fillId="13" borderId="27" xfId="0" applyNumberFormat="1" applyFont="1" applyFill="1" applyBorder="1" applyAlignment="1" applyProtection="1">
      <alignment vertical="center"/>
      <protection hidden="1"/>
    </xf>
    <xf numFmtId="49" fontId="17" fillId="13" borderId="42" xfId="0" applyNumberFormat="1" applyFont="1" applyFill="1" applyBorder="1" applyAlignment="1" applyProtection="1">
      <alignment vertical="center"/>
      <protection hidden="1"/>
    </xf>
    <xf numFmtId="49" fontId="17" fillId="13" borderId="0" xfId="0" applyNumberFormat="1" applyFont="1" applyFill="1" applyBorder="1" applyAlignment="1" applyProtection="1">
      <alignment vertical="center"/>
      <protection hidden="1"/>
    </xf>
    <xf numFmtId="168" fontId="44" fillId="14" borderId="21" xfId="0" applyNumberFormat="1" applyFont="1" applyFill="1" applyBorder="1" applyAlignment="1" applyProtection="1">
      <alignment horizontal="right" vertical="center" indent="1"/>
      <protection hidden="1"/>
    </xf>
    <xf numFmtId="167" fontId="45" fillId="14" borderId="27" xfId="7" applyNumberFormat="1" applyFont="1" applyFill="1" applyBorder="1" applyAlignment="1" applyProtection="1">
      <alignment horizontal="right" vertical="center" indent="1"/>
      <protection hidden="1"/>
    </xf>
    <xf numFmtId="164" fontId="10" fillId="13" borderId="0" xfId="0" applyNumberFormat="1" applyFont="1" applyFill="1" applyBorder="1" applyAlignment="1" applyProtection="1">
      <alignment horizontal="left" vertical="center"/>
      <protection hidden="1"/>
    </xf>
    <xf numFmtId="0" fontId="35" fillId="0" borderId="58" xfId="0" applyFont="1" applyBorder="1" applyAlignment="1" applyProtection="1">
      <alignment horizontal="center" vertical="center"/>
      <protection hidden="1"/>
    </xf>
    <xf numFmtId="44" fontId="7" fillId="0" borderId="0" xfId="0" applyNumberFormat="1" applyFont="1" applyAlignment="1" applyProtection="1">
      <alignment horizontal="center" vertical="center"/>
      <protection hidden="1"/>
    </xf>
    <xf numFmtId="0" fontId="20" fillId="0" borderId="40" xfId="0" applyFont="1" applyFill="1" applyBorder="1" applyAlignment="1" applyProtection="1">
      <alignment horizontal="left" vertical="center"/>
      <protection hidden="1"/>
    </xf>
    <xf numFmtId="49" fontId="19" fillId="0" borderId="40" xfId="2" applyNumberFormat="1" applyFont="1" applyFill="1" applyBorder="1" applyAlignment="1" applyProtection="1">
      <alignment horizontal="left" vertical="center"/>
      <protection hidden="1"/>
    </xf>
    <xf numFmtId="1" fontId="45" fillId="14" borderId="28" xfId="0" applyNumberFormat="1" applyFont="1" applyFill="1" applyBorder="1" applyAlignment="1" applyProtection="1">
      <alignment horizontal="right" vertical="center" indent="1"/>
      <protection hidden="1"/>
    </xf>
    <xf numFmtId="44" fontId="58" fillId="13" borderId="0" xfId="0" applyNumberFormat="1" applyFont="1" applyFill="1" applyBorder="1" applyAlignment="1" applyProtection="1">
      <alignment vertical="center"/>
      <protection hidden="1"/>
    </xf>
    <xf numFmtId="2" fontId="7" fillId="13" borderId="0" xfId="0" applyNumberFormat="1" applyFont="1" applyFill="1" applyBorder="1" applyAlignment="1" applyProtection="1">
      <alignment vertical="center"/>
      <protection hidden="1"/>
    </xf>
    <xf numFmtId="44" fontId="7" fillId="13" borderId="0" xfId="0" applyNumberFormat="1" applyFont="1" applyFill="1" applyBorder="1" applyAlignment="1" applyProtection="1">
      <alignment vertical="center"/>
      <protection hidden="1"/>
    </xf>
    <xf numFmtId="0" fontId="7" fillId="0" borderId="0" xfId="0" applyFont="1" applyFill="1" applyAlignment="1" applyProtection="1">
      <alignment vertical="center"/>
      <protection hidden="1"/>
    </xf>
    <xf numFmtId="166" fontId="23" fillId="0" borderId="0" xfId="0" applyNumberFormat="1" applyFont="1" applyFill="1" applyBorder="1" applyAlignment="1" applyProtection="1">
      <alignment horizontal="right" vertical="center"/>
      <protection hidden="1"/>
    </xf>
    <xf numFmtId="0" fontId="20" fillId="0" borderId="0" xfId="0" applyFont="1" applyFill="1" applyAlignment="1" applyProtection="1">
      <alignment vertical="center"/>
      <protection hidden="1"/>
    </xf>
    <xf numFmtId="0" fontId="7" fillId="0" borderId="0" xfId="0" applyFont="1" applyFill="1" applyBorder="1" applyAlignment="1" applyProtection="1">
      <alignment horizontal="center" vertical="center"/>
      <protection hidden="1"/>
    </xf>
    <xf numFmtId="165" fontId="11" fillId="0" borderId="0" xfId="0" applyNumberFormat="1" applyFont="1" applyFill="1" applyBorder="1" applyAlignment="1" applyProtection="1">
      <alignment horizontal="center" vertical="center"/>
      <protection hidden="1"/>
    </xf>
    <xf numFmtId="166" fontId="23" fillId="0" borderId="0" xfId="0" applyNumberFormat="1" applyFont="1" applyFill="1" applyBorder="1" applyAlignment="1" applyProtection="1">
      <alignment horizontal="center" vertical="center"/>
      <protection hidden="1"/>
    </xf>
    <xf numFmtId="168" fontId="52" fillId="0" borderId="0" xfId="0" applyNumberFormat="1" applyFont="1" applyFill="1" applyBorder="1" applyAlignment="1" applyProtection="1">
      <alignment vertical="center"/>
      <protection hidden="1"/>
    </xf>
    <xf numFmtId="166" fontId="16" fillId="0" borderId="0" xfId="0" applyNumberFormat="1" applyFont="1" applyFill="1" applyBorder="1" applyAlignment="1" applyProtection="1">
      <alignment horizontal="center" vertical="center"/>
      <protection hidden="1"/>
    </xf>
    <xf numFmtId="167" fontId="55" fillId="0" borderId="0" xfId="7" applyNumberFormat="1" applyFont="1" applyFill="1" applyBorder="1" applyAlignment="1" applyProtection="1">
      <alignment horizontal="center" vertical="center"/>
      <protection hidden="1"/>
    </xf>
    <xf numFmtId="166" fontId="16" fillId="0" borderId="0" xfId="0" applyNumberFormat="1" applyFont="1" applyFill="1" applyBorder="1" applyAlignment="1" applyProtection="1">
      <alignment horizontal="right" vertical="center"/>
      <protection hidden="1"/>
    </xf>
    <xf numFmtId="0" fontId="7" fillId="0" borderId="0" xfId="0" applyFont="1" applyBorder="1" applyAlignment="1" applyProtection="1">
      <alignment vertical="center"/>
      <protection hidden="1"/>
    </xf>
    <xf numFmtId="49" fontId="51" fillId="0" borderId="59" xfId="2" applyNumberFormat="1" applyFont="1" applyFill="1" applyBorder="1" applyAlignment="1" applyProtection="1">
      <alignment horizontal="center" vertical="center" wrapText="1"/>
      <protection hidden="1"/>
    </xf>
    <xf numFmtId="1" fontId="53" fillId="0" borderId="61" xfId="0" applyNumberFormat="1" applyFont="1" applyFill="1" applyBorder="1" applyAlignment="1" applyProtection="1">
      <alignment horizontal="center" vertical="center"/>
      <protection hidden="1"/>
    </xf>
    <xf numFmtId="166" fontId="52" fillId="28" borderId="35" xfId="0" applyNumberFormat="1" applyFont="1" applyFill="1" applyBorder="1" applyAlignment="1" applyProtection="1">
      <alignment horizontal="center" vertical="center"/>
      <protection hidden="1"/>
    </xf>
    <xf numFmtId="166" fontId="52" fillId="28" borderId="34" xfId="0" applyNumberFormat="1" applyFont="1" applyFill="1" applyBorder="1" applyAlignment="1" applyProtection="1">
      <alignment horizontal="center" vertical="center"/>
      <protection hidden="1"/>
    </xf>
    <xf numFmtId="166" fontId="52" fillId="0" borderId="0" xfId="0" applyNumberFormat="1" applyFont="1" applyFill="1" applyBorder="1" applyAlignment="1" applyProtection="1">
      <alignment horizontal="center" vertical="center"/>
      <protection hidden="1"/>
    </xf>
    <xf numFmtId="0" fontId="7" fillId="0" borderId="0" xfId="0" applyFont="1" applyBorder="1" applyAlignment="1" applyProtection="1">
      <alignment horizontal="center" vertical="center"/>
      <protection hidden="1"/>
    </xf>
    <xf numFmtId="0" fontId="37" fillId="0" borderId="0" xfId="0" applyFont="1" applyAlignment="1" applyProtection="1">
      <alignment horizontal="left" vertical="center" indent="1"/>
      <protection hidden="1"/>
    </xf>
    <xf numFmtId="14" fontId="38" fillId="23" borderId="7" xfId="0" applyNumberFormat="1" applyFont="1" applyFill="1" applyBorder="1" applyAlignment="1" applyProtection="1">
      <alignment horizontal="center" vertical="center"/>
      <protection hidden="1"/>
    </xf>
    <xf numFmtId="14" fontId="38" fillId="23" borderId="2" xfId="0" applyNumberFormat="1" applyFont="1" applyFill="1" applyBorder="1" applyAlignment="1" applyProtection="1">
      <alignment horizontal="center" vertical="center"/>
      <protection hidden="1"/>
    </xf>
    <xf numFmtId="14" fontId="38" fillId="23" borderId="12" xfId="0" applyNumberFormat="1" applyFont="1" applyFill="1" applyBorder="1" applyAlignment="1" applyProtection="1">
      <alignment horizontal="center" vertical="center"/>
      <protection hidden="1"/>
    </xf>
    <xf numFmtId="167" fontId="49" fillId="15" borderId="27" xfId="7" applyNumberFormat="1" applyFont="1" applyFill="1" applyBorder="1" applyAlignment="1" applyProtection="1">
      <alignment horizontal="center" vertical="center"/>
      <protection hidden="1"/>
    </xf>
    <xf numFmtId="1" fontId="49" fillId="15" borderId="28" xfId="0" applyNumberFormat="1" applyFont="1" applyFill="1" applyBorder="1" applyAlignment="1" applyProtection="1">
      <alignment horizontal="center" vertical="center"/>
      <protection hidden="1"/>
    </xf>
    <xf numFmtId="0" fontId="17" fillId="14" borderId="0" xfId="0" applyFont="1" applyFill="1" applyAlignment="1" applyProtection="1">
      <alignment vertical="center"/>
      <protection hidden="1"/>
    </xf>
    <xf numFmtId="0" fontId="7" fillId="0" borderId="0" xfId="0" applyFont="1" applyFill="1" applyAlignment="1" applyProtection="1">
      <alignment horizontal="center" vertical="center"/>
      <protection hidden="1"/>
    </xf>
    <xf numFmtId="3" fontId="56" fillId="11" borderId="0" xfId="0" applyNumberFormat="1" applyFont="1" applyFill="1" applyBorder="1" applyAlignment="1" applyProtection="1">
      <alignment horizontal="right" vertical="center"/>
      <protection hidden="1"/>
    </xf>
    <xf numFmtId="168" fontId="44" fillId="9" borderId="29" xfId="0" applyNumberFormat="1" applyFont="1" applyFill="1" applyBorder="1" applyAlignment="1" applyProtection="1">
      <alignment horizontal="right" vertical="center"/>
      <protection hidden="1"/>
    </xf>
    <xf numFmtId="3" fontId="57" fillId="16" borderId="29" xfId="0" applyNumberFormat="1" applyFont="1" applyFill="1" applyBorder="1" applyAlignment="1" applyProtection="1">
      <alignment horizontal="right" vertical="center"/>
      <protection hidden="1"/>
    </xf>
    <xf numFmtId="1" fontId="33" fillId="15" borderId="28" xfId="0" applyNumberFormat="1" applyFont="1" applyFill="1" applyBorder="1" applyAlignment="1" applyProtection="1">
      <alignment horizontal="right" vertical="center"/>
      <protection hidden="1"/>
    </xf>
    <xf numFmtId="0" fontId="20" fillId="0" borderId="0" xfId="0" applyFont="1" applyFill="1" applyBorder="1" applyAlignment="1" applyProtection="1">
      <alignment horizontal="left" vertical="center"/>
      <protection hidden="1"/>
    </xf>
    <xf numFmtId="10" fontId="57" fillId="16" borderId="27" xfId="7" applyNumberFormat="1" applyFont="1" applyFill="1" applyBorder="1" applyAlignment="1" applyProtection="1">
      <alignment horizontal="right" vertical="center"/>
      <protection hidden="1"/>
    </xf>
    <xf numFmtId="167" fontId="33" fillId="15" borderId="27" xfId="7" applyNumberFormat="1" applyFont="1" applyFill="1" applyBorder="1" applyAlignment="1" applyProtection="1">
      <alignment horizontal="right" vertical="center"/>
      <protection hidden="1"/>
    </xf>
    <xf numFmtId="49" fontId="17" fillId="14" borderId="0" xfId="0" applyNumberFormat="1" applyFont="1" applyFill="1" applyBorder="1" applyAlignment="1" applyProtection="1">
      <alignment horizontal="left" vertical="center"/>
      <protection hidden="1"/>
    </xf>
    <xf numFmtId="49" fontId="17" fillId="0" borderId="0" xfId="0" applyNumberFormat="1" applyFont="1" applyFill="1" applyBorder="1" applyAlignment="1" applyProtection="1">
      <alignment horizontal="left" vertical="center"/>
      <protection hidden="1"/>
    </xf>
    <xf numFmtId="49" fontId="17" fillId="13" borderId="0" xfId="0" applyNumberFormat="1" applyFont="1" applyFill="1" applyBorder="1" applyAlignment="1" applyProtection="1">
      <alignment horizontal="left" vertical="center"/>
      <protection hidden="1"/>
    </xf>
    <xf numFmtId="49" fontId="17" fillId="13" borderId="0" xfId="0" applyNumberFormat="1" applyFont="1" applyFill="1" applyBorder="1" applyAlignment="1" applyProtection="1">
      <alignment horizontal="right" vertical="center"/>
      <protection hidden="1"/>
    </xf>
    <xf numFmtId="14" fontId="7" fillId="0" borderId="0" xfId="0" applyNumberFormat="1" applyFont="1" applyBorder="1" applyAlignment="1" applyProtection="1">
      <alignment vertical="center"/>
      <protection hidden="1"/>
    </xf>
    <xf numFmtId="0" fontId="20" fillId="0" borderId="0" xfId="0" applyFont="1" applyAlignment="1" applyProtection="1">
      <alignment horizontal="left" vertical="center"/>
      <protection hidden="1"/>
    </xf>
    <xf numFmtId="0" fontId="52" fillId="14" borderId="0" xfId="0" applyFont="1" applyFill="1" applyAlignment="1" applyProtection="1">
      <alignment vertical="center"/>
      <protection hidden="1"/>
    </xf>
    <xf numFmtId="0" fontId="20" fillId="0" borderId="0" xfId="0" applyFont="1" applyFill="1" applyBorder="1" applyAlignment="1" applyProtection="1">
      <alignment horizontal="center" vertical="center"/>
      <protection hidden="1"/>
    </xf>
    <xf numFmtId="0" fontId="30" fillId="0" borderId="0" xfId="2" applyFont="1" applyBorder="1" applyAlignment="1" applyProtection="1">
      <alignment vertical="center"/>
      <protection hidden="1"/>
    </xf>
    <xf numFmtId="0" fontId="7" fillId="0" borderId="2" xfId="0" applyFont="1" applyBorder="1" applyAlignment="1" applyProtection="1">
      <alignment horizontal="center" vertical="center"/>
      <protection locked="0"/>
    </xf>
    <xf numFmtId="0" fontId="41" fillId="0" borderId="0" xfId="0" applyFont="1" applyFill="1" applyAlignment="1" applyProtection="1">
      <alignment vertical="center"/>
      <protection hidden="1"/>
    </xf>
    <xf numFmtId="49" fontId="22" fillId="0" borderId="0" xfId="0" applyNumberFormat="1" applyFont="1" applyFill="1" applyBorder="1" applyAlignment="1" applyProtection="1">
      <alignment horizontal="left" vertical="center"/>
      <protection hidden="1"/>
    </xf>
    <xf numFmtId="49" fontId="23" fillId="0" borderId="0" xfId="0" applyNumberFormat="1" applyFont="1" applyFill="1" applyBorder="1" applyAlignment="1" applyProtection="1">
      <alignment horizontal="center" vertical="center"/>
      <protection hidden="1"/>
    </xf>
    <xf numFmtId="168" fontId="23" fillId="0" borderId="0" xfId="0" applyNumberFormat="1" applyFont="1" applyFill="1" applyBorder="1" applyAlignment="1" applyProtection="1">
      <alignment horizontal="right" vertical="center"/>
      <protection hidden="1"/>
    </xf>
    <xf numFmtId="168" fontId="23" fillId="0" borderId="0" xfId="0" applyNumberFormat="1" applyFont="1" applyFill="1" applyBorder="1" applyAlignment="1" applyProtection="1">
      <alignment horizontal="center" vertical="center"/>
      <protection hidden="1"/>
    </xf>
    <xf numFmtId="168" fontId="22" fillId="0" borderId="0" xfId="0" applyNumberFormat="1" applyFont="1" applyFill="1" applyBorder="1" applyAlignment="1" applyProtection="1">
      <alignment horizontal="right" vertical="center"/>
      <protection hidden="1"/>
    </xf>
    <xf numFmtId="166" fontId="16" fillId="0" borderId="40" xfId="0" applyNumberFormat="1" applyFont="1" applyFill="1" applyBorder="1" applyAlignment="1" applyProtection="1">
      <alignment horizontal="right" vertical="center"/>
      <protection hidden="1"/>
    </xf>
    <xf numFmtId="166" fontId="18" fillId="0" borderId="2" xfId="0" applyNumberFormat="1" applyFont="1" applyFill="1" applyBorder="1" applyAlignment="1" applyProtection="1">
      <alignment horizontal="right" vertical="center" wrapText="1"/>
      <protection locked="0"/>
    </xf>
    <xf numFmtId="166" fontId="16" fillId="0" borderId="12" xfId="0" applyNumberFormat="1" applyFont="1" applyFill="1" applyBorder="1" applyAlignment="1" applyProtection="1">
      <alignment horizontal="right" vertical="center" wrapText="1"/>
      <protection locked="0"/>
    </xf>
    <xf numFmtId="166" fontId="18" fillId="0" borderId="2" xfId="0" applyNumberFormat="1" applyFont="1" applyFill="1" applyBorder="1" applyAlignment="1" applyProtection="1">
      <alignment horizontal="left" vertical="center" wrapText="1"/>
      <protection locked="0"/>
    </xf>
    <xf numFmtId="166" fontId="18" fillId="0" borderId="7" xfId="0" applyNumberFormat="1" applyFont="1" applyFill="1" applyBorder="1" applyAlignment="1" applyProtection="1">
      <alignment horizontal="left" vertical="center" wrapText="1"/>
      <protection locked="0"/>
    </xf>
    <xf numFmtId="166" fontId="18" fillId="0" borderId="12" xfId="0" applyNumberFormat="1" applyFont="1" applyFill="1" applyBorder="1" applyAlignment="1" applyProtection="1">
      <alignment horizontal="left" vertical="center" wrapText="1"/>
      <protection locked="0"/>
    </xf>
    <xf numFmtId="0" fontId="37" fillId="0" borderId="0" xfId="0" applyFont="1" applyAlignment="1" applyProtection="1">
      <alignment horizontal="left" vertical="center"/>
      <protection hidden="1"/>
    </xf>
    <xf numFmtId="1" fontId="49" fillId="15" borderId="28" xfId="0" applyNumberFormat="1" applyFont="1" applyFill="1" applyBorder="1" applyAlignment="1" applyProtection="1">
      <alignment horizontal="right" vertical="center"/>
      <protection hidden="1"/>
    </xf>
    <xf numFmtId="167" fontId="49" fillId="15" borderId="27" xfId="7" applyNumberFormat="1" applyFont="1" applyFill="1" applyBorder="1" applyAlignment="1" applyProtection="1">
      <alignment horizontal="right" vertical="center"/>
      <protection hidden="1"/>
    </xf>
    <xf numFmtId="0" fontId="20" fillId="0" borderId="7" xfId="0" applyFont="1" applyBorder="1" applyAlignment="1" applyProtection="1">
      <alignment horizontal="left" vertical="center" wrapText="1"/>
      <protection locked="0"/>
    </xf>
    <xf numFmtId="0" fontId="20" fillId="0" borderId="2" xfId="0" applyFont="1" applyBorder="1" applyAlignment="1" applyProtection="1">
      <alignment horizontal="left" vertical="center" wrapText="1"/>
      <protection locked="0"/>
    </xf>
    <xf numFmtId="0" fontId="20" fillId="0" borderId="14" xfId="0" applyFont="1" applyBorder="1" applyAlignment="1" applyProtection="1">
      <alignment horizontal="left" vertical="center" wrapText="1"/>
      <protection locked="0"/>
    </xf>
    <xf numFmtId="0" fontId="20" fillId="0" borderId="3" xfId="0" applyFont="1" applyBorder="1" applyAlignment="1" applyProtection="1">
      <alignment horizontal="left" vertical="center" wrapText="1"/>
      <protection locked="0"/>
    </xf>
    <xf numFmtId="0" fontId="20" fillId="0" borderId="2" xfId="0" applyFont="1" applyBorder="1" applyAlignment="1" applyProtection="1">
      <alignment vertical="center" wrapText="1"/>
      <protection locked="0"/>
    </xf>
    <xf numFmtId="0" fontId="20" fillId="0" borderId="3" xfId="0" applyFont="1" applyBorder="1" applyAlignment="1" applyProtection="1">
      <alignment vertical="center" wrapText="1"/>
      <protection locked="0"/>
    </xf>
    <xf numFmtId="166" fontId="18" fillId="0" borderId="2" xfId="0" applyNumberFormat="1" applyFont="1" applyFill="1" applyBorder="1" applyAlignment="1" applyProtection="1">
      <alignment vertical="center" wrapText="1"/>
      <protection locked="0"/>
    </xf>
    <xf numFmtId="0" fontId="20" fillId="0" borderId="10" xfId="0" applyFont="1" applyBorder="1" applyAlignment="1" applyProtection="1">
      <alignment vertical="center" wrapText="1"/>
      <protection locked="0"/>
    </xf>
    <xf numFmtId="0" fontId="20" fillId="0" borderId="8" xfId="0" applyFont="1" applyBorder="1" applyAlignment="1" applyProtection="1">
      <alignment horizontal="left" vertical="center" wrapText="1"/>
      <protection locked="0"/>
    </xf>
    <xf numFmtId="10" fontId="20" fillId="0" borderId="2" xfId="0" applyNumberFormat="1" applyFont="1" applyFill="1" applyBorder="1" applyAlignment="1" applyProtection="1">
      <alignment horizontal="left" vertical="center" wrapText="1"/>
      <protection locked="0"/>
    </xf>
    <xf numFmtId="49" fontId="19" fillId="6" borderId="2" xfId="3" applyNumberFormat="1" applyFont="1" applyFill="1" applyBorder="1" applyAlignment="1" applyProtection="1">
      <alignment horizontal="left" vertical="center" wrapText="1"/>
      <protection locked="0"/>
    </xf>
    <xf numFmtId="49" fontId="19" fillId="6" borderId="3" xfId="3" applyNumberFormat="1" applyFont="1" applyFill="1" applyBorder="1" applyAlignment="1" applyProtection="1">
      <alignment horizontal="left" vertical="center" wrapText="1"/>
      <protection locked="0"/>
    </xf>
    <xf numFmtId="49" fontId="19" fillId="6" borderId="10" xfId="3" applyNumberFormat="1" applyFont="1" applyFill="1" applyBorder="1" applyAlignment="1" applyProtection="1">
      <alignment horizontal="left" vertical="center" wrapText="1"/>
      <protection locked="0"/>
    </xf>
    <xf numFmtId="49" fontId="19" fillId="0" borderId="2" xfId="3" applyNumberFormat="1" applyFont="1" applyFill="1" applyBorder="1" applyAlignment="1" applyProtection="1">
      <alignment horizontal="left" vertical="center" wrapText="1"/>
      <protection locked="0"/>
    </xf>
    <xf numFmtId="49" fontId="19" fillId="0" borderId="3" xfId="3" applyNumberFormat="1" applyFont="1" applyFill="1" applyBorder="1" applyAlignment="1" applyProtection="1">
      <alignment horizontal="left" vertical="center" wrapText="1"/>
      <protection locked="0"/>
    </xf>
    <xf numFmtId="49" fontId="19" fillId="0" borderId="10" xfId="3" applyNumberFormat="1" applyFont="1" applyFill="1" applyBorder="1" applyAlignment="1" applyProtection="1">
      <alignment horizontal="left" vertical="center" wrapText="1"/>
      <protection locked="0"/>
    </xf>
    <xf numFmtId="49" fontId="19" fillId="0" borderId="12" xfId="3" applyNumberFormat="1" applyFont="1" applyFill="1" applyBorder="1" applyAlignment="1" applyProtection="1">
      <alignment horizontal="left" vertical="center" wrapText="1"/>
      <protection locked="0"/>
    </xf>
    <xf numFmtId="49" fontId="19" fillId="0" borderId="15" xfId="3" applyNumberFormat="1" applyFont="1" applyFill="1" applyBorder="1" applyAlignment="1" applyProtection="1">
      <alignment horizontal="left" vertical="center" wrapText="1"/>
      <protection locked="0"/>
    </xf>
    <xf numFmtId="49" fontId="19" fillId="0" borderId="13" xfId="3" applyNumberFormat="1" applyFont="1" applyFill="1" applyBorder="1" applyAlignment="1" applyProtection="1">
      <alignment horizontal="left" vertical="center" wrapText="1"/>
      <protection locked="0"/>
    </xf>
    <xf numFmtId="166" fontId="16" fillId="0" borderId="7" xfId="0" applyNumberFormat="1" applyFont="1" applyFill="1" applyBorder="1" applyAlignment="1" applyProtection="1">
      <alignment horizontal="left" vertical="center" wrapText="1"/>
      <protection locked="0"/>
    </xf>
    <xf numFmtId="0" fontId="7" fillId="0" borderId="7" xfId="0" applyFont="1" applyBorder="1" applyAlignment="1" applyProtection="1">
      <alignment horizontal="left" vertical="center" wrapText="1"/>
      <protection locked="0"/>
    </xf>
    <xf numFmtId="166" fontId="16" fillId="0" borderId="12" xfId="0" applyNumberFormat="1" applyFont="1" applyFill="1" applyBorder="1" applyAlignment="1" applyProtection="1">
      <alignment horizontal="left" vertical="center" wrapText="1"/>
      <protection locked="0"/>
    </xf>
    <xf numFmtId="0" fontId="7" fillId="0" borderId="12" xfId="0" applyFont="1" applyBorder="1" applyAlignment="1" applyProtection="1">
      <alignment horizontal="left" vertical="center" wrapText="1"/>
      <protection locked="0"/>
    </xf>
    <xf numFmtId="49" fontId="21" fillId="14" borderId="9" xfId="0" applyNumberFormat="1" applyFont="1" applyFill="1" applyBorder="1" applyAlignment="1" applyProtection="1">
      <alignment horizontal="left" vertical="center" wrapText="1"/>
      <protection locked="0"/>
    </xf>
    <xf numFmtId="49" fontId="21" fillId="14" borderId="17" xfId="0" applyNumberFormat="1" applyFont="1" applyFill="1" applyBorder="1" applyAlignment="1" applyProtection="1">
      <alignment horizontal="center" vertical="center" wrapText="1"/>
      <protection locked="0"/>
    </xf>
    <xf numFmtId="168" fontId="20" fillId="14" borderId="2" xfId="0" applyNumberFormat="1" applyFont="1" applyFill="1" applyBorder="1" applyAlignment="1" applyProtection="1">
      <alignment vertical="center" wrapText="1"/>
      <protection locked="0"/>
    </xf>
    <xf numFmtId="168" fontId="18" fillId="13" borderId="7" xfId="0" applyNumberFormat="1" applyFont="1" applyFill="1" applyBorder="1" applyAlignment="1" applyProtection="1">
      <alignment horizontal="right" vertical="center" wrapText="1"/>
      <protection locked="0"/>
    </xf>
    <xf numFmtId="168" fontId="21" fillId="13" borderId="7" xfId="0" applyNumberFormat="1" applyFont="1" applyFill="1" applyBorder="1" applyAlignment="1" applyProtection="1">
      <alignment horizontal="right" vertical="center" wrapText="1"/>
      <protection locked="0"/>
    </xf>
    <xf numFmtId="168" fontId="18" fillId="13" borderId="2" xfId="0" applyNumberFormat="1" applyFont="1" applyFill="1" applyBorder="1" applyAlignment="1" applyProtection="1">
      <alignment horizontal="right" vertical="center" wrapText="1"/>
      <protection locked="0"/>
    </xf>
    <xf numFmtId="168" fontId="21" fillId="13" borderId="2" xfId="0" applyNumberFormat="1" applyFont="1" applyFill="1" applyBorder="1" applyAlignment="1" applyProtection="1">
      <alignment horizontal="right" vertical="center" wrapText="1"/>
      <protection locked="0"/>
    </xf>
    <xf numFmtId="168" fontId="18" fillId="14" borderId="2" xfId="0" applyNumberFormat="1" applyFont="1" applyFill="1" applyBorder="1" applyAlignment="1" applyProtection="1">
      <alignment horizontal="right" vertical="center" wrapText="1"/>
      <protection locked="0"/>
    </xf>
    <xf numFmtId="168" fontId="21" fillId="14" borderId="2" xfId="0" applyNumberFormat="1" applyFont="1" applyFill="1" applyBorder="1" applyAlignment="1" applyProtection="1">
      <alignment horizontal="right" vertical="center" wrapText="1"/>
      <protection locked="0"/>
    </xf>
    <xf numFmtId="168" fontId="18" fillId="13" borderId="12" xfId="0" applyNumberFormat="1" applyFont="1" applyFill="1" applyBorder="1" applyAlignment="1" applyProtection="1">
      <alignment horizontal="right" vertical="center" wrapText="1"/>
      <protection locked="0"/>
    </xf>
    <xf numFmtId="168" fontId="21" fillId="13" borderId="12" xfId="0" applyNumberFormat="1" applyFont="1" applyFill="1" applyBorder="1" applyAlignment="1" applyProtection="1">
      <alignment horizontal="right" vertical="center" wrapText="1"/>
      <protection locked="0"/>
    </xf>
    <xf numFmtId="168" fontId="52" fillId="30" borderId="67" xfId="0" applyNumberFormat="1" applyFont="1" applyFill="1" applyBorder="1" applyAlignment="1" applyProtection="1">
      <alignment vertical="center"/>
      <protection hidden="1"/>
    </xf>
    <xf numFmtId="167" fontId="55" fillId="30" borderId="68" xfId="7" applyNumberFormat="1" applyFont="1" applyFill="1" applyBorder="1" applyAlignment="1" applyProtection="1">
      <alignment horizontal="center" vertical="center"/>
      <protection hidden="1"/>
    </xf>
    <xf numFmtId="168" fontId="52" fillId="12" borderId="69" xfId="0" applyNumberFormat="1" applyFont="1" applyFill="1" applyBorder="1" applyAlignment="1" applyProtection="1">
      <alignment vertical="center"/>
      <protection hidden="1"/>
    </xf>
    <xf numFmtId="167" fontId="55" fillId="12" borderId="70" xfId="7" applyNumberFormat="1" applyFont="1" applyFill="1" applyBorder="1" applyAlignment="1" applyProtection="1">
      <alignment horizontal="center" vertical="center"/>
      <protection hidden="1"/>
    </xf>
    <xf numFmtId="1" fontId="18" fillId="0" borderId="40" xfId="0" applyNumberFormat="1" applyFont="1" applyFill="1" applyBorder="1" applyAlignment="1" applyProtection="1">
      <alignment horizontal="center" vertical="center"/>
      <protection hidden="1"/>
    </xf>
    <xf numFmtId="166" fontId="16" fillId="0" borderId="40" xfId="0" applyNumberFormat="1" applyFont="1" applyFill="1" applyBorder="1" applyAlignment="1" applyProtection="1">
      <alignment horizontal="right" vertical="center" wrapText="1"/>
      <protection hidden="1"/>
    </xf>
    <xf numFmtId="166" fontId="18" fillId="0" borderId="40" xfId="0" applyNumberFormat="1" applyFont="1" applyFill="1" applyBorder="1" applyAlignment="1" applyProtection="1">
      <alignment horizontal="right" vertical="center" wrapText="1"/>
      <protection hidden="1"/>
    </xf>
    <xf numFmtId="0" fontId="52" fillId="0" borderId="35" xfId="0" applyFont="1" applyFill="1" applyBorder="1" applyAlignment="1" applyProtection="1">
      <alignment horizontal="right" vertical="center"/>
      <protection hidden="1"/>
    </xf>
    <xf numFmtId="0" fontId="20" fillId="0" borderId="0" xfId="0" applyFont="1" applyFill="1" applyBorder="1" applyAlignment="1" applyProtection="1">
      <alignment horizontal="right" vertical="center"/>
      <protection hidden="1"/>
    </xf>
    <xf numFmtId="164" fontId="10" fillId="0" borderId="0" xfId="0" applyNumberFormat="1" applyFont="1" applyFill="1" applyBorder="1" applyAlignment="1" applyProtection="1">
      <alignment horizontal="center" vertical="center"/>
      <protection hidden="1"/>
    </xf>
    <xf numFmtId="49" fontId="21" fillId="0" borderId="0" xfId="0" applyNumberFormat="1" applyFont="1" applyFill="1" applyBorder="1" applyAlignment="1" applyProtection="1">
      <alignment horizontal="center" vertical="center"/>
      <protection hidden="1"/>
    </xf>
    <xf numFmtId="49" fontId="51" fillId="19" borderId="36" xfId="2" applyNumberFormat="1" applyFont="1" applyFill="1" applyBorder="1" applyAlignment="1" applyProtection="1">
      <alignment horizontal="center" vertical="center" wrapText="1"/>
      <protection hidden="1"/>
    </xf>
    <xf numFmtId="0" fontId="52" fillId="0" borderId="35" xfId="0" applyFont="1" applyFill="1" applyBorder="1" applyAlignment="1" applyProtection="1">
      <alignment vertical="center"/>
      <protection hidden="1"/>
    </xf>
    <xf numFmtId="42" fontId="55" fillId="12" borderId="66" xfId="0" applyNumberFormat="1" applyFont="1" applyFill="1" applyBorder="1" applyAlignment="1" applyProtection="1">
      <alignment horizontal="right" vertical="center"/>
      <protection hidden="1"/>
    </xf>
    <xf numFmtId="167" fontId="18" fillId="14" borderId="14" xfId="7" applyNumberFormat="1" applyFont="1" applyFill="1" applyBorder="1" applyAlignment="1" applyProtection="1">
      <alignment horizontal="right" vertical="center" wrapText="1"/>
      <protection hidden="1"/>
    </xf>
    <xf numFmtId="0" fontId="20" fillId="0" borderId="0" xfId="0" applyFont="1" applyAlignment="1" applyProtection="1">
      <alignment vertical="center" wrapText="1"/>
      <protection hidden="1"/>
    </xf>
    <xf numFmtId="167" fontId="20" fillId="14" borderId="3" xfId="7" applyNumberFormat="1" applyFont="1" applyFill="1" applyBorder="1" applyAlignment="1" applyProtection="1">
      <alignment vertical="center" wrapText="1"/>
      <protection hidden="1"/>
    </xf>
    <xf numFmtId="10" fontId="20" fillId="0" borderId="40" xfId="0" applyNumberFormat="1" applyFont="1" applyFill="1" applyBorder="1" applyAlignment="1" applyProtection="1">
      <alignment vertical="center" wrapText="1"/>
      <protection hidden="1"/>
    </xf>
    <xf numFmtId="0" fontId="20" fillId="0" borderId="0" xfId="0" applyFont="1" applyFill="1" applyAlignment="1" applyProtection="1">
      <alignment vertical="center" wrapText="1"/>
      <protection hidden="1"/>
    </xf>
    <xf numFmtId="167" fontId="18" fillId="14" borderId="15" xfId="7" applyNumberFormat="1" applyFont="1" applyFill="1" applyBorder="1" applyAlignment="1" applyProtection="1">
      <alignment horizontal="right" vertical="center" wrapText="1"/>
      <protection hidden="1"/>
    </xf>
    <xf numFmtId="0" fontId="7" fillId="0" borderId="0" xfId="0" applyFont="1" applyAlignment="1" applyProtection="1">
      <alignment vertical="center" wrapText="1"/>
      <protection hidden="1"/>
    </xf>
    <xf numFmtId="0" fontId="7" fillId="0" borderId="0" xfId="0" applyFont="1" applyAlignment="1" applyProtection="1">
      <alignment horizontal="center" vertical="center" wrapText="1"/>
      <protection hidden="1"/>
    </xf>
    <xf numFmtId="0" fontId="7" fillId="0" borderId="0" xfId="0" applyFont="1" applyFill="1" applyAlignment="1" applyProtection="1">
      <alignment vertical="center" wrapText="1"/>
      <protection hidden="1"/>
    </xf>
    <xf numFmtId="0" fontId="7" fillId="0" borderId="0" xfId="0" applyFont="1" applyFill="1" applyBorder="1" applyAlignment="1" applyProtection="1">
      <alignment vertical="center" wrapText="1"/>
      <protection hidden="1"/>
    </xf>
    <xf numFmtId="0" fontId="7" fillId="0" borderId="0" xfId="0" applyFont="1" applyFill="1" applyAlignment="1" applyProtection="1">
      <alignment horizontal="center" vertical="center" wrapText="1"/>
      <protection hidden="1"/>
    </xf>
    <xf numFmtId="0" fontId="7" fillId="0" borderId="0" xfId="0" applyFont="1" applyFill="1" applyBorder="1" applyAlignment="1" applyProtection="1">
      <alignment horizontal="center" vertical="center" wrapText="1"/>
      <protection hidden="1"/>
    </xf>
    <xf numFmtId="0" fontId="20" fillId="0" borderId="0" xfId="0" applyFont="1" applyFill="1" applyAlignment="1" applyProtection="1">
      <alignment horizontal="center" vertical="center" wrapText="1"/>
      <protection hidden="1"/>
    </xf>
    <xf numFmtId="0" fontId="20" fillId="0" borderId="63" xfId="0" applyFont="1" applyFill="1" applyBorder="1" applyAlignment="1" applyProtection="1">
      <alignment horizontal="left" vertical="center"/>
      <protection locked="0"/>
    </xf>
    <xf numFmtId="49" fontId="19" fillId="0" borderId="63" xfId="2" applyNumberFormat="1" applyFont="1" applyFill="1" applyBorder="1" applyAlignment="1" applyProtection="1">
      <alignment horizontal="left" vertical="center"/>
      <protection locked="0"/>
    </xf>
    <xf numFmtId="49" fontId="19" fillId="0" borderId="0" xfId="2" applyNumberFormat="1" applyFont="1" applyFill="1" applyBorder="1" applyAlignment="1" applyProtection="1">
      <alignment horizontal="left" vertical="center"/>
      <protection locked="0"/>
    </xf>
    <xf numFmtId="0" fontId="20" fillId="0" borderId="0" xfId="0" applyFont="1" applyFill="1" applyBorder="1" applyAlignment="1" applyProtection="1">
      <alignment horizontal="left" vertical="center"/>
      <protection locked="0"/>
    </xf>
    <xf numFmtId="0" fontId="7" fillId="0" borderId="0" xfId="0" applyFont="1" applyFill="1" applyBorder="1" applyAlignment="1" applyProtection="1">
      <alignment horizontal="right" vertical="center"/>
      <protection hidden="1"/>
    </xf>
    <xf numFmtId="0" fontId="7" fillId="0" borderId="0" xfId="0" applyFont="1" applyAlignment="1" applyProtection="1">
      <alignment horizontal="right" vertical="center"/>
      <protection hidden="1"/>
    </xf>
    <xf numFmtId="49" fontId="19" fillId="6" borderId="7" xfId="6" applyNumberFormat="1" applyFont="1" applyFill="1" applyBorder="1" applyAlignment="1" applyProtection="1">
      <alignment horizontal="left" vertical="center"/>
      <protection locked="0"/>
    </xf>
    <xf numFmtId="49" fontId="19" fillId="6" borderId="2" xfId="6" applyNumberFormat="1" applyFont="1" applyFill="1" applyBorder="1" applyAlignment="1" applyProtection="1">
      <alignment horizontal="left" vertical="center"/>
      <protection locked="0"/>
    </xf>
    <xf numFmtId="49" fontId="19" fillId="6" borderId="12" xfId="6" applyNumberFormat="1" applyFont="1" applyFill="1" applyBorder="1" applyAlignment="1" applyProtection="1">
      <alignment horizontal="left" vertical="center"/>
      <protection locked="0"/>
    </xf>
    <xf numFmtId="0" fontId="7" fillId="0" borderId="2" xfId="0" applyFont="1" applyBorder="1" applyAlignment="1" applyProtection="1">
      <alignment horizontal="left" vertical="center"/>
      <protection locked="0"/>
    </xf>
    <xf numFmtId="49" fontId="19" fillId="6" borderId="7" xfId="6" applyNumberFormat="1" applyFont="1" applyFill="1" applyBorder="1" applyAlignment="1" applyProtection="1">
      <alignment horizontal="center" vertical="center"/>
      <protection locked="0"/>
    </xf>
    <xf numFmtId="49" fontId="19" fillId="6" borderId="2" xfId="6" applyNumberFormat="1" applyFont="1" applyFill="1" applyBorder="1" applyAlignment="1" applyProtection="1">
      <alignment horizontal="center" vertical="center"/>
      <protection locked="0"/>
    </xf>
    <xf numFmtId="49" fontId="19" fillId="6" borderId="12" xfId="6" applyNumberFormat="1" applyFont="1" applyFill="1" applyBorder="1" applyAlignment="1" applyProtection="1">
      <alignment horizontal="center" vertical="center"/>
      <protection locked="0"/>
    </xf>
    <xf numFmtId="168" fontId="18" fillId="13" borderId="7" xfId="0" applyNumberFormat="1" applyFont="1" applyFill="1" applyBorder="1" applyAlignment="1" applyProtection="1">
      <alignment horizontal="right" vertical="center"/>
      <protection locked="0"/>
    </xf>
    <xf numFmtId="167" fontId="18" fillId="13" borderId="7" xfId="7" applyNumberFormat="1" applyFont="1" applyFill="1" applyBorder="1" applyAlignment="1" applyProtection="1">
      <alignment horizontal="right" vertical="center"/>
      <protection hidden="1"/>
    </xf>
    <xf numFmtId="168" fontId="21" fillId="13" borderId="7" xfId="0" applyNumberFormat="1" applyFont="1" applyFill="1" applyBorder="1" applyAlignment="1" applyProtection="1">
      <alignment horizontal="right" vertical="center"/>
      <protection locked="0"/>
    </xf>
    <xf numFmtId="168" fontId="18" fillId="13" borderId="24" xfId="0" applyNumberFormat="1" applyFont="1" applyFill="1" applyBorder="1" applyAlignment="1" applyProtection="1">
      <alignment horizontal="right" vertical="center"/>
      <protection locked="0"/>
    </xf>
    <xf numFmtId="167" fontId="18" fillId="13" borderId="24" xfId="7" applyNumberFormat="1" applyFont="1" applyFill="1" applyBorder="1" applyAlignment="1" applyProtection="1">
      <alignment horizontal="right" vertical="center"/>
      <protection hidden="1"/>
    </xf>
    <xf numFmtId="168" fontId="21" fillId="13" borderId="24" xfId="0" applyNumberFormat="1" applyFont="1" applyFill="1" applyBorder="1" applyAlignment="1" applyProtection="1">
      <alignment horizontal="right" vertical="center"/>
      <protection locked="0"/>
    </xf>
    <xf numFmtId="168" fontId="18" fillId="13" borderId="2" xfId="0" applyNumberFormat="1" applyFont="1" applyFill="1" applyBorder="1" applyAlignment="1" applyProtection="1">
      <alignment horizontal="right" vertical="center"/>
      <protection locked="0"/>
    </xf>
    <xf numFmtId="168" fontId="21" fillId="13" borderId="2" xfId="0" applyNumberFormat="1" applyFont="1" applyFill="1" applyBorder="1" applyAlignment="1" applyProtection="1">
      <alignment horizontal="right" vertical="center"/>
      <protection locked="0"/>
    </xf>
    <xf numFmtId="168" fontId="18" fillId="14" borderId="2" xfId="0" applyNumberFormat="1" applyFont="1" applyFill="1" applyBorder="1" applyAlignment="1" applyProtection="1">
      <alignment horizontal="right" vertical="center"/>
      <protection locked="0"/>
    </xf>
    <xf numFmtId="168" fontId="18" fillId="13" borderId="12" xfId="0" applyNumberFormat="1" applyFont="1" applyFill="1" applyBorder="1" applyAlignment="1" applyProtection="1">
      <alignment horizontal="right" vertical="center"/>
      <protection locked="0"/>
    </xf>
    <xf numFmtId="167" fontId="18" fillId="13" borderId="12" xfId="7" applyNumberFormat="1" applyFont="1" applyFill="1" applyBorder="1" applyAlignment="1" applyProtection="1">
      <alignment horizontal="right" vertical="center"/>
      <protection hidden="1"/>
    </xf>
    <xf numFmtId="168" fontId="21" fillId="13" borderId="12" xfId="0" applyNumberFormat="1" applyFont="1" applyFill="1" applyBorder="1" applyAlignment="1" applyProtection="1">
      <alignment horizontal="right" vertical="center"/>
      <protection locked="0"/>
    </xf>
    <xf numFmtId="49" fontId="32" fillId="0" borderId="39" xfId="2" applyNumberFormat="1" applyFont="1" applyFill="1" applyBorder="1" applyAlignment="1" applyProtection="1">
      <alignment horizontal="center" vertical="center" wrapText="1"/>
      <protection hidden="1"/>
    </xf>
    <xf numFmtId="49" fontId="18" fillId="0" borderId="0" xfId="0" applyNumberFormat="1" applyFont="1" applyFill="1" applyBorder="1" applyAlignment="1" applyProtection="1">
      <alignment horizontal="left" vertical="center"/>
      <protection hidden="1"/>
    </xf>
    <xf numFmtId="49" fontId="64" fillId="0" borderId="0" xfId="2" applyNumberFormat="1" applyFont="1" applyFill="1" applyBorder="1" applyAlignment="1" applyProtection="1">
      <alignment horizontal="center" vertical="center" wrapText="1"/>
      <protection hidden="1"/>
    </xf>
    <xf numFmtId="14" fontId="18" fillId="13" borderId="7" xfId="0" applyNumberFormat="1" applyFont="1" applyFill="1" applyBorder="1" applyAlignment="1" applyProtection="1">
      <alignment horizontal="center" vertical="center"/>
      <protection locked="0"/>
    </xf>
    <xf numFmtId="14" fontId="18" fillId="13" borderId="24" xfId="0" applyNumberFormat="1" applyFont="1" applyFill="1" applyBorder="1" applyAlignment="1" applyProtection="1">
      <alignment horizontal="center" vertical="center"/>
      <protection locked="0"/>
    </xf>
    <xf numFmtId="14" fontId="18" fillId="13" borderId="2" xfId="0" applyNumberFormat="1" applyFont="1" applyFill="1" applyBorder="1" applyAlignment="1" applyProtection="1">
      <alignment horizontal="center" vertical="center"/>
      <protection locked="0"/>
    </xf>
    <xf numFmtId="14" fontId="18" fillId="13" borderId="12" xfId="0" applyNumberFormat="1" applyFont="1" applyFill="1" applyBorder="1" applyAlignment="1" applyProtection="1">
      <alignment horizontal="center" vertical="center"/>
      <protection locked="0"/>
    </xf>
    <xf numFmtId="42" fontId="29" fillId="12" borderId="66" xfId="0" applyNumberFormat="1" applyFont="1" applyFill="1" applyBorder="1" applyAlignment="1" applyProtection="1">
      <alignment horizontal="right" vertical="center" indent="1"/>
      <protection hidden="1"/>
    </xf>
    <xf numFmtId="42" fontId="55" fillId="14" borderId="29" xfId="0" applyNumberFormat="1" applyFont="1" applyFill="1" applyBorder="1" applyAlignment="1" applyProtection="1">
      <alignment vertical="center"/>
      <protection hidden="1"/>
    </xf>
    <xf numFmtId="0" fontId="49" fillId="14" borderId="27" xfId="0" applyNumberFormat="1" applyFont="1" applyFill="1" applyBorder="1" applyAlignment="1" applyProtection="1">
      <alignment vertical="center"/>
      <protection hidden="1"/>
    </xf>
    <xf numFmtId="42" fontId="55" fillId="14" borderId="41" xfId="0" applyNumberFormat="1" applyFont="1" applyFill="1" applyBorder="1" applyAlignment="1" applyProtection="1">
      <alignment vertical="center"/>
      <protection hidden="1"/>
    </xf>
    <xf numFmtId="1" fontId="49" fillId="14" borderId="27" xfId="0" applyNumberFormat="1" applyFont="1" applyFill="1" applyBorder="1" applyAlignment="1" applyProtection="1">
      <alignment vertical="center"/>
      <protection hidden="1"/>
    </xf>
    <xf numFmtId="0" fontId="20" fillId="0" borderId="0" xfId="0" applyFont="1" applyFill="1" applyBorder="1" applyAlignment="1" applyProtection="1">
      <alignment vertical="center" wrapText="1"/>
      <protection hidden="1"/>
    </xf>
    <xf numFmtId="1" fontId="28" fillId="23" borderId="7" xfId="0" applyNumberFormat="1" applyFont="1" applyFill="1" applyBorder="1" applyAlignment="1" applyProtection="1">
      <alignment horizontal="center" vertical="center"/>
      <protection hidden="1"/>
    </xf>
    <xf numFmtId="1" fontId="28" fillId="23" borderId="2" xfId="0" applyNumberFormat="1" applyFont="1" applyFill="1" applyBorder="1" applyAlignment="1" applyProtection="1">
      <alignment horizontal="center" vertical="center"/>
      <protection hidden="1"/>
    </xf>
    <xf numFmtId="1" fontId="28" fillId="23" borderId="12" xfId="0" applyNumberFormat="1" applyFont="1" applyFill="1" applyBorder="1" applyAlignment="1" applyProtection="1">
      <alignment horizontal="center" vertical="center"/>
      <protection hidden="1"/>
    </xf>
    <xf numFmtId="0" fontId="33" fillId="0" borderId="0" xfId="0" applyFont="1" applyAlignment="1" applyProtection="1">
      <alignment vertical="center"/>
      <protection hidden="1"/>
    </xf>
    <xf numFmtId="0" fontId="20" fillId="0" borderId="0" xfId="0" applyFont="1" applyAlignment="1" applyProtection="1">
      <alignment horizontal="left" vertical="center" indent="1"/>
      <protection hidden="1"/>
    </xf>
    <xf numFmtId="167" fontId="49" fillId="15" borderId="0" xfId="7" applyNumberFormat="1" applyFont="1" applyFill="1" applyBorder="1" applyAlignment="1" applyProtection="1">
      <alignment horizontal="center" vertical="center"/>
      <protection hidden="1"/>
    </xf>
    <xf numFmtId="0" fontId="17" fillId="14" borderId="0" xfId="0" applyFont="1" applyFill="1" applyBorder="1" applyAlignment="1" applyProtection="1">
      <alignment vertical="center"/>
      <protection hidden="1"/>
    </xf>
    <xf numFmtId="168" fontId="52" fillId="12" borderId="77" xfId="0" applyNumberFormat="1" applyFont="1" applyFill="1" applyBorder="1" applyAlignment="1" applyProtection="1">
      <alignment vertical="center"/>
      <protection hidden="1"/>
    </xf>
    <xf numFmtId="167" fontId="55" fillId="12" borderId="78" xfId="7" applyNumberFormat="1" applyFont="1" applyFill="1" applyBorder="1" applyAlignment="1" applyProtection="1">
      <alignment horizontal="center" vertical="center"/>
      <protection hidden="1"/>
    </xf>
    <xf numFmtId="0" fontId="20" fillId="0" borderId="24" xfId="0" applyFont="1" applyBorder="1" applyAlignment="1" applyProtection="1">
      <alignment vertical="center"/>
      <protection hidden="1"/>
    </xf>
    <xf numFmtId="0" fontId="7" fillId="14" borderId="0" xfId="0" applyFont="1" applyFill="1" applyBorder="1" applyAlignment="1" applyProtection="1">
      <alignment horizontal="center" vertical="center"/>
      <protection hidden="1"/>
    </xf>
    <xf numFmtId="3" fontId="46" fillId="11" borderId="0" xfId="0" applyNumberFormat="1" applyFont="1" applyFill="1" applyBorder="1" applyAlignment="1" applyProtection="1">
      <alignment horizontal="right" vertical="center" indent="1"/>
      <protection hidden="1"/>
    </xf>
    <xf numFmtId="3" fontId="47" fillId="16" borderId="29" xfId="0" applyNumberFormat="1" applyFont="1" applyFill="1" applyBorder="1" applyAlignment="1" applyProtection="1">
      <alignment horizontal="center" vertical="center"/>
      <protection hidden="1"/>
    </xf>
    <xf numFmtId="1" fontId="33" fillId="15" borderId="28" xfId="0" applyNumberFormat="1" applyFont="1" applyFill="1" applyBorder="1" applyAlignment="1" applyProtection="1">
      <alignment horizontal="center" vertical="center"/>
      <protection hidden="1"/>
    </xf>
    <xf numFmtId="0" fontId="20" fillId="14" borderId="0" xfId="0" applyFont="1" applyFill="1" applyBorder="1" applyAlignment="1" applyProtection="1">
      <alignment vertical="center"/>
      <protection hidden="1"/>
    </xf>
    <xf numFmtId="10" fontId="57" fillId="16" borderId="27" xfId="7" applyNumberFormat="1" applyFont="1" applyFill="1" applyBorder="1" applyAlignment="1" applyProtection="1">
      <alignment horizontal="center" vertical="center"/>
      <protection hidden="1"/>
    </xf>
    <xf numFmtId="167" fontId="33" fillId="15" borderId="27" xfId="7" applyNumberFormat="1" applyFont="1" applyFill="1" applyBorder="1" applyAlignment="1" applyProtection="1">
      <alignment horizontal="center" vertical="center"/>
      <protection hidden="1"/>
    </xf>
    <xf numFmtId="0" fontId="52" fillId="12" borderId="0" xfId="0" applyFont="1" applyFill="1" applyAlignment="1" applyProtection="1">
      <alignment vertical="center"/>
      <protection hidden="1"/>
    </xf>
    <xf numFmtId="0" fontId="7" fillId="14" borderId="0" xfId="0" applyFont="1" applyFill="1" applyAlignment="1" applyProtection="1">
      <alignment horizontal="center" vertical="center"/>
      <protection hidden="1"/>
    </xf>
    <xf numFmtId="0" fontId="60" fillId="0" borderId="0" xfId="0" applyFont="1" applyFill="1" applyAlignment="1" applyProtection="1">
      <alignment vertical="center"/>
      <protection hidden="1"/>
    </xf>
    <xf numFmtId="0" fontId="61" fillId="0" borderId="0" xfId="0" applyFont="1" applyFill="1" applyAlignment="1" applyProtection="1">
      <alignment vertical="center"/>
      <protection hidden="1"/>
    </xf>
    <xf numFmtId="0" fontId="61" fillId="0" borderId="0" xfId="0" applyFont="1" applyFill="1" applyBorder="1" applyAlignment="1" applyProtection="1">
      <alignment horizontal="center" vertical="center"/>
      <protection hidden="1"/>
    </xf>
    <xf numFmtId="49" fontId="11" fillId="0" borderId="0" xfId="0" applyNumberFormat="1" applyFont="1" applyFill="1" applyBorder="1" applyAlignment="1" applyProtection="1">
      <alignment horizontal="center" vertical="center" wrapText="1"/>
      <protection hidden="1"/>
    </xf>
    <xf numFmtId="49" fontId="62" fillId="0" borderId="0" xfId="2" applyNumberFormat="1" applyFont="1" applyFill="1" applyBorder="1" applyAlignment="1" applyProtection="1">
      <alignment horizontal="center" vertical="center" wrapText="1"/>
      <protection hidden="1"/>
    </xf>
    <xf numFmtId="49" fontId="63" fillId="0" borderId="0" xfId="2" applyNumberFormat="1" applyFont="1" applyFill="1" applyBorder="1" applyAlignment="1" applyProtection="1">
      <alignment horizontal="center" vertical="center" wrapText="1"/>
      <protection hidden="1"/>
    </xf>
    <xf numFmtId="49" fontId="62" fillId="0" borderId="0" xfId="2" applyNumberFormat="1" applyFont="1" applyFill="1" applyBorder="1" applyAlignment="1" applyProtection="1">
      <alignment horizontal="center" vertical="center" textRotation="90" wrapText="1"/>
      <protection hidden="1"/>
    </xf>
    <xf numFmtId="49" fontId="62" fillId="0" borderId="0" xfId="2" applyNumberFormat="1" applyFont="1" applyFill="1" applyBorder="1" applyAlignment="1" applyProtection="1">
      <alignment horizontal="left" vertical="center" wrapText="1"/>
      <protection hidden="1"/>
    </xf>
    <xf numFmtId="166" fontId="18" fillId="14" borderId="40" xfId="0" applyNumberFormat="1" applyFont="1" applyFill="1" applyBorder="1" applyAlignment="1" applyProtection="1">
      <alignment horizontal="right" vertical="center"/>
      <protection hidden="1"/>
    </xf>
    <xf numFmtId="1" fontId="18" fillId="23" borderId="7" xfId="0" applyNumberFormat="1" applyFont="1" applyFill="1" applyBorder="1" applyAlignment="1" applyProtection="1">
      <alignment horizontal="center" vertical="center"/>
      <protection hidden="1"/>
    </xf>
    <xf numFmtId="1" fontId="18" fillId="23" borderId="2" xfId="0" applyNumberFormat="1" applyFont="1" applyFill="1" applyBorder="1" applyAlignment="1" applyProtection="1">
      <alignment horizontal="center" vertical="center"/>
      <protection hidden="1"/>
    </xf>
    <xf numFmtId="1" fontId="18" fillId="23" borderId="12" xfId="0" applyNumberFormat="1" applyFont="1" applyFill="1" applyBorder="1" applyAlignment="1" applyProtection="1">
      <alignment horizontal="center" vertical="center"/>
      <protection hidden="1"/>
    </xf>
    <xf numFmtId="0" fontId="41" fillId="0" borderId="0" xfId="0" applyFont="1" applyFill="1" applyBorder="1" applyAlignment="1" applyProtection="1">
      <alignment vertical="center"/>
      <protection hidden="1"/>
    </xf>
    <xf numFmtId="49" fontId="19" fillId="0" borderId="0" xfId="2" applyNumberFormat="1" applyFont="1" applyFill="1" applyBorder="1" applyAlignment="1" applyProtection="1">
      <alignment horizontal="center" vertical="center"/>
      <protection hidden="1"/>
    </xf>
    <xf numFmtId="0" fontId="7" fillId="0" borderId="0" xfId="0" applyFont="1" applyFill="1" applyBorder="1" applyAlignment="1" applyProtection="1">
      <alignment horizontal="left" vertical="center"/>
      <protection hidden="1"/>
    </xf>
    <xf numFmtId="0" fontId="7" fillId="0" borderId="0" xfId="0" applyFont="1" applyFill="1" applyAlignment="1" applyProtection="1">
      <alignment horizontal="left" vertical="center"/>
      <protection hidden="1"/>
    </xf>
    <xf numFmtId="0" fontId="7" fillId="0" borderId="0" xfId="0" applyFont="1" applyAlignment="1" applyProtection="1">
      <alignment horizontal="left" vertical="center"/>
      <protection hidden="1"/>
    </xf>
    <xf numFmtId="14" fontId="18" fillId="5" borderId="2" xfId="0" applyNumberFormat="1" applyFont="1" applyFill="1" applyBorder="1" applyAlignment="1" applyProtection="1">
      <alignment horizontal="center" vertical="center"/>
      <protection locked="0"/>
    </xf>
    <xf numFmtId="14" fontId="18" fillId="3" borderId="2" xfId="0" applyNumberFormat="1" applyFont="1" applyFill="1" applyBorder="1" applyAlignment="1" applyProtection="1">
      <alignment horizontal="center" vertical="center"/>
      <protection locked="0"/>
    </xf>
    <xf numFmtId="14" fontId="28" fillId="23" borderId="7" xfId="0" applyNumberFormat="1" applyFont="1" applyFill="1" applyBorder="1" applyAlignment="1" applyProtection="1">
      <alignment horizontal="center" vertical="center"/>
      <protection hidden="1"/>
    </xf>
    <xf numFmtId="14" fontId="28" fillId="23" borderId="2" xfId="0" applyNumberFormat="1" applyFont="1" applyFill="1" applyBorder="1" applyAlignment="1" applyProtection="1">
      <alignment horizontal="center" vertical="center"/>
      <protection hidden="1"/>
    </xf>
    <xf numFmtId="14" fontId="28" fillId="23" borderId="12" xfId="0" applyNumberFormat="1" applyFont="1" applyFill="1" applyBorder="1" applyAlignment="1" applyProtection="1">
      <alignment horizontal="center" vertical="center"/>
      <protection hidden="1"/>
    </xf>
    <xf numFmtId="6" fontId="7" fillId="0" borderId="0" xfId="0" applyNumberFormat="1" applyFont="1" applyAlignment="1" applyProtection="1">
      <alignment horizontal="left" vertical="center"/>
      <protection hidden="1"/>
    </xf>
    <xf numFmtId="165" fontId="67" fillId="0" borderId="0" xfId="0" applyNumberFormat="1" applyFont="1" applyFill="1" applyBorder="1" applyAlignment="1" applyProtection="1">
      <alignment horizontal="center" vertical="center"/>
      <protection hidden="1"/>
    </xf>
    <xf numFmtId="49" fontId="32" fillId="22" borderId="36" xfId="2" applyNumberFormat="1" applyFont="1" applyFill="1" applyBorder="1" applyAlignment="1" applyProtection="1">
      <alignment horizontal="center" vertical="center" wrapText="1"/>
      <protection hidden="1"/>
    </xf>
    <xf numFmtId="14" fontId="18" fillId="14" borderId="7" xfId="0" applyNumberFormat="1" applyFont="1" applyFill="1" applyBorder="1" applyAlignment="1" applyProtection="1">
      <alignment horizontal="center" vertical="center" wrapText="1"/>
      <protection locked="0"/>
    </xf>
    <xf numFmtId="14" fontId="20" fillId="14" borderId="2" xfId="0" applyNumberFormat="1" applyFont="1" applyFill="1" applyBorder="1" applyAlignment="1" applyProtection="1">
      <alignment horizontal="center" vertical="center" wrapText="1"/>
      <protection locked="0"/>
    </xf>
    <xf numFmtId="14" fontId="18" fillId="14" borderId="2" xfId="0" applyNumberFormat="1" applyFont="1" applyFill="1" applyBorder="1" applyAlignment="1" applyProtection="1">
      <alignment horizontal="center" vertical="center" wrapText="1"/>
      <protection locked="0"/>
    </xf>
    <xf numFmtId="14" fontId="18" fillId="14" borderId="12" xfId="0" applyNumberFormat="1" applyFont="1" applyFill="1" applyBorder="1" applyAlignment="1" applyProtection="1">
      <alignment horizontal="center" vertical="center" wrapText="1"/>
      <protection locked="0"/>
    </xf>
    <xf numFmtId="14" fontId="18" fillId="13" borderId="2" xfId="0" applyNumberFormat="1" applyFont="1" applyFill="1" applyBorder="1" applyAlignment="1" applyProtection="1">
      <alignment horizontal="center" vertical="center" wrapText="1"/>
      <protection locked="0"/>
    </xf>
    <xf numFmtId="14" fontId="18" fillId="3" borderId="12" xfId="0" applyNumberFormat="1" applyFont="1" applyFill="1" applyBorder="1" applyAlignment="1" applyProtection="1">
      <alignment horizontal="center" vertical="center" wrapText="1"/>
      <protection locked="0"/>
    </xf>
    <xf numFmtId="14" fontId="16" fillId="13" borderId="7" xfId="0" applyNumberFormat="1" applyFont="1" applyFill="1" applyBorder="1" applyAlignment="1" applyProtection="1">
      <alignment horizontal="center" vertical="center" wrapText="1"/>
      <protection locked="0"/>
    </xf>
    <xf numFmtId="0" fontId="20" fillId="0" borderId="30" xfId="0" applyFont="1" applyBorder="1" applyAlignment="1">
      <alignment horizontal="center"/>
    </xf>
    <xf numFmtId="0" fontId="20" fillId="0" borderId="31" xfId="0" applyFont="1" applyBorder="1" applyAlignment="1">
      <alignment horizontal="center"/>
    </xf>
    <xf numFmtId="0" fontId="20" fillId="0" borderId="32" xfId="0" applyFont="1" applyBorder="1" applyAlignment="1">
      <alignment horizontal="center"/>
    </xf>
    <xf numFmtId="0" fontId="7" fillId="0" borderId="0" xfId="0" applyFont="1" applyBorder="1" applyAlignment="1" applyProtection="1">
      <alignment horizontal="center" vertical="center"/>
      <protection hidden="1"/>
    </xf>
    <xf numFmtId="49" fontId="20" fillId="0" borderId="2" xfId="0" applyNumberFormat="1" applyFont="1" applyBorder="1" applyAlignment="1" applyProtection="1">
      <alignment horizontal="center" vertical="center"/>
      <protection locked="0"/>
    </xf>
    <xf numFmtId="49" fontId="69" fillId="7" borderId="82" xfId="2" applyNumberFormat="1" applyFont="1" applyFill="1" applyBorder="1" applyAlignment="1">
      <alignment horizontal="center" vertical="center" wrapText="1"/>
    </xf>
    <xf numFmtId="49" fontId="69" fillId="7" borderId="83" xfId="2" applyNumberFormat="1" applyFont="1" applyFill="1" applyBorder="1" applyAlignment="1">
      <alignment horizontal="center" vertical="center" wrapText="1"/>
    </xf>
    <xf numFmtId="49" fontId="69" fillId="7" borderId="84" xfId="2" applyNumberFormat="1" applyFont="1" applyFill="1" applyBorder="1" applyAlignment="1">
      <alignment horizontal="center" vertical="center" wrapText="1"/>
    </xf>
    <xf numFmtId="49" fontId="69" fillId="37" borderId="85" xfId="2" applyNumberFormat="1" applyFont="1" applyFill="1" applyBorder="1" applyAlignment="1">
      <alignment horizontal="center" vertical="center" wrapText="1"/>
    </xf>
    <xf numFmtId="49" fontId="69" fillId="37" borderId="86" xfId="2" applyNumberFormat="1" applyFont="1" applyFill="1" applyBorder="1" applyAlignment="1">
      <alignment horizontal="center" vertical="center" wrapText="1"/>
    </xf>
    <xf numFmtId="49" fontId="69" fillId="37" borderId="87" xfId="2" applyNumberFormat="1" applyFont="1" applyFill="1" applyBorder="1" applyAlignment="1">
      <alignment horizontal="center" vertical="center" wrapText="1"/>
    </xf>
    <xf numFmtId="49" fontId="70" fillId="6" borderId="6" xfId="5" applyNumberFormat="1" applyFont="1" applyFill="1" applyBorder="1" applyAlignment="1">
      <alignment horizontal="center" vertical="center" wrapText="1"/>
    </xf>
    <xf numFmtId="49" fontId="70" fillId="6" borderId="7" xfId="5" applyNumberFormat="1" applyFont="1" applyFill="1" applyBorder="1" applyAlignment="1">
      <alignment horizontal="center" vertical="center" wrapText="1"/>
    </xf>
    <xf numFmtId="49" fontId="70" fillId="6" borderId="8" xfId="5" applyNumberFormat="1" applyFont="1" applyFill="1" applyBorder="1" applyAlignment="1">
      <alignment horizontal="center" vertical="center" wrapText="1"/>
    </xf>
    <xf numFmtId="0" fontId="71" fillId="38" borderId="64" xfId="0" applyFont="1" applyFill="1" applyBorder="1" applyAlignment="1">
      <alignment horizontal="center" vertical="center" wrapText="1"/>
    </xf>
    <xf numFmtId="0" fontId="71" fillId="38" borderId="88" xfId="0" applyFont="1" applyFill="1" applyBorder="1" applyAlignment="1">
      <alignment horizontal="center" vertical="center" wrapText="1"/>
    </xf>
    <xf numFmtId="0" fontId="71" fillId="38" borderId="7" xfId="0" applyFont="1" applyFill="1" applyBorder="1" applyAlignment="1">
      <alignment horizontal="center" vertical="center" wrapText="1"/>
    </xf>
    <xf numFmtId="49" fontId="70" fillId="6" borderId="9" xfId="5" applyNumberFormat="1" applyFont="1" applyFill="1" applyBorder="1" applyAlignment="1">
      <alignment horizontal="center" vertical="center" wrapText="1"/>
    </xf>
    <xf numFmtId="49" fontId="70" fillId="6" borderId="2" xfId="5" applyNumberFormat="1" applyFont="1" applyFill="1" applyBorder="1" applyAlignment="1">
      <alignment horizontal="center" vertical="center" wrapText="1"/>
    </xf>
    <xf numFmtId="49" fontId="70" fillId="6" borderId="2" xfId="3" applyNumberFormat="1" applyFont="1" applyFill="1" applyBorder="1" applyAlignment="1">
      <alignment horizontal="center" vertical="center" wrapText="1"/>
    </xf>
    <xf numFmtId="49" fontId="70" fillId="6" borderId="10" xfId="5" applyNumberFormat="1" applyFont="1" applyFill="1" applyBorder="1" applyAlignment="1">
      <alignment horizontal="center" vertical="center" wrapText="1"/>
    </xf>
    <xf numFmtId="0" fontId="71" fillId="0" borderId="2" xfId="0" applyFont="1" applyBorder="1" applyAlignment="1">
      <alignment horizontal="center" vertical="center" wrapText="1"/>
    </xf>
    <xf numFmtId="0" fontId="71" fillId="0" borderId="10" xfId="0" applyFont="1" applyBorder="1" applyAlignment="1">
      <alignment horizontal="center" vertical="center" wrapText="1"/>
    </xf>
    <xf numFmtId="0" fontId="71" fillId="38" borderId="79" xfId="0" applyFont="1" applyFill="1" applyBorder="1" applyAlignment="1">
      <alignment horizontal="center" vertical="center" wrapText="1"/>
    </xf>
    <xf numFmtId="0" fontId="71" fillId="0" borderId="9" xfId="0" applyFont="1" applyBorder="1" applyAlignment="1">
      <alignment horizontal="center" vertical="center" wrapText="1"/>
    </xf>
    <xf numFmtId="0" fontId="71" fillId="38" borderId="89" xfId="0" applyFont="1" applyFill="1" applyBorder="1" applyAlignment="1">
      <alignment horizontal="center" vertical="center" wrapText="1"/>
    </xf>
    <xf numFmtId="0" fontId="71" fillId="38" borderId="2" xfId="0" applyFont="1" applyFill="1" applyBorder="1" applyAlignment="1">
      <alignment horizontal="center" vertical="center" wrapText="1"/>
    </xf>
    <xf numFmtId="0" fontId="71" fillId="0" borderId="2" xfId="0" applyFont="1" applyFill="1" applyBorder="1" applyAlignment="1">
      <alignment horizontal="center" vertical="center" wrapText="1"/>
    </xf>
    <xf numFmtId="14" fontId="71" fillId="0" borderId="2" xfId="0" applyNumberFormat="1" applyFont="1" applyBorder="1" applyAlignment="1">
      <alignment horizontal="center" vertical="center" wrapText="1"/>
    </xf>
    <xf numFmtId="49" fontId="70" fillId="37" borderId="79" xfId="5" applyNumberFormat="1" applyFont="1" applyFill="1" applyBorder="1" applyAlignment="1">
      <alignment horizontal="center" vertical="center" wrapText="1"/>
    </xf>
    <xf numFmtId="49" fontId="70" fillId="37" borderId="89" xfId="5" applyNumberFormat="1" applyFont="1" applyFill="1" applyBorder="1" applyAlignment="1">
      <alignment horizontal="center" vertical="center" wrapText="1"/>
    </xf>
    <xf numFmtId="49" fontId="70" fillId="37" borderId="2" xfId="5" applyNumberFormat="1" applyFont="1" applyFill="1" applyBorder="1" applyAlignment="1">
      <alignment horizontal="center" vertical="center" wrapText="1"/>
    </xf>
    <xf numFmtId="0" fontId="71" fillId="0" borderId="9" xfId="0" applyFont="1" applyFill="1" applyBorder="1" applyAlignment="1">
      <alignment horizontal="center" vertical="center" wrapText="1"/>
    </xf>
    <xf numFmtId="0" fontId="71" fillId="0" borderId="10" xfId="0" applyFont="1" applyFill="1" applyBorder="1" applyAlignment="1">
      <alignment horizontal="center" vertical="center" wrapText="1"/>
    </xf>
    <xf numFmtId="49" fontId="70" fillId="38" borderId="79" xfId="5" applyNumberFormat="1" applyFont="1" applyFill="1" applyBorder="1" applyAlignment="1">
      <alignment horizontal="center" vertical="center" wrapText="1"/>
    </xf>
    <xf numFmtId="14" fontId="71" fillId="0" borderId="2" xfId="0" applyNumberFormat="1" applyFont="1" applyFill="1" applyBorder="1" applyAlignment="1">
      <alignment horizontal="center" vertical="center" wrapText="1"/>
    </xf>
    <xf numFmtId="49" fontId="70" fillId="38" borderId="89" xfId="5" applyNumberFormat="1" applyFont="1" applyFill="1" applyBorder="1" applyAlignment="1">
      <alignment horizontal="center" vertical="center" wrapText="1"/>
    </xf>
    <xf numFmtId="49" fontId="70" fillId="38" borderId="2" xfId="5" applyNumberFormat="1" applyFont="1" applyFill="1" applyBorder="1" applyAlignment="1">
      <alignment horizontal="center" vertical="center" wrapText="1"/>
    </xf>
    <xf numFmtId="0" fontId="71" fillId="0" borderId="3" xfId="0" applyFont="1" applyBorder="1" applyAlignment="1">
      <alignment horizontal="center" vertical="center" wrapText="1"/>
    </xf>
    <xf numFmtId="0" fontId="71" fillId="0" borderId="11" xfId="0" applyFont="1" applyBorder="1" applyAlignment="1">
      <alignment horizontal="center" vertical="center" wrapText="1"/>
    </xf>
    <xf numFmtId="0" fontId="71" fillId="0" borderId="12" xfId="0" applyFont="1" applyBorder="1" applyAlignment="1">
      <alignment horizontal="center" vertical="center" wrapText="1"/>
    </xf>
    <xf numFmtId="14" fontId="71" fillId="0" borderId="12" xfId="0" applyNumberFormat="1" applyFont="1" applyBorder="1" applyAlignment="1">
      <alignment horizontal="center" vertical="center" wrapText="1"/>
    </xf>
    <xf numFmtId="0" fontId="71" fillId="0" borderId="13" xfId="0" applyFont="1" applyBorder="1" applyAlignment="1">
      <alignment horizontal="center" vertical="center" wrapText="1"/>
    </xf>
    <xf numFmtId="0" fontId="71" fillId="38" borderId="65" xfId="0" applyFont="1" applyFill="1" applyBorder="1" applyAlignment="1">
      <alignment horizontal="center" vertical="center" wrapText="1"/>
    </xf>
    <xf numFmtId="0" fontId="71" fillId="38" borderId="90" xfId="0" applyFont="1" applyFill="1" applyBorder="1" applyAlignment="1">
      <alignment horizontal="center" vertical="center" wrapText="1"/>
    </xf>
    <xf numFmtId="0" fontId="71" fillId="38" borderId="12" xfId="0" applyFont="1" applyFill="1" applyBorder="1" applyAlignment="1">
      <alignment horizontal="center" vertical="center" wrapText="1"/>
    </xf>
    <xf numFmtId="49" fontId="72" fillId="6" borderId="1" xfId="2" applyNumberFormat="1" applyFont="1" applyFill="1" applyBorder="1" applyAlignment="1">
      <alignment vertical="center" wrapText="1"/>
    </xf>
    <xf numFmtId="14" fontId="70" fillId="6" borderId="7" xfId="5" applyNumberFormat="1" applyFont="1" applyFill="1" applyBorder="1" applyAlignment="1">
      <alignment horizontal="center" vertical="center" wrapText="1"/>
    </xf>
    <xf numFmtId="14" fontId="70" fillId="6" borderId="2" xfId="5" applyNumberFormat="1" applyFont="1" applyFill="1" applyBorder="1" applyAlignment="1">
      <alignment horizontal="center" vertical="center" wrapText="1"/>
    </xf>
    <xf numFmtId="169" fontId="72" fillId="6" borderId="0" xfId="2" applyNumberFormat="1" applyFont="1" applyFill="1" applyBorder="1" applyAlignment="1">
      <alignment vertical="center" wrapText="1"/>
    </xf>
    <xf numFmtId="0" fontId="71" fillId="0" borderId="17" xfId="0" applyFont="1" applyBorder="1" applyAlignment="1">
      <alignment horizontal="center" vertical="center" wrapText="1"/>
    </xf>
    <xf numFmtId="49" fontId="70" fillId="6" borderId="3" xfId="5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64" fontId="70" fillId="6" borderId="3" xfId="5" applyNumberFormat="1" applyFont="1" applyFill="1" applyBorder="1" applyAlignment="1">
      <alignment horizontal="center" vertical="center" wrapText="1"/>
    </xf>
    <xf numFmtId="164" fontId="70" fillId="6" borderId="9" xfId="5" applyNumberFormat="1" applyFont="1" applyFill="1" applyBorder="1" applyAlignment="1">
      <alignment horizontal="center" vertical="center" wrapText="1"/>
    </xf>
    <xf numFmtId="164" fontId="70" fillId="6" borderId="2" xfId="5" applyNumberFormat="1" applyFont="1" applyFill="1" applyBorder="1" applyAlignment="1">
      <alignment horizontal="center" vertical="center" wrapText="1"/>
    </xf>
    <xf numFmtId="164" fontId="70" fillId="6" borderId="10" xfId="5" applyNumberFormat="1" applyFont="1" applyFill="1" applyBorder="1" applyAlignment="1">
      <alignment horizontal="center" vertical="center" wrapText="1"/>
    </xf>
    <xf numFmtId="0" fontId="71" fillId="0" borderId="94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 applyProtection="1">
      <alignment vertical="center" wrapText="1"/>
      <protection locked="0"/>
    </xf>
    <xf numFmtId="0" fontId="0" fillId="0" borderId="7" xfId="0" applyBorder="1" applyAlignment="1">
      <alignment horizontal="center" vertical="center" wrapText="1"/>
    </xf>
    <xf numFmtId="0" fontId="0" fillId="38" borderId="7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38" borderId="12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38" borderId="24" xfId="0" applyFill="1" applyBorder="1" applyAlignment="1">
      <alignment horizontal="center" vertical="center" wrapText="1"/>
    </xf>
    <xf numFmtId="0" fontId="0" fillId="0" borderId="80" xfId="0" applyBorder="1" applyAlignment="1">
      <alignment horizontal="center" vertical="center" wrapText="1"/>
    </xf>
    <xf numFmtId="0" fontId="0" fillId="14" borderId="88" xfId="0" applyFill="1" applyBorder="1" applyAlignment="1">
      <alignment horizontal="center" vertical="center" wrapText="1"/>
    </xf>
    <xf numFmtId="0" fontId="0" fillId="14" borderId="95" xfId="0" applyFill="1" applyBorder="1" applyAlignment="1">
      <alignment horizontal="center" vertical="center" wrapText="1"/>
    </xf>
    <xf numFmtId="0" fontId="0" fillId="14" borderId="90" xfId="0" applyFill="1" applyBorder="1" applyAlignment="1">
      <alignment horizontal="center" vertical="center" wrapText="1"/>
    </xf>
    <xf numFmtId="0" fontId="73" fillId="25" borderId="7" xfId="0" applyFont="1" applyFill="1" applyBorder="1" applyAlignment="1">
      <alignment horizontal="center" vertical="center" wrapText="1"/>
    </xf>
    <xf numFmtId="0" fontId="73" fillId="25" borderId="24" xfId="0" applyFont="1" applyFill="1" applyBorder="1" applyAlignment="1">
      <alignment horizontal="center" vertical="center" wrapText="1"/>
    </xf>
    <xf numFmtId="0" fontId="73" fillId="25" borderId="12" xfId="0" applyFont="1" applyFill="1" applyBorder="1" applyAlignment="1">
      <alignment horizontal="center" vertical="center" wrapText="1"/>
    </xf>
    <xf numFmtId="49" fontId="19" fillId="6" borderId="40" xfId="6" applyNumberFormat="1" applyFont="1" applyFill="1" applyBorder="1" applyAlignment="1" applyProtection="1">
      <alignment horizontal="left" vertical="center"/>
      <protection hidden="1"/>
    </xf>
    <xf numFmtId="0" fontId="20" fillId="0" borderId="40" xfId="0" applyFont="1" applyBorder="1" applyAlignment="1" applyProtection="1">
      <alignment horizontal="left" vertical="center"/>
      <protection hidden="1"/>
    </xf>
    <xf numFmtId="0" fontId="7" fillId="0" borderId="40" xfId="0" applyFont="1" applyBorder="1" applyAlignment="1" applyProtection="1">
      <alignment horizontal="left" vertical="center"/>
      <protection hidden="1"/>
    </xf>
    <xf numFmtId="0" fontId="7" fillId="0" borderId="0" xfId="0" applyFont="1" applyBorder="1" applyAlignment="1" applyProtection="1">
      <alignment horizontal="left" vertical="center"/>
      <protection hidden="1"/>
    </xf>
    <xf numFmtId="0" fontId="0" fillId="0" borderId="96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60" fillId="0" borderId="0" xfId="0" applyFont="1" applyAlignment="1" applyProtection="1">
      <alignment vertical="center"/>
      <protection hidden="1"/>
    </xf>
    <xf numFmtId="0" fontId="48" fillId="9" borderId="0" xfId="0" applyFont="1" applyFill="1" applyAlignment="1" applyProtection="1">
      <alignment vertical="center"/>
      <protection hidden="1"/>
    </xf>
    <xf numFmtId="0" fontId="48" fillId="0" borderId="0" xfId="0" applyFont="1" applyFill="1" applyBorder="1" applyAlignment="1" applyProtection="1">
      <alignment vertical="center"/>
      <protection hidden="1"/>
    </xf>
    <xf numFmtId="0" fontId="48" fillId="0" borderId="0" xfId="0" applyFont="1" applyFill="1" applyBorder="1" applyAlignment="1" applyProtection="1">
      <alignment horizontal="center" vertical="center"/>
      <protection hidden="1"/>
    </xf>
    <xf numFmtId="167" fontId="7" fillId="0" borderId="0" xfId="7" applyNumberFormat="1" applyFont="1" applyAlignment="1" applyProtection="1">
      <alignment vertical="center"/>
      <protection hidden="1"/>
    </xf>
    <xf numFmtId="6" fontId="7" fillId="0" borderId="0" xfId="0" applyNumberFormat="1" applyFont="1" applyAlignment="1" applyProtection="1">
      <alignment vertical="center"/>
      <protection hidden="1"/>
    </xf>
    <xf numFmtId="0" fontId="29" fillId="12" borderId="0" xfId="0" applyFont="1" applyFill="1" applyAlignment="1" applyProtection="1">
      <alignment horizontal="left" vertical="center" indent="1"/>
      <protection hidden="1"/>
    </xf>
    <xf numFmtId="0" fontId="59" fillId="0" borderId="0" xfId="0" applyFont="1" applyFill="1" applyBorder="1" applyAlignment="1" applyProtection="1">
      <alignment horizontal="left" vertical="center"/>
      <protection hidden="1"/>
    </xf>
    <xf numFmtId="0" fontId="68" fillId="12" borderId="0" xfId="0" applyFont="1" applyFill="1" applyAlignment="1" applyProtection="1">
      <alignment horizontal="center" vertical="center"/>
      <protection hidden="1"/>
    </xf>
    <xf numFmtId="0" fontId="59" fillId="0" borderId="0" xfId="0" applyFont="1" applyFill="1" applyBorder="1" applyAlignment="1" applyProtection="1">
      <alignment vertical="center"/>
      <protection hidden="1"/>
    </xf>
    <xf numFmtId="0" fontId="7" fillId="0" borderId="0" xfId="0" applyFont="1" applyAlignment="1" applyProtection="1">
      <alignment horizontal="left" vertical="center" indent="1"/>
      <protection hidden="1"/>
    </xf>
    <xf numFmtId="0" fontId="59" fillId="0" borderId="81" xfId="0" applyFont="1" applyBorder="1" applyAlignment="1" applyProtection="1">
      <alignment horizontal="center" vertical="center"/>
      <protection hidden="1"/>
    </xf>
    <xf numFmtId="170" fontId="59" fillId="0" borderId="81" xfId="0" applyNumberFormat="1" applyFont="1" applyBorder="1" applyAlignment="1" applyProtection="1">
      <alignment horizontal="right" vertical="center" indent="1"/>
      <protection hidden="1"/>
    </xf>
    <xf numFmtId="5" fontId="59" fillId="0" borderId="81" xfId="0" applyNumberFormat="1" applyFont="1" applyBorder="1" applyAlignment="1" applyProtection="1">
      <alignment horizontal="right" vertical="center" indent="1"/>
      <protection hidden="1"/>
    </xf>
    <xf numFmtId="170" fontId="7" fillId="0" borderId="0" xfId="0" applyNumberFormat="1" applyFont="1" applyAlignment="1" applyProtection="1">
      <alignment horizontal="right" vertical="center" indent="1"/>
      <protection hidden="1"/>
    </xf>
    <xf numFmtId="5" fontId="7" fillId="0" borderId="0" xfId="0" applyNumberFormat="1" applyFont="1" applyAlignment="1" applyProtection="1">
      <alignment horizontal="right" vertical="center" indent="1"/>
      <protection hidden="1"/>
    </xf>
    <xf numFmtId="0" fontId="20" fillId="31" borderId="73" xfId="0" applyFont="1" applyFill="1" applyBorder="1" applyAlignment="1" applyProtection="1">
      <alignment horizontal="left" vertical="center" indent="2"/>
      <protection hidden="1"/>
    </xf>
    <xf numFmtId="0" fontId="20" fillId="31" borderId="73" xfId="0" applyFont="1" applyFill="1" applyBorder="1" applyAlignment="1" applyProtection="1">
      <alignment horizontal="center" vertical="center"/>
      <protection hidden="1"/>
    </xf>
    <xf numFmtId="170" fontId="20" fillId="31" borderId="73" xfId="0" applyNumberFormat="1" applyFont="1" applyFill="1" applyBorder="1" applyAlignment="1" applyProtection="1">
      <alignment horizontal="right" vertical="center" indent="1"/>
      <protection hidden="1"/>
    </xf>
    <xf numFmtId="0" fontId="20" fillId="32" borderId="73" xfId="0" applyFont="1" applyFill="1" applyBorder="1" applyAlignment="1" applyProtection="1">
      <alignment horizontal="left" vertical="center" indent="2"/>
      <protection hidden="1"/>
    </xf>
    <xf numFmtId="0" fontId="20" fillId="32" borderId="73" xfId="0" applyFont="1" applyFill="1" applyBorder="1" applyAlignment="1" applyProtection="1">
      <alignment horizontal="center" vertical="center"/>
      <protection hidden="1"/>
    </xf>
    <xf numFmtId="5" fontId="20" fillId="32" borderId="73" xfId="0" applyNumberFormat="1" applyFont="1" applyFill="1" applyBorder="1" applyAlignment="1" applyProtection="1">
      <alignment horizontal="right" vertical="center" indent="1"/>
      <protection hidden="1"/>
    </xf>
    <xf numFmtId="0" fontId="20" fillId="36" borderId="73" xfId="0" applyFont="1" applyFill="1" applyBorder="1" applyAlignment="1" applyProtection="1">
      <alignment horizontal="left" vertical="center" indent="2"/>
      <protection hidden="1"/>
    </xf>
    <xf numFmtId="0" fontId="20" fillId="36" borderId="73" xfId="0" applyFont="1" applyFill="1" applyBorder="1" applyAlignment="1" applyProtection="1">
      <alignment horizontal="center" vertical="center"/>
      <protection hidden="1"/>
    </xf>
    <xf numFmtId="170" fontId="20" fillId="36" borderId="73" xfId="0" applyNumberFormat="1" applyFont="1" applyFill="1" applyBorder="1" applyAlignment="1" applyProtection="1">
      <alignment horizontal="right" vertical="center" indent="1"/>
      <protection hidden="1"/>
    </xf>
    <xf numFmtId="170" fontId="20" fillId="0" borderId="0" xfId="0" applyNumberFormat="1" applyFont="1" applyAlignment="1" applyProtection="1">
      <alignment vertical="center"/>
      <protection hidden="1"/>
    </xf>
    <xf numFmtId="0" fontId="52" fillId="34" borderId="73" xfId="0" applyFont="1" applyFill="1" applyBorder="1" applyAlignment="1" applyProtection="1">
      <alignment horizontal="left" vertical="center" indent="2"/>
      <protection hidden="1"/>
    </xf>
    <xf numFmtId="0" fontId="52" fillId="34" borderId="73" xfId="0" applyFont="1" applyFill="1" applyBorder="1" applyAlignment="1" applyProtection="1">
      <alignment horizontal="center" vertical="center"/>
      <protection hidden="1"/>
    </xf>
    <xf numFmtId="170" fontId="52" fillId="34" borderId="73" xfId="0" applyNumberFormat="1" applyFont="1" applyFill="1" applyBorder="1" applyAlignment="1" applyProtection="1">
      <alignment horizontal="right" vertical="center" indent="1"/>
      <protection hidden="1"/>
    </xf>
    <xf numFmtId="0" fontId="20" fillId="33" borderId="73" xfId="0" applyFont="1" applyFill="1" applyBorder="1" applyAlignment="1" applyProtection="1">
      <alignment horizontal="left" vertical="center" indent="2"/>
      <protection hidden="1"/>
    </xf>
    <xf numFmtId="0" fontId="20" fillId="33" borderId="73" xfId="0" applyFont="1" applyFill="1" applyBorder="1" applyAlignment="1" applyProtection="1">
      <alignment horizontal="center" vertical="center"/>
      <protection hidden="1"/>
    </xf>
    <xf numFmtId="5" fontId="20" fillId="33" borderId="73" xfId="0" applyNumberFormat="1" applyFont="1" applyFill="1" applyBorder="1" applyAlignment="1" applyProtection="1">
      <alignment horizontal="right" vertical="center" indent="1"/>
      <protection hidden="1"/>
    </xf>
    <xf numFmtId="0" fontId="20" fillId="35" borderId="73" xfId="0" applyFont="1" applyFill="1" applyBorder="1" applyAlignment="1" applyProtection="1">
      <alignment horizontal="left" vertical="center" indent="2"/>
      <protection hidden="1"/>
    </xf>
    <xf numFmtId="0" fontId="20" fillId="35" borderId="73" xfId="0" applyFont="1" applyFill="1" applyBorder="1" applyAlignment="1" applyProtection="1">
      <alignment horizontal="center" vertical="center"/>
      <protection hidden="1"/>
    </xf>
    <xf numFmtId="170" fontId="20" fillId="35" borderId="73" xfId="0" applyNumberFormat="1" applyFont="1" applyFill="1" applyBorder="1" applyAlignment="1" applyProtection="1">
      <alignment horizontal="right" vertical="center" indent="1"/>
      <protection hidden="1"/>
    </xf>
    <xf numFmtId="6" fontId="20" fillId="0" borderId="0" xfId="0" applyNumberFormat="1" applyFont="1" applyAlignment="1" applyProtection="1">
      <alignment vertical="center"/>
      <protection hidden="1"/>
    </xf>
    <xf numFmtId="167" fontId="20" fillId="0" borderId="0" xfId="7" applyNumberFormat="1" applyFont="1" applyAlignment="1" applyProtection="1">
      <alignment vertical="center"/>
      <protection hidden="1"/>
    </xf>
    <xf numFmtId="9" fontId="20" fillId="0" borderId="0" xfId="0" applyNumberFormat="1" applyFont="1" applyAlignment="1" applyProtection="1">
      <alignment vertical="center"/>
      <protection hidden="1"/>
    </xf>
    <xf numFmtId="49" fontId="75" fillId="13" borderId="17" xfId="0" applyNumberFormat="1" applyFont="1" applyFill="1" applyBorder="1" applyAlignment="1" applyProtection="1">
      <alignment horizontal="left" vertical="center"/>
      <protection locked="0"/>
    </xf>
    <xf numFmtId="49" fontId="19" fillId="0" borderId="3" xfId="3" applyNumberFormat="1" applyFont="1" applyFill="1" applyBorder="1" applyAlignment="1" applyProtection="1">
      <alignment horizontal="center" vertical="center" wrapText="1"/>
      <protection locked="0"/>
    </xf>
    <xf numFmtId="49" fontId="19" fillId="0" borderId="17" xfId="3" applyNumberFormat="1" applyFont="1" applyFill="1" applyBorder="1" applyAlignment="1" applyProtection="1">
      <alignment horizontal="center" vertical="center" wrapText="1"/>
      <protection locked="0"/>
    </xf>
    <xf numFmtId="49" fontId="15" fillId="3" borderId="17" xfId="0" applyNumberFormat="1" applyFont="1" applyFill="1" applyBorder="1" applyAlignment="1" applyProtection="1">
      <alignment horizontal="center" vertical="center"/>
      <protection locked="0"/>
    </xf>
    <xf numFmtId="171" fontId="50" fillId="0" borderId="100" xfId="0" applyNumberFormat="1" applyFont="1" applyFill="1" applyBorder="1" applyAlignment="1" applyProtection="1">
      <alignment horizontal="center" vertical="center"/>
      <protection locked="0"/>
    </xf>
    <xf numFmtId="49" fontId="15" fillId="3" borderId="22" xfId="0" applyNumberFormat="1" applyFont="1" applyFill="1" applyBorder="1" applyAlignment="1" applyProtection="1">
      <alignment horizontal="left" vertical="center" wrapText="1"/>
      <protection locked="0"/>
    </xf>
    <xf numFmtId="49" fontId="15" fillId="3" borderId="23" xfId="0" applyNumberFormat="1" applyFont="1" applyFill="1" applyBorder="1" applyAlignment="1" applyProtection="1">
      <alignment horizontal="center" vertical="center" wrapText="1"/>
      <protection locked="0"/>
    </xf>
    <xf numFmtId="168" fontId="18" fillId="13" borderId="24" xfId="0" applyNumberFormat="1" applyFont="1" applyFill="1" applyBorder="1" applyAlignment="1" applyProtection="1">
      <alignment horizontal="right" vertical="center" wrapText="1"/>
      <protection locked="0"/>
    </xf>
    <xf numFmtId="168" fontId="21" fillId="13" borderId="24" xfId="0" applyNumberFormat="1" applyFont="1" applyFill="1" applyBorder="1" applyAlignment="1" applyProtection="1">
      <alignment horizontal="right" vertical="center" wrapText="1"/>
      <protection locked="0"/>
    </xf>
    <xf numFmtId="14" fontId="16" fillId="13" borderId="24" xfId="0" applyNumberFormat="1" applyFont="1" applyFill="1" applyBorder="1" applyAlignment="1" applyProtection="1">
      <alignment horizontal="center" vertical="center" wrapText="1"/>
      <protection locked="0"/>
    </xf>
    <xf numFmtId="1" fontId="28" fillId="23" borderId="24" xfId="0" applyNumberFormat="1" applyFont="1" applyFill="1" applyBorder="1" applyAlignment="1" applyProtection="1">
      <alignment horizontal="center" vertical="center"/>
      <protection hidden="1"/>
    </xf>
    <xf numFmtId="166" fontId="18" fillId="0" borderId="24" xfId="0" applyNumberFormat="1" applyFont="1" applyFill="1" applyBorder="1" applyAlignment="1" applyProtection="1">
      <alignment horizontal="center" vertical="center" wrapText="1"/>
      <protection locked="0"/>
    </xf>
    <xf numFmtId="171" fontId="50" fillId="0" borderId="24" xfId="0" applyNumberFormat="1" applyFont="1" applyFill="1" applyBorder="1" applyAlignment="1" applyProtection="1">
      <alignment horizontal="center" vertical="center"/>
      <protection locked="0"/>
    </xf>
    <xf numFmtId="14" fontId="38" fillId="23" borderId="24" xfId="0" applyNumberFormat="1" applyFont="1" applyFill="1" applyBorder="1" applyAlignment="1" applyProtection="1">
      <alignment horizontal="center" vertical="center"/>
      <protection hidden="1"/>
    </xf>
    <xf numFmtId="0" fontId="20" fillId="0" borderId="24" xfId="0" applyFont="1" applyBorder="1" applyAlignment="1" applyProtection="1">
      <alignment horizontal="center" vertical="center" wrapText="1"/>
      <protection locked="0"/>
    </xf>
    <xf numFmtId="0" fontId="20" fillId="0" borderId="96" xfId="0" applyFont="1" applyFill="1" applyBorder="1" applyAlignment="1" applyProtection="1">
      <alignment horizontal="center" vertical="center" wrapText="1"/>
      <protection locked="0"/>
    </xf>
    <xf numFmtId="0" fontId="20" fillId="0" borderId="23" xfId="0" applyFont="1" applyFill="1" applyBorder="1" applyAlignment="1" applyProtection="1">
      <alignment horizontal="center" vertical="center" wrapText="1"/>
      <protection locked="0"/>
    </xf>
    <xf numFmtId="166" fontId="16" fillId="0" borderId="24" xfId="0" applyNumberFormat="1" applyFont="1" applyFill="1" applyBorder="1" applyAlignment="1" applyProtection="1">
      <alignment horizontal="left" vertical="center" wrapText="1"/>
      <protection locked="0"/>
    </xf>
    <xf numFmtId="0" fontId="7" fillId="0" borderId="24" xfId="0" applyFont="1" applyBorder="1" applyAlignment="1" applyProtection="1">
      <alignment horizontal="left" vertical="center" wrapText="1"/>
      <protection locked="0"/>
    </xf>
    <xf numFmtId="0" fontId="0" fillId="0" borderId="100" xfId="0" applyBorder="1" applyAlignment="1">
      <alignment horizontal="center" vertical="center" wrapText="1"/>
    </xf>
    <xf numFmtId="14" fontId="0" fillId="0" borderId="100" xfId="0" applyNumberFormat="1" applyBorder="1" applyAlignment="1">
      <alignment horizontal="center" vertical="center" wrapText="1"/>
    </xf>
    <xf numFmtId="0" fontId="0" fillId="0" borderId="97" xfId="0" applyBorder="1" applyAlignment="1">
      <alignment horizontal="center" vertical="center" wrapText="1"/>
    </xf>
    <xf numFmtId="168" fontId="7" fillId="0" borderId="0" xfId="0" applyNumberFormat="1" applyFont="1" applyAlignment="1" applyProtection="1">
      <alignment vertical="center"/>
      <protection hidden="1"/>
    </xf>
    <xf numFmtId="166" fontId="16" fillId="0" borderId="24" xfId="0" applyNumberFormat="1" applyFont="1" applyFill="1" applyBorder="1" applyAlignment="1" applyProtection="1">
      <alignment horizontal="center" vertical="center" wrapText="1"/>
      <protection locked="0"/>
    </xf>
    <xf numFmtId="49" fontId="15" fillId="3" borderId="23" xfId="0" applyNumberFormat="1" applyFont="1" applyFill="1" applyBorder="1" applyAlignment="1" applyProtection="1">
      <alignment horizontal="center" vertical="center"/>
      <protection locked="0"/>
    </xf>
    <xf numFmtId="14" fontId="20" fillId="0" borderId="24" xfId="0" applyNumberFormat="1" applyFont="1" applyBorder="1" applyAlignment="1" applyProtection="1">
      <alignment horizontal="center" vertical="center"/>
      <protection locked="0"/>
    </xf>
    <xf numFmtId="49" fontId="20" fillId="0" borderId="24" xfId="0" applyNumberFormat="1" applyFont="1" applyBorder="1" applyAlignment="1" applyProtection="1">
      <alignment horizontal="center" vertical="center"/>
      <protection locked="0"/>
    </xf>
    <xf numFmtId="0" fontId="7" fillId="0" borderId="24" xfId="0" applyFont="1" applyBorder="1" applyAlignment="1" applyProtection="1">
      <alignment horizontal="center" vertical="center"/>
      <protection locked="0"/>
    </xf>
    <xf numFmtId="14" fontId="18" fillId="3" borderId="24" xfId="0" applyNumberFormat="1" applyFont="1" applyFill="1" applyBorder="1" applyAlignment="1" applyProtection="1">
      <alignment horizontal="center" vertical="center"/>
      <protection locked="0"/>
    </xf>
    <xf numFmtId="0" fontId="7" fillId="0" borderId="24" xfId="0" applyFont="1" applyBorder="1" applyAlignment="1" applyProtection="1">
      <alignment vertical="center"/>
      <protection locked="0"/>
    </xf>
    <xf numFmtId="0" fontId="7" fillId="0" borderId="24" xfId="0" applyFont="1" applyBorder="1" applyAlignment="1" applyProtection="1">
      <alignment horizontal="left" vertical="center"/>
      <protection locked="0"/>
    </xf>
    <xf numFmtId="0" fontId="20" fillId="0" borderId="22" xfId="0" applyFont="1" applyBorder="1" applyAlignment="1" applyProtection="1">
      <alignment vertical="center"/>
      <protection hidden="1"/>
    </xf>
    <xf numFmtId="0" fontId="20" fillId="0" borderId="80" xfId="0" applyFont="1" applyBorder="1" applyAlignment="1" applyProtection="1">
      <alignment vertical="center"/>
      <protection hidden="1"/>
    </xf>
    <xf numFmtId="49" fontId="21" fillId="3" borderId="98" xfId="0" applyNumberFormat="1" applyFont="1" applyFill="1" applyBorder="1" applyAlignment="1" applyProtection="1">
      <alignment horizontal="left" vertical="center"/>
      <protection locked="0"/>
    </xf>
    <xf numFmtId="49" fontId="15" fillId="3" borderId="99" xfId="0" applyNumberFormat="1" applyFont="1" applyFill="1" applyBorder="1" applyAlignment="1" applyProtection="1">
      <alignment horizontal="center" vertical="center"/>
      <protection locked="0"/>
    </xf>
    <xf numFmtId="168" fontId="18" fillId="13" borderId="100" xfId="0" applyNumberFormat="1" applyFont="1" applyFill="1" applyBorder="1" applyAlignment="1" applyProtection="1">
      <alignment horizontal="right" vertical="center"/>
      <protection locked="0"/>
    </xf>
    <xf numFmtId="168" fontId="21" fillId="13" borderId="100" xfId="0" applyNumberFormat="1" applyFont="1" applyFill="1" applyBorder="1" applyAlignment="1" applyProtection="1">
      <alignment horizontal="right" vertical="center"/>
      <protection locked="0"/>
    </xf>
    <xf numFmtId="14" fontId="18" fillId="3" borderId="100" xfId="0" applyNumberFormat="1" applyFont="1" applyFill="1" applyBorder="1" applyAlignment="1" applyProtection="1">
      <alignment horizontal="center" vertical="center"/>
      <protection locked="0"/>
    </xf>
    <xf numFmtId="14" fontId="20" fillId="0" borderId="100" xfId="0" applyNumberFormat="1" applyFont="1" applyBorder="1" applyAlignment="1" applyProtection="1">
      <alignment horizontal="center" vertical="center"/>
      <protection locked="0"/>
    </xf>
    <xf numFmtId="49" fontId="20" fillId="0" borderId="100" xfId="0" applyNumberFormat="1" applyFont="1" applyBorder="1" applyAlignment="1" applyProtection="1">
      <alignment horizontal="center" vertical="center"/>
      <protection locked="0"/>
    </xf>
    <xf numFmtId="14" fontId="28" fillId="23" borderId="100" xfId="0" applyNumberFormat="1" applyFont="1" applyFill="1" applyBorder="1" applyAlignment="1" applyProtection="1">
      <alignment horizontal="center" vertical="center"/>
      <protection hidden="1"/>
    </xf>
    <xf numFmtId="0" fontId="74" fillId="0" borderId="100" xfId="0" applyFont="1" applyBorder="1" applyAlignment="1" applyProtection="1">
      <alignment horizontal="center" vertical="center"/>
      <protection locked="0"/>
    </xf>
    <xf numFmtId="0" fontId="7" fillId="0" borderId="100" xfId="0" applyFont="1" applyBorder="1" applyAlignment="1" applyProtection="1">
      <alignment vertical="center"/>
      <protection locked="0"/>
    </xf>
    <xf numFmtId="0" fontId="7" fillId="0" borderId="100" xfId="0" applyFont="1" applyBorder="1" applyAlignment="1" applyProtection="1">
      <alignment horizontal="left" vertical="center"/>
      <protection locked="0"/>
    </xf>
    <xf numFmtId="0" fontId="7" fillId="0" borderId="100" xfId="0" applyFont="1" applyBorder="1" applyAlignment="1" applyProtection="1">
      <alignment horizontal="center" vertical="center"/>
      <protection locked="0"/>
    </xf>
    <xf numFmtId="0" fontId="0" fillId="0" borderId="101" xfId="0" applyBorder="1" applyAlignment="1">
      <alignment horizontal="center" vertical="center" wrapText="1"/>
    </xf>
    <xf numFmtId="0" fontId="0" fillId="0" borderId="98" xfId="0" applyBorder="1" applyAlignment="1">
      <alignment horizontal="center" vertical="center" wrapText="1"/>
    </xf>
    <xf numFmtId="49" fontId="75" fillId="3" borderId="16" xfId="0" applyNumberFormat="1" applyFont="1" applyFill="1" applyBorder="1" applyAlignment="1" applyProtection="1">
      <alignment horizontal="left" vertical="center"/>
      <protection locked="0"/>
    </xf>
    <xf numFmtId="49" fontId="75" fillId="3" borderId="18" xfId="0" applyNumberFormat="1" applyFont="1" applyFill="1" applyBorder="1" applyAlignment="1" applyProtection="1">
      <alignment horizontal="left" vertical="center"/>
      <protection locked="0"/>
    </xf>
    <xf numFmtId="49" fontId="75" fillId="0" borderId="17" xfId="0" applyNumberFormat="1" applyFont="1" applyFill="1" applyBorder="1" applyAlignment="1" applyProtection="1">
      <alignment horizontal="left" vertical="center"/>
      <protection locked="0"/>
    </xf>
    <xf numFmtId="49" fontId="75" fillId="3" borderId="17" xfId="0" applyNumberFormat="1" applyFont="1" applyFill="1" applyBorder="1" applyAlignment="1" applyProtection="1">
      <alignment horizontal="left" vertical="center"/>
      <protection locked="0"/>
    </xf>
    <xf numFmtId="49" fontId="75" fillId="3" borderId="23" xfId="0" applyNumberFormat="1" applyFont="1" applyFill="1" applyBorder="1" applyAlignment="1" applyProtection="1">
      <alignment horizontal="left" vertical="center"/>
      <protection locked="0"/>
    </xf>
    <xf numFmtId="49" fontId="75" fillId="3" borderId="99" xfId="0" applyNumberFormat="1" applyFont="1" applyFill="1" applyBorder="1" applyAlignment="1" applyProtection="1">
      <alignment horizontal="left" vertical="center"/>
      <protection locked="0"/>
    </xf>
    <xf numFmtId="49" fontId="76" fillId="3" borderId="17" xfId="0" applyNumberFormat="1" applyFont="1" applyFill="1" applyBorder="1" applyAlignment="1" applyProtection="1">
      <alignment horizontal="center" vertical="center" wrapText="1"/>
      <protection locked="0"/>
    </xf>
    <xf numFmtId="49" fontId="76" fillId="3" borderId="16" xfId="0" applyNumberFormat="1" applyFont="1" applyFill="1" applyBorder="1" applyAlignment="1" applyProtection="1">
      <alignment horizontal="center" vertical="center" wrapText="1"/>
      <protection locked="0"/>
    </xf>
    <xf numFmtId="49" fontId="76" fillId="14" borderId="17" xfId="0" applyNumberFormat="1" applyFont="1" applyFill="1" applyBorder="1" applyAlignment="1" applyProtection="1">
      <alignment horizontal="center" vertical="center" wrapText="1"/>
      <protection locked="0"/>
    </xf>
    <xf numFmtId="49" fontId="76" fillId="0" borderId="17" xfId="0" applyNumberFormat="1" applyFont="1" applyFill="1" applyBorder="1" applyAlignment="1" applyProtection="1">
      <alignment horizontal="center" vertical="center" wrapText="1"/>
      <protection locked="0"/>
    </xf>
    <xf numFmtId="49" fontId="76" fillId="3" borderId="18" xfId="0" applyNumberFormat="1" applyFont="1" applyFill="1" applyBorder="1" applyAlignment="1" applyProtection="1">
      <alignment horizontal="center" vertical="center" wrapText="1"/>
      <protection locked="0"/>
    </xf>
    <xf numFmtId="49" fontId="34" fillId="3" borderId="17" xfId="0" applyNumberFormat="1" applyFont="1" applyFill="1" applyBorder="1" applyAlignment="1" applyProtection="1">
      <alignment horizontal="center" vertical="center" wrapText="1"/>
      <protection locked="0"/>
    </xf>
    <xf numFmtId="49" fontId="65" fillId="3" borderId="18" xfId="0" applyNumberFormat="1" applyFont="1" applyFill="1" applyBorder="1" applyAlignment="1" applyProtection="1">
      <alignment horizontal="center" vertical="center" wrapText="1"/>
      <protection locked="0"/>
    </xf>
    <xf numFmtId="49" fontId="65" fillId="3" borderId="16" xfId="0" applyNumberFormat="1" applyFont="1" applyFill="1" applyBorder="1" applyAlignment="1" applyProtection="1">
      <alignment horizontal="center" vertical="center" wrapText="1"/>
      <protection locked="0"/>
    </xf>
    <xf numFmtId="49" fontId="65" fillId="3" borderId="23" xfId="0" applyNumberFormat="1" applyFont="1" applyFill="1" applyBorder="1" applyAlignment="1" applyProtection="1">
      <alignment horizontal="center" vertical="center" wrapText="1"/>
      <protection locked="0"/>
    </xf>
    <xf numFmtId="14" fontId="18" fillId="0" borderId="24" xfId="0" applyNumberFormat="1" applyFont="1" applyFill="1" applyBorder="1" applyAlignment="1" applyProtection="1">
      <alignment horizontal="center" vertical="center" wrapText="1"/>
      <protection locked="0"/>
    </xf>
    <xf numFmtId="3" fontId="16" fillId="0" borderId="7" xfId="0" applyNumberFormat="1" applyFont="1" applyFill="1" applyBorder="1" applyAlignment="1" applyProtection="1">
      <alignment horizontal="center" vertical="center" wrapText="1"/>
      <protection locked="0"/>
    </xf>
    <xf numFmtId="3" fontId="16" fillId="0" borderId="24" xfId="0" applyNumberFormat="1" applyFont="1" applyFill="1" applyBorder="1" applyAlignment="1" applyProtection="1">
      <alignment horizontal="center" vertical="center" wrapText="1"/>
      <protection locked="0"/>
    </xf>
    <xf numFmtId="166" fontId="16" fillId="0" borderId="12" xfId="0" applyNumberFormat="1" applyFont="1" applyFill="1" applyBorder="1" applyAlignment="1" applyProtection="1">
      <alignment horizontal="center" vertical="center" wrapText="1"/>
      <protection locked="0"/>
    </xf>
    <xf numFmtId="0" fontId="17" fillId="30" borderId="62" xfId="0" applyFont="1" applyFill="1" applyBorder="1" applyAlignment="1" applyProtection="1">
      <alignment horizontal="left" vertical="center" indent="1"/>
      <protection hidden="1"/>
    </xf>
    <xf numFmtId="0" fontId="17" fillId="30" borderId="0" xfId="0" applyFont="1" applyFill="1" applyBorder="1" applyAlignment="1" applyProtection="1">
      <alignment horizontal="left" vertical="center" indent="1"/>
      <protection hidden="1"/>
    </xf>
    <xf numFmtId="0" fontId="20" fillId="0" borderId="0" xfId="0" applyFont="1" applyBorder="1" applyAlignment="1" applyProtection="1">
      <alignment horizontal="left" vertical="center" indent="2"/>
      <protection hidden="1"/>
    </xf>
    <xf numFmtId="0" fontId="52" fillId="28" borderId="35" xfId="0" applyFont="1" applyFill="1" applyBorder="1" applyAlignment="1" applyProtection="1">
      <alignment horizontal="right" vertical="center" indent="1"/>
      <protection hidden="1"/>
    </xf>
    <xf numFmtId="0" fontId="52" fillId="28" borderId="0" xfId="0" applyFont="1" applyFill="1" applyBorder="1" applyAlignment="1" applyProtection="1">
      <alignment horizontal="right" vertical="center" indent="1"/>
      <protection hidden="1"/>
    </xf>
    <xf numFmtId="0" fontId="52" fillId="28" borderId="34" xfId="0" applyFont="1" applyFill="1" applyBorder="1" applyAlignment="1" applyProtection="1">
      <alignment horizontal="right" vertical="center" indent="1"/>
      <protection hidden="1"/>
    </xf>
    <xf numFmtId="0" fontId="20" fillId="0" borderId="0" xfId="0" applyFont="1" applyBorder="1" applyAlignment="1" applyProtection="1">
      <alignment horizontal="right" vertical="center" indent="2"/>
      <protection hidden="1"/>
    </xf>
    <xf numFmtId="1" fontId="49" fillId="15" borderId="27" xfId="0" applyNumberFormat="1" applyFont="1" applyFill="1" applyBorder="1" applyAlignment="1" applyProtection="1">
      <alignment horizontal="center" vertical="center"/>
      <protection hidden="1"/>
    </xf>
    <xf numFmtId="167" fontId="49" fillId="15" borderId="0" xfId="7" applyNumberFormat="1" applyFont="1" applyFill="1" applyBorder="1" applyAlignment="1" applyProtection="1">
      <alignment horizontal="center" vertical="center"/>
      <protection hidden="1"/>
    </xf>
    <xf numFmtId="0" fontId="52" fillId="26" borderId="35" xfId="0" applyFont="1" applyFill="1" applyBorder="1" applyAlignment="1" applyProtection="1">
      <alignment horizontal="right" vertical="center" indent="1"/>
      <protection hidden="1"/>
    </xf>
    <xf numFmtId="0" fontId="52" fillId="26" borderId="0" xfId="0" applyFont="1" applyFill="1" applyBorder="1" applyAlignment="1" applyProtection="1">
      <alignment horizontal="right" vertical="center" indent="1"/>
      <protection hidden="1"/>
    </xf>
    <xf numFmtId="0" fontId="52" fillId="12" borderId="0" xfId="0" applyFont="1" applyFill="1" applyAlignment="1" applyProtection="1">
      <alignment horizontal="left" vertical="center" indent="1"/>
      <protection hidden="1"/>
    </xf>
    <xf numFmtId="49" fontId="14" fillId="22" borderId="59" xfId="2" applyNumberFormat="1" applyFont="1" applyFill="1" applyBorder="1" applyAlignment="1" applyProtection="1">
      <alignment horizontal="center" vertical="center" wrapText="1"/>
      <protection hidden="1"/>
    </xf>
    <xf numFmtId="49" fontId="14" fillId="22" borderId="0" xfId="2" applyNumberFormat="1" applyFont="1" applyFill="1" applyBorder="1" applyAlignment="1" applyProtection="1">
      <alignment horizontal="center" vertical="center" wrapText="1"/>
      <protection hidden="1"/>
    </xf>
    <xf numFmtId="0" fontId="20" fillId="0" borderId="15" xfId="0" applyFont="1" applyFill="1" applyBorder="1" applyAlignment="1" applyProtection="1">
      <alignment horizontal="center" vertical="center" wrapText="1"/>
      <protection locked="0"/>
    </xf>
    <xf numFmtId="0" fontId="20" fillId="0" borderId="18" xfId="0" applyFont="1" applyFill="1" applyBorder="1" applyAlignment="1" applyProtection="1">
      <alignment horizontal="center" vertical="center" wrapText="1"/>
      <protection locked="0"/>
    </xf>
    <xf numFmtId="169" fontId="72" fillId="6" borderId="91" xfId="2" applyNumberFormat="1" applyFont="1" applyFill="1" applyBorder="1" applyAlignment="1">
      <alignment horizontal="center" vertical="center" wrapText="1"/>
    </xf>
    <xf numFmtId="169" fontId="72" fillId="6" borderId="92" xfId="2" applyNumberFormat="1" applyFont="1" applyFill="1" applyBorder="1" applyAlignment="1">
      <alignment horizontal="center" vertical="center" wrapText="1"/>
    </xf>
    <xf numFmtId="169" fontId="72" fillId="6" borderId="93" xfId="2" applyNumberFormat="1" applyFont="1" applyFill="1" applyBorder="1" applyAlignment="1">
      <alignment horizontal="center" vertical="center" wrapText="1"/>
    </xf>
    <xf numFmtId="0" fontId="20" fillId="0" borderId="3" xfId="0" applyFont="1" applyFill="1" applyBorder="1" applyAlignment="1" applyProtection="1">
      <alignment horizontal="center" vertical="center" wrapText="1"/>
      <protection locked="0"/>
    </xf>
    <xf numFmtId="0" fontId="20" fillId="0" borderId="17" xfId="0" applyFont="1" applyFill="1" applyBorder="1" applyAlignment="1" applyProtection="1">
      <alignment horizontal="center" vertical="center" wrapText="1"/>
      <protection locked="0"/>
    </xf>
    <xf numFmtId="49" fontId="19" fillId="0" borderId="3" xfId="3" applyNumberFormat="1" applyFont="1" applyFill="1" applyBorder="1" applyAlignment="1" applyProtection="1">
      <alignment horizontal="center" vertical="center" wrapText="1"/>
      <protection locked="0"/>
    </xf>
    <xf numFmtId="49" fontId="19" fillId="0" borderId="17" xfId="3" applyNumberFormat="1" applyFont="1" applyFill="1" applyBorder="1" applyAlignment="1" applyProtection="1">
      <alignment horizontal="center" vertical="center" wrapText="1"/>
      <protection locked="0"/>
    </xf>
    <xf numFmtId="49" fontId="19" fillId="0" borderId="15" xfId="3" applyNumberFormat="1" applyFont="1" applyFill="1" applyBorder="1" applyAlignment="1" applyProtection="1">
      <alignment horizontal="center" vertical="center" wrapText="1"/>
      <protection locked="0"/>
    </xf>
    <xf numFmtId="49" fontId="19" fillId="0" borderId="18" xfId="3" applyNumberFormat="1" applyFont="1" applyFill="1" applyBorder="1" applyAlignment="1" applyProtection="1">
      <alignment horizontal="center" vertical="center" wrapText="1"/>
      <protection locked="0"/>
    </xf>
    <xf numFmtId="0" fontId="20" fillId="0" borderId="14" xfId="0" applyFont="1" applyFill="1" applyBorder="1" applyAlignment="1" applyProtection="1">
      <alignment horizontal="center" vertical="center" wrapText="1"/>
      <protection locked="0"/>
    </xf>
    <xf numFmtId="0" fontId="20" fillId="0" borderId="16" xfId="0" applyFont="1" applyFill="1" applyBorder="1" applyAlignment="1" applyProtection="1">
      <alignment horizontal="center" vertical="center" wrapText="1"/>
      <protection locked="0"/>
    </xf>
    <xf numFmtId="169" fontId="7" fillId="4" borderId="5" xfId="0" applyNumberFormat="1" applyFont="1" applyFill="1" applyBorder="1" applyAlignment="1" applyProtection="1">
      <alignment horizontal="center" vertical="center"/>
      <protection hidden="1"/>
    </xf>
    <xf numFmtId="169" fontId="7" fillId="4" borderId="26" xfId="0" applyNumberFormat="1" applyFont="1" applyFill="1" applyBorder="1" applyAlignment="1" applyProtection="1">
      <alignment horizontal="center" vertical="center"/>
      <protection hidden="1"/>
    </xf>
    <xf numFmtId="169" fontId="31" fillId="4" borderId="26" xfId="0" applyNumberFormat="1" applyFont="1" applyFill="1" applyBorder="1" applyAlignment="1" applyProtection="1">
      <alignment horizontal="center" vertical="center"/>
      <protection hidden="1"/>
    </xf>
    <xf numFmtId="49" fontId="52" fillId="27" borderId="50" xfId="0" applyNumberFormat="1" applyFont="1" applyFill="1" applyBorder="1" applyAlignment="1" applyProtection="1">
      <alignment horizontal="right" vertical="center"/>
      <protection hidden="1"/>
    </xf>
    <xf numFmtId="49" fontId="52" fillId="27" borderId="51" xfId="0" applyNumberFormat="1" applyFont="1" applyFill="1" applyBorder="1" applyAlignment="1" applyProtection="1">
      <alignment horizontal="right" vertical="center"/>
      <protection hidden="1"/>
    </xf>
    <xf numFmtId="49" fontId="52" fillId="27" borderId="52" xfId="0" applyNumberFormat="1" applyFont="1" applyFill="1" applyBorder="1" applyAlignment="1" applyProtection="1">
      <alignment horizontal="right" vertical="center"/>
      <protection hidden="1"/>
    </xf>
    <xf numFmtId="49" fontId="52" fillId="29" borderId="53" xfId="0" applyNumberFormat="1" applyFont="1" applyFill="1" applyBorder="1" applyAlignment="1" applyProtection="1">
      <alignment horizontal="right" vertical="center"/>
      <protection hidden="1"/>
    </xf>
    <xf numFmtId="49" fontId="52" fillId="29" borderId="54" xfId="0" applyNumberFormat="1" applyFont="1" applyFill="1" applyBorder="1" applyAlignment="1" applyProtection="1">
      <alignment horizontal="right" vertical="center"/>
      <protection hidden="1"/>
    </xf>
    <xf numFmtId="49" fontId="52" fillId="29" borderId="55" xfId="0" applyNumberFormat="1" applyFont="1" applyFill="1" applyBorder="1" applyAlignment="1" applyProtection="1">
      <alignment horizontal="right" vertical="center"/>
      <protection hidden="1"/>
    </xf>
    <xf numFmtId="49" fontId="52" fillId="11" borderId="69" xfId="0" applyNumberFormat="1" applyFont="1" applyFill="1" applyBorder="1" applyAlignment="1" applyProtection="1">
      <alignment horizontal="right" vertical="center"/>
      <protection hidden="1"/>
    </xf>
    <xf numFmtId="49" fontId="52" fillId="11" borderId="71" xfId="0" applyNumberFormat="1" applyFont="1" applyFill="1" applyBorder="1" applyAlignment="1" applyProtection="1">
      <alignment horizontal="right" vertical="center"/>
      <protection hidden="1"/>
    </xf>
    <xf numFmtId="49" fontId="52" fillId="11" borderId="70" xfId="0" applyNumberFormat="1" applyFont="1" applyFill="1" applyBorder="1" applyAlignment="1" applyProtection="1">
      <alignment horizontal="right" vertical="center"/>
      <protection hidden="1"/>
    </xf>
    <xf numFmtId="49" fontId="14" fillId="22" borderId="60" xfId="2" applyNumberFormat="1" applyFont="1" applyFill="1" applyBorder="1" applyAlignment="1" applyProtection="1">
      <alignment horizontal="center" vertical="center" wrapText="1"/>
      <protection hidden="1"/>
    </xf>
    <xf numFmtId="49" fontId="14" fillId="7" borderId="59" xfId="2" applyNumberFormat="1" applyFont="1" applyFill="1" applyBorder="1" applyAlignment="1" applyProtection="1">
      <alignment horizontal="center" vertical="center" wrapText="1"/>
      <protection hidden="1"/>
    </xf>
    <xf numFmtId="49" fontId="14" fillId="7" borderId="0" xfId="2" applyNumberFormat="1" applyFont="1" applyFill="1" applyBorder="1" applyAlignment="1" applyProtection="1">
      <alignment horizontal="center" vertical="center" wrapText="1"/>
      <protection hidden="1"/>
    </xf>
    <xf numFmtId="49" fontId="14" fillId="7" borderId="60" xfId="2" applyNumberFormat="1" applyFont="1" applyFill="1" applyBorder="1" applyAlignment="1" applyProtection="1">
      <alignment horizontal="center" vertical="center" wrapText="1"/>
      <protection hidden="1"/>
    </xf>
    <xf numFmtId="0" fontId="42" fillId="0" borderId="0" xfId="0" applyFont="1" applyBorder="1" applyAlignment="1" applyProtection="1">
      <alignment horizontal="left" vertical="center"/>
      <protection hidden="1"/>
    </xf>
    <xf numFmtId="0" fontId="42" fillId="0" borderId="0" xfId="0" applyFont="1" applyAlignment="1" applyProtection="1">
      <alignment horizontal="left" vertical="center"/>
      <protection hidden="1"/>
    </xf>
    <xf numFmtId="0" fontId="20" fillId="0" borderId="0" xfId="0" applyFont="1" applyBorder="1" applyAlignment="1" applyProtection="1">
      <alignment horizontal="left" vertical="center"/>
      <protection hidden="1"/>
    </xf>
    <xf numFmtId="0" fontId="20" fillId="0" borderId="0" xfId="0" applyFont="1" applyAlignment="1" applyProtection="1">
      <alignment horizontal="left" vertical="center"/>
      <protection hidden="1"/>
    </xf>
    <xf numFmtId="49" fontId="17" fillId="10" borderId="56" xfId="0" applyNumberFormat="1" applyFont="1" applyFill="1" applyBorder="1" applyAlignment="1" applyProtection="1">
      <alignment horizontal="right" vertical="center"/>
      <protection hidden="1"/>
    </xf>
    <xf numFmtId="49" fontId="17" fillId="10" borderId="57" xfId="0" applyNumberFormat="1" applyFont="1" applyFill="1" applyBorder="1" applyAlignment="1" applyProtection="1">
      <alignment horizontal="right" vertical="center"/>
      <protection hidden="1"/>
    </xf>
    <xf numFmtId="49" fontId="52" fillId="24" borderId="47" xfId="0" applyNumberFormat="1" applyFont="1" applyFill="1" applyBorder="1" applyAlignment="1" applyProtection="1">
      <alignment horizontal="right" vertical="center"/>
      <protection hidden="1"/>
    </xf>
    <xf numFmtId="49" fontId="52" fillId="24" borderId="48" xfId="0" applyNumberFormat="1" applyFont="1" applyFill="1" applyBorder="1" applyAlignment="1" applyProtection="1">
      <alignment horizontal="right" vertical="center"/>
      <protection hidden="1"/>
    </xf>
    <xf numFmtId="49" fontId="52" fillId="24" borderId="49" xfId="0" applyNumberFormat="1" applyFont="1" applyFill="1" applyBorder="1" applyAlignment="1" applyProtection="1">
      <alignment horizontal="right" vertical="center"/>
      <protection hidden="1"/>
    </xf>
    <xf numFmtId="49" fontId="17" fillId="10" borderId="45" xfId="0" applyNumberFormat="1" applyFont="1" applyFill="1" applyBorder="1" applyAlignment="1" applyProtection="1">
      <alignment horizontal="right" vertical="center"/>
      <protection hidden="1"/>
    </xf>
    <xf numFmtId="49" fontId="17" fillId="10" borderId="46" xfId="0" applyNumberFormat="1" applyFont="1" applyFill="1" applyBorder="1" applyAlignment="1" applyProtection="1">
      <alignment horizontal="right" vertical="center"/>
      <protection hidden="1"/>
    </xf>
    <xf numFmtId="49" fontId="52" fillId="29" borderId="67" xfId="0" applyNumberFormat="1" applyFont="1" applyFill="1" applyBorder="1" applyAlignment="1" applyProtection="1">
      <alignment horizontal="right" vertical="center"/>
      <protection hidden="1"/>
    </xf>
    <xf numFmtId="49" fontId="52" fillId="29" borderId="33" xfId="0" applyNumberFormat="1" applyFont="1" applyFill="1" applyBorder="1" applyAlignment="1" applyProtection="1">
      <alignment horizontal="right" vertical="center"/>
      <protection hidden="1"/>
    </xf>
    <xf numFmtId="49" fontId="52" fillId="29" borderId="68" xfId="0" applyNumberFormat="1" applyFont="1" applyFill="1" applyBorder="1" applyAlignment="1" applyProtection="1">
      <alignment horizontal="right" vertical="center"/>
      <protection hidden="1"/>
    </xf>
    <xf numFmtId="0" fontId="7" fillId="0" borderId="72" xfId="0" applyFont="1" applyBorder="1" applyAlignment="1" applyProtection="1">
      <alignment horizontal="center" vertical="center"/>
      <protection hidden="1"/>
    </xf>
    <xf numFmtId="0" fontId="52" fillId="30" borderId="0" xfId="0" applyFont="1" applyFill="1" applyAlignment="1" applyProtection="1">
      <alignment horizontal="left" vertical="center" indent="1"/>
      <protection hidden="1"/>
    </xf>
    <xf numFmtId="0" fontId="52" fillId="26" borderId="34" xfId="0" applyFont="1" applyFill="1" applyBorder="1" applyAlignment="1" applyProtection="1">
      <alignment horizontal="right" vertical="center" indent="1"/>
      <protection hidden="1"/>
    </xf>
    <xf numFmtId="49" fontId="19" fillId="0" borderId="3" xfId="6" applyNumberFormat="1" applyFont="1" applyFill="1" applyBorder="1" applyAlignment="1" applyProtection="1">
      <alignment horizontal="center" vertical="center"/>
      <protection locked="0"/>
    </xf>
    <xf numFmtId="49" fontId="19" fillId="0" borderId="79" xfId="6" applyNumberFormat="1" applyFont="1" applyFill="1" applyBorder="1" applyAlignment="1" applyProtection="1">
      <alignment horizontal="center" vertical="center"/>
      <protection locked="0"/>
    </xf>
    <xf numFmtId="49" fontId="19" fillId="0" borderId="17" xfId="6" applyNumberFormat="1" applyFont="1" applyFill="1" applyBorder="1" applyAlignment="1" applyProtection="1">
      <alignment horizontal="center" vertical="center"/>
      <protection locked="0"/>
    </xf>
    <xf numFmtId="49" fontId="19" fillId="0" borderId="15" xfId="6" applyNumberFormat="1" applyFont="1" applyFill="1" applyBorder="1" applyAlignment="1" applyProtection="1">
      <alignment horizontal="center" vertical="center"/>
      <protection locked="0"/>
    </xf>
    <xf numFmtId="49" fontId="19" fillId="0" borderId="65" xfId="6" applyNumberFormat="1" applyFont="1" applyFill="1" applyBorder="1" applyAlignment="1" applyProtection="1">
      <alignment horizontal="center" vertical="center"/>
      <protection locked="0"/>
    </xf>
    <xf numFmtId="49" fontId="19" fillId="0" borderId="18" xfId="6" applyNumberFormat="1" applyFont="1" applyFill="1" applyBorder="1" applyAlignment="1" applyProtection="1">
      <alignment horizontal="center" vertical="center"/>
      <protection locked="0"/>
    </xf>
    <xf numFmtId="49" fontId="19" fillId="0" borderId="14" xfId="6" applyNumberFormat="1" applyFont="1" applyFill="1" applyBorder="1" applyAlignment="1" applyProtection="1">
      <alignment horizontal="center" vertical="center"/>
      <protection locked="0"/>
    </xf>
    <xf numFmtId="49" fontId="19" fillId="0" borderId="64" xfId="6" applyNumberFormat="1" applyFont="1" applyFill="1" applyBorder="1" applyAlignment="1" applyProtection="1">
      <alignment horizontal="center" vertical="center"/>
      <protection locked="0"/>
    </xf>
    <xf numFmtId="49" fontId="19" fillId="0" borderId="16" xfId="6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hidden="1"/>
    </xf>
    <xf numFmtId="0" fontId="20" fillId="0" borderId="0" xfId="0" applyFont="1" applyAlignment="1" applyProtection="1">
      <alignment horizontal="left" vertical="center" indent="2"/>
      <protection hidden="1"/>
    </xf>
    <xf numFmtId="0" fontId="0" fillId="0" borderId="0" xfId="0" applyAlignment="1" applyProtection="1">
      <alignment horizontal="left" vertical="center" indent="2"/>
      <protection hidden="1"/>
    </xf>
    <xf numFmtId="49" fontId="52" fillId="27" borderId="50" xfId="0" applyNumberFormat="1" applyFont="1" applyFill="1" applyBorder="1" applyAlignment="1" applyProtection="1">
      <alignment horizontal="right" vertical="center" indent="1"/>
      <protection hidden="1"/>
    </xf>
    <xf numFmtId="49" fontId="52" fillId="27" borderId="51" xfId="0" applyNumberFormat="1" applyFont="1" applyFill="1" applyBorder="1" applyAlignment="1" applyProtection="1">
      <alignment horizontal="right" vertical="center" indent="1"/>
      <protection hidden="1"/>
    </xf>
    <xf numFmtId="49" fontId="52" fillId="27" borderId="52" xfId="0" applyNumberFormat="1" applyFont="1" applyFill="1" applyBorder="1" applyAlignment="1" applyProtection="1">
      <alignment horizontal="right" vertical="center" indent="1"/>
      <protection hidden="1"/>
    </xf>
    <xf numFmtId="49" fontId="52" fillId="29" borderId="53" xfId="0" applyNumberFormat="1" applyFont="1" applyFill="1" applyBorder="1" applyAlignment="1" applyProtection="1">
      <alignment horizontal="right" vertical="center" indent="1"/>
      <protection hidden="1"/>
    </xf>
    <xf numFmtId="49" fontId="52" fillId="29" borderId="54" xfId="0" applyNumberFormat="1" applyFont="1" applyFill="1" applyBorder="1" applyAlignment="1" applyProtection="1">
      <alignment horizontal="right" vertical="center" indent="1"/>
      <protection hidden="1"/>
    </xf>
    <xf numFmtId="49" fontId="52" fillId="29" borderId="55" xfId="0" applyNumberFormat="1" applyFont="1" applyFill="1" applyBorder="1" applyAlignment="1" applyProtection="1">
      <alignment horizontal="right" vertical="center" indent="1"/>
      <protection hidden="1"/>
    </xf>
    <xf numFmtId="49" fontId="52" fillId="11" borderId="74" xfId="0" applyNumberFormat="1" applyFont="1" applyFill="1" applyBorder="1" applyAlignment="1" applyProtection="1">
      <alignment horizontal="right" vertical="center" indent="1"/>
      <protection hidden="1"/>
    </xf>
    <xf numFmtId="49" fontId="52" fillId="11" borderId="75" xfId="0" applyNumberFormat="1" applyFont="1" applyFill="1" applyBorder="1" applyAlignment="1" applyProtection="1">
      <alignment horizontal="right" vertical="center" indent="1"/>
      <protection hidden="1"/>
    </xf>
    <xf numFmtId="49" fontId="52" fillId="11" borderId="76" xfId="0" applyNumberFormat="1" applyFont="1" applyFill="1" applyBorder="1" applyAlignment="1" applyProtection="1">
      <alignment horizontal="right" vertical="center" indent="1"/>
      <protection hidden="1"/>
    </xf>
    <xf numFmtId="49" fontId="17" fillId="10" borderId="45" xfId="0" applyNumberFormat="1" applyFont="1" applyFill="1" applyBorder="1" applyAlignment="1" applyProtection="1">
      <alignment horizontal="right" vertical="center" indent="1"/>
      <protection hidden="1"/>
    </xf>
    <xf numFmtId="49" fontId="17" fillId="10" borderId="46" xfId="0" applyNumberFormat="1" applyFont="1" applyFill="1" applyBorder="1" applyAlignment="1" applyProtection="1">
      <alignment horizontal="right" vertical="center" indent="1"/>
      <protection hidden="1"/>
    </xf>
    <xf numFmtId="49" fontId="52" fillId="24" borderId="47" xfId="0" applyNumberFormat="1" applyFont="1" applyFill="1" applyBorder="1" applyAlignment="1" applyProtection="1">
      <alignment horizontal="right" vertical="center" indent="1"/>
      <protection hidden="1"/>
    </xf>
    <xf numFmtId="49" fontId="52" fillId="24" borderId="48" xfId="0" applyNumberFormat="1" applyFont="1" applyFill="1" applyBorder="1" applyAlignment="1" applyProtection="1">
      <alignment horizontal="right" vertical="center" indent="1"/>
      <protection hidden="1"/>
    </xf>
    <xf numFmtId="49" fontId="52" fillId="24" borderId="49" xfId="0" applyNumberFormat="1" applyFont="1" applyFill="1" applyBorder="1" applyAlignment="1" applyProtection="1">
      <alignment horizontal="right" vertical="center" indent="1"/>
      <protection hidden="1"/>
    </xf>
    <xf numFmtId="49" fontId="17" fillId="10" borderId="56" xfId="0" applyNumberFormat="1" applyFont="1" applyFill="1" applyBorder="1" applyAlignment="1" applyProtection="1">
      <alignment horizontal="right" vertical="center" indent="1"/>
      <protection hidden="1"/>
    </xf>
    <xf numFmtId="49" fontId="17" fillId="10" borderId="57" xfId="0" applyNumberFormat="1" applyFont="1" applyFill="1" applyBorder="1" applyAlignment="1" applyProtection="1">
      <alignment horizontal="right" vertical="center" indent="1"/>
      <protection hidden="1"/>
    </xf>
    <xf numFmtId="42" fontId="29" fillId="12" borderId="29" xfId="0" applyNumberFormat="1" applyFont="1" applyFill="1" applyBorder="1" applyAlignment="1" applyProtection="1">
      <alignment vertical="center"/>
      <protection hidden="1"/>
    </xf>
    <xf numFmtId="42" fontId="29" fillId="12" borderId="21" xfId="0" applyNumberFormat="1" applyFont="1" applyFill="1" applyBorder="1" applyAlignment="1" applyProtection="1">
      <alignment horizontal="center" vertical="center"/>
      <protection hidden="1"/>
    </xf>
    <xf numFmtId="42" fontId="29" fillId="12" borderId="29" xfId="0" applyNumberFormat="1" applyFont="1" applyFill="1" applyBorder="1" applyAlignment="1" applyProtection="1">
      <alignment horizontal="center" vertical="center"/>
      <protection hidden="1"/>
    </xf>
    <xf numFmtId="0" fontId="42" fillId="0" borderId="0" xfId="0" applyFont="1" applyBorder="1" applyAlignment="1" applyProtection="1">
      <alignment horizontal="left" vertical="center" indent="1"/>
      <protection hidden="1"/>
    </xf>
    <xf numFmtId="0" fontId="42" fillId="0" borderId="0" xfId="0" applyFont="1" applyAlignment="1" applyProtection="1">
      <alignment horizontal="left" vertical="center" indent="1"/>
      <protection hidden="1"/>
    </xf>
    <xf numFmtId="0" fontId="20" fillId="0" borderId="0" xfId="0" applyFont="1" applyBorder="1" applyAlignment="1" applyProtection="1">
      <alignment horizontal="left" vertical="center" indent="1"/>
      <protection hidden="1"/>
    </xf>
    <xf numFmtId="0" fontId="20" fillId="0" borderId="0" xfId="0" applyFont="1" applyAlignment="1" applyProtection="1">
      <alignment horizontal="left" vertical="center" indent="1"/>
      <protection hidden="1"/>
    </xf>
  </cellXfs>
  <cellStyles count="8">
    <cellStyle name="Insatisfaisant" xfId="1" builtinId="27"/>
    <cellStyle name="Normal" xfId="0" builtinId="0"/>
    <cellStyle name="Normal 2" xfId="3"/>
    <cellStyle name="Normal 3" xfId="4"/>
    <cellStyle name="Normal_BOURGES" xfId="6"/>
    <cellStyle name="Normal_NANTES" xfId="5"/>
    <cellStyle name="Normal_ORLEANS" xfId="2"/>
    <cellStyle name="Pourcentage" xfId="7" builtinId="5"/>
  </cellStyles>
  <dxfs count="0"/>
  <tableStyles count="0" defaultTableStyle="TableStyleMedium2" defaultPivotStyle="PivotStyleLight16"/>
  <colors>
    <mruColors>
      <color rgb="FFFF1D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bg1"/>
                </a:solidFill>
              </a:rPr>
              <a:t>CA renouvellements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plotArea>
      <c:layout/>
      <c:barChart>
        <c:barDir val="col"/>
        <c:grouping val="stacked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dLbls>
            <c:dLbl>
              <c:idx val="0"/>
              <c:layout>
                <c:manualLayout>
                  <c:x val="-1.2491906205743259E-17"/>
                  <c:y val="-0.35011483885005545"/>
                </c:manualLayout>
              </c:layout>
              <c:dLblPos val="ctr"/>
              <c:showVal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0"/>
                  <c:y val="-0.11549531264156966"/>
                </c:manualLayout>
              </c:layout>
              <c:tx>
                <c:rich>
                  <a:bodyPr/>
                  <a:lstStyle/>
                  <a:p>
                    <a:fld id="{70E416F9-AF8C-42D1-96BC-A56FF384E573}" type="VALUE">
                      <a:rPr lang="en-US">
                        <a:solidFill>
                          <a:srgbClr val="00206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dLblPos val="ctr"/>
              <c:showVal val="1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dLbl>
              <c:idx val="2"/>
              <c:layout>
                <c:manualLayout>
                  <c:x val="-2.7255382938130282E-3"/>
                  <c:y val="-0.22671334545661531"/>
                </c:manualLayout>
              </c:layout>
              <c:tx>
                <c:rich>
                  <a:bodyPr/>
                  <a:lstStyle/>
                  <a:p>
                    <a:fld id="{46102875-91FB-4D4B-8127-23E6469508EF}" type="VALUE">
                      <a:rPr lang="en-US">
                        <a:solidFill>
                          <a:srgbClr val="00206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dLblPos val="ctr"/>
              <c:showVal val="1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Val val="1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'Renouvel_X mois'!$N$2:$N$4</c:f>
              <c:strCache>
                <c:ptCount val="3"/>
                <c:pt idx="0">
                  <c:v>4 mois</c:v>
                </c:pt>
                <c:pt idx="1">
                  <c:v>8 mois</c:v>
                </c:pt>
                <c:pt idx="2">
                  <c:v>10 mois</c:v>
                </c:pt>
              </c:strCache>
            </c:strRef>
          </c:cat>
          <c:val>
            <c:numRef>
              <c:f>'Renouvel_X mois'!$R$2:$R$4</c:f>
              <c:numCache>
                <c:formatCode>#,##0\ "€";[Red]\-#,##0\ "€"</c:formatCode>
                <c:ptCount val="3"/>
                <c:pt idx="0">
                  <c:v>-216943</c:v>
                </c:pt>
                <c:pt idx="1">
                  <c:v>-36006</c:v>
                </c:pt>
                <c:pt idx="2">
                  <c:v>-7841.07</c:v>
                </c:pt>
              </c:numCache>
            </c:numRef>
          </c:val>
        </c:ser>
        <c:ser>
          <c:idx val="1"/>
          <c:order val="1"/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Val val="1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'Renouvel_X mois'!$N$2:$N$4</c:f>
              <c:strCache>
                <c:ptCount val="3"/>
                <c:pt idx="0">
                  <c:v>4 mois</c:v>
                </c:pt>
                <c:pt idx="1">
                  <c:v>8 mois</c:v>
                </c:pt>
                <c:pt idx="2">
                  <c:v>10 mois</c:v>
                </c:pt>
              </c:strCache>
            </c:strRef>
          </c:cat>
          <c:val>
            <c:numRef>
              <c:f>'Renouvel_X mois'!$S$2:$S$4</c:f>
              <c:numCache>
                <c:formatCode>0.0%</c:formatCode>
                <c:ptCount val="3"/>
                <c:pt idx="0">
                  <c:v>0.3778625821239715</c:v>
                </c:pt>
                <c:pt idx="1">
                  <c:v>6.2713801007433831E-2</c:v>
                </c:pt>
                <c:pt idx="2">
                  <c:v>1.3657260002926155E-2</c:v>
                </c:pt>
              </c:numCache>
            </c:numRef>
          </c:val>
        </c:ser>
        <c:dLbls>
          <c:showVal val="1"/>
        </c:dLbls>
        <c:overlap val="100"/>
        <c:axId val="62262272"/>
        <c:axId val="62268160"/>
      </c:barChart>
      <c:catAx>
        <c:axId val="6226227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cap="all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endParaRPr lang="fr-FR"/>
          </a:p>
        </c:txPr>
        <c:crossAx val="62268160"/>
        <c:crosses val="autoZero"/>
        <c:auto val="1"/>
        <c:lblAlgn val="ctr"/>
        <c:lblOffset val="100"/>
      </c:catAx>
      <c:valAx>
        <c:axId val="62268160"/>
        <c:scaling>
          <c:orientation val="minMax"/>
        </c:scaling>
        <c:delete val="1"/>
        <c:axPos val="l"/>
        <c:numFmt formatCode="#,##0\ &quot;€&quot;;[Red]\-#,##0\ &quot;€&quot;" sourceLinked="1"/>
        <c:majorTickMark val="none"/>
        <c:tickLblPos val="none"/>
        <c:crossAx val="622622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bg1"/>
                </a:solidFill>
              </a:rPr>
              <a:t>CA renouvellements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plotArea>
      <c:layout/>
      <c:barChart>
        <c:barDir val="col"/>
        <c:grouping val="stacked"/>
        <c:ser>
          <c:idx val="0"/>
          <c:order val="0"/>
          <c:dLbls>
            <c:dLbl>
              <c:idx val="0"/>
              <c:layout>
                <c:manualLayout>
                  <c:x val="-1.2491906205743259E-17"/>
                  <c:y val="-0.35143214268512379"/>
                </c:manualLayout>
              </c:layout>
              <c:showVal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5.4510765876259575E-3"/>
                  <c:y val="-0.36353274549225101"/>
                </c:manualLayout>
              </c:layout>
              <c:showVal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2.7255382938131283E-3"/>
                  <c:y val="-0.12668414314454671"/>
                </c:manualLayout>
              </c:layout>
              <c:dLblPos val="ctr"/>
              <c:showVal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'Renouvel_X mois'!$N$38:$N$40</c:f>
              <c:strCache>
                <c:ptCount val="3"/>
                <c:pt idx="0">
                  <c:v>4 mois</c:v>
                </c:pt>
                <c:pt idx="1">
                  <c:v>8 mois</c:v>
                </c:pt>
                <c:pt idx="2">
                  <c:v>10 mois</c:v>
                </c:pt>
              </c:strCache>
            </c:strRef>
          </c:cat>
          <c:val>
            <c:numRef>
              <c:f>'Renouvel_X mois'!$R$38:$R$40</c:f>
              <c:numCache>
                <c:formatCode>#,##0\ "€";[Red]\-#,##0\ "€"</c:formatCode>
                <c:ptCount val="3"/>
                <c:pt idx="0">
                  <c:v>-232016</c:v>
                </c:pt>
                <c:pt idx="1">
                  <c:v>-245947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dLbls>
            <c:dLbl>
              <c:idx val="0"/>
              <c:layout>
                <c:manualLayout>
                  <c:x val="0"/>
                  <c:y val="-6.6911998954697599E-2"/>
                </c:manualLayout>
              </c:layout>
              <c:showVal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0"/>
                  <c:y val="-6.2451199024384417E-2"/>
                </c:manualLayout>
              </c:layout>
              <c:showVal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0"/>
                  <c:y val="-7.1372798885010816E-2"/>
                </c:manualLayout>
              </c:layout>
              <c:showVal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'Renouvel_X mois'!$N$38:$N$40</c:f>
              <c:strCache>
                <c:ptCount val="3"/>
                <c:pt idx="0">
                  <c:v>4 mois</c:v>
                </c:pt>
                <c:pt idx="1">
                  <c:v>8 mois</c:v>
                </c:pt>
                <c:pt idx="2">
                  <c:v>10 mois</c:v>
                </c:pt>
              </c:strCache>
            </c:strRef>
          </c:cat>
          <c:val>
            <c:numRef>
              <c:f>'Renouvel_X mois'!$S$38:$S$40</c:f>
              <c:numCache>
                <c:formatCode>0.0%</c:formatCode>
                <c:ptCount val="3"/>
                <c:pt idx="0">
                  <c:v>0.35752302936725872</c:v>
                </c:pt>
                <c:pt idx="1">
                  <c:v>0.37898988217963059</c:v>
                </c:pt>
                <c:pt idx="2">
                  <c:v>0</c:v>
                </c:pt>
              </c:numCache>
            </c:numRef>
          </c:val>
        </c:ser>
        <c:dLbls>
          <c:showVal val="1"/>
        </c:dLbls>
        <c:overlap val="100"/>
        <c:axId val="62386176"/>
        <c:axId val="62387712"/>
      </c:barChart>
      <c:catAx>
        <c:axId val="6238617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cap="all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endParaRPr lang="fr-FR"/>
          </a:p>
        </c:txPr>
        <c:crossAx val="62387712"/>
        <c:crosses val="autoZero"/>
        <c:auto val="1"/>
        <c:lblAlgn val="ctr"/>
        <c:lblOffset val="100"/>
      </c:catAx>
      <c:valAx>
        <c:axId val="62387712"/>
        <c:scaling>
          <c:orientation val="minMax"/>
        </c:scaling>
        <c:delete val="1"/>
        <c:axPos val="l"/>
        <c:numFmt formatCode="#,##0\ &quot;€&quot;;[Red]\-#,##0\ &quot;€&quot;" sourceLinked="1"/>
        <c:majorTickMark val="none"/>
        <c:tickLblPos val="none"/>
        <c:crossAx val="623861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none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r>
              <a:rPr lang="fr-FR" sz="1600" cap="none" baseline="0">
                <a:solidFill>
                  <a:schemeClr val="bg1"/>
                </a:solidFill>
                <a:latin typeface="Arial Narrow" panose="020B0606020202030204" pitchFamily="34" charset="0"/>
              </a:rPr>
              <a:t>Renouvellements &amp; Origines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view3D>
      <c:rotX val="5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spPr>
              <a:solidFill>
                <a:srgbClr val="002060">
                  <a:alpha val="90000"/>
                </a:srgbClr>
              </a:solidFill>
              <a:ln w="19050">
                <a:solidFill>
                  <a:srgbClr val="0070C0"/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rgbClr val="0070C0"/>
                </a:contourClr>
              </a:sp3d>
            </c:spPr>
          </c:dPt>
          <c:dPt>
            <c:idx val="1"/>
            <c:spPr>
              <a:solidFill>
                <a:srgbClr val="C00000">
                  <a:alpha val="90000"/>
                </a:srgb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</c:dPt>
          <c:dPt>
            <c:idx val="2"/>
            <c:spPr>
              <a:solidFill>
                <a:schemeClr val="accent3">
                  <a:alpha val="90000"/>
                </a:schemeClr>
              </a:solidFill>
              <a:ln w="19050">
                <a:solidFill>
                  <a:schemeClr val="accent3">
                    <a:lumMod val="75000"/>
                  </a:schemeClr>
                </a:solidFill>
              </a:ln>
              <a:effectLst>
                <a:innerShdw blurRad="114300">
                  <a:schemeClr val="accent3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3">
                    <a:lumMod val="75000"/>
                  </a:schemeClr>
                </a:contourClr>
              </a:sp3d>
            </c:spPr>
          </c:dPt>
          <c:dPt>
            <c:idx val="3"/>
            <c:spPr>
              <a:solidFill>
                <a:schemeClr val="accent4">
                  <a:alpha val="90000"/>
                </a:schemeClr>
              </a:solidFill>
              <a:ln w="19050">
                <a:solidFill>
                  <a:schemeClr val="accent4">
                    <a:lumMod val="75000"/>
                  </a:schemeClr>
                </a:solidFill>
              </a:ln>
              <a:effectLst>
                <a:innerShdw blurRad="114300">
                  <a:schemeClr val="accent4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4">
                    <a:lumMod val="75000"/>
                  </a:schemeClr>
                </a:contourClr>
              </a:sp3d>
            </c:spPr>
          </c:dPt>
          <c:dLbls>
            <c:dLbl>
              <c:idx val="0"/>
              <c:layout>
                <c:manualLayout>
                  <c:x val="0.18340165714941098"/>
                  <c:y val="0.16023075316720037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1"/>
                  </a:solidFill>
                  <a:round/>
                </a:ln>
                <a:effectLst>
                  <a:outerShdw blurRad="50800" dist="38100" dir="2700000" algn="tl" rotWithShape="0">
                    <a:schemeClr val="accent1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rgbClr val="002060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0.42074603872474564"/>
                  <c:y val="-6.4419931140834691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2"/>
                  </a:solidFill>
                  <a:round/>
                </a:ln>
                <a:effectLst>
                  <a:outerShdw blurRad="50800" dist="38100" dir="2700000" algn="tl" rotWithShape="0">
                    <a:schemeClr val="accent2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rgbClr val="002060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0.13015184052406678"/>
                  <c:y val="5.1391076115485594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3"/>
                  </a:solidFill>
                  <a:round/>
                </a:ln>
                <a:effectLst>
                  <a:outerShdw blurRad="50800" dist="38100" dir="2700000" algn="tl" rotWithShape="0">
                    <a:schemeClr val="accent3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rgbClr val="002060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0.4118820445358905"/>
                  <c:y val="1.9825790595315858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4"/>
                  </a:solidFill>
                  <a:round/>
                </a:ln>
                <a:effectLst>
                  <a:outerShdw blurRad="50800" dist="38100" dir="2700000" algn="tl" rotWithShape="0">
                    <a:schemeClr val="accent4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rgbClr val="002060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>
                  <c15:layout>
                    <c:manualLayout>
                      <c:w val="0.22529155730533687"/>
                      <c:h val="0.10837962962962963"/>
                    </c:manualLayout>
                  </c15:layout>
                </c:ext>
              </c:extLst>
            </c:dLbl>
            <c:spPr>
              <a:solidFill>
                <a:sysClr val="window" lastClr="FFFFFF">
                  <a:alpha val="90000"/>
                </a:sysClr>
              </a:solidFill>
              <a:ln w="12700" cap="flat" cmpd="sng" algn="ctr">
                <a:solidFill>
                  <a:srgbClr val="5B9BD5"/>
                </a:solidFill>
                <a:round/>
              </a:ln>
              <a:effectLst>
                <a:outerShdw blurRad="50800" dist="38100" dir="2700000" algn="tl" rotWithShape="0">
                  <a:srgbClr val="5B9BD5">
                    <a:lumMod val="75000"/>
                    <a:alpha val="40000"/>
                  </a:srgbClr>
                </a:outerShdw>
              </a:effectLst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rgbClr val="002060"/>
                    </a:solidFill>
                    <a:effectLst/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CatName val="1"/>
            <c:showPercent val="1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'Renouvel_X mois'!$Y$46:$Y$49</c:f>
              <c:strCache>
                <c:ptCount val="4"/>
                <c:pt idx="0">
                  <c:v>DCN</c:v>
                </c:pt>
                <c:pt idx="1">
                  <c:v>DI</c:v>
                </c:pt>
                <c:pt idx="2">
                  <c:v>AO</c:v>
                </c:pt>
                <c:pt idx="3">
                  <c:v>REG</c:v>
                </c:pt>
              </c:strCache>
            </c:strRef>
          </c:cat>
          <c:val>
            <c:numRef>
              <c:f>'Renouvel_X mois'!$Z$46:$Z$49</c:f>
              <c:numCache>
                <c:formatCode>#,##0\ "€"</c:formatCode>
                <c:ptCount val="4"/>
                <c:pt idx="0">
                  <c:v>53302</c:v>
                </c:pt>
                <c:pt idx="1">
                  <c:v>328215</c:v>
                </c:pt>
                <c:pt idx="2">
                  <c:v>93153</c:v>
                </c:pt>
                <c:pt idx="3">
                  <c:v>3293</c:v>
                </c:pt>
              </c:numCache>
            </c:numRef>
          </c:val>
        </c:ser>
        <c:dLbls>
          <c:showPercent val="1"/>
        </c:dLbls>
      </c:pie3DChart>
      <c:spPr>
        <a:noFill/>
        <a:ln>
          <a:noFill/>
        </a:ln>
        <a:effectLst/>
      </c:spPr>
    </c:plotArea>
    <c:plotVisOnly val="1"/>
    <c:dispBlanksAs val="zero"/>
  </c:chart>
  <c:spPr>
    <a:gradFill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</a:gradFill>
    <a:ln w="9525" cap="flat" cmpd="sng" algn="ctr">
      <a:solidFill>
        <a:schemeClr val="tx1">
          <a:lumMod val="50000"/>
          <a:lumOff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none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r>
              <a:rPr lang="fr-FR" sz="1600" cap="none" baseline="0">
                <a:solidFill>
                  <a:schemeClr val="bg1"/>
                </a:solidFill>
                <a:latin typeface="Arial Narrow" panose="020B0606020202030204" pitchFamily="34" charset="0"/>
              </a:rPr>
              <a:t>Renouvellements &amp; Origines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view3D>
      <c:rotX val="5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spPr>
              <a:solidFill>
                <a:srgbClr val="002060">
                  <a:alpha val="90000"/>
                </a:srgbClr>
              </a:solidFill>
              <a:ln w="19050">
                <a:solidFill>
                  <a:schemeClr val="accent1"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1"/>
            <c:spPr>
              <a:solidFill>
                <a:srgbClr val="C00000">
                  <a:alpha val="90000"/>
                </a:srgb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</c:dPt>
          <c:dPt>
            <c:idx val="2"/>
            <c:spPr>
              <a:solidFill>
                <a:schemeClr val="tx1">
                  <a:lumMod val="50000"/>
                  <a:lumOff val="50000"/>
                  <a:alpha val="90000"/>
                </a:schemeClr>
              </a:solidFill>
              <a:ln w="19050">
                <a:solidFill>
                  <a:schemeClr val="accent3">
                    <a:lumMod val="75000"/>
                  </a:schemeClr>
                </a:solidFill>
              </a:ln>
              <a:effectLst>
                <a:innerShdw blurRad="114300">
                  <a:schemeClr val="accent3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3">
                    <a:lumMod val="75000"/>
                  </a:schemeClr>
                </a:contourClr>
              </a:sp3d>
            </c:spPr>
          </c:dPt>
          <c:dPt>
            <c:idx val="3"/>
            <c:spPr>
              <a:solidFill>
                <a:schemeClr val="accent4">
                  <a:alpha val="90000"/>
                </a:schemeClr>
              </a:solidFill>
              <a:ln w="19050">
                <a:solidFill>
                  <a:schemeClr val="accent4">
                    <a:lumMod val="75000"/>
                  </a:schemeClr>
                </a:solidFill>
              </a:ln>
              <a:effectLst>
                <a:innerShdw blurRad="114300">
                  <a:schemeClr val="accent4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4">
                    <a:lumMod val="75000"/>
                  </a:schemeClr>
                </a:contourClr>
              </a:sp3d>
            </c:spPr>
          </c:dPt>
          <c:dLbls>
            <c:dLbl>
              <c:idx val="0"/>
              <c:layout>
                <c:manualLayout>
                  <c:x val="2.1773931151168192E-2"/>
                  <c:y val="-4.6801749781277366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4.4841088477459219E-2"/>
                  <c:y val="6.9846480187419041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0.15981104221768858"/>
                  <c:y val="7.2501359324969289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0.21763085399449039"/>
                  <c:y val="5.0534383202099763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ysClr val="window" lastClr="FFFFFF">
                  <a:alpha val="90000"/>
                </a:sysClr>
              </a:solidFill>
              <a:ln w="12700" cap="flat" cmpd="sng" algn="ctr">
                <a:solidFill>
                  <a:srgbClr val="5B9BD5"/>
                </a:solidFill>
                <a:round/>
              </a:ln>
              <a:effectLst>
                <a:outerShdw blurRad="50800" dist="38100" dir="2700000" algn="tl" rotWithShape="0">
                  <a:srgbClr val="5B9BD5">
                    <a:lumMod val="75000"/>
                    <a:alpha val="40000"/>
                  </a:srgbClr>
                </a:outerShdw>
              </a:effectLst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rgbClr val="002060"/>
                    </a:solidFill>
                    <a:effectLst/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showCatName val="1"/>
            <c:showPercent val="1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'Renouvel_X mois'!$Y$10:$Y$13</c:f>
              <c:strCache>
                <c:ptCount val="4"/>
                <c:pt idx="0">
                  <c:v>DCN</c:v>
                </c:pt>
                <c:pt idx="1">
                  <c:v>DI</c:v>
                </c:pt>
                <c:pt idx="2">
                  <c:v>AO</c:v>
                </c:pt>
                <c:pt idx="3">
                  <c:v>REG</c:v>
                </c:pt>
              </c:strCache>
            </c:strRef>
          </c:cat>
          <c:val>
            <c:numRef>
              <c:f>'Renouvel_X mois'!$Z$10:$Z$13</c:f>
              <c:numCache>
                <c:formatCode>#,##0\ "€"</c:formatCode>
                <c:ptCount val="4"/>
                <c:pt idx="0">
                  <c:v>98734</c:v>
                </c:pt>
                <c:pt idx="1">
                  <c:v>61704</c:v>
                </c:pt>
                <c:pt idx="2">
                  <c:v>92511</c:v>
                </c:pt>
                <c:pt idx="3">
                  <c:v>0</c:v>
                </c:pt>
              </c:numCache>
            </c:numRef>
          </c:val>
        </c:ser>
        <c:dLbls>
          <c:showPercent val="1"/>
        </c:dLbls>
      </c:pie3DChart>
      <c:spPr>
        <a:noFill/>
        <a:ln>
          <a:noFill/>
        </a:ln>
        <a:effectLst/>
      </c:spPr>
    </c:plotArea>
    <c:plotVisOnly val="1"/>
    <c:dispBlanksAs val="zero"/>
  </c:chart>
  <c:spPr>
    <a:gradFill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</a:gradFill>
    <a:ln w="9525" cap="flat" cmpd="sng" algn="ctr">
      <a:solidFill>
        <a:schemeClr val="tx1">
          <a:lumMod val="50000"/>
          <a:lumOff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8.xml><?xml version="1.0" encoding="utf-8"?>
<cs:chartStyle xmlns:cs="http://schemas.microsoft.com/office/drawing/2012/chartStyle" xmlns:a="http://schemas.openxmlformats.org/drawingml/2006/main" id="263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587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8100" tIns="19050" rIns="38100" bIns="19050" anchor="ctr" anchorCtr="1">
      <a:spAutoFit/>
    </cs:bodyPr>
  </cs:dataLabel>
  <cs:dataLabelCallout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>
          <a:alpha val="70000"/>
        </a:schemeClr>
      </a:solidFill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tx1"/>
    </cs:fontRef>
    <cs:spPr>
      <a:solidFill>
        <a:schemeClr val="phClr">
          <a:alpha val="90000"/>
        </a:schemeClr>
      </a:solidFill>
      <a:ln w="19050">
        <a:solidFill>
          <a:schemeClr val="phClr">
            <a:lumMod val="75000"/>
          </a:schemeClr>
        </a:solidFill>
      </a:ln>
      <a:effectLst>
        <a:innerShdw blurRad="114300">
          <a:schemeClr val="phClr">
            <a:lumMod val="75000"/>
          </a:schemeClr>
        </a:innerShdw>
      </a:effectLst>
      <a:scene3d>
        <a:camera prst="orthographicFront"/>
        <a:lightRig rig="threePt" dir="t"/>
      </a:scene3d>
      <a:sp3d contourW="19050" prstMaterial="flat">
        <a:contourClr>
          <a:schemeClr val="accent4">
            <a:lumMod val="75000"/>
          </a:schemeClr>
        </a:contourClr>
      </a:sp3d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1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587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63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587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8100" tIns="19050" rIns="38100" bIns="19050" anchor="ctr" anchorCtr="1">
      <a:spAutoFit/>
    </cs:bodyPr>
  </cs:dataLabel>
  <cs:dataLabelCallout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>
          <a:alpha val="70000"/>
        </a:schemeClr>
      </a:solidFill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tx1"/>
    </cs:fontRef>
    <cs:spPr>
      <a:solidFill>
        <a:schemeClr val="phClr">
          <a:alpha val="90000"/>
        </a:schemeClr>
      </a:solidFill>
      <a:ln w="19050">
        <a:solidFill>
          <a:schemeClr val="phClr">
            <a:lumMod val="75000"/>
          </a:schemeClr>
        </a:solidFill>
      </a:ln>
      <a:effectLst>
        <a:innerShdw blurRad="114300">
          <a:schemeClr val="phClr">
            <a:lumMod val="75000"/>
          </a:schemeClr>
        </a:innerShdw>
      </a:effectLst>
      <a:scene3d>
        <a:camera prst="orthographicFront"/>
        <a:lightRig rig="threePt" dir="t"/>
      </a:scene3d>
      <a:sp3d contourW="19050" prstMaterial="flat">
        <a:contourClr>
          <a:schemeClr val="accent4">
            <a:lumMod val="75000"/>
          </a:schemeClr>
        </a:contourClr>
      </a:sp3d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1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587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154305</xdr:colOff>
      <xdr:row>9</xdr:row>
      <xdr:rowOff>10477</xdr:rowOff>
    </xdr:from>
    <xdr:to>
      <xdr:col>23</xdr:col>
      <xdr:colOff>13335</xdr:colOff>
      <xdr:row>23</xdr:row>
      <xdr:rowOff>83820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18</xdr:col>
      <xdr:colOff>160020</xdr:colOff>
      <xdr:row>45</xdr:row>
      <xdr:rowOff>99060</xdr:rowOff>
    </xdr:from>
    <xdr:to>
      <xdr:col>23</xdr:col>
      <xdr:colOff>19050</xdr:colOff>
      <xdr:row>59</xdr:row>
      <xdr:rowOff>172403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26</xdr:col>
      <xdr:colOff>175260</xdr:colOff>
      <xdr:row>45</xdr:row>
      <xdr:rowOff>114300</xdr:rowOff>
    </xdr:from>
    <xdr:to>
      <xdr:col>32</xdr:col>
      <xdr:colOff>76200</xdr:colOff>
      <xdr:row>60</xdr:row>
      <xdr:rowOff>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670560</xdr:colOff>
      <xdr:row>9</xdr:row>
      <xdr:rowOff>45720</xdr:rowOff>
    </xdr:from>
    <xdr:to>
      <xdr:col>32</xdr:col>
      <xdr:colOff>571500</xdr:colOff>
      <xdr:row>23</xdr:row>
      <xdr:rowOff>129540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75"/>
  <sheetViews>
    <sheetView workbookViewId="0">
      <selection activeCell="H21" sqref="H21"/>
    </sheetView>
  </sheetViews>
  <sheetFormatPr baseColWidth="10" defaultColWidth="11.42578125" defaultRowHeight="12.75"/>
  <cols>
    <col min="1" max="1" width="13.85546875" style="102" bestFit="1" customWidth="1"/>
    <col min="2" max="2" width="11.42578125" style="102"/>
    <col min="3" max="3" width="14.140625" style="102" bestFit="1" customWidth="1"/>
    <col min="4" max="4" width="11.42578125" style="102"/>
    <col min="5" max="5" width="16.7109375" style="102" bestFit="1" customWidth="1"/>
    <col min="6" max="6" width="11.42578125" style="102"/>
    <col min="7" max="7" width="10.140625" style="109" bestFit="1" customWidth="1"/>
    <col min="8" max="8" width="11.42578125" style="102"/>
    <col min="9" max="9" width="6.140625" style="102" bestFit="1" customWidth="1"/>
    <col min="10" max="16384" width="11.42578125" style="102"/>
  </cols>
  <sheetData>
    <row r="1" spans="1:9">
      <c r="A1" s="103" t="s">
        <v>52</v>
      </c>
    </row>
    <row r="5" spans="1:9">
      <c r="A5" s="104" t="s">
        <v>110</v>
      </c>
      <c r="C5" s="104" t="s">
        <v>55</v>
      </c>
      <c r="E5" s="104" t="s">
        <v>56</v>
      </c>
      <c r="G5" s="109" t="s">
        <v>59</v>
      </c>
      <c r="I5" s="102" t="s">
        <v>115</v>
      </c>
    </row>
    <row r="7" spans="1:9">
      <c r="A7" s="105" t="s">
        <v>36</v>
      </c>
      <c r="C7" s="105" t="s">
        <v>30</v>
      </c>
      <c r="E7" s="105" t="s">
        <v>14</v>
      </c>
      <c r="G7" s="381">
        <v>6</v>
      </c>
      <c r="I7" s="381" t="s">
        <v>116</v>
      </c>
    </row>
    <row r="8" spans="1:9">
      <c r="A8" s="106" t="s">
        <v>140</v>
      </c>
      <c r="C8" s="106" t="s">
        <v>89</v>
      </c>
      <c r="E8" s="106" t="s">
        <v>21</v>
      </c>
      <c r="G8" s="382">
        <v>12</v>
      </c>
      <c r="I8" s="382" t="s">
        <v>117</v>
      </c>
    </row>
    <row r="9" spans="1:9">
      <c r="A9" s="106" t="s">
        <v>134</v>
      </c>
      <c r="C9" s="106" t="s">
        <v>53</v>
      </c>
      <c r="E9" s="106" t="s">
        <v>57</v>
      </c>
      <c r="G9" s="382">
        <v>24</v>
      </c>
      <c r="I9" s="382"/>
    </row>
    <row r="10" spans="1:9">
      <c r="A10" s="106"/>
      <c r="C10" s="106" t="s">
        <v>54</v>
      </c>
      <c r="E10" s="106" t="s">
        <v>58</v>
      </c>
      <c r="G10" s="382">
        <v>36</v>
      </c>
      <c r="I10" s="383"/>
    </row>
    <row r="11" spans="1:9">
      <c r="A11" s="106"/>
      <c r="C11" s="106" t="s">
        <v>142</v>
      </c>
      <c r="E11" s="106"/>
      <c r="G11" s="382" t="s">
        <v>141</v>
      </c>
    </row>
    <row r="12" spans="1:9">
      <c r="A12" s="107"/>
      <c r="C12" s="107"/>
      <c r="E12" s="107"/>
      <c r="G12" s="383"/>
    </row>
    <row r="14" spans="1:9">
      <c r="C14" s="102" t="s">
        <v>42</v>
      </c>
    </row>
    <row r="16" spans="1:9">
      <c r="C16" s="105" t="s">
        <v>45</v>
      </c>
    </row>
    <row r="17" spans="1:5">
      <c r="C17" s="106" t="s">
        <v>43</v>
      </c>
    </row>
    <row r="18" spans="1:5">
      <c r="C18" s="106" t="s">
        <v>63</v>
      </c>
    </row>
    <row r="19" spans="1:5">
      <c r="C19" s="106"/>
    </row>
    <row r="20" spans="1:5">
      <c r="C20" s="106"/>
    </row>
    <row r="21" spans="1:5">
      <c r="C21" s="107"/>
    </row>
    <row r="24" spans="1:5">
      <c r="A24" s="102" t="s">
        <v>65</v>
      </c>
      <c r="C24" s="108" t="s">
        <v>75</v>
      </c>
      <c r="D24" s="109"/>
      <c r="E24" s="108" t="s">
        <v>76</v>
      </c>
    </row>
    <row r="26" spans="1:5">
      <c r="C26" s="105" t="s">
        <v>72</v>
      </c>
      <c r="E26" s="105" t="s">
        <v>77</v>
      </c>
    </row>
    <row r="27" spans="1:5">
      <c r="C27" s="106" t="s">
        <v>73</v>
      </c>
      <c r="E27" s="106" t="s">
        <v>78</v>
      </c>
    </row>
    <row r="28" spans="1:5">
      <c r="C28" s="106" t="s">
        <v>66</v>
      </c>
      <c r="E28" s="106" t="s">
        <v>79</v>
      </c>
    </row>
    <row r="29" spans="1:5">
      <c r="C29" s="106" t="s">
        <v>71</v>
      </c>
      <c r="E29" s="106" t="s">
        <v>80</v>
      </c>
    </row>
    <row r="30" spans="1:5">
      <c r="C30" s="106" t="s">
        <v>74</v>
      </c>
      <c r="E30" s="106" t="s">
        <v>81</v>
      </c>
    </row>
    <row r="31" spans="1:5">
      <c r="C31" s="106" t="s">
        <v>67</v>
      </c>
      <c r="E31" s="106" t="s">
        <v>82</v>
      </c>
    </row>
    <row r="32" spans="1:5">
      <c r="C32" s="106" t="s">
        <v>68</v>
      </c>
      <c r="E32" s="106" t="s">
        <v>83</v>
      </c>
    </row>
    <row r="33" spans="3:5">
      <c r="C33" s="106" t="s">
        <v>69</v>
      </c>
      <c r="E33" s="106"/>
    </row>
    <row r="34" spans="3:5">
      <c r="C34" s="110" t="s">
        <v>70</v>
      </c>
      <c r="E34" s="110"/>
    </row>
    <row r="35" spans="3:5">
      <c r="C35" s="106"/>
      <c r="E35" s="106"/>
    </row>
    <row r="36" spans="3:5">
      <c r="C36" s="106" t="s">
        <v>87</v>
      </c>
      <c r="E36" s="106" t="s">
        <v>87</v>
      </c>
    </row>
    <row r="37" spans="3:5">
      <c r="C37" s="106"/>
      <c r="E37" s="106"/>
    </row>
    <row r="38" spans="3:5">
      <c r="C38" s="107"/>
      <c r="E38" s="107"/>
    </row>
    <row r="42" spans="3:5">
      <c r="C42" s="108" t="s">
        <v>84</v>
      </c>
      <c r="D42" s="108"/>
      <c r="E42" s="108" t="s">
        <v>85</v>
      </c>
    </row>
    <row r="44" spans="3:5">
      <c r="C44" s="105"/>
      <c r="E44" s="105"/>
    </row>
    <row r="45" spans="3:5">
      <c r="C45" s="106"/>
      <c r="E45" s="106"/>
    </row>
    <row r="46" spans="3:5">
      <c r="C46" s="106"/>
      <c r="E46" s="106"/>
    </row>
    <row r="47" spans="3:5">
      <c r="C47" s="106"/>
      <c r="E47" s="106"/>
    </row>
    <row r="48" spans="3:5">
      <c r="C48" s="106"/>
      <c r="E48" s="106"/>
    </row>
    <row r="49" spans="3:5">
      <c r="C49" s="106"/>
      <c r="E49" s="106"/>
    </row>
    <row r="50" spans="3:5">
      <c r="C50" s="106"/>
      <c r="E50" s="106"/>
    </row>
    <row r="51" spans="3:5">
      <c r="C51" s="106"/>
      <c r="E51" s="106"/>
    </row>
    <row r="52" spans="3:5">
      <c r="C52" s="110"/>
      <c r="E52" s="110"/>
    </row>
    <row r="53" spans="3:5">
      <c r="C53" s="106"/>
      <c r="E53" s="106"/>
    </row>
    <row r="54" spans="3:5">
      <c r="C54" s="106" t="s">
        <v>87</v>
      </c>
      <c r="E54" s="106" t="s">
        <v>87</v>
      </c>
    </row>
    <row r="55" spans="3:5">
      <c r="C55" s="106"/>
      <c r="E55" s="106"/>
    </row>
    <row r="56" spans="3:5">
      <c r="C56" s="107"/>
      <c r="E56" s="107"/>
    </row>
    <row r="61" spans="3:5">
      <c r="C61" s="108" t="s">
        <v>86</v>
      </c>
      <c r="D61" s="108"/>
      <c r="E61" s="108" t="s">
        <v>133</v>
      </c>
    </row>
    <row r="63" spans="3:5">
      <c r="C63" s="105"/>
      <c r="E63" s="105"/>
    </row>
    <row r="64" spans="3:5">
      <c r="C64" s="106"/>
      <c r="E64" s="106"/>
    </row>
    <row r="65" spans="3:5">
      <c r="C65" s="106"/>
      <c r="E65" s="106"/>
    </row>
    <row r="66" spans="3:5">
      <c r="C66" s="106"/>
      <c r="E66" s="106"/>
    </row>
    <row r="67" spans="3:5">
      <c r="C67" s="106"/>
      <c r="E67" s="106"/>
    </row>
    <row r="68" spans="3:5">
      <c r="C68" s="106"/>
      <c r="E68" s="106"/>
    </row>
    <row r="69" spans="3:5">
      <c r="C69" s="106"/>
      <c r="E69" s="106"/>
    </row>
    <row r="70" spans="3:5">
      <c r="C70" s="106"/>
      <c r="E70" s="106"/>
    </row>
    <row r="71" spans="3:5">
      <c r="C71" s="110"/>
      <c r="E71" s="110"/>
    </row>
    <row r="72" spans="3:5">
      <c r="C72" s="106"/>
      <c r="E72" s="106"/>
    </row>
    <row r="73" spans="3:5">
      <c r="C73" s="106" t="s">
        <v>87</v>
      </c>
      <c r="E73" s="106" t="s">
        <v>87</v>
      </c>
    </row>
    <row r="74" spans="3:5">
      <c r="C74" s="106"/>
      <c r="E74" s="106"/>
    </row>
    <row r="75" spans="3:5">
      <c r="C75" s="107"/>
      <c r="E75" s="107"/>
    </row>
  </sheetData>
  <sortState ref="C26:C34">
    <sortCondition ref="C26"/>
  </sortState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Z70"/>
  <sheetViews>
    <sheetView showGridLines="0" zoomScale="70" zoomScaleNormal="70" workbookViewId="0">
      <selection activeCell="A215" sqref="A73:XFD215"/>
    </sheetView>
  </sheetViews>
  <sheetFormatPr baseColWidth="10" defaultColWidth="11.42578125" defaultRowHeight="16.5"/>
  <cols>
    <col min="1" max="1" width="4.28515625" style="464" customWidth="1"/>
    <col min="2" max="2" width="45.7109375" style="32" customWidth="1"/>
    <col min="3" max="3" width="0.5703125" style="123" customWidth="1"/>
    <col min="4" max="4" width="6.7109375" style="177" customWidth="1"/>
    <col min="5" max="5" width="0.5703125" style="123" customWidth="1"/>
    <col min="6" max="6" width="15.7109375" style="32" customWidth="1"/>
    <col min="7" max="7" width="1.85546875" style="123" customWidth="1"/>
    <col min="8" max="8" width="45.7109375" style="32" customWidth="1"/>
    <col min="9" max="9" width="0.5703125" style="123" customWidth="1"/>
    <col min="10" max="10" width="6.7109375" style="32" customWidth="1"/>
    <col min="11" max="11" width="0.5703125" style="123" customWidth="1"/>
    <col min="12" max="12" width="15.7109375" style="32" customWidth="1"/>
    <col min="13" max="13" width="1.85546875" style="123" customWidth="1"/>
    <col min="14" max="14" width="45.7109375" style="32" customWidth="1"/>
    <col min="15" max="15" width="0.5703125" style="123" customWidth="1"/>
    <col min="16" max="16" width="6.7109375" style="32" customWidth="1"/>
    <col min="17" max="17" width="0.5703125" style="123" customWidth="1"/>
    <col min="18" max="18" width="15.7109375" style="32" customWidth="1"/>
    <col min="19" max="22" width="11.42578125" style="32"/>
    <col min="23" max="23" width="24.28515625" style="32" bestFit="1" customWidth="1"/>
    <col min="24" max="24" width="2.28515625" style="32" customWidth="1"/>
    <col min="25" max="25" width="19.7109375" style="32" customWidth="1"/>
    <col min="26" max="16384" width="11.42578125" style="32"/>
  </cols>
  <sheetData>
    <row r="1" spans="1:26" ht="23.25">
      <c r="B1" s="465" t="s">
        <v>227</v>
      </c>
      <c r="C1" s="466"/>
      <c r="D1" s="467"/>
      <c r="E1" s="466"/>
      <c r="F1" s="286" t="s">
        <v>51</v>
      </c>
      <c r="G1" s="466"/>
      <c r="H1" s="286"/>
      <c r="I1" s="466"/>
      <c r="J1" s="286"/>
      <c r="K1" s="466"/>
      <c r="L1" s="286"/>
      <c r="M1" s="466"/>
      <c r="N1" s="286"/>
      <c r="O1" s="466"/>
      <c r="P1" s="286"/>
      <c r="Q1" s="466"/>
      <c r="R1" s="286"/>
    </row>
    <row r="2" spans="1:26">
      <c r="F2" s="297" t="s">
        <v>49</v>
      </c>
      <c r="H2" s="98">
        <f ca="1">SUMIFS('011_BREST'!$F$15:$F$81,'011_BREST'!$R$15:$R$81,"&gt;="&amp;0,'011_BREST'!$R$15:$R$81,"&lt;="&amp;4)</f>
        <v>216943</v>
      </c>
      <c r="J2" s="98"/>
      <c r="L2" s="468">
        <f ca="1">H2/'011_BREST'!$F$2</f>
        <v>0.3778625821239715</v>
      </c>
      <c r="N2" s="32" t="s">
        <v>49</v>
      </c>
      <c r="R2" s="469">
        <f ca="1">-H2</f>
        <v>-216943</v>
      </c>
      <c r="S2" s="468">
        <f ca="1">L2</f>
        <v>0.3778625821239715</v>
      </c>
      <c r="T2" s="32">
        <f ca="1">COUNTIFS('011_BREST'!$R$15:$R$81,"&gt;="&amp;1,'011_BREST'!$R$15:$R$81,"&lt;="&amp;4)</f>
        <v>8</v>
      </c>
    </row>
    <row r="3" spans="1:26">
      <c r="F3" s="297" t="s">
        <v>50</v>
      </c>
      <c r="H3" s="98">
        <f ca="1">SUMIFS('011_BREST'!$F$15:$F$81,'011_BREST'!$R$15:$R$81,"&gt;="&amp;4,'011_BREST'!$R$15:$R$81,"&lt;="&amp;8)</f>
        <v>36006</v>
      </c>
      <c r="J3" s="98"/>
      <c r="L3" s="468">
        <f ca="1">H3/'011_BREST'!$F$2</f>
        <v>6.2713801007433831E-2</v>
      </c>
      <c r="N3" s="32" t="s">
        <v>50</v>
      </c>
      <c r="O3" s="32"/>
      <c r="Q3" s="32"/>
      <c r="R3" s="469">
        <f ca="1">-H3</f>
        <v>-36006</v>
      </c>
      <c r="S3" s="468">
        <f ca="1">L3</f>
        <v>6.2713801007433831E-2</v>
      </c>
      <c r="T3" s="32">
        <f ca="1">COUNTIFS('011_BREST'!$R$15:$R$81,"&gt;="&amp;4,'011_BREST'!$R$15:$R$81,"&lt;="&amp;8)</f>
        <v>3</v>
      </c>
    </row>
    <row r="4" spans="1:26">
      <c r="F4" s="297" t="s">
        <v>143</v>
      </c>
      <c r="H4" s="98">
        <f ca="1">SUMIFS('011_BREST'!$F$15:$F$81,'011_BREST'!$R$15:$R$81,"&gt;="&amp;8,'011_BREST'!$R$15:$R$81,"&lt;="&amp;10)</f>
        <v>7841.07</v>
      </c>
      <c r="J4" s="98"/>
      <c r="L4" s="468">
        <f ca="1">H4/'011_BREST'!$F$2</f>
        <v>1.3657260002926155E-2</v>
      </c>
      <c r="N4" s="371" t="s">
        <v>143</v>
      </c>
      <c r="O4" s="32"/>
      <c r="P4" s="371"/>
      <c r="Q4" s="32"/>
      <c r="R4" s="469">
        <f ca="1">-H4</f>
        <v>-7841.07</v>
      </c>
      <c r="S4" s="468">
        <f ca="1">L4</f>
        <v>1.3657260002926155E-2</v>
      </c>
      <c r="T4" s="32">
        <f ca="1">COUNTIFS('011_BREST'!$R$15:$R$81,"&gt;="&amp;8,'011_BREST'!$R$15:$R$81,"&lt;="&amp;10)</f>
        <v>1</v>
      </c>
      <c r="V4" s="469"/>
      <c r="W4" s="468"/>
    </row>
    <row r="6" spans="1:26" ht="19.899999999999999" customHeight="1">
      <c r="B6" s="470" t="s">
        <v>135</v>
      </c>
      <c r="C6" s="471"/>
      <c r="D6" s="472" t="s">
        <v>144</v>
      </c>
      <c r="E6" s="471"/>
      <c r="F6" s="470" t="s">
        <v>49</v>
      </c>
      <c r="G6" s="473"/>
      <c r="H6" s="470" t="s">
        <v>135</v>
      </c>
      <c r="I6" s="471"/>
      <c r="J6" s="472" t="s">
        <v>144</v>
      </c>
      <c r="K6" s="471"/>
      <c r="L6" s="470" t="s">
        <v>50</v>
      </c>
      <c r="M6" s="473"/>
      <c r="N6" s="470" t="s">
        <v>135</v>
      </c>
      <c r="O6" s="471"/>
      <c r="P6" s="472" t="s">
        <v>144</v>
      </c>
      <c r="Q6" s="471"/>
      <c r="R6" s="470" t="s">
        <v>143</v>
      </c>
    </row>
    <row r="7" spans="1:26" ht="2.25" customHeight="1">
      <c r="H7" s="474"/>
      <c r="J7" s="474"/>
    </row>
    <row r="8" spans="1:26">
      <c r="B8" s="475">
        <f ca="1">COUNTIFS('011_BREST'!$R$15:$R$81,"&gt;="&amp;0,'011_BREST'!$R$15:$R$81,"&lt;="&amp;4)</f>
        <v>11</v>
      </c>
      <c r="D8" s="475"/>
      <c r="F8" s="476">
        <f ca="1">SUM(F10:F34)</f>
        <v>216943</v>
      </c>
      <c r="H8" s="475">
        <f ca="1">COUNTIFS('011_BREST'!$R$15:$R$81,"&gt;="&amp;4,'011_BREST'!$R$15:$R$81,"&lt;="&amp;8)</f>
        <v>3</v>
      </c>
      <c r="J8" s="475"/>
      <c r="L8" s="477">
        <f ca="1">SUM(L10:L34)</f>
        <v>36006</v>
      </c>
      <c r="N8" s="475">
        <f ca="1">COUNTIFS('011_BREST'!$R$15:$R$81,"&gt;="&amp;8,'011_BREST'!$R$15:$R$81,"&lt;="&amp;10)</f>
        <v>1</v>
      </c>
      <c r="P8" s="475"/>
      <c r="R8" s="476">
        <f ca="1">SUM(R10:R34)</f>
        <v>7841.07</v>
      </c>
    </row>
    <row r="9" spans="1:26" ht="2.25" customHeight="1">
      <c r="F9" s="478"/>
      <c r="L9" s="479"/>
      <c r="R9" s="478"/>
    </row>
    <row r="10" spans="1:26" s="29" customFormat="1" ht="16.350000000000001" customHeight="1">
      <c r="A10" s="464">
        <v>1</v>
      </c>
      <c r="B10" s="480" t="str">
        <f t="array" aca="1" ref="B10" ca="1">+IFERROR(INDEX('011_BREST'!$C$15:$C$81,SMALL(IF(('011_BREST'!$R$15:$R$81&gt;0)*('011_BREST'!$R$15:$R$81&lt;4),ROW('011_BREST'!$R$15:$R$81)-14),ROWS($1:1))),"")</f>
        <v>AG France</v>
      </c>
      <c r="C10" s="27"/>
      <c r="D10" s="481" t="str">
        <f t="array" aca="1" ref="D10" ca="1">+IFERROR(INDEX('011_BREST'!$D$15:$D$81,SMALL(IF(('011_BREST'!$R$15:$R$81&gt;0)*('011_BREST'!$R$15:$R$81&lt;4),ROW('011_BREST'!$R$15:$R$81)-14),ROWS($1:1))),"")</f>
        <v>AO</v>
      </c>
      <c r="E10" s="27"/>
      <c r="F10" s="482">
        <f t="array" aca="1" ref="F10" ca="1">+IFERROR(INDEX('011_BREST'!$F$15:$F$81,SMALL(IF(('011_BREST'!$R$15:$R$81&gt;0)*('011_BREST'!$R$15:$R$81&lt;4),ROW('011_BREST'!$R$15:$R$81)-14),ROWS($1:1))),"")</f>
        <v>61382</v>
      </c>
      <c r="G10" s="27"/>
      <c r="H10" s="483" t="str">
        <f t="array" aca="1" ref="H10" ca="1">+IFERROR(INDEX('011_BREST'!$C$15:$C$81,SMALL(IF(('011_BREST'!$R$15:$R$81&gt;4)*('011_BREST'!$R$15:$R$81&lt;8),ROW('011_BREST'!$R$15:$R$81)-14),ROWS($1:1))),"")</f>
        <v>DECA France</v>
      </c>
      <c r="I10" s="27"/>
      <c r="J10" s="484" t="str">
        <f t="array" aca="1" ref="J10" ca="1">+IFERROR(INDEX('011_BREST'!$D$15:$D$81,SMALL(IF(('011_BREST'!$R$15:$R$81&gt;4)*('011_BREST'!$R$15:$R$81&lt;8),ROW('011_BREST'!$R$15:$R$81)-14),ROWS($1:1))),"")</f>
        <v>DCN</v>
      </c>
      <c r="K10" s="27"/>
      <c r="L10" s="485">
        <f t="array" aca="1" ref="L10" ca="1">+IFERROR(INDEX('011_BREST'!$F$15:$F$81,SMALL(IF(('011_BREST'!$R$15:$R$81&gt;4)*('011_BREST'!$R$15:$R$81&lt;8),ROW('011_BREST'!$R$15:$R$81)-14),ROWS($1:1))),"")</f>
        <v>25149</v>
      </c>
      <c r="M10" s="27"/>
      <c r="N10" s="486" t="str">
        <f t="array" aca="1" ref="N10" ca="1">+IFERROR(INDEX('011_BREST'!$C$15:$C$81,SMALL(IF(('011_BREST'!$R$15:$R$81&gt;8)*('011_BREST'!$R$15:$R$81&lt;10),ROW('011_BREST'!$R$15:$R$81)-14),ROWS($1:1))),"")</f>
        <v>Varadeas</v>
      </c>
      <c r="O10" s="27"/>
      <c r="P10" s="487" t="str">
        <f t="array" aca="1" ref="P10" ca="1">+IFERROR(INDEX('011_BREST'!$D$15:$D$81,SMALL(IF(('011_BREST'!$R$15:$R$81&gt;8)*('011_BREST'!$R$15:$R$81&lt;10),ROW('011_BREST'!$R$15:$R$81)-14),ROWS($1:1))),"")</f>
        <v>DCN</v>
      </c>
      <c r="Q10" s="27"/>
      <c r="R10" s="488">
        <f t="array" aca="1" ref="R10" ca="1">+IFERROR(INDEX('011_BREST'!$F$15:$F$81,SMALL(IF(('011_BREST'!$R$15:$R$81&gt;8)*('011_BREST'!$R$15:$R$81&lt;10),ROW('011_BREST'!$R$15:$R$81)-14),ROWS($1:1))),"")</f>
        <v>7841.07</v>
      </c>
      <c r="Y10" s="29" t="s">
        <v>30</v>
      </c>
      <c r="Z10" s="489">
        <f ca="1">SUMIFS($F$10:$F$24,$D$10:$D$24,"dcn")+SUMIFS($L$10:$L$24,$J$10:$J$24,"dcn")</f>
        <v>98734</v>
      </c>
    </row>
    <row r="11" spans="1:26" s="29" customFormat="1" ht="16.149999999999999" customHeight="1">
      <c r="A11" s="464">
        <v>2</v>
      </c>
      <c r="B11" s="490" t="str">
        <f t="array" aca="1" ref="B11" ca="1">+IFERROR(INDEX('011_BREST'!$C$15:$C$81,SMALL(IF(('011_BREST'!$R$15:$R$81&gt;0)*('011_BREST'!$R$15:$R$81&lt;4),ROW('011_BREST'!$R$15:$R$81)-14),ROWS($1:2))),"")</f>
        <v>BRO</v>
      </c>
      <c r="C11" s="27"/>
      <c r="D11" s="491" t="str">
        <f t="array" aca="1" ref="D11" ca="1">+IFERROR(INDEX('011_BREST'!$D$15:$D$81,SMALL(IF(('011_BREST'!$R$15:$R$81&gt;0)*('011_BREST'!$R$15:$R$81&lt;4),ROW('011_BREST'!$R$15:$R$81)-14),ROWS($1:2))),"")</f>
        <v>DI</v>
      </c>
      <c r="E11" s="27"/>
      <c r="F11" s="492">
        <f t="array" aca="1" ref="F11" ca="1">+IFERROR(INDEX('011_BREST'!$F$15:$F$81,SMALL(IF(('011_BREST'!$R$15:$R$81&gt;0)*('011_BREST'!$R$15:$R$81&lt;4),ROW('011_BREST'!$R$15:$R$81)-14),ROWS($1:2))),"")</f>
        <v>55221</v>
      </c>
      <c r="G11" s="27"/>
      <c r="H11" s="493" t="str">
        <f t="array" aca="1" ref="H11" ca="1">+IFERROR(INDEX('011_BREST'!$C$15:$C$81,SMALL(IF(('011_BREST'!$R$15:$R$81&gt;4)*('011_BREST'!$R$15:$R$81&lt;8),ROW('011_BREST'!$R$15:$R$81)-14),ROWS($1:2))),"")</f>
        <v xml:space="preserve">CG PAYS DE LA LOIRE        </v>
      </c>
      <c r="I11" s="27"/>
      <c r="J11" s="494" t="str">
        <f t="array" aca="1" ref="J11" ca="1">+IFERROR(INDEX('011_BREST'!$D$15:$D$81,SMALL(IF(('011_BREST'!$R$15:$R$81&gt;4)*('011_BREST'!$R$15:$R$81&lt;8),ROW('011_BREST'!$R$15:$R$81)-14),ROWS($1:2))),"")</f>
        <v>AO</v>
      </c>
      <c r="K11" s="27"/>
      <c r="L11" s="495">
        <f t="array" aca="1" ref="L11" ca="1">+IFERROR(INDEX('011_BREST'!$F$15:$F$81,SMALL(IF(('011_BREST'!$R$15:$R$81&gt;4)*('011_BREST'!$R$15:$R$81&lt;8),ROW('011_BREST'!$R$15:$R$81)-14),ROWS($1:2))),"")</f>
        <v>5643</v>
      </c>
      <c r="M11" s="27"/>
      <c r="N11" s="496" t="str">
        <f t="array" aca="1" ref="N11" ca="1">+IFERROR(INDEX('011_BREST'!$C$15:$C$81,SMALL(IF(('011_BREST'!$R$15:$R$81&gt;8)*('011_BREST'!$R$15:$R$81&lt;10),ROW('011_BREST'!$R$15:$R$81)-14),ROWS($1:2))),"")</f>
        <v/>
      </c>
      <c r="O11" s="27"/>
      <c r="P11" s="497" t="str">
        <f t="array" aca="1" ref="P11" ca="1">+IFERROR(INDEX('011_BREST'!$D$15:$D$81,SMALL(IF(('011_BREST'!$R$15:$R$81&gt;8)*('011_BREST'!$R$15:$R$81&lt;10),ROW('011_BREST'!$R$15:$R$81)-14),ROWS($1:2))),"")</f>
        <v/>
      </c>
      <c r="Q11" s="27"/>
      <c r="R11" s="498" t="str">
        <f t="array" aca="1" ref="R11" ca="1">+IFERROR(INDEX('011_BREST'!$F$15:$F$81,SMALL(IF(('011_BREST'!$R$15:$R$81&gt;8)*('011_BREST'!$R$15:$R$81&lt;10),ROW('011_BREST'!$R$15:$R$81)-14),ROWS($1:2))),"")</f>
        <v/>
      </c>
      <c r="Y11" s="29" t="s">
        <v>89</v>
      </c>
      <c r="Z11" s="489">
        <f ca="1">SUMIFS($F$10:$F$24,$D$10:$D$24,"dI")+SUMIFS($L$10:$L$24,$J$10:$J$24,"dI")</f>
        <v>61704</v>
      </c>
    </row>
    <row r="12" spans="1:26" s="29" customFormat="1" ht="16.149999999999999" customHeight="1">
      <c r="A12" s="464">
        <v>3</v>
      </c>
      <c r="B12" s="480" t="str">
        <f t="array" aca="1" ref="B12" ca="1">+IFERROR(INDEX('011_BREST'!$C$15:$C$81,SMALL(IF(('011_BREST'!$R$15:$R$81&gt;0)*('011_BREST'!$R$15:$R$81&lt;4),ROW('011_BREST'!$R$15:$R$81)-14),ROWS($1:3))),"")</f>
        <v>LA POSTE</v>
      </c>
      <c r="C12" s="27"/>
      <c r="D12" s="481" t="str">
        <f t="array" aca="1" ref="D12" ca="1">+IFERROR(INDEX('011_BREST'!$D$15:$D$81,SMALL(IF(('011_BREST'!$R$15:$R$81&gt;0)*('011_BREST'!$R$15:$R$81&lt;4),ROW('011_BREST'!$R$15:$R$81)-14),ROWS($1:3))),"")</f>
        <v>AO</v>
      </c>
      <c r="E12" s="27"/>
      <c r="F12" s="482">
        <f t="array" aca="1" ref="F12" ca="1">+IFERROR(INDEX('011_BREST'!$F$15:$F$81,SMALL(IF(('011_BREST'!$R$15:$R$81&gt;0)*('011_BREST'!$R$15:$R$81&lt;4),ROW('011_BREST'!$R$15:$R$81)-14),ROWS($1:3))),"")</f>
        <v>25486</v>
      </c>
      <c r="G12" s="27"/>
      <c r="H12" s="483" t="str">
        <f t="array" aca="1" ref="H12" ca="1">+IFERROR(INDEX('011_BREST'!$C$15:$C$81,SMALL(IF(('011_BREST'!$R$15:$R$81&gt;4)*('011_BREST'!$R$15:$R$81&lt;8),ROW('011_BREST'!$R$15:$R$81)-14),ROWS($1:3))),"")</f>
        <v xml:space="preserve">MATFORM                  </v>
      </c>
      <c r="I12" s="27"/>
      <c r="J12" s="484" t="str">
        <f t="array" aca="1" ref="J12" ca="1">+IFERROR(INDEX('011_BREST'!$D$15:$D$81,SMALL(IF(('011_BREST'!$R$15:$R$81&gt;4)*('011_BREST'!$R$15:$R$81&lt;8),ROW('011_BREST'!$R$15:$R$81)-14),ROWS($1:3))),"")</f>
        <v>DCN</v>
      </c>
      <c r="K12" s="27"/>
      <c r="L12" s="485">
        <f t="array" aca="1" ref="L12" ca="1">+IFERROR(INDEX('011_BREST'!$F$15:$F$81,SMALL(IF(('011_BREST'!$R$15:$R$81&gt;4)*('011_BREST'!$R$15:$R$81&lt;8),ROW('011_BREST'!$R$15:$R$81)-14),ROWS($1:3))),"")</f>
        <v>5214</v>
      </c>
      <c r="M12" s="27"/>
      <c r="N12" s="486" t="str">
        <f t="array" aca="1" ref="N12" ca="1">+IFERROR(INDEX('011_BREST'!$C$15:$C$81,SMALL(IF(('011_BREST'!$R$15:$R$81&gt;8)*('011_BREST'!$R$15:$R$81&lt;10),ROW('011_BREST'!$R$15:$R$81)-14),ROWS($1:3))),"")</f>
        <v/>
      </c>
      <c r="O12" s="27"/>
      <c r="P12" s="487" t="str">
        <f t="array" aca="1" ref="P12" ca="1">+IFERROR(INDEX('011_BREST'!$D$15:$D$81,SMALL(IF(('011_BREST'!$R$15:$R$81&gt;8)*('011_BREST'!$R$15:$R$81&lt;10),ROW('011_BREST'!$R$15:$R$81)-14),ROWS($1:3))),"")</f>
        <v/>
      </c>
      <c r="Q12" s="27"/>
      <c r="R12" s="488" t="str">
        <f t="array" aca="1" ref="R12" ca="1">+IFERROR(INDEX('011_BREST'!$F$15:$F$81,SMALL(IF(('011_BREST'!$R$15:$R$81&gt;8)*('011_BREST'!$R$15:$R$81&lt;10),ROW('011_BREST'!$R$15:$R$81)-14),ROWS($1:3))),"")</f>
        <v/>
      </c>
      <c r="S12" s="499"/>
      <c r="T12" s="499"/>
      <c r="Y12" s="29" t="s">
        <v>54</v>
      </c>
      <c r="Z12" s="489">
        <f ca="1">SUMIFS($F$10:$F$24,$D$10:$D$24,"AO")+SUMIFS($L$10:$L$24,$J$10:$J$24,"AO")</f>
        <v>92511</v>
      </c>
    </row>
    <row r="13" spans="1:26" s="29" customFormat="1" ht="16.149999999999999" customHeight="1">
      <c r="A13" s="464">
        <v>4</v>
      </c>
      <c r="B13" s="490" t="str">
        <f t="array" aca="1" ref="B13" ca="1">+IFERROR(INDEX('011_BREST'!$C$15:$C$81,SMALL(IF(('011_BREST'!$R$15:$R$81&gt;0)*('011_BREST'!$R$15:$R$81&lt;4),ROW('011_BREST'!$R$15:$R$81)-14),ROWS($1:4))),"")</f>
        <v>CHANTIERS ATLANTIQUE</v>
      </c>
      <c r="C13" s="27"/>
      <c r="D13" s="491" t="str">
        <f t="array" aca="1" ref="D13" ca="1">+IFERROR(INDEX('011_BREST'!$D$15:$D$81,SMALL(IF(('011_BREST'!$R$15:$R$81&gt;0)*('011_BREST'!$R$15:$R$81&lt;4),ROW('011_BREST'!$R$15:$R$81)-14),ROWS($1:4))),"")</f>
        <v>DCN</v>
      </c>
      <c r="E13" s="27"/>
      <c r="F13" s="492">
        <f t="array" aca="1" ref="F13" ca="1">+IFERROR(INDEX('011_BREST'!$F$15:$F$81,SMALL(IF(('011_BREST'!$R$15:$R$81&gt;0)*('011_BREST'!$R$15:$R$81&lt;4),ROW('011_BREST'!$R$15:$R$81)-14),ROWS($1:4))),"")</f>
        <v>29433</v>
      </c>
      <c r="G13" s="27"/>
      <c r="H13" s="493" t="str">
        <f t="array" aca="1" ref="H13" ca="1">+IFERROR(INDEX('011_BREST'!$C$15:$C$81,SMALL(IF(('011_BREST'!$R$15:$R$81&gt;4)*('011_BREST'!$R$15:$R$81&lt;8),ROW('011_BREST'!$R$15:$R$81)-14),ROWS($1:4))),"")</f>
        <v/>
      </c>
      <c r="I13" s="27"/>
      <c r="J13" s="494" t="str">
        <f t="array" aca="1" ref="J13" ca="1">+IFERROR(INDEX('011_BREST'!$D$15:$D$81,SMALL(IF(('011_BREST'!$R$15:$R$81&gt;4)*('011_BREST'!$R$15:$R$81&lt;8),ROW('011_BREST'!$R$15:$R$81)-14),ROWS($1:4))),"")</f>
        <v/>
      </c>
      <c r="K13" s="27"/>
      <c r="L13" s="495" t="str">
        <f t="array" aca="1" ref="L13" ca="1">+IFERROR(INDEX('011_BREST'!$F$15:$F$81,SMALL(IF(('011_BREST'!$R$15:$R$81&gt;4)*('011_BREST'!$R$15:$R$81&lt;8),ROW('011_BREST'!$R$15:$R$81)-14),ROWS($1:4))),"")</f>
        <v/>
      </c>
      <c r="M13" s="27"/>
      <c r="N13" s="496" t="str">
        <f t="array" aca="1" ref="N13" ca="1">+IFERROR(INDEX('011_BREST'!$C$15:$C$81,SMALL(IF(('011_BREST'!$R$15:$R$81&gt;8)*('011_BREST'!$R$15:$R$81&lt;10),ROW('011_BREST'!$R$15:$R$81)-14),ROWS($1:4))),"")</f>
        <v/>
      </c>
      <c r="O13" s="27"/>
      <c r="P13" s="497" t="str">
        <f t="array" aca="1" ref="P13" ca="1">+IFERROR(INDEX('011_BREST'!$D$15:$D$81,SMALL(IF(('011_BREST'!$R$15:$R$81&gt;8)*('011_BREST'!$R$15:$R$81&lt;10),ROW('011_BREST'!$R$15:$R$81)-14),ROWS($1:4))),"")</f>
        <v/>
      </c>
      <c r="Q13" s="27"/>
      <c r="R13" s="498" t="str">
        <f t="array" aca="1" ref="R13" ca="1">+IFERROR(INDEX('011_BREST'!$F$15:$F$81,SMALL(IF(('011_BREST'!$R$15:$R$81&gt;8)*('011_BREST'!$R$15:$R$81&lt;10),ROW('011_BREST'!$R$15:$R$81)-14),ROWS($1:4))),"")</f>
        <v/>
      </c>
      <c r="S13" s="500"/>
      <c r="T13" s="501"/>
      <c r="Y13" s="29" t="s">
        <v>53</v>
      </c>
      <c r="Z13" s="489">
        <f ca="1">SUMIFS($F$10:$F$24,$D$10:$D$24,"REG")+SUMIFS($L$10:$L$24,$J$10:$J$24,"REG")</f>
        <v>0</v>
      </c>
    </row>
    <row r="14" spans="1:26" s="29" customFormat="1" ht="16.149999999999999" customHeight="1">
      <c r="A14" s="464">
        <v>5</v>
      </c>
      <c r="B14" s="480" t="str">
        <f t="array" aca="1" ref="B14" ca="1">+IFERROR(INDEX('011_BREST'!$C$15:$C$81,SMALL(IF(('011_BREST'!$R$15:$R$81&gt;0)*('011_BREST'!$R$15:$R$81&lt;4),ROW('011_BREST'!$R$15:$R$81)-14),ROWS($1:5))),"")</f>
        <v>BIC</v>
      </c>
      <c r="C14" s="27"/>
      <c r="D14" s="481" t="str">
        <f t="array" aca="1" ref="D14" ca="1">+IFERROR(INDEX('011_BREST'!$D$15:$D$81,SMALL(IF(('011_BREST'!$R$15:$R$81&gt;0)*('011_BREST'!$R$15:$R$81&lt;4),ROW('011_BREST'!$R$15:$R$81)-14),ROWS($1:5))),"")</f>
        <v>DCN</v>
      </c>
      <c r="E14" s="27"/>
      <c r="F14" s="482">
        <f t="array" aca="1" ref="F14" ca="1">+IFERROR(INDEX('011_BREST'!$F$15:$F$81,SMALL(IF(('011_BREST'!$R$15:$R$81&gt;0)*('011_BREST'!$R$15:$R$81&lt;4),ROW('011_BREST'!$R$15:$R$81)-14),ROWS($1:5))),"")</f>
        <v>22623</v>
      </c>
      <c r="G14" s="27"/>
      <c r="H14" s="483" t="str">
        <f t="array" aca="1" ref="H14" ca="1">+IFERROR(INDEX('011_BREST'!$C$15:$C$81,SMALL(IF(('011_BREST'!$R$15:$R$81&gt;4)*('011_BREST'!$R$15:$R$81&lt;8),ROW('011_BREST'!$R$15:$R$81)-14),ROWS($1:5))),"")</f>
        <v/>
      </c>
      <c r="I14" s="27"/>
      <c r="J14" s="484" t="str">
        <f t="array" aca="1" ref="J14" ca="1">+IFERROR(INDEX('011_BREST'!$D$15:$D$81,SMALL(IF(('011_BREST'!$R$15:$R$81&gt;4)*('011_BREST'!$R$15:$R$81&lt;8),ROW('011_BREST'!$R$15:$R$81)-14),ROWS($1:5))),"")</f>
        <v/>
      </c>
      <c r="K14" s="27"/>
      <c r="L14" s="485" t="str">
        <f t="array" aca="1" ref="L14" ca="1">+IFERROR(INDEX('011_BREST'!$F$15:$F$81,SMALL(IF(('011_BREST'!$R$15:$R$81&gt;4)*('011_BREST'!$R$15:$R$81&lt;8),ROW('011_BREST'!$R$15:$R$81)-14),ROWS($1:5))),"")</f>
        <v/>
      </c>
      <c r="M14" s="27"/>
      <c r="N14" s="486" t="str">
        <f t="array" aca="1" ref="N14" ca="1">+IFERROR(INDEX('011_BREST'!$C$15:$C$81,SMALL(IF(('011_BREST'!$R$15:$R$81&gt;8)*('011_BREST'!$R$15:$R$81&lt;10),ROW('011_BREST'!$R$15:$R$81)-14),ROWS($1:5))),"")</f>
        <v/>
      </c>
      <c r="O14" s="27"/>
      <c r="P14" s="487" t="str">
        <f t="array" aca="1" ref="P14" ca="1">+IFERROR(INDEX('011_BREST'!$D$15:$D$81,SMALL(IF(('011_BREST'!$R$15:$R$81&gt;8)*('011_BREST'!$R$15:$R$81&lt;10),ROW('011_BREST'!$R$15:$R$81)-14),ROWS($1:5))),"")</f>
        <v/>
      </c>
      <c r="Q14" s="27"/>
      <c r="R14" s="488" t="str">
        <f t="array" aca="1" ref="R14" ca="1">+IFERROR(INDEX('011_BREST'!$F$15:$F$81,SMALL(IF(('011_BREST'!$R$15:$R$81&gt;8)*('011_BREST'!$R$15:$R$81&lt;10),ROW('011_BREST'!$R$15:$R$81)-14),ROWS($1:5))),"")</f>
        <v/>
      </c>
    </row>
    <row r="15" spans="1:26" s="29" customFormat="1" ht="16.149999999999999" customHeight="1">
      <c r="A15" s="464">
        <v>6</v>
      </c>
      <c r="B15" s="490" t="str">
        <f t="array" aca="1" ref="B15" ca="1">+IFERROR(INDEX('011_BREST'!$C$15:$C$81,SMALL(IF(('011_BREST'!$R$15:$R$81&gt;0)*('011_BREST'!$R$15:$R$81&lt;4),ROW('011_BREST'!$R$15:$R$81)-14),ROWS($1:6))),"")</f>
        <v>KERIA</v>
      </c>
      <c r="C15" s="27"/>
      <c r="D15" s="491" t="str">
        <f t="array" aca="1" ref="D15" ca="1">+IFERROR(INDEX('011_BREST'!$D$15:$D$81,SMALL(IF(('011_BREST'!$R$15:$R$81&gt;0)*('011_BREST'!$R$15:$R$81&lt;4),ROW('011_BREST'!$R$15:$R$81)-14),ROWS($1:6))),"")</f>
        <v>DCN</v>
      </c>
      <c r="E15" s="27"/>
      <c r="F15" s="492">
        <f t="array" aca="1" ref="F15" ca="1">+IFERROR(INDEX('011_BREST'!$F$15:$F$81,SMALL(IF(('011_BREST'!$R$15:$R$81&gt;0)*('011_BREST'!$R$15:$R$81&lt;4),ROW('011_BREST'!$R$15:$R$81)-14),ROWS($1:6))),"")</f>
        <v>7779</v>
      </c>
      <c r="G15" s="27"/>
      <c r="H15" s="493" t="str">
        <f t="array" aca="1" ref="H15" ca="1">+IFERROR(INDEX('011_BREST'!$C$15:$C$81,SMALL(IF(('011_BREST'!$R$15:$R$81&gt;4)*('011_BREST'!$R$15:$R$81&lt;8),ROW('011_BREST'!$R$15:$R$81)-14),ROWS($1:6))),"")</f>
        <v/>
      </c>
      <c r="I15" s="27"/>
      <c r="J15" s="494" t="str">
        <f t="array" aca="1" ref="J15" ca="1">+IFERROR(INDEX('011_BREST'!$D$15:$D$81,SMALL(IF(('011_BREST'!$R$15:$R$81&gt;4)*('011_BREST'!$R$15:$R$81&lt;8),ROW('011_BREST'!$R$15:$R$81)-14),ROWS($1:6))),"")</f>
        <v/>
      </c>
      <c r="K15" s="27"/>
      <c r="L15" s="495" t="str">
        <f t="array" aca="1" ref="L15" ca="1">+IFERROR(INDEX('011_BREST'!$F$15:$F$81,SMALL(IF(('011_BREST'!$R$15:$R$81&gt;4)*('011_BREST'!$R$15:$R$81&lt;8),ROW('011_BREST'!$R$15:$R$81)-14),ROWS($1:6))),"")</f>
        <v/>
      </c>
      <c r="M15" s="27"/>
      <c r="N15" s="496" t="str">
        <f t="array" aca="1" ref="N15" ca="1">+IFERROR(INDEX('011_BREST'!$C$15:$C$81,SMALL(IF(('011_BREST'!$R$15:$R$81&gt;8)*('011_BREST'!$R$15:$R$81&lt;10),ROW('011_BREST'!$R$15:$R$81)-14),ROWS($1:6))),"")</f>
        <v/>
      </c>
      <c r="O15" s="27"/>
      <c r="P15" s="497" t="str">
        <f t="array" aca="1" ref="P15" ca="1">+IFERROR(INDEX('011_BREST'!$D$15:$D$81,SMALL(IF(('011_BREST'!$R$15:$R$81&gt;8)*('011_BREST'!$R$15:$R$81&lt;10),ROW('011_BREST'!$R$15:$R$81)-14),ROWS($1:6))),"")</f>
        <v/>
      </c>
      <c r="Q15" s="27"/>
      <c r="R15" s="498" t="str">
        <f t="array" aca="1" ref="R15" ca="1">+IFERROR(INDEX('011_BREST'!$F$15:$F$81,SMALL(IF(('011_BREST'!$R$15:$R$81&gt;8)*('011_BREST'!$R$15:$R$81&lt;10),ROW('011_BREST'!$R$15:$R$81)-14),ROWS($1:6))),"")</f>
        <v/>
      </c>
    </row>
    <row r="16" spans="1:26" s="29" customFormat="1" ht="16.149999999999999" customHeight="1">
      <c r="A16" s="464">
        <v>7</v>
      </c>
      <c r="B16" s="480" t="str">
        <f t="array" aca="1" ref="B16" ca="1">+IFERROR(INDEX('011_BREST'!$C$15:$C$81,SMALL(IF(('011_BREST'!$R$15:$R$81&gt;0)*('011_BREST'!$R$15:$R$81&lt;4),ROW('011_BREST'!$R$15:$R$81)-14),ROWS($1:7))),"")</f>
        <v xml:space="preserve">SIMRA                </v>
      </c>
      <c r="C16" s="27"/>
      <c r="D16" s="481" t="str">
        <f t="array" aca="1" ref="D16" ca="1">+IFERROR(INDEX('011_BREST'!$D$15:$D$81,SMALL(IF(('011_BREST'!$R$15:$R$81&gt;0)*('011_BREST'!$R$15:$R$81&lt;4),ROW('011_BREST'!$R$15:$R$81)-14),ROWS($1:7))),"")</f>
        <v>DCN</v>
      </c>
      <c r="E16" s="27"/>
      <c r="F16" s="482">
        <f t="array" aca="1" ref="F16" ca="1">+IFERROR(INDEX('011_BREST'!$F$15:$F$81,SMALL(IF(('011_BREST'!$R$15:$R$81&gt;0)*('011_BREST'!$R$15:$R$81&lt;4),ROW('011_BREST'!$R$15:$R$81)-14),ROWS($1:7))),"")</f>
        <v>3903</v>
      </c>
      <c r="G16" s="27"/>
      <c r="H16" s="483" t="str">
        <f t="array" aca="1" ref="H16" ca="1">+IFERROR(INDEX('011_BREST'!$C$15:$C$81,SMALL(IF(('011_BREST'!$R$15:$R$81&gt;4)*('011_BREST'!$R$15:$R$81&lt;8),ROW('011_BREST'!$R$15:$R$81)-14),ROWS($1:7))),"")</f>
        <v/>
      </c>
      <c r="I16" s="27"/>
      <c r="J16" s="484" t="str">
        <f t="array" aca="1" ref="J16" ca="1">+IFERROR(INDEX('011_BREST'!$D$15:$D$81,SMALL(IF(('011_BREST'!$R$15:$R$81&gt;4)*('011_BREST'!$R$15:$R$81&lt;8),ROW('011_BREST'!$R$15:$R$81)-14),ROWS($1:7))),"")</f>
        <v/>
      </c>
      <c r="K16" s="27"/>
      <c r="L16" s="485" t="str">
        <f t="array" aca="1" ref="L16" ca="1">+IFERROR(INDEX('011_BREST'!$F$15:$F$81,SMALL(IF(('011_BREST'!$R$15:$R$81&gt;4)*('011_BREST'!$R$15:$R$81&lt;8),ROW('011_BREST'!$R$15:$R$81)-14),ROWS($1:7))),"")</f>
        <v/>
      </c>
      <c r="M16" s="27"/>
      <c r="N16" s="486" t="str">
        <f t="array" aca="1" ref="N16" ca="1">+IFERROR(INDEX('011_BREST'!$C$15:$C$81,SMALL(IF(('011_BREST'!$R$15:$R$81&gt;8)*('011_BREST'!$R$15:$R$81&lt;10),ROW('011_BREST'!$R$15:$R$81)-14),ROWS($1:7))),"")</f>
        <v/>
      </c>
      <c r="O16" s="27"/>
      <c r="P16" s="487" t="str">
        <f t="array" aca="1" ref="P16" ca="1">+IFERROR(INDEX('011_BREST'!$D$15:$D$81,SMALL(IF(('011_BREST'!$R$15:$R$81&gt;8)*('011_BREST'!$R$15:$R$81&lt;10),ROW('011_BREST'!$R$15:$R$81)-14),ROWS($1:7))),"")</f>
        <v/>
      </c>
      <c r="Q16" s="27"/>
      <c r="R16" s="488" t="str">
        <f t="array" aca="1" ref="R16" ca="1">+IFERROR(INDEX('011_BREST'!$F$15:$F$81,SMALL(IF(('011_BREST'!$R$15:$R$81&gt;8)*('011_BREST'!$R$15:$R$81&lt;10),ROW('011_BREST'!$R$15:$R$81)-14),ROWS($1:7))),"")</f>
        <v/>
      </c>
    </row>
    <row r="17" spans="1:18" s="29" customFormat="1" ht="16.149999999999999" customHeight="1">
      <c r="A17" s="464">
        <v>8</v>
      </c>
      <c r="B17" s="490" t="str">
        <f t="array" aca="1" ref="B17" ca="1">+IFERROR(INDEX('011_BREST'!$C$15:$C$81,SMALL(IF(('011_BREST'!$R$15:$R$81&gt;0)*('011_BREST'!$R$15:$R$81&lt;4),ROW('011_BREST'!$R$15:$R$81)-14),ROWS($1:8))),"")</f>
        <v xml:space="preserve">BARBA      </v>
      </c>
      <c r="C17" s="27"/>
      <c r="D17" s="491" t="str">
        <f t="array" aca="1" ref="D17" ca="1">+IFERROR(INDEX('011_BREST'!$D$15:$D$81,SMALL(IF(('011_BREST'!$R$15:$R$81&gt;0)*('011_BREST'!$R$15:$R$81&lt;4),ROW('011_BREST'!$R$15:$R$81)-14),ROWS($1:8))),"")</f>
        <v>DI</v>
      </c>
      <c r="E17" s="27"/>
      <c r="F17" s="492">
        <f t="array" aca="1" ref="F17" ca="1">+IFERROR(INDEX('011_BREST'!$F$15:$F$81,SMALL(IF(('011_BREST'!$R$15:$R$81&gt;0)*('011_BREST'!$R$15:$R$81&lt;4),ROW('011_BREST'!$R$15:$R$81)-14),ROWS($1:8))),"")</f>
        <v>3458</v>
      </c>
      <c r="G17" s="27"/>
      <c r="H17" s="493" t="str">
        <f t="array" aca="1" ref="H17" ca="1">+IFERROR(INDEX('011_BREST'!$C$15:$C$81,SMALL(IF(('011_BREST'!$R$15:$R$81&gt;4)*('011_BREST'!$R$15:$R$81&lt;8),ROW('011_BREST'!$R$15:$R$81)-14),ROWS($1:8))),"")</f>
        <v/>
      </c>
      <c r="I17" s="27"/>
      <c r="J17" s="494" t="str">
        <f t="array" aca="1" ref="J17" ca="1">+IFERROR(INDEX('011_BREST'!$D$15:$D$81,SMALL(IF(('011_BREST'!$R$15:$R$81&gt;4)*('011_BREST'!$R$15:$R$81&lt;8),ROW('011_BREST'!$R$15:$R$81)-14),ROWS($1:8))),"")</f>
        <v/>
      </c>
      <c r="K17" s="27"/>
      <c r="L17" s="495" t="str">
        <f t="array" aca="1" ref="L17" ca="1">+IFERROR(INDEX('011_BREST'!$F$15:$F$81,SMALL(IF(('011_BREST'!$R$15:$R$81&gt;4)*('011_BREST'!$R$15:$R$81&lt;8),ROW('011_BREST'!$R$15:$R$81)-14),ROWS($1:8))),"")</f>
        <v/>
      </c>
      <c r="M17" s="27"/>
      <c r="N17" s="496" t="str">
        <f t="array" aca="1" ref="N17" ca="1">+IFERROR(INDEX('011_BREST'!$C$15:$C$81,SMALL(IF(('011_BREST'!$R$15:$R$81&gt;8)*('011_BREST'!$R$15:$R$81&lt;10),ROW('011_BREST'!$R$15:$R$81)-14),ROWS($1:8))),"")</f>
        <v/>
      </c>
      <c r="O17" s="27"/>
      <c r="P17" s="497" t="str">
        <f t="array" aca="1" ref="P17" ca="1">+IFERROR(INDEX('011_BREST'!$D$15:$D$81,SMALL(IF(('011_BREST'!$R$15:$R$81&gt;8)*('011_BREST'!$R$15:$R$81&lt;10),ROW('011_BREST'!$R$15:$R$81)-14),ROWS($1:8))),"")</f>
        <v/>
      </c>
      <c r="Q17" s="27"/>
      <c r="R17" s="498" t="str">
        <f t="array" aca="1" ref="R17" ca="1">+IFERROR(INDEX('011_BREST'!$F$15:$F$81,SMALL(IF(('011_BREST'!$R$15:$R$81&gt;8)*('011_BREST'!$R$15:$R$81&lt;10),ROW('011_BREST'!$R$15:$R$81)-14),ROWS($1:8))),"")</f>
        <v/>
      </c>
    </row>
    <row r="18" spans="1:18" s="29" customFormat="1" ht="16.149999999999999" customHeight="1">
      <c r="A18" s="464">
        <v>9</v>
      </c>
      <c r="B18" s="480" t="str">
        <f t="array" aca="1" ref="B18" ca="1">+IFERROR(INDEX('011_BREST'!$C$15:$C$81,SMALL(IF(('011_BREST'!$R$15:$R$81&gt;0)*('011_BREST'!$R$15:$R$81&lt;4),ROW('011_BREST'!$R$15:$R$81)-14),ROWS($1:9))),"")</f>
        <v xml:space="preserve">IDRAC SARL                         </v>
      </c>
      <c r="C18" s="27"/>
      <c r="D18" s="481" t="str">
        <f t="array" aca="1" ref="D18" ca="1">+IFERROR(INDEX('011_BREST'!$D$15:$D$81,SMALL(IF(('011_BREST'!$R$15:$R$81&gt;0)*('011_BREST'!$R$15:$R$81&lt;4),ROW('011_BREST'!$R$15:$R$81)-14),ROWS($1:9))),"")</f>
        <v>DI</v>
      </c>
      <c r="E18" s="27"/>
      <c r="F18" s="482">
        <f t="array" aca="1" ref="F18" ca="1">+IFERROR(INDEX('011_BREST'!$F$15:$F$81,SMALL(IF(('011_BREST'!$R$15:$R$81&gt;0)*('011_BREST'!$R$15:$R$81&lt;4),ROW('011_BREST'!$R$15:$R$81)-14),ROWS($1:9))),"")</f>
        <v>3025</v>
      </c>
      <c r="G18" s="27"/>
      <c r="H18" s="483" t="str">
        <f t="array" aca="1" ref="H18" ca="1">+IFERROR(INDEX('011_BREST'!$C$15:$C$81,SMALL(IF(('011_BREST'!$R$15:$R$81&gt;4)*('011_BREST'!$R$15:$R$81&lt;8),ROW('011_BREST'!$R$15:$R$81)-14),ROWS($1:9))),"")</f>
        <v/>
      </c>
      <c r="I18" s="27"/>
      <c r="J18" s="484" t="str">
        <f t="array" aca="1" ref="J18" ca="1">+IFERROR(INDEX('011_BREST'!$D$15:$D$81,SMALL(IF(('011_BREST'!$R$15:$R$81&gt;4)*('011_BREST'!$R$15:$R$81&lt;8),ROW('011_BREST'!$R$15:$R$81)-14),ROWS($1:9))),"")</f>
        <v/>
      </c>
      <c r="K18" s="27"/>
      <c r="L18" s="485" t="str">
        <f t="array" aca="1" ref="L18" ca="1">+IFERROR(INDEX('011_BREST'!$F$15:$F$81,SMALL(IF(('011_BREST'!$R$15:$R$81&gt;4)*('011_BREST'!$R$15:$R$81&lt;8),ROW('011_BREST'!$R$15:$R$81)-14),ROWS($1:9))),"")</f>
        <v/>
      </c>
      <c r="M18" s="27"/>
      <c r="N18" s="486" t="str">
        <f t="array" aca="1" ref="N18" ca="1">+IFERROR(INDEX('011_BREST'!$C$15:$C$81,SMALL(IF(('011_BREST'!$R$15:$R$81&gt;8)*('011_BREST'!$R$15:$R$81&lt;10),ROW('011_BREST'!$R$15:$R$81)-14),ROWS($1:9))),"")</f>
        <v/>
      </c>
      <c r="O18" s="27"/>
      <c r="P18" s="487" t="str">
        <f t="array" aca="1" ref="P18" ca="1">+IFERROR(INDEX('011_BREST'!$D$15:$D$81,SMALL(IF(('011_BREST'!$R$15:$R$81&gt;8)*('011_BREST'!$R$15:$R$81&lt;10),ROW('011_BREST'!$R$15:$R$81)-14),ROWS($1:9))),"")</f>
        <v/>
      </c>
      <c r="Q18" s="27"/>
      <c r="R18" s="488" t="str">
        <f t="array" aca="1" ref="R18" ca="1">+IFERROR(INDEX('011_BREST'!$F$15:$F$81,SMALL(IF(('011_BREST'!$R$15:$R$81&gt;8)*('011_BREST'!$R$15:$R$81&lt;10),ROW('011_BREST'!$R$15:$R$81)-14),ROWS($1:9))),"")</f>
        <v/>
      </c>
    </row>
    <row r="19" spans="1:18" s="29" customFormat="1" ht="16.149999999999999" customHeight="1">
      <c r="A19" s="464">
        <v>10</v>
      </c>
      <c r="B19" s="490" t="str">
        <f t="array" aca="1" ref="B19" ca="1">+IFERROR(INDEX('011_BREST'!$C$15:$C$81,SMALL(IF(('011_BREST'!$R$15:$R$81&gt;0)*('011_BREST'!$R$15:$R$81&lt;4),ROW('011_BREST'!$R$15:$R$81)-14),ROWS($1:10))),"")</f>
        <v>Engineering</v>
      </c>
      <c r="C19" s="27"/>
      <c r="D19" s="491" t="str">
        <f t="array" aca="1" ref="D19" ca="1">+IFERROR(INDEX('011_BREST'!$D$15:$D$81,SMALL(IF(('011_BREST'!$R$15:$R$81&gt;0)*('011_BREST'!$R$15:$R$81&lt;4),ROW('011_BREST'!$R$15:$R$81)-14),ROWS($1:10))),"")</f>
        <v>DCN</v>
      </c>
      <c r="E19" s="27"/>
      <c r="F19" s="492">
        <f t="array" aca="1" ref="F19" ca="1">+IFERROR(INDEX('011_BREST'!$F$15:$F$81,SMALL(IF(('011_BREST'!$R$15:$R$81&gt;0)*('011_BREST'!$R$15:$R$81&lt;4),ROW('011_BREST'!$R$15:$R$81)-14),ROWS($1:10))),"")</f>
        <v>2419</v>
      </c>
      <c r="G19" s="27"/>
      <c r="H19" s="493" t="str">
        <f t="array" aca="1" ref="H19" ca="1">+IFERROR(INDEX('011_BREST'!$C$15:$C$81,SMALL(IF(('011_BREST'!$R$15:$R$81&gt;4)*('011_BREST'!$R$15:$R$81&lt;8),ROW('011_BREST'!$R$15:$R$81)-14),ROWS($1:10))),"")</f>
        <v/>
      </c>
      <c r="I19" s="27"/>
      <c r="J19" s="494" t="str">
        <f t="array" aca="1" ref="J19" ca="1">+IFERROR(INDEX('011_BREST'!$D$15:$D$81,SMALL(IF(('011_BREST'!$R$15:$R$81&gt;4)*('011_BREST'!$R$15:$R$81&lt;8),ROW('011_BREST'!$R$15:$R$81)-14),ROWS($1:10))),"")</f>
        <v/>
      </c>
      <c r="K19" s="27"/>
      <c r="L19" s="495" t="str">
        <f t="array" aca="1" ref="L19" ca="1">+IFERROR(INDEX('011_BREST'!$F$15:$F$81,SMALL(IF(('011_BREST'!$R$15:$R$81&gt;4)*('011_BREST'!$R$15:$R$81&lt;8),ROW('011_BREST'!$R$15:$R$81)-14),ROWS($1:10))),"")</f>
        <v/>
      </c>
      <c r="M19" s="27"/>
      <c r="N19" s="496" t="str">
        <f t="array" aca="1" ref="N19" ca="1">+IFERROR(INDEX('011_BREST'!$C$15:$C$81,SMALL(IF(('011_BREST'!$R$15:$R$81&gt;8)*('011_BREST'!$R$15:$R$81&lt;10),ROW('011_BREST'!$R$15:$R$81)-14),ROWS($1:10))),"")</f>
        <v/>
      </c>
      <c r="O19" s="27"/>
      <c r="P19" s="497" t="str">
        <f t="array" aca="1" ref="P19" ca="1">+IFERROR(INDEX('011_BREST'!$D$15:$D$81,SMALL(IF(('011_BREST'!$R$15:$R$81&gt;8)*('011_BREST'!$R$15:$R$81&lt;10),ROW('011_BREST'!$R$15:$R$81)-14),ROWS($1:10))),"")</f>
        <v/>
      </c>
      <c r="Q19" s="27"/>
      <c r="R19" s="498" t="str">
        <f t="array" aca="1" ref="R19" ca="1">+IFERROR(INDEX('011_BREST'!$F$15:$F$81,SMALL(IF(('011_BREST'!$R$15:$R$81&gt;8)*('011_BREST'!$R$15:$R$81&lt;10),ROW('011_BREST'!$R$15:$R$81)-14),ROWS($1:10))),"")</f>
        <v/>
      </c>
    </row>
    <row r="20" spans="1:18" s="29" customFormat="1" ht="16.149999999999999" customHeight="1">
      <c r="A20" s="464">
        <v>11</v>
      </c>
      <c r="B20" s="480" t="str">
        <f t="array" aca="1" ref="B20" ca="1">+IFERROR(INDEX('011_BREST'!$C$15:$C$81,SMALL(IF(('011_BREST'!$R$15:$R$81&gt;0)*('011_BREST'!$R$15:$R$81&lt;4),ROW('011_BREST'!$R$15:$R$81)-14),ROWS($1:11))),"")</f>
        <v>CARREFOUR</v>
      </c>
      <c r="C20" s="27"/>
      <c r="D20" s="481" t="str">
        <f t="array" aca="1" ref="D20" ca="1">+IFERROR(INDEX('011_BREST'!$D$15:$D$81,SMALL(IF(('011_BREST'!$R$15:$R$81&gt;0)*('011_BREST'!$R$15:$R$81&lt;4),ROW('011_BREST'!$R$15:$R$81)-14),ROWS($1:11))),"")</f>
        <v>DCN</v>
      </c>
      <c r="E20" s="27"/>
      <c r="F20" s="482">
        <f t="array" aca="1" ref="F20" ca="1">+IFERROR(INDEX('011_BREST'!$F$15:$F$81,SMALL(IF(('011_BREST'!$R$15:$R$81&gt;0)*('011_BREST'!$R$15:$R$81&lt;4),ROW('011_BREST'!$R$15:$R$81)-14),ROWS($1:11))),"")</f>
        <v>2214</v>
      </c>
      <c r="G20" s="27"/>
      <c r="H20" s="483" t="str">
        <f t="array" aca="1" ref="H20" ca="1">+IFERROR(INDEX('011_BREST'!$C$15:$C$81,SMALL(IF(('011_BREST'!$R$15:$R$81&gt;4)*('011_BREST'!$R$15:$R$81&lt;8),ROW('011_BREST'!$R$15:$R$81)-14),ROWS($1:11))),"")</f>
        <v/>
      </c>
      <c r="I20" s="27"/>
      <c r="J20" s="484" t="str">
        <f t="array" aca="1" ref="J20" ca="1">+IFERROR(INDEX('011_BREST'!$D$15:$D$81,SMALL(IF(('011_BREST'!$R$15:$R$81&gt;4)*('011_BREST'!$R$15:$R$81&lt;8),ROW('011_BREST'!$R$15:$R$81)-14),ROWS($1:11))),"")</f>
        <v/>
      </c>
      <c r="K20" s="27"/>
      <c r="L20" s="485" t="str">
        <f t="array" aca="1" ref="L20" ca="1">+IFERROR(INDEX('011_BREST'!$F$15:$F$81,SMALL(IF(('011_BREST'!$R$15:$R$81&gt;4)*('011_BREST'!$R$15:$R$81&lt;8),ROW('011_BREST'!$R$15:$R$81)-14),ROWS($1:11))),"")</f>
        <v/>
      </c>
      <c r="M20" s="27"/>
      <c r="N20" s="486" t="str">
        <f t="array" aca="1" ref="N20" ca="1">+IFERROR(INDEX('011_BREST'!$C$15:$C$81,SMALL(IF(('011_BREST'!$R$15:$R$81&gt;8)*('011_BREST'!$R$15:$R$81&lt;10),ROW('011_BREST'!$R$15:$R$81)-14),ROWS($1:11))),"")</f>
        <v/>
      </c>
      <c r="O20" s="27"/>
      <c r="P20" s="487" t="str">
        <f t="array" aca="1" ref="P20" ca="1">+IFERROR(INDEX('011_BREST'!$D$15:$D$81,SMALL(IF(('011_BREST'!$R$15:$R$81&gt;8)*('011_BREST'!$R$15:$R$81&lt;10),ROW('011_BREST'!$R$15:$R$81)-14),ROWS($1:11))),"")</f>
        <v/>
      </c>
      <c r="Q20" s="27"/>
      <c r="R20" s="488" t="str">
        <f t="array" aca="1" ref="R20" ca="1">+IFERROR(INDEX('011_BREST'!$F$15:$F$81,SMALL(IF(('011_BREST'!$R$15:$R$81&gt;8)*('011_BREST'!$R$15:$R$81&lt;10),ROW('011_BREST'!$R$15:$R$81)-14),ROWS($1:11))),"")</f>
        <v/>
      </c>
    </row>
    <row r="21" spans="1:18" s="29" customFormat="1" ht="16.149999999999999" customHeight="1">
      <c r="A21" s="464">
        <v>12</v>
      </c>
      <c r="B21" s="490" t="str">
        <f t="array" aca="1" ref="B21" ca="1">+IFERROR(INDEX('011_BREST'!$C$15:$C$81,SMALL(IF(('011_BREST'!$R$15:$R$81&gt;0)*('011_BREST'!$R$15:$R$81&lt;4),ROW('011_BREST'!$R$15:$R$81)-14),ROWS($1:12))),"")</f>
        <v/>
      </c>
      <c r="C21" s="27"/>
      <c r="D21" s="491" t="str">
        <f t="array" aca="1" ref="D21" ca="1">+IFERROR(INDEX('011_BREST'!$D$15:$D$81,SMALL(IF(('011_BREST'!$R$15:$R$81&gt;0)*('011_BREST'!$R$15:$R$81&lt;4),ROW('011_BREST'!$R$15:$R$81)-14),ROWS($1:12))),"")</f>
        <v/>
      </c>
      <c r="E21" s="27"/>
      <c r="F21" s="492" t="str">
        <f t="array" aca="1" ref="F21" ca="1">+IFERROR(INDEX('011_BREST'!$F$15:$F$81,SMALL(IF(('011_BREST'!$R$15:$R$81&gt;0)*('011_BREST'!$R$15:$R$81&lt;4),ROW('011_BREST'!$R$15:$R$81)-14),ROWS($1:12))),"")</f>
        <v/>
      </c>
      <c r="H21" s="493" t="str">
        <f t="array" aca="1" ref="H21" ca="1">+IFERROR(INDEX('011_BREST'!$C$15:$C$81,SMALL(IF(('011_BREST'!$R$15:$R$81&gt;4)*('011_BREST'!$R$15:$R$81&lt;8),ROW('011_BREST'!$R$15:$R$81)-14),ROWS($1:12))),"")</f>
        <v/>
      </c>
      <c r="I21" s="27"/>
      <c r="J21" s="494" t="str">
        <f t="array" aca="1" ref="J21" ca="1">+IFERROR(INDEX('011_BREST'!$D$15:$D$81,SMALL(IF(('011_BREST'!$R$15:$R$81&gt;4)*('011_BREST'!$R$15:$R$81&lt;8),ROW('011_BREST'!$R$15:$R$81)-14),ROWS($1:12))),"")</f>
        <v/>
      </c>
      <c r="K21" s="27"/>
      <c r="L21" s="495" t="str">
        <f t="array" aca="1" ref="L21" ca="1">+IFERROR(INDEX('011_BREST'!$F$15:$F$81,SMALL(IF(('011_BREST'!$R$15:$R$81&gt;4)*('011_BREST'!$R$15:$R$81&lt;8),ROW('011_BREST'!$R$15:$R$81)-14),ROWS($1:12))),"")</f>
        <v/>
      </c>
      <c r="N21" s="496" t="str">
        <f t="array" aca="1" ref="N21" ca="1">+IFERROR(INDEX('011_BREST'!$C$15:$C$81,SMALL(IF(('011_BREST'!$R$15:$R$81&gt;8)*('011_BREST'!$R$15:$R$81&lt;10),ROW('011_BREST'!$R$15:$R$81)-14),ROWS($1:12))),"")</f>
        <v/>
      </c>
      <c r="O21" s="27"/>
      <c r="P21" s="497" t="str">
        <f t="array" aca="1" ref="P21" ca="1">+IFERROR(INDEX('011_BREST'!$D$15:$D$81,SMALL(IF(('011_BREST'!$R$15:$R$81&gt;8)*('011_BREST'!$R$15:$R$81&lt;10),ROW('011_BREST'!$R$15:$R$81)-14),ROWS($1:12))),"")</f>
        <v/>
      </c>
      <c r="Q21" s="27"/>
      <c r="R21" s="498" t="str">
        <f t="array" aca="1" ref="R21" ca="1">+IFERROR(INDEX('011_BREST'!$F$15:$F$81,SMALL(IF(('011_BREST'!$R$15:$R$81&gt;8)*('011_BREST'!$R$15:$R$81&lt;10),ROW('011_BREST'!$R$15:$R$81)-14),ROWS($1:12))),"")</f>
        <v/>
      </c>
    </row>
    <row r="22" spans="1:18" s="29" customFormat="1" ht="16.149999999999999" customHeight="1">
      <c r="A22" s="464">
        <v>13</v>
      </c>
      <c r="B22" s="480" t="str">
        <f t="array" aca="1" ref="B22" ca="1">+IFERROR(INDEX('011_BREST'!$C$15:$C$81,SMALL(IF(('011_BREST'!$R$15:$R$81&gt;0)*('011_BREST'!$R$15:$R$81&lt;4),ROW('011_BREST'!$R$15:$R$81)-14),ROWS($1:13))),"")</f>
        <v/>
      </c>
      <c r="C22" s="27"/>
      <c r="D22" s="481" t="str">
        <f t="array" aca="1" ref="D22" ca="1">+IFERROR(INDEX('011_BREST'!$D$15:$D$81,SMALL(IF(('011_BREST'!$R$15:$R$81&gt;0)*('011_BREST'!$R$15:$R$81&lt;4),ROW('011_BREST'!$R$15:$R$81)-14),ROWS($1:13))),"")</f>
        <v/>
      </c>
      <c r="E22" s="27"/>
      <c r="F22" s="482" t="str">
        <f t="array" aca="1" ref="F22" ca="1">+IFERROR(INDEX('011_BREST'!$F$15:$F$81,SMALL(IF(('011_BREST'!$R$15:$R$81&gt;0)*('011_BREST'!$R$15:$R$81&lt;4),ROW('011_BREST'!$R$15:$R$81)-14),ROWS($1:13))),"")</f>
        <v/>
      </c>
      <c r="H22" s="483" t="str">
        <f t="array" aca="1" ref="H22" ca="1">+IFERROR(INDEX('011_BREST'!$C$15:$C$81,SMALL(IF(('011_BREST'!$R$15:$R$81&gt;4)*('011_BREST'!$R$15:$R$81&lt;8),ROW('011_BREST'!$R$15:$R$81)-14),ROWS($1:13))),"")</f>
        <v/>
      </c>
      <c r="I22" s="27"/>
      <c r="J22" s="484" t="str">
        <f t="array" aca="1" ref="J22" ca="1">+IFERROR(INDEX('011_BREST'!$D$15:$D$81,SMALL(IF(('011_BREST'!$R$15:$R$81&gt;4)*('011_BREST'!$R$15:$R$81&lt;8),ROW('011_BREST'!$R$15:$R$81)-14),ROWS($1:13))),"")</f>
        <v/>
      </c>
      <c r="K22" s="27"/>
      <c r="L22" s="485" t="str">
        <f t="array" aca="1" ref="L22" ca="1">+IFERROR(INDEX('011_BREST'!$F$15:$F$81,SMALL(IF(('011_BREST'!$R$15:$R$81&gt;4)*('011_BREST'!$R$15:$R$81&lt;8),ROW('011_BREST'!$R$15:$R$81)-14),ROWS($1:13))),"")</f>
        <v/>
      </c>
      <c r="N22" s="486" t="str">
        <f t="array" aca="1" ref="N22" ca="1">+IFERROR(INDEX('011_BREST'!$C$15:$C$81,SMALL(IF(('011_BREST'!$R$15:$R$81&gt;8)*('011_BREST'!$R$15:$R$81&lt;10),ROW('011_BREST'!$R$15:$R$81)-14),ROWS($1:13))),"")</f>
        <v/>
      </c>
      <c r="O22" s="27"/>
      <c r="P22" s="487" t="str">
        <f t="array" aca="1" ref="P22" ca="1">+IFERROR(INDEX('011_BREST'!$D$15:$D$81,SMALL(IF(('011_BREST'!$R$15:$R$81&gt;8)*('011_BREST'!$R$15:$R$81&lt;10),ROW('011_BREST'!$R$15:$R$81)-14),ROWS($1:13))),"")</f>
        <v/>
      </c>
      <c r="Q22" s="27"/>
      <c r="R22" s="488" t="str">
        <f t="array" aca="1" ref="R22" ca="1">+IFERROR(INDEX('011_BREST'!$F$15:$F$81,SMALL(IF(('011_BREST'!$R$15:$R$81&gt;8)*('011_BREST'!$R$15:$R$81&lt;10),ROW('011_BREST'!$R$15:$R$81)-14),ROWS($1:13))),"")</f>
        <v/>
      </c>
    </row>
    <row r="23" spans="1:18" s="29" customFormat="1" ht="16.149999999999999" customHeight="1">
      <c r="A23" s="464">
        <v>14</v>
      </c>
      <c r="B23" s="490" t="str">
        <f t="array" aca="1" ref="B23" ca="1">+IFERROR(INDEX('011_BREST'!$C$15:$C$81,SMALL(IF(('011_BREST'!$R$15:$R$81&gt;0)*('011_BREST'!$R$15:$R$81&lt;4),ROW('011_BREST'!$R$15:$R$81)-14),ROWS($1:14))),"")</f>
        <v/>
      </c>
      <c r="C23" s="27"/>
      <c r="D23" s="491" t="str">
        <f t="array" aca="1" ref="D23" ca="1">+IFERROR(INDEX('011_BREST'!$D$15:$D$81,SMALL(IF(('011_BREST'!$R$15:$R$81&gt;0)*('011_BREST'!$R$15:$R$81&lt;4),ROW('011_BREST'!$R$15:$R$81)-14),ROWS($1:14))),"")</f>
        <v/>
      </c>
      <c r="E23" s="27"/>
      <c r="F23" s="492" t="str">
        <f t="array" aca="1" ref="F23" ca="1">+IFERROR(INDEX('011_BREST'!$F$15:$F$81,SMALL(IF(('011_BREST'!$R$15:$R$81&gt;0)*('011_BREST'!$R$15:$R$81&lt;4),ROW('011_BREST'!$R$15:$R$81)-14),ROWS($1:14))),"")</f>
        <v/>
      </c>
      <c r="H23" s="493" t="str">
        <f t="array" aca="1" ref="H23" ca="1">+IFERROR(INDEX('011_BREST'!$C$15:$C$81,SMALL(IF(('011_BREST'!$R$15:$R$81&gt;4)*('011_BREST'!$R$15:$R$81&lt;8),ROW('011_BREST'!$R$15:$R$81)-14),ROWS($1:14))),"")</f>
        <v/>
      </c>
      <c r="I23" s="27"/>
      <c r="J23" s="494" t="str">
        <f t="array" aca="1" ref="J23" ca="1">+IFERROR(INDEX('011_BREST'!$D$15:$D$81,SMALL(IF(('011_BREST'!$R$15:$R$81&gt;4)*('011_BREST'!$R$15:$R$81&lt;8),ROW('011_BREST'!$R$15:$R$81)-14),ROWS($1:14))),"")</f>
        <v/>
      </c>
      <c r="K23" s="27"/>
      <c r="L23" s="495" t="str">
        <f t="array" aca="1" ref="L23" ca="1">+IFERROR(INDEX('011_BREST'!$F$15:$F$81,SMALL(IF(('011_BREST'!$R$15:$R$81&gt;4)*('011_BREST'!$R$15:$R$81&lt;8),ROW('011_BREST'!$R$15:$R$81)-14),ROWS($1:14))),"")</f>
        <v/>
      </c>
      <c r="N23" s="496" t="str">
        <f t="array" aca="1" ref="N23" ca="1">+IFERROR(INDEX('011_BREST'!$C$15:$C$81,SMALL(IF(('011_BREST'!$R$15:$R$81&gt;8)*('011_BREST'!$R$15:$R$81&lt;10),ROW('011_BREST'!$R$15:$R$81)-14),ROWS($1:14))),"")</f>
        <v/>
      </c>
      <c r="O23" s="27"/>
      <c r="P23" s="497" t="str">
        <f t="array" aca="1" ref="P23" ca="1">+IFERROR(INDEX('011_BREST'!$D$15:$D$81,SMALL(IF(('011_BREST'!$R$15:$R$81&gt;8)*('011_BREST'!$R$15:$R$81&lt;10),ROW('011_BREST'!$R$15:$R$81)-14),ROWS($1:14))),"")</f>
        <v/>
      </c>
      <c r="Q23" s="27"/>
      <c r="R23" s="498" t="str">
        <f t="array" aca="1" ref="R23" ca="1">+IFERROR(INDEX('011_BREST'!$F$15:$F$81,SMALL(IF(('011_BREST'!$R$15:$R$81&gt;8)*('011_BREST'!$R$15:$R$81&lt;10),ROW('011_BREST'!$R$15:$R$81)-14),ROWS($1:14))),"")</f>
        <v/>
      </c>
    </row>
    <row r="24" spans="1:18" s="29" customFormat="1" ht="16.149999999999999" customHeight="1">
      <c r="A24" s="464">
        <v>15</v>
      </c>
      <c r="B24" s="480" t="str">
        <f t="array" aca="1" ref="B24" ca="1">+IFERROR(INDEX('011_BREST'!$C$15:$C$81,SMALL(IF(('011_BREST'!$R$15:$R$81&gt;0)*('011_BREST'!$R$15:$R$81&lt;4),ROW('011_BREST'!$R$15:$R$81)-14),ROWS($1:15))),"")</f>
        <v/>
      </c>
      <c r="C24" s="27"/>
      <c r="D24" s="481" t="str">
        <f t="array" aca="1" ref="D24" ca="1">+IFERROR(INDEX('011_BREST'!$D$15:$D$81,SMALL(IF(('011_BREST'!$R$15:$R$81&gt;0)*('011_BREST'!$R$15:$R$81&lt;4),ROW('011_BREST'!$R$15:$R$81)-14),ROWS($1:15))),"")</f>
        <v/>
      </c>
      <c r="E24" s="27"/>
      <c r="F24" s="482" t="str">
        <f t="array" aca="1" ref="F24" ca="1">+IFERROR(INDEX('011_BREST'!$F$15:$F$81,SMALL(IF(('011_BREST'!$R$15:$R$81&gt;0)*('011_BREST'!$R$15:$R$81&lt;4),ROW('011_BREST'!$R$15:$R$81)-14),ROWS($1:15))),"")</f>
        <v/>
      </c>
      <c r="H24" s="483" t="str">
        <f t="array" aca="1" ref="H24" ca="1">+IFERROR(INDEX('011_BREST'!$C$15:$C$81,SMALL(IF(('011_BREST'!$R$15:$R$81&gt;4)*('011_BREST'!$R$15:$R$81&lt;8),ROW('011_BREST'!$R$15:$R$81)-14),ROWS($1:15))),"")</f>
        <v/>
      </c>
      <c r="I24" s="27"/>
      <c r="J24" s="484" t="str">
        <f t="array" aca="1" ref="J24" ca="1">+IFERROR(INDEX('011_BREST'!$D$15:$D$81,SMALL(IF(('011_BREST'!$R$15:$R$81&gt;4)*('011_BREST'!$R$15:$R$81&lt;8),ROW('011_BREST'!$R$15:$R$81)-14),ROWS($1:15))),"")</f>
        <v/>
      </c>
      <c r="K24" s="27"/>
      <c r="L24" s="485" t="str">
        <f t="array" aca="1" ref="L24" ca="1">+IFERROR(INDEX('011_BREST'!$F$15:$F$81,SMALL(IF(('011_BREST'!$R$15:$R$81&gt;4)*('011_BREST'!$R$15:$R$81&lt;8),ROW('011_BREST'!$R$15:$R$81)-14),ROWS($1:15))),"")</f>
        <v/>
      </c>
      <c r="N24" s="486" t="str">
        <f t="array" aca="1" ref="N24" ca="1">+IFERROR(INDEX('011_BREST'!$C$15:$C$81,SMALL(IF(('011_BREST'!$R$15:$R$81&gt;8)*('011_BREST'!$R$15:$R$81&lt;10),ROW('011_BREST'!$R$15:$R$81)-14),ROWS($1:15))),"")</f>
        <v/>
      </c>
      <c r="O24" s="27"/>
      <c r="P24" s="487" t="str">
        <f t="array" aca="1" ref="P24" ca="1">+IFERROR(INDEX('011_BREST'!$D$15:$D$81,SMALL(IF(('011_BREST'!$R$15:$R$81&gt;8)*('011_BREST'!$R$15:$R$81&lt;10),ROW('011_BREST'!$R$15:$R$81)-14),ROWS($1:15))),"")</f>
        <v/>
      </c>
      <c r="Q24" s="27"/>
      <c r="R24" s="488" t="str">
        <f t="array" aca="1" ref="R24" ca="1">+IFERROR(INDEX('011_BREST'!$F$15:$F$81,SMALL(IF(('011_BREST'!$R$15:$R$81&gt;8)*('011_BREST'!$R$15:$R$81&lt;10),ROW('011_BREST'!$R$15:$R$81)-14),ROWS($1:15))),"")</f>
        <v/>
      </c>
    </row>
    <row r="25" spans="1:18" s="29" customFormat="1" ht="16.350000000000001" customHeight="1">
      <c r="A25" s="464">
        <v>16</v>
      </c>
      <c r="B25" s="490" t="str">
        <f t="array" aca="1" ref="B25" ca="1">+IFERROR(INDEX('011_BREST'!$C$15:$C$81,SMALL(IF(('011_BREST'!$R$15:$R$81&gt;0)*('011_BREST'!$R$15:$R$81&lt;4),ROW('011_BREST'!$R$15:$R$81)-14),ROWS($1:16))),"")</f>
        <v/>
      </c>
      <c r="C25" s="27"/>
      <c r="D25" s="491" t="str">
        <f t="array" aca="1" ref="D25" ca="1">+IFERROR(INDEX('011_BREST'!$D$15:$D$81,SMALL(IF(('011_BREST'!$R$15:$R$81&gt;0)*('011_BREST'!$R$15:$R$81&lt;4),ROW('011_BREST'!$R$15:$R$81)-14),ROWS($1:16))),"")</f>
        <v/>
      </c>
      <c r="E25" s="27"/>
      <c r="F25" s="492" t="str">
        <f t="array" aca="1" ref="F25" ca="1">+IFERROR(INDEX('011_BREST'!$F$15:$F$81,SMALL(IF(('011_BREST'!$R$15:$R$81&gt;0)*('011_BREST'!$R$15:$R$81&lt;4),ROW('011_BREST'!$R$15:$R$81)-14),ROWS($1:16))),"")</f>
        <v/>
      </c>
      <c r="G25" s="27"/>
      <c r="H25" s="493" t="str">
        <f t="array" aca="1" ref="H25" ca="1">+IFERROR(INDEX('011_BREST'!$C$15:$C$81,SMALL(IF(('011_BREST'!$R$15:$R$81&gt;4)*('011_BREST'!$R$15:$R$81&lt;8),ROW('011_BREST'!$R$15:$R$81)-14),ROWS($1:16))),"")</f>
        <v/>
      </c>
      <c r="I25" s="27"/>
      <c r="J25" s="494" t="str">
        <f t="array" aca="1" ref="J25" ca="1">+IFERROR(INDEX('011_BREST'!$D$15:$D$81,SMALL(IF(('011_BREST'!$R$15:$R$81&gt;4)*('011_BREST'!$R$15:$R$81&lt;8),ROW('011_BREST'!$R$15:$R$81)-14),ROWS($1:16))),"")</f>
        <v/>
      </c>
      <c r="K25" s="27"/>
      <c r="L25" s="495" t="str">
        <f t="array" aca="1" ref="L25" ca="1">+IFERROR(INDEX('011_BREST'!$F$15:$F$81,SMALL(IF(('011_BREST'!$R$15:$R$81&gt;4)*('011_BREST'!$R$15:$R$81&lt;8),ROW('011_BREST'!$R$15:$R$81)-14),ROWS($1:16))),"")</f>
        <v/>
      </c>
      <c r="M25" s="27"/>
      <c r="N25" s="496" t="str">
        <f t="array" aca="1" ref="N25" ca="1">+IFERROR(INDEX('011_BREST'!$C$15:$C$81,SMALL(IF(('011_BREST'!$R$15:$R$81&gt;8)*('011_BREST'!$R$15:$R$81&lt;10),ROW('011_BREST'!$R$15:$R$81)-14),ROWS($1:16))),"")</f>
        <v/>
      </c>
      <c r="O25" s="27"/>
      <c r="P25" s="497" t="str">
        <f t="array" aca="1" ref="P25" ca="1">+IFERROR(INDEX('011_BREST'!$D$15:$D$81,SMALL(IF(('011_BREST'!$R$15:$R$81&gt;8)*('011_BREST'!$R$15:$R$81&lt;10),ROW('011_BREST'!$R$15:$R$81)-14),ROWS($1:16))),"")</f>
        <v/>
      </c>
      <c r="Q25" s="27"/>
      <c r="R25" s="498" t="str">
        <f t="array" aca="1" ref="R25" ca="1">+IFERROR(INDEX('011_BREST'!$F$15:$F$81,SMALL(IF(('011_BREST'!$R$15:$R$81&gt;8)*('011_BREST'!$R$15:$R$81&lt;10),ROW('011_BREST'!$R$15:$R$81)-14),ROWS($1:16))),"")</f>
        <v/>
      </c>
    </row>
    <row r="26" spans="1:18" s="29" customFormat="1" ht="16.149999999999999" customHeight="1">
      <c r="A26" s="464">
        <v>17</v>
      </c>
      <c r="B26" s="480" t="str">
        <f t="array" aca="1" ref="B26" ca="1">+IFERROR(INDEX('011_BREST'!$C$15:$C$81,SMALL(IF(('011_BREST'!$R$15:$R$81&gt;0)*('011_BREST'!$R$15:$R$81&lt;4),ROW('011_BREST'!$R$15:$R$81)-14),ROWS($1:17))),"")</f>
        <v/>
      </c>
      <c r="C26" s="27"/>
      <c r="D26" s="481" t="str">
        <f t="array" aca="1" ref="D26" ca="1">+IFERROR(INDEX('011_BREST'!$D$15:$D$81,SMALL(IF(('011_BREST'!$R$15:$R$81&gt;0)*('011_BREST'!$R$15:$R$81&lt;4),ROW('011_BREST'!$R$15:$R$81)-14),ROWS($1:17))),"")</f>
        <v/>
      </c>
      <c r="E26" s="27"/>
      <c r="F26" s="482" t="str">
        <f t="array" aca="1" ref="F26" ca="1">+IFERROR(INDEX('011_BREST'!$F$15:$F$81,SMALL(IF(('011_BREST'!$R$15:$R$81&gt;0)*('011_BREST'!$R$15:$R$81&lt;4),ROW('011_BREST'!$R$15:$R$81)-14),ROWS($1:17))),"")</f>
        <v/>
      </c>
      <c r="G26" s="27"/>
      <c r="H26" s="483" t="str">
        <f t="array" aca="1" ref="H26" ca="1">+IFERROR(INDEX('011_BREST'!$C$15:$C$81,SMALL(IF(('011_BREST'!$R$15:$R$81&gt;4)*('011_BREST'!$R$15:$R$81&lt;8),ROW('011_BREST'!$R$15:$R$81)-14),ROWS($1:17))),"")</f>
        <v/>
      </c>
      <c r="I26" s="27"/>
      <c r="J26" s="484" t="str">
        <f t="array" aca="1" ref="J26" ca="1">+IFERROR(INDEX('011_BREST'!$D$15:$D$81,SMALL(IF(('011_BREST'!$R$15:$R$81&gt;4)*('011_BREST'!$R$15:$R$81&lt;8),ROW('011_BREST'!$R$15:$R$81)-14),ROWS($1:17))),"")</f>
        <v/>
      </c>
      <c r="K26" s="27"/>
      <c r="L26" s="485" t="str">
        <f t="array" aca="1" ref="L26" ca="1">+IFERROR(INDEX('011_BREST'!$F$15:$F$81,SMALL(IF(('011_BREST'!$R$15:$R$81&gt;4)*('011_BREST'!$R$15:$R$81&lt;8),ROW('011_BREST'!$R$15:$R$81)-14),ROWS($1:17))),"")</f>
        <v/>
      </c>
      <c r="M26" s="27"/>
      <c r="N26" s="486" t="str">
        <f t="array" aca="1" ref="N26" ca="1">+IFERROR(INDEX('011_BREST'!$C$15:$C$81,SMALL(IF(('011_BREST'!$R$15:$R$81&gt;8)*('011_BREST'!$R$15:$R$81&lt;10),ROW('011_BREST'!$R$15:$R$81)-14),ROWS($1:17))),"")</f>
        <v/>
      </c>
      <c r="O26" s="27"/>
      <c r="P26" s="487" t="str">
        <f t="array" aca="1" ref="P26" ca="1">+IFERROR(INDEX('011_BREST'!$D$15:$D$81,SMALL(IF(('011_BREST'!$R$15:$R$81&gt;8)*('011_BREST'!$R$15:$R$81&lt;10),ROW('011_BREST'!$R$15:$R$81)-14),ROWS($1:17))),"")</f>
        <v/>
      </c>
      <c r="Q26" s="27"/>
      <c r="R26" s="488" t="str">
        <f t="array" aca="1" ref="R26" ca="1">+IFERROR(INDEX('011_BREST'!$F$15:$F$81,SMALL(IF(('011_BREST'!$R$15:$R$81&gt;8)*('011_BREST'!$R$15:$R$81&lt;10),ROW('011_BREST'!$R$15:$R$81)-14),ROWS($1:17))),"")</f>
        <v/>
      </c>
    </row>
    <row r="27" spans="1:18" s="29" customFormat="1" ht="16.149999999999999" customHeight="1">
      <c r="A27" s="464">
        <v>18</v>
      </c>
      <c r="B27" s="490" t="str">
        <f t="array" aca="1" ref="B27" ca="1">+IFERROR(INDEX('011_BREST'!$C$15:$C$81,SMALL(IF(('011_BREST'!$R$15:$R$81&gt;0)*('011_BREST'!$R$15:$R$81&lt;4),ROW('011_BREST'!$R$15:$R$81)-14),ROWS($1:18))),"")</f>
        <v/>
      </c>
      <c r="C27" s="27"/>
      <c r="D27" s="491" t="str">
        <f t="array" aca="1" ref="D27" ca="1">+IFERROR(INDEX('011_BREST'!$D$15:$D$81,SMALL(IF(('011_BREST'!$R$15:$R$81&gt;0)*('011_BREST'!$R$15:$R$81&lt;4),ROW('011_BREST'!$R$15:$R$81)-14),ROWS($1:18))),"")</f>
        <v/>
      </c>
      <c r="E27" s="27"/>
      <c r="F27" s="492" t="str">
        <f t="array" aca="1" ref="F27" ca="1">+IFERROR(INDEX('011_BREST'!$F$15:$F$81,SMALL(IF(('011_BREST'!$R$15:$R$81&gt;0)*('011_BREST'!$R$15:$R$81&lt;4),ROW('011_BREST'!$R$15:$R$81)-14),ROWS($1:18))),"")</f>
        <v/>
      </c>
      <c r="G27" s="27"/>
      <c r="H27" s="493" t="str">
        <f t="array" aca="1" ref="H27" ca="1">+IFERROR(INDEX('011_BREST'!$C$15:$C$81,SMALL(IF(('011_BREST'!$R$15:$R$81&gt;4)*('011_BREST'!$R$15:$R$81&lt;8),ROW('011_BREST'!$R$15:$R$81)-14),ROWS($1:18))),"")</f>
        <v/>
      </c>
      <c r="I27" s="27"/>
      <c r="J27" s="494" t="str">
        <f t="array" aca="1" ref="J27" ca="1">+IFERROR(INDEX('011_BREST'!$D$15:$D$81,SMALL(IF(('011_BREST'!$R$15:$R$81&gt;4)*('011_BREST'!$R$15:$R$81&lt;8),ROW('011_BREST'!$R$15:$R$81)-14),ROWS($1:18))),"")</f>
        <v/>
      </c>
      <c r="K27" s="27"/>
      <c r="L27" s="495" t="str">
        <f t="array" aca="1" ref="L27" ca="1">+IFERROR(INDEX('011_BREST'!$F$15:$F$81,SMALL(IF(('011_BREST'!$R$15:$R$81&gt;4)*('011_BREST'!$R$15:$R$81&lt;8),ROW('011_BREST'!$R$15:$R$81)-14),ROWS($1:18))),"")</f>
        <v/>
      </c>
      <c r="M27" s="27"/>
      <c r="N27" s="496" t="str">
        <f t="array" aca="1" ref="N27" ca="1">+IFERROR(INDEX('011_BREST'!$C$15:$C$81,SMALL(IF(('011_BREST'!$R$15:$R$81&gt;8)*('011_BREST'!$R$15:$R$81&lt;10),ROW('011_BREST'!$R$15:$R$81)-14),ROWS($1:18))),"")</f>
        <v/>
      </c>
      <c r="O27" s="27"/>
      <c r="P27" s="497" t="str">
        <f t="array" aca="1" ref="P27" ca="1">+IFERROR(INDEX('011_BREST'!$D$15:$D$81,SMALL(IF(('011_BREST'!$R$15:$R$81&gt;8)*('011_BREST'!$R$15:$R$81&lt;10),ROW('011_BREST'!$R$15:$R$81)-14),ROWS($1:18))),"")</f>
        <v/>
      </c>
      <c r="Q27" s="27"/>
      <c r="R27" s="498" t="str">
        <f t="array" aca="1" ref="R27" ca="1">+IFERROR(INDEX('011_BREST'!$F$15:$F$81,SMALL(IF(('011_BREST'!$R$15:$R$81&gt;8)*('011_BREST'!$R$15:$R$81&lt;10),ROW('011_BREST'!$R$15:$R$81)-14),ROWS($1:18))),"")</f>
        <v/>
      </c>
    </row>
    <row r="28" spans="1:18" s="29" customFormat="1" ht="16.149999999999999" customHeight="1">
      <c r="A28" s="464">
        <v>19</v>
      </c>
      <c r="B28" s="480" t="str">
        <f t="array" aca="1" ref="B28" ca="1">+IFERROR(INDEX('011_BREST'!$C$15:$C$81,SMALL(IF(('011_BREST'!$R$15:$R$81&gt;0)*('011_BREST'!$R$15:$R$81&lt;4),ROW('011_BREST'!$R$15:$R$81)-14),ROWS($1:19))),"")</f>
        <v/>
      </c>
      <c r="C28" s="27"/>
      <c r="D28" s="481" t="str">
        <f t="array" aca="1" ref="D28" ca="1">+IFERROR(INDEX('011_BREST'!$D$15:$D$81,SMALL(IF(('011_BREST'!$R$15:$R$81&gt;0)*('011_BREST'!$R$15:$R$81&lt;4),ROW('011_BREST'!$R$15:$R$81)-14),ROWS($1:19))),"")</f>
        <v/>
      </c>
      <c r="E28" s="27"/>
      <c r="F28" s="482" t="str">
        <f t="array" aca="1" ref="F28" ca="1">+IFERROR(INDEX('011_BREST'!$F$15:$F$81,SMALL(IF(('011_BREST'!$R$15:$R$81&gt;0)*('011_BREST'!$R$15:$R$81&lt;4),ROW('011_BREST'!$R$15:$R$81)-14),ROWS($1:19))),"")</f>
        <v/>
      </c>
      <c r="G28" s="27"/>
      <c r="H28" s="483" t="str">
        <f t="array" aca="1" ref="H28" ca="1">+IFERROR(INDEX('011_BREST'!$C$15:$C$81,SMALL(IF(('011_BREST'!$R$15:$R$81&gt;4)*('011_BREST'!$R$15:$R$81&lt;8),ROW('011_BREST'!$R$15:$R$81)-14),ROWS($1:19))),"")</f>
        <v/>
      </c>
      <c r="I28" s="27"/>
      <c r="J28" s="484" t="str">
        <f t="array" aca="1" ref="J28" ca="1">+IFERROR(INDEX('011_BREST'!$D$15:$D$81,SMALL(IF(('011_BREST'!$R$15:$R$81&gt;4)*('011_BREST'!$R$15:$R$81&lt;8),ROW('011_BREST'!$R$15:$R$81)-14),ROWS($1:19))),"")</f>
        <v/>
      </c>
      <c r="K28" s="27"/>
      <c r="L28" s="485" t="str">
        <f t="array" aca="1" ref="L28" ca="1">+IFERROR(INDEX('011_BREST'!$F$15:$F$81,SMALL(IF(('011_BREST'!$R$15:$R$81&gt;4)*('011_BREST'!$R$15:$R$81&lt;8),ROW('011_BREST'!$R$15:$R$81)-14),ROWS($1:19))),"")</f>
        <v/>
      </c>
      <c r="M28" s="27"/>
      <c r="N28" s="486" t="str">
        <f t="array" aca="1" ref="N28" ca="1">+IFERROR(INDEX('011_BREST'!$C$15:$C$81,SMALL(IF(('011_BREST'!$R$15:$R$81&gt;8)*('011_BREST'!$R$15:$R$81&lt;10),ROW('011_BREST'!$R$15:$R$81)-14),ROWS($1:19))),"")</f>
        <v/>
      </c>
      <c r="O28" s="27"/>
      <c r="P28" s="487" t="str">
        <f t="array" aca="1" ref="P28" ca="1">+IFERROR(INDEX('011_BREST'!$D$15:$D$81,SMALL(IF(('011_BREST'!$R$15:$R$81&gt;8)*('011_BREST'!$R$15:$R$81&lt;10),ROW('011_BREST'!$R$15:$R$81)-14),ROWS($1:19))),"")</f>
        <v/>
      </c>
      <c r="Q28" s="27"/>
      <c r="R28" s="488" t="str">
        <f t="array" aca="1" ref="R28" ca="1">+IFERROR(INDEX('011_BREST'!$F$15:$F$81,SMALL(IF(('011_BREST'!$R$15:$R$81&gt;8)*('011_BREST'!$R$15:$R$81&lt;10),ROW('011_BREST'!$R$15:$R$81)-14),ROWS($1:19))),"")</f>
        <v/>
      </c>
    </row>
    <row r="29" spans="1:18" s="29" customFormat="1" ht="16.149999999999999" customHeight="1">
      <c r="A29" s="464">
        <v>20</v>
      </c>
      <c r="B29" s="490" t="str">
        <f t="array" aca="1" ref="B29" ca="1">+IFERROR(INDEX('011_BREST'!$C$15:$C$81,SMALL(IF(('011_BREST'!$R$15:$R$81&gt;0)*('011_BREST'!$R$15:$R$81&lt;4),ROW('011_BREST'!$R$15:$R$81)-14),ROWS($1:20))),"")</f>
        <v/>
      </c>
      <c r="C29" s="27"/>
      <c r="D29" s="491" t="str">
        <f t="array" aca="1" ref="D29" ca="1">+IFERROR(INDEX('011_BREST'!$D$15:$D$81,SMALL(IF(('011_BREST'!$R$15:$R$81&gt;0)*('011_BREST'!$R$15:$R$81&lt;4),ROW('011_BREST'!$R$15:$R$81)-14),ROWS($1:20))),"")</f>
        <v/>
      </c>
      <c r="E29" s="27"/>
      <c r="F29" s="492" t="str">
        <f t="array" aca="1" ref="F29" ca="1">+IFERROR(INDEX('011_BREST'!$F$15:$F$81,SMALL(IF(('011_BREST'!$R$15:$R$81&gt;0)*('011_BREST'!$R$15:$R$81&lt;4),ROW('011_BREST'!$R$15:$R$81)-14),ROWS($1:20))),"")</f>
        <v/>
      </c>
      <c r="G29" s="27"/>
      <c r="H29" s="493" t="str">
        <f t="array" aca="1" ref="H29" ca="1">+IFERROR(INDEX('011_BREST'!$C$15:$C$81,SMALL(IF(('011_BREST'!$R$15:$R$81&gt;4)*('011_BREST'!$R$15:$R$81&lt;8),ROW('011_BREST'!$R$15:$R$81)-14),ROWS($1:20))),"")</f>
        <v/>
      </c>
      <c r="I29" s="27"/>
      <c r="J29" s="494" t="str">
        <f t="array" aca="1" ref="J29" ca="1">+IFERROR(INDEX('011_BREST'!$D$15:$D$81,SMALL(IF(('011_BREST'!$R$15:$R$81&gt;4)*('011_BREST'!$R$15:$R$81&lt;8),ROW('011_BREST'!$R$15:$R$81)-14),ROWS($1:20))),"")</f>
        <v/>
      </c>
      <c r="K29" s="27"/>
      <c r="L29" s="495" t="str">
        <f t="array" aca="1" ref="L29" ca="1">+IFERROR(INDEX('011_BREST'!$F$15:$F$81,SMALL(IF(('011_BREST'!$R$15:$R$81&gt;4)*('011_BREST'!$R$15:$R$81&lt;8),ROW('011_BREST'!$R$15:$R$81)-14),ROWS($1:20))),"")</f>
        <v/>
      </c>
      <c r="M29" s="27"/>
      <c r="N29" s="496" t="str">
        <f t="array" aca="1" ref="N29" ca="1">+IFERROR(INDEX('011_BREST'!$C$15:$C$81,SMALL(IF(('011_BREST'!$R$15:$R$81&gt;8)*('011_BREST'!$R$15:$R$81&lt;10),ROW('011_BREST'!$R$15:$R$81)-14),ROWS($1:20))),"")</f>
        <v/>
      </c>
      <c r="O29" s="27"/>
      <c r="P29" s="497" t="str">
        <f t="array" aca="1" ref="P29" ca="1">+IFERROR(INDEX('011_BREST'!$D$15:$D$81,SMALL(IF(('011_BREST'!$R$15:$R$81&gt;8)*('011_BREST'!$R$15:$R$81&lt;10),ROW('011_BREST'!$R$15:$R$81)-14),ROWS($1:20))),"")</f>
        <v/>
      </c>
      <c r="Q29" s="27"/>
      <c r="R29" s="498" t="str">
        <f t="array" aca="1" ref="R29" ca="1">+IFERROR(INDEX('011_BREST'!$F$15:$F$81,SMALL(IF(('011_BREST'!$R$15:$R$81&gt;8)*('011_BREST'!$R$15:$R$81&lt;10),ROW('011_BREST'!$R$15:$R$81)-14),ROWS($1:20))),"")</f>
        <v/>
      </c>
    </row>
    <row r="30" spans="1:18">
      <c r="A30" s="464">
        <v>21</v>
      </c>
      <c r="B30" s="480" t="str">
        <f t="array" aca="1" ref="B30" ca="1">+IFERROR(INDEX('011_BREST'!$C$15:$C$81,SMALL(IF(('011_BREST'!$R$15:$R$81&gt;0)*('011_BREST'!$R$15:$R$81&lt;4),ROW('011_BREST'!$R$15:$R$81)-14),ROWS($1:21))),"")</f>
        <v/>
      </c>
      <c r="C30" s="27"/>
      <c r="D30" s="481" t="str">
        <f t="array" aca="1" ref="D30" ca="1">+IFERROR(INDEX('011_BREST'!$D$15:$D$81,SMALL(IF(('011_BREST'!$R$15:$R$81&gt;0)*('011_BREST'!$R$15:$R$81&lt;4),ROW('011_BREST'!$R$15:$R$81)-14),ROWS($1:21))),"")</f>
        <v/>
      </c>
      <c r="E30" s="27"/>
      <c r="F30" s="482" t="str">
        <f t="array" aca="1" ref="F30" ca="1">+IFERROR(INDEX('011_BREST'!$F$15:$F$81,SMALL(IF(('011_BREST'!$R$15:$R$81&gt;0)*('011_BREST'!$R$15:$R$81&lt;4),ROW('011_BREST'!$R$15:$R$81)-14),ROWS($1:21))),"")</f>
        <v/>
      </c>
      <c r="G30" s="27"/>
      <c r="H30" s="483" t="str">
        <f t="array" aca="1" ref="H30" ca="1">+IFERROR(INDEX('011_BREST'!$C$15:$C$81,SMALL(IF(('011_BREST'!$R$15:$R$81&gt;4)*('011_BREST'!$R$15:$R$81&lt;8),ROW('011_BREST'!$R$15:$R$81)-14),ROWS($1:21))),"")</f>
        <v/>
      </c>
      <c r="I30" s="27"/>
      <c r="J30" s="484" t="str">
        <f t="array" aca="1" ref="J30" ca="1">+IFERROR(INDEX('011_BREST'!$D$15:$D$81,SMALL(IF(('011_BREST'!$R$15:$R$81&gt;4)*('011_BREST'!$R$15:$R$81&lt;8),ROW('011_BREST'!$R$15:$R$81)-14),ROWS($1:21))),"")</f>
        <v/>
      </c>
      <c r="K30" s="27"/>
      <c r="L30" s="485" t="str">
        <f t="array" aca="1" ref="L30" ca="1">+IFERROR(INDEX('011_BREST'!$F$15:$F$81,SMALL(IF(('011_BREST'!$R$15:$R$81&gt;4)*('011_BREST'!$R$15:$R$81&lt;8),ROW('011_BREST'!$R$15:$R$81)-14),ROWS($1:21))),"")</f>
        <v/>
      </c>
      <c r="M30" s="27"/>
      <c r="N30" s="486" t="str">
        <f t="array" aca="1" ref="N30" ca="1">+IFERROR(INDEX('011_BREST'!$C$15:$C$81,SMALL(IF(('011_BREST'!$R$15:$R$81&gt;8)*('011_BREST'!$R$15:$R$81&lt;10),ROW('011_BREST'!$R$15:$R$81)-14),ROWS($1:21))),"")</f>
        <v/>
      </c>
      <c r="O30" s="27"/>
      <c r="P30" s="487" t="str">
        <f t="array" aca="1" ref="P30" ca="1">+IFERROR(INDEX('011_BREST'!$D$15:$D$81,SMALL(IF(('011_BREST'!$R$15:$R$81&gt;8)*('011_BREST'!$R$15:$R$81&lt;10),ROW('011_BREST'!$R$15:$R$81)-14),ROWS($1:21))),"")</f>
        <v/>
      </c>
      <c r="Q30" s="27"/>
      <c r="R30" s="488" t="str">
        <f t="array" aca="1" ref="R30" ca="1">+IFERROR(INDEX('011_BREST'!$F$15:$F$81,SMALL(IF(('011_BREST'!$R$15:$R$81&gt;8)*('011_BREST'!$R$15:$R$81&lt;10),ROW('011_BREST'!$R$15:$R$81)-14),ROWS($1:21))),"")</f>
        <v/>
      </c>
    </row>
    <row r="31" spans="1:18">
      <c r="A31" s="464">
        <v>22</v>
      </c>
      <c r="B31" s="490" t="str">
        <f t="array" aca="1" ref="B31" ca="1">+IFERROR(INDEX('011_BREST'!$C$15:$C$81,SMALL(IF(('011_BREST'!$R$15:$R$81&gt;0)*('011_BREST'!$R$15:$R$81&lt;4),ROW('011_BREST'!$R$15:$R$81)-14),ROWS($1:22))),"")</f>
        <v/>
      </c>
      <c r="C31" s="27"/>
      <c r="D31" s="491" t="str">
        <f t="array" aca="1" ref="D31" ca="1">+IFERROR(INDEX('011_BREST'!$D$15:$D$81,SMALL(IF(('011_BREST'!$R$15:$R$81&gt;0)*('011_BREST'!$R$15:$R$81&lt;4),ROW('011_BREST'!$R$15:$R$81)-14),ROWS($1:22))),"")</f>
        <v/>
      </c>
      <c r="E31" s="27"/>
      <c r="F31" s="492" t="str">
        <f t="array" aca="1" ref="F31" ca="1">+IFERROR(INDEX('011_BREST'!$F$15:$F$81,SMALL(IF(('011_BREST'!$R$15:$R$81&gt;0)*('011_BREST'!$R$15:$R$81&lt;4),ROW('011_BREST'!$R$15:$R$81)-14),ROWS($1:22))),"")</f>
        <v/>
      </c>
      <c r="G31" s="27"/>
      <c r="H31" s="493" t="str">
        <f t="array" aca="1" ref="H31" ca="1">+IFERROR(INDEX('011_BREST'!$C$15:$C$81,SMALL(IF(('011_BREST'!$R$15:$R$81&gt;4)*('011_BREST'!$R$15:$R$81&lt;8),ROW('011_BREST'!$R$15:$R$81)-14),ROWS($1:22))),"")</f>
        <v/>
      </c>
      <c r="I31" s="27"/>
      <c r="J31" s="494" t="str">
        <f t="array" aca="1" ref="J31" ca="1">+IFERROR(INDEX('011_BREST'!$D$15:$D$81,SMALL(IF(('011_BREST'!$R$15:$R$81&gt;4)*('011_BREST'!$R$15:$R$81&lt;8),ROW('011_BREST'!$R$15:$R$81)-14),ROWS($1:22))),"")</f>
        <v/>
      </c>
      <c r="K31" s="27"/>
      <c r="L31" s="495" t="str">
        <f t="array" aca="1" ref="L31" ca="1">+IFERROR(INDEX('011_BREST'!$F$15:$F$81,SMALL(IF(('011_BREST'!$R$15:$R$81&gt;4)*('011_BREST'!$R$15:$R$81&lt;8),ROW('011_BREST'!$R$15:$R$81)-14),ROWS($1:22))),"")</f>
        <v/>
      </c>
      <c r="M31" s="27"/>
      <c r="N31" s="496" t="str">
        <f t="array" aca="1" ref="N31" ca="1">+IFERROR(INDEX('011_BREST'!$C$15:$C$81,SMALL(IF(('011_BREST'!$R$15:$R$81&gt;8)*('011_BREST'!$R$15:$R$81&lt;10),ROW('011_BREST'!$R$15:$R$81)-14),ROWS($1:22))),"")</f>
        <v/>
      </c>
      <c r="O31" s="27"/>
      <c r="P31" s="497" t="str">
        <f t="array" aca="1" ref="P31" ca="1">+IFERROR(INDEX('011_BREST'!$D$15:$D$81,SMALL(IF(('011_BREST'!$R$15:$R$81&gt;8)*('011_BREST'!$R$15:$R$81&lt;10),ROW('011_BREST'!$R$15:$R$81)-14),ROWS($1:22))),"")</f>
        <v/>
      </c>
      <c r="Q31" s="27"/>
      <c r="R31" s="498" t="str">
        <f t="array" aca="1" ref="R31" ca="1">+IFERROR(INDEX('011_BREST'!$F$15:$F$81,SMALL(IF(('011_BREST'!$R$15:$R$81&gt;8)*('011_BREST'!$R$15:$R$81&lt;10),ROW('011_BREST'!$R$15:$R$81)-14),ROWS($1:22))),"")</f>
        <v/>
      </c>
    </row>
    <row r="32" spans="1:18">
      <c r="A32" s="464">
        <v>23</v>
      </c>
      <c r="B32" s="480" t="str">
        <f t="array" aca="1" ref="B32" ca="1">+IFERROR(INDEX('011_BREST'!$C$15:$C$81,SMALL(IF(('011_BREST'!$R$15:$R$81&gt;0)*('011_BREST'!$R$15:$R$81&lt;4),ROW('011_BREST'!$R$15:$R$81)-14),ROWS($1:23))),"")</f>
        <v/>
      </c>
      <c r="C32" s="27"/>
      <c r="D32" s="481" t="str">
        <f t="array" aca="1" ref="D32" ca="1">+IFERROR(INDEX('011_BREST'!$D$15:$D$81,SMALL(IF(('011_BREST'!$R$15:$R$81&gt;0)*('011_BREST'!$R$15:$R$81&lt;4),ROW('011_BREST'!$R$15:$R$81)-14),ROWS($1:23))),"")</f>
        <v/>
      </c>
      <c r="E32" s="27"/>
      <c r="F32" s="482" t="str">
        <f t="array" aca="1" ref="F32" ca="1">+IFERROR(INDEX('011_BREST'!$F$15:$F$81,SMALL(IF(('011_BREST'!$R$15:$R$81&gt;0)*('011_BREST'!$R$15:$R$81&lt;4),ROW('011_BREST'!$R$15:$R$81)-14),ROWS($1:23))),"")</f>
        <v/>
      </c>
      <c r="G32" s="27"/>
      <c r="H32" s="483" t="str">
        <f t="array" aca="1" ref="H32" ca="1">+IFERROR(INDEX('011_BREST'!$C$15:$C$81,SMALL(IF(('011_BREST'!$R$15:$R$81&gt;4)*('011_BREST'!$R$15:$R$81&lt;8),ROW('011_BREST'!$R$15:$R$81)-14),ROWS($1:23))),"")</f>
        <v/>
      </c>
      <c r="I32" s="27"/>
      <c r="J32" s="484" t="str">
        <f t="array" aca="1" ref="J32" ca="1">+IFERROR(INDEX('011_BREST'!$D$15:$D$81,SMALL(IF(('011_BREST'!$R$15:$R$81&gt;4)*('011_BREST'!$R$15:$R$81&lt;8),ROW('011_BREST'!$R$15:$R$81)-14),ROWS($1:23))),"")</f>
        <v/>
      </c>
      <c r="K32" s="27"/>
      <c r="L32" s="485" t="str">
        <f t="array" aca="1" ref="L32" ca="1">+IFERROR(INDEX('011_BREST'!$F$15:$F$81,SMALL(IF(('011_BREST'!$R$15:$R$81&gt;4)*('011_BREST'!$R$15:$R$81&lt;8),ROW('011_BREST'!$R$15:$R$81)-14),ROWS($1:23))),"")</f>
        <v/>
      </c>
      <c r="M32" s="27"/>
      <c r="N32" s="486" t="str">
        <f t="array" aca="1" ref="N32" ca="1">+IFERROR(INDEX('011_BREST'!$C$15:$C$81,SMALL(IF(('011_BREST'!$R$15:$R$81&gt;8)*('011_BREST'!$R$15:$R$81&lt;10),ROW('011_BREST'!$R$15:$R$81)-14),ROWS($1:23))),"")</f>
        <v/>
      </c>
      <c r="O32" s="27"/>
      <c r="P32" s="487" t="str">
        <f t="array" aca="1" ref="P32" ca="1">+IFERROR(INDEX('011_BREST'!$D$15:$D$81,SMALL(IF(('011_BREST'!$R$15:$R$81&gt;8)*('011_BREST'!$R$15:$R$81&lt;10),ROW('011_BREST'!$R$15:$R$81)-14),ROWS($1:23))),"")</f>
        <v/>
      </c>
      <c r="Q32" s="27"/>
      <c r="R32" s="488" t="str">
        <f t="array" aca="1" ref="R32" ca="1">+IFERROR(INDEX('011_BREST'!$F$15:$F$81,SMALL(IF(('011_BREST'!$R$15:$R$81&gt;8)*('011_BREST'!$R$15:$R$81&lt;10),ROW('011_BREST'!$R$15:$R$81)-14),ROWS($1:23))),"")</f>
        <v/>
      </c>
    </row>
    <row r="33" spans="1:26">
      <c r="A33" s="464">
        <v>24</v>
      </c>
      <c r="B33" s="490" t="str">
        <f t="array" aca="1" ref="B33" ca="1">+IFERROR(INDEX('011_BREST'!$C$15:$C$81,SMALL(IF(('011_BREST'!$R$15:$R$81&gt;0)*('011_BREST'!$R$15:$R$81&lt;4),ROW('011_BREST'!$R$15:$R$81)-14),ROWS($1:24))),"")</f>
        <v/>
      </c>
      <c r="C33" s="27"/>
      <c r="D33" s="491" t="str">
        <f t="array" aca="1" ref="D33" ca="1">+IFERROR(INDEX('011_BREST'!$D$15:$D$81,SMALL(IF(('011_BREST'!$R$15:$R$81&gt;0)*('011_BREST'!$R$15:$R$81&lt;4),ROW('011_BREST'!$R$15:$R$81)-14),ROWS($1:24))),"")</f>
        <v/>
      </c>
      <c r="E33" s="27"/>
      <c r="F33" s="492" t="str">
        <f t="array" aca="1" ref="F33" ca="1">+IFERROR(INDEX('011_BREST'!$F$15:$F$81,SMALL(IF(('011_BREST'!$R$15:$R$81&gt;0)*('011_BREST'!$R$15:$R$81&lt;4),ROW('011_BREST'!$R$15:$R$81)-14),ROWS($1:24))),"")</f>
        <v/>
      </c>
      <c r="G33" s="27"/>
      <c r="H33" s="493" t="str">
        <f t="array" aca="1" ref="H33" ca="1">+IFERROR(INDEX('011_BREST'!$C$15:$C$81,SMALL(IF(('011_BREST'!$R$15:$R$81&gt;4)*('011_BREST'!$R$15:$R$81&lt;8),ROW('011_BREST'!$R$15:$R$81)-14),ROWS($1:24))),"")</f>
        <v/>
      </c>
      <c r="I33" s="27"/>
      <c r="J33" s="494" t="str">
        <f t="array" aca="1" ref="J33" ca="1">+IFERROR(INDEX('011_BREST'!$D$15:$D$81,SMALL(IF(('011_BREST'!$R$15:$R$81&gt;4)*('011_BREST'!$R$15:$R$81&lt;8),ROW('011_BREST'!$R$15:$R$81)-14),ROWS($1:24))),"")</f>
        <v/>
      </c>
      <c r="K33" s="27"/>
      <c r="L33" s="495" t="str">
        <f t="array" aca="1" ref="L33" ca="1">+IFERROR(INDEX('011_BREST'!$F$15:$F$81,SMALL(IF(('011_BREST'!$R$15:$R$81&gt;4)*('011_BREST'!$R$15:$R$81&lt;8),ROW('011_BREST'!$R$15:$R$81)-14),ROWS($1:24))),"")</f>
        <v/>
      </c>
      <c r="M33" s="27"/>
      <c r="N33" s="496" t="str">
        <f t="array" aca="1" ref="N33" ca="1">+IFERROR(INDEX('011_BREST'!$C$15:$C$81,SMALL(IF(('011_BREST'!$R$15:$R$81&gt;8)*('011_BREST'!$R$15:$R$81&lt;10),ROW('011_BREST'!$R$15:$R$81)-14),ROWS($1:24))),"")</f>
        <v/>
      </c>
      <c r="O33" s="27"/>
      <c r="P33" s="497" t="str">
        <f t="array" aca="1" ref="P33" ca="1">+IFERROR(INDEX('011_BREST'!$D$15:$D$81,SMALL(IF(('011_BREST'!$R$15:$R$81&gt;8)*('011_BREST'!$R$15:$R$81&lt;10),ROW('011_BREST'!$R$15:$R$81)-14),ROWS($1:24))),"")</f>
        <v/>
      </c>
      <c r="Q33" s="27"/>
      <c r="R33" s="498" t="str">
        <f t="array" aca="1" ref="R33" ca="1">+IFERROR(INDEX('011_BREST'!$F$15:$F$81,SMALL(IF(('011_BREST'!$R$15:$R$81&gt;8)*('011_BREST'!$R$15:$R$81&lt;10),ROW('011_BREST'!$R$15:$R$81)-14),ROWS($1:24))),"")</f>
        <v/>
      </c>
    </row>
    <row r="34" spans="1:26">
      <c r="A34" s="464">
        <v>25</v>
      </c>
      <c r="B34" s="480" t="str">
        <f t="array" aca="1" ref="B34" ca="1">+IFERROR(INDEX('011_BREST'!$C$15:$C$81,SMALL(IF(('011_BREST'!$R$15:$R$81&gt;0)*('011_BREST'!$R$15:$R$81&lt;4),ROW('011_BREST'!$R$15:$R$81)-14),ROWS($1:25))),"")</f>
        <v/>
      </c>
      <c r="C34" s="27"/>
      <c r="D34" s="481" t="str">
        <f t="array" aca="1" ref="D34" ca="1">+IFERROR(INDEX('011_BREST'!$D$15:$D$81,SMALL(IF(('011_BREST'!$R$15:$R$81&gt;0)*('011_BREST'!$R$15:$R$81&lt;4),ROW('011_BREST'!$R$15:$R$81)-14),ROWS($1:25))),"")</f>
        <v/>
      </c>
      <c r="E34" s="27"/>
      <c r="F34" s="482" t="str">
        <f t="array" aca="1" ref="F34" ca="1">+IFERROR(INDEX('011_BREST'!$F$15:$F$81,SMALL(IF(('011_BREST'!$R$15:$R$81&gt;0)*('011_BREST'!$R$15:$R$81&lt;4),ROW('011_BREST'!$R$15:$R$81)-14),ROWS($1:25))),"")</f>
        <v/>
      </c>
      <c r="G34" s="27"/>
      <c r="H34" s="483" t="str">
        <f t="array" aca="1" ref="H34" ca="1">+IFERROR(INDEX('011_BREST'!$C$15:$C$81,SMALL(IF(('011_BREST'!$R$15:$R$81&gt;4)*('011_BREST'!$R$15:$R$81&lt;8),ROW('011_BREST'!$R$15:$R$81)-14),ROWS($1:25))),"")</f>
        <v/>
      </c>
      <c r="I34" s="27"/>
      <c r="J34" s="484" t="str">
        <f t="array" aca="1" ref="J34" ca="1">+IFERROR(INDEX('011_BREST'!$D$15:$D$81,SMALL(IF(('011_BREST'!$R$15:$R$81&gt;4)*('011_BREST'!$R$15:$R$81&lt;8),ROW('011_BREST'!$R$15:$R$81)-14),ROWS($1:25))),"")</f>
        <v/>
      </c>
      <c r="K34" s="27"/>
      <c r="L34" s="485" t="str">
        <f t="array" aca="1" ref="L34" ca="1">+IFERROR(INDEX('011_BREST'!$F$15:$F$81,SMALL(IF(('011_BREST'!$R$15:$R$81&gt;4)*('011_BREST'!$R$15:$R$81&lt;8),ROW('011_BREST'!$R$15:$R$81)-14),ROWS($1:25))),"")</f>
        <v/>
      </c>
      <c r="M34" s="27"/>
      <c r="N34" s="486" t="str">
        <f t="array" aca="1" ref="N34" ca="1">+IFERROR(INDEX('011_BREST'!$C$15:$C$81,SMALL(IF(('011_BREST'!$R$15:$R$81&gt;8)*('011_BREST'!$R$15:$R$81&lt;10),ROW('011_BREST'!$R$15:$R$81)-14),ROWS($1:25))),"")</f>
        <v/>
      </c>
      <c r="O34" s="27"/>
      <c r="P34" s="487" t="str">
        <f t="array" aca="1" ref="P34" ca="1">+IFERROR(INDEX('011_BREST'!$D$15:$D$81,SMALL(IF(('011_BREST'!$R$15:$R$81&gt;8)*('011_BREST'!$R$15:$R$81&lt;10),ROW('011_BREST'!$R$15:$R$81)-14),ROWS($1:25))),"")</f>
        <v/>
      </c>
      <c r="Q34" s="27"/>
      <c r="R34" s="488" t="str">
        <f t="array" aca="1" ref="R34" ca="1">+IFERROR(INDEX('011_BREST'!$F$15:$F$81,SMALL(IF(('011_BREST'!$R$15:$R$81&gt;8)*('011_BREST'!$R$15:$R$81&lt;10),ROW('011_BREST'!$R$15:$R$81)-14),ROWS($1:25))),"")</f>
        <v/>
      </c>
    </row>
    <row r="37" spans="1:26" ht="23.25">
      <c r="B37" s="465" t="s">
        <v>226</v>
      </c>
      <c r="C37" s="466"/>
      <c r="D37" s="467"/>
      <c r="E37" s="466"/>
      <c r="F37" s="286" t="s">
        <v>51</v>
      </c>
      <c r="G37" s="466"/>
      <c r="H37" s="286"/>
      <c r="I37" s="466"/>
      <c r="J37" s="286"/>
      <c r="K37" s="466"/>
      <c r="L37" s="286"/>
      <c r="M37" s="466"/>
      <c r="N37" s="286"/>
      <c r="O37" s="466"/>
      <c r="P37" s="286"/>
      <c r="Q37" s="466"/>
      <c r="R37" s="286"/>
    </row>
    <row r="38" spans="1:26">
      <c r="F38" s="297" t="s">
        <v>49</v>
      </c>
      <c r="H38" s="98">
        <f ca="1">SUMIFS('048_ANGERS'!$F$15:$F$79,'048_ANGERS'!$R$15:$R$79,"&gt;="&amp;0,'048_ANGERS'!$R$15:$R$79,"&lt;="&amp;4)</f>
        <v>232016</v>
      </c>
      <c r="J38" s="98"/>
      <c r="L38" s="468">
        <f ca="1">H38/'048_ANGERS'!$F$2</f>
        <v>0.35752302936725872</v>
      </c>
      <c r="N38" s="98" t="s">
        <v>49</v>
      </c>
      <c r="O38" s="32"/>
      <c r="P38" s="98"/>
      <c r="Q38" s="32"/>
      <c r="R38" s="469">
        <f ca="1">-H38</f>
        <v>-232016</v>
      </c>
      <c r="S38" s="468">
        <f ca="1">L38</f>
        <v>0.35752302936725872</v>
      </c>
      <c r="T38" s="32">
        <f ca="1">COUNTIFS('048_ANGERS'!$R$15:$R$79,"&gt;="&amp;1,'048_ANGERS'!$R$15:$R$79,"&lt;="&amp;4)</f>
        <v>10</v>
      </c>
    </row>
    <row r="39" spans="1:26">
      <c r="F39" s="297" t="s">
        <v>50</v>
      </c>
      <c r="H39" s="98">
        <f ca="1">SUMIFS('048_ANGERS'!$F$15:$F$79,'048_ANGERS'!$R$15:$R$79,"&gt;="&amp;4,'048_ANGERS'!$R$15:$R$79,"&lt;="&amp;8)</f>
        <v>245947</v>
      </c>
      <c r="J39" s="98"/>
      <c r="L39" s="468">
        <f ca="1">H39/'048_ANGERS'!$F$2</f>
        <v>0.37898988217963059</v>
      </c>
      <c r="N39" s="98" t="s">
        <v>50</v>
      </c>
      <c r="O39" s="32"/>
      <c r="P39" s="98"/>
      <c r="Q39" s="32"/>
      <c r="R39" s="469">
        <f ca="1">-H39</f>
        <v>-245947</v>
      </c>
      <c r="S39" s="468">
        <f ca="1">L39</f>
        <v>0.37898988217963059</v>
      </c>
      <c r="T39" s="32">
        <f ca="1">COUNTIFS('048_ANGERS'!$R$15:$R$79,"&gt;="&amp;4,'048_ANGERS'!$R$15:$R$79,"&lt;="&amp;8)</f>
        <v>9</v>
      </c>
    </row>
    <row r="40" spans="1:26">
      <c r="F40" s="297" t="s">
        <v>143</v>
      </c>
      <c r="H40" s="98">
        <f ca="1">SUMIFS('048_ANGERS'!$F$15:$F$79,'048_ANGERS'!$R$15:$R$79,"&gt;="&amp;8,'048_ANGERS'!$R$15:$R$79,"&lt;="&amp;10)</f>
        <v>0</v>
      </c>
      <c r="J40" s="98"/>
      <c r="L40" s="468">
        <f ca="1">H40/'048_ANGERS'!$F$2</f>
        <v>0</v>
      </c>
      <c r="N40" s="98" t="s">
        <v>143</v>
      </c>
      <c r="O40" s="32"/>
      <c r="P40" s="98"/>
      <c r="Q40" s="32"/>
      <c r="R40" s="469">
        <f ca="1">-H40</f>
        <v>0</v>
      </c>
      <c r="S40" s="468">
        <f ca="1">L40</f>
        <v>0</v>
      </c>
      <c r="T40" s="32">
        <f ca="1">COUNTIFS('048_ANGERS'!$R$15:$R$79,"&gt;="&amp;8,'048_ANGERS'!$R$15:$R$79,"&lt;="&amp;12)</f>
        <v>1</v>
      </c>
    </row>
    <row r="42" spans="1:26" ht="19.899999999999999" customHeight="1">
      <c r="B42" s="470" t="s">
        <v>135</v>
      </c>
      <c r="C42" s="471"/>
      <c r="D42" s="472" t="s">
        <v>144</v>
      </c>
      <c r="E42" s="471"/>
      <c r="F42" s="470" t="s">
        <v>49</v>
      </c>
      <c r="G42" s="473"/>
      <c r="H42" s="470" t="s">
        <v>135</v>
      </c>
      <c r="I42" s="471"/>
      <c r="J42" s="472" t="s">
        <v>144</v>
      </c>
      <c r="K42" s="471"/>
      <c r="L42" s="470" t="s">
        <v>50</v>
      </c>
      <c r="M42" s="473"/>
      <c r="N42" s="470" t="s">
        <v>135</v>
      </c>
      <c r="O42" s="471"/>
      <c r="P42" s="472" t="s">
        <v>144</v>
      </c>
      <c r="Q42" s="471"/>
      <c r="R42" s="470" t="s">
        <v>143</v>
      </c>
    </row>
    <row r="43" spans="1:26" ht="2.25" customHeight="1">
      <c r="H43" s="474"/>
      <c r="J43" s="474"/>
    </row>
    <row r="44" spans="1:26">
      <c r="B44" s="475">
        <f ca="1">COUNTIFS('048_ANGERS'!$R$15:$R$79,"&gt;="&amp;1,'048_ANGERS'!$R$15:$R$79,"&lt;="&amp;4)</f>
        <v>10</v>
      </c>
      <c r="D44" s="475"/>
      <c r="F44" s="476">
        <f ca="1">SUM(F46:F70)</f>
        <v>232016</v>
      </c>
      <c r="H44" s="475">
        <f ca="1">COUNTIFS('048_ANGERS'!$R$15:$R$79,"&gt;="&amp;4,'048_ANGERS'!$R$15:$R$79,"&lt;="&amp;8)</f>
        <v>9</v>
      </c>
      <c r="J44" s="475"/>
      <c r="L44" s="477">
        <f ca="1">SUM(L46:L70)</f>
        <v>245947</v>
      </c>
      <c r="N44" s="475">
        <f ca="1">COUNTIFS('048_ANGERS'!$R$15:$R$79,"&gt;="&amp;8,'048_ANGERS'!$R$15:$R$79,"&lt;="&amp;10)</f>
        <v>0</v>
      </c>
      <c r="P44" s="475"/>
      <c r="R44" s="476">
        <f ca="1">SUM(R46:R70)</f>
        <v>0</v>
      </c>
    </row>
    <row r="45" spans="1:26" ht="2.25" customHeight="1"/>
    <row r="46" spans="1:26" s="29" customFormat="1" ht="16.149999999999999" customHeight="1">
      <c r="A46" s="464">
        <v>1</v>
      </c>
      <c r="B46" s="480" t="str">
        <f t="array" aca="1" ref="B46" ca="1">+IFERROR(INDEX('048_ANGERS'!$C$15:$C$79,SMALL(IF(('048_ANGERS'!$R$15:$R$79&gt;0)*('048_ANGERS'!$R$15:$R$79&lt;4),ROW('048_ANGERS'!$R$15:$R$79)-14),ROWS($1:1))),"")</f>
        <v>France Propreté</v>
      </c>
      <c r="C46" s="27"/>
      <c r="D46" s="481" t="str">
        <f t="array" aca="1" ref="D46" ca="1">+IFERROR(INDEX('048_ANGERS'!$D$15:$D$79,SMALL(IF(('048_ANGERS'!$R$15:$R$79&gt;0)*('048_ANGERS'!$R$15:$R$79&lt;4),ROW('048_ANGERS'!$R$15:$R$79)-14),ROWS($1:1))),"")</f>
        <v>DI</v>
      </c>
      <c r="E46" s="27"/>
      <c r="F46" s="482">
        <f t="array" aca="1" ref="F46" ca="1">+IFERROR(INDEX('048_ANGERS'!$F$15:$F$79,SMALL(IF(('048_ANGERS'!$R$15:$R$79&gt;0)*('048_ANGERS'!$R$15:$R$79&lt;4),ROW('048_ANGERS'!$R$15:$R$79)-14),ROWS($1:1))),"")</f>
        <v>144076</v>
      </c>
      <c r="G46" s="27"/>
      <c r="H46" s="483" t="str">
        <f t="array" aca="1" ref="H46" ca="1">+IFERROR(INDEX('048_ANGERS'!$C$15:$C$79,SMALL(IF(('048_ANGERS'!$R$15:$R$79&gt;4)*('048_ANGERS'!$R$15:$R$79&lt;8),ROW('048_ANGERS'!$R$15:$R$79)-14),ROWS($1:1))),"")</f>
        <v>RESAH</v>
      </c>
      <c r="I46" s="27"/>
      <c r="J46" s="484" t="str">
        <f t="array" aca="1" ref="J46" ca="1">+IFERROR(INDEX('048_ANGERS'!$D$15:$D$79,SMALL(IF(('048_ANGERS'!$R$15:$R$79&gt;4)*('048_ANGERS'!$R$15:$R$79&lt;8),ROW('048_ANGERS'!$R$15:$R$79)-14),ROWS($1:1))),"")</f>
        <v>AO</v>
      </c>
      <c r="K46" s="27"/>
      <c r="L46" s="485">
        <f t="array" aca="1" ref="L46" ca="1">+IFERROR(INDEX('048_ANGERS'!$F$15:$F$79,SMALL(IF(('048_ANGERS'!$R$15:$R$79&gt;4)*('048_ANGERS'!$R$15:$R$79&lt;8),ROW('048_ANGERS'!$R$15:$R$79)-14),ROWS($1:1))),"")</f>
        <v>85264</v>
      </c>
      <c r="M46" s="27"/>
      <c r="N46" s="486" t="str">
        <f t="array" aca="1" ref="N46" ca="1">+IFERROR(INDEX('048_ANGERS'!$C$15:$C$79,SMALL(IF(('048_ANGERS'!$R$15:$R$79&gt;8)*('048_ANGERS'!$R$15:$R$79&lt;10),ROW('048_ANGERS'!$R$15:$R$79)-14),ROWS($1:1))),"")</f>
        <v/>
      </c>
      <c r="O46" s="27"/>
      <c r="P46" s="487" t="str">
        <f t="array" aca="1" ref="P46" ca="1">+IFERROR(INDEX('048_ANGERS'!$D$15:$D$79,SMALL(IF(('048_ANGERS'!$R$15:$R$79&gt;8)*('048_ANGERS'!$R$15:$R$79&lt;10),ROW('048_ANGERS'!$R$15:$R$79)-14),ROWS($1:1))),"")</f>
        <v/>
      </c>
      <c r="Q46" s="27"/>
      <c r="R46" s="488" t="str">
        <f t="array" aca="1" ref="R46" ca="1">+IFERROR(INDEX('048_ANGERS'!$F$15:$F$79,SMALL(IF(('048_ANGERS'!$R$15:$R$79&gt;8)*('048_ANGERS'!$R$15:$R$79&lt;10),ROW('048_ANGERS'!$R$15:$R$79)-14),ROWS($1:1))),"")</f>
        <v/>
      </c>
      <c r="Y46" s="29" t="s">
        <v>30</v>
      </c>
      <c r="Z46" s="489">
        <f ca="1">SUMIFS($F$46:$F$60,$D$46:$D$60,"dcn")+SUMIFS($L$46:$L$60,$J$46:$J$60,"dcn")</f>
        <v>53302</v>
      </c>
    </row>
    <row r="47" spans="1:26" s="29" customFormat="1" ht="16.149999999999999" customHeight="1">
      <c r="A47" s="464">
        <v>2</v>
      </c>
      <c r="B47" s="490" t="str">
        <f t="array" aca="1" ref="B47" ca="1">+IFERROR(INDEX('048_ANGERS'!$C$15:$C$79,SMALL(IF(('048_ANGERS'!$R$15:$R$79&gt;0)*('048_ANGERS'!$R$15:$R$79&lt;4),ROW('048_ANGERS'!$R$15:$R$79)-14),ROWS($1:2))),"")</f>
        <v>CRCD</v>
      </c>
      <c r="C47" s="27"/>
      <c r="D47" s="491" t="str">
        <f t="array" aca="1" ref="D47" ca="1">+IFERROR(INDEX('048_ANGERS'!$D$15:$D$79,SMALL(IF(('048_ANGERS'!$R$15:$R$79&gt;0)*('048_ANGERS'!$R$15:$R$79&lt;4),ROW('048_ANGERS'!$R$15:$R$79)-14),ROWS($1:2))),"")</f>
        <v>DI</v>
      </c>
      <c r="E47" s="27"/>
      <c r="F47" s="492">
        <f t="array" aca="1" ref="F47" ca="1">+IFERROR(INDEX('048_ANGERS'!$F$15:$F$79,SMALL(IF(('048_ANGERS'!$R$15:$R$79&gt;0)*('048_ANGERS'!$R$15:$R$79&lt;4),ROW('048_ANGERS'!$R$15:$R$79)-14),ROWS($1:2))),"")</f>
        <v>26239</v>
      </c>
      <c r="G47" s="27"/>
      <c r="H47" s="493" t="str">
        <f t="array" aca="1" ref="H47" ca="1">+IFERROR(INDEX('048_ANGERS'!$C$15:$C$79,SMALL(IF(('048_ANGERS'!$R$15:$R$79&gt;4)*('048_ANGERS'!$R$15:$R$79&lt;8),ROW('048_ANGERS'!$R$15:$R$79)-14),ROWS($1:2))),"")</f>
        <v xml:space="preserve">France MANUT           </v>
      </c>
      <c r="I47" s="27"/>
      <c r="J47" s="494" t="str">
        <f t="array" aca="1" ref="J47" ca="1">+IFERROR(INDEX('048_ANGERS'!$D$15:$D$79,SMALL(IF(('048_ANGERS'!$R$15:$R$79&gt;4)*('048_ANGERS'!$R$15:$R$79&lt;8),ROW('048_ANGERS'!$R$15:$R$79)-14),ROWS($1:2))),"")</f>
        <v>DI</v>
      </c>
      <c r="K47" s="27"/>
      <c r="L47" s="495">
        <f t="array" aca="1" ref="L47" ca="1">+IFERROR(INDEX('048_ANGERS'!$F$15:$F$79,SMALL(IF(('048_ANGERS'!$R$15:$R$79&gt;4)*('048_ANGERS'!$R$15:$R$79&lt;8),ROW('048_ANGERS'!$R$15:$R$79)-14),ROWS($1:2))),"")</f>
        <v>118705</v>
      </c>
      <c r="M47" s="27"/>
      <c r="N47" s="496" t="str">
        <f t="array" aca="1" ref="N47" ca="1">+IFERROR(INDEX('048_ANGERS'!$C$15:$C$79,SMALL(IF(('048_ANGERS'!$R$15:$R$79&gt;8)*('048_ANGERS'!$R$15:$R$79&lt;10),ROW('048_ANGERS'!$R$15:$R$79)-14),ROWS($1:2))),"")</f>
        <v/>
      </c>
      <c r="O47" s="27"/>
      <c r="P47" s="497" t="str">
        <f t="array" aca="1" ref="P47" ca="1">+IFERROR(INDEX('048_ANGERS'!$D$15:$D$79,SMALL(IF(('048_ANGERS'!$R$15:$R$79&gt;8)*('048_ANGERS'!$R$15:$R$79&lt;10),ROW('048_ANGERS'!$R$15:$R$79)-14),ROWS($1:2))),"")</f>
        <v/>
      </c>
      <c r="Q47" s="27"/>
      <c r="R47" s="498" t="str">
        <f t="array" aca="1" ref="R47" ca="1">+IFERROR(INDEX('048_ANGERS'!$F$15:$F$79,SMALL(IF(('048_ANGERS'!$R$15:$R$79&gt;8)*('048_ANGERS'!$R$15:$R$79&lt;10),ROW('048_ANGERS'!$R$15:$R$79)-14),ROWS($1:2))),"")</f>
        <v/>
      </c>
      <c r="Y47" s="29" t="s">
        <v>89</v>
      </c>
      <c r="Z47" s="489">
        <f ca="1">SUMIFS($F$46:$F$60,$D$46:$D$60,"di")+SUMIFS($L$46:$L$60,$J$46:$J$60,"di")</f>
        <v>328215</v>
      </c>
    </row>
    <row r="48" spans="1:26" s="29" customFormat="1" ht="16.149999999999999" customHeight="1">
      <c r="A48" s="464">
        <v>3</v>
      </c>
      <c r="B48" s="480" t="str">
        <f t="array" aca="1" ref="B48" ca="1">+IFERROR(INDEX('048_ANGERS'!$C$15:$C$79,SMALL(IF(('048_ANGERS'!$R$15:$R$79&gt;0)*('048_ANGERS'!$R$15:$R$79&lt;4),ROW('048_ANGERS'!$R$15:$R$79)-14),ROWS($1:3))),"")</f>
        <v>INTERMARCHE Base</v>
      </c>
      <c r="C48" s="27"/>
      <c r="D48" s="481" t="str">
        <f t="array" aca="1" ref="D48" ca="1">+IFERROR(INDEX('048_ANGERS'!$D$15:$D$79,SMALL(IF(('048_ANGERS'!$R$15:$R$79&gt;0)*('048_ANGERS'!$R$15:$R$79&lt;4),ROW('048_ANGERS'!$R$15:$R$79)-14),ROWS($1:3))),"")</f>
        <v>DI</v>
      </c>
      <c r="E48" s="27"/>
      <c r="F48" s="482">
        <f t="array" aca="1" ref="F48" ca="1">+IFERROR(INDEX('048_ANGERS'!$F$15:$F$79,SMALL(IF(('048_ANGERS'!$R$15:$R$79&gt;0)*('048_ANGERS'!$R$15:$R$79&lt;4),ROW('048_ANGERS'!$R$15:$R$79)-14),ROWS($1:3))),"")</f>
        <v>21324</v>
      </c>
      <c r="G48" s="27"/>
      <c r="H48" s="483" t="str">
        <f t="array" aca="1" ref="H48" ca="1">+IFERROR(INDEX('048_ANGERS'!$C$15:$C$79,SMALL(IF(('048_ANGERS'!$R$15:$R$79&gt;4)*('048_ANGERS'!$R$15:$R$79&lt;8),ROW('048_ANGERS'!$R$15:$R$79)-14),ROWS($1:3))),"")</f>
        <v>SOCIETE PRINCLIB</v>
      </c>
      <c r="I48" s="27"/>
      <c r="J48" s="484" t="str">
        <f t="array" aca="1" ref="J48" ca="1">+IFERROR(INDEX('048_ANGERS'!$D$15:$D$79,SMALL(IF(('048_ANGERS'!$R$15:$R$79&gt;4)*('048_ANGERS'!$R$15:$R$79&lt;8),ROW('048_ANGERS'!$R$15:$R$79)-14),ROWS($1:3))),"")</f>
        <v>DCN</v>
      </c>
      <c r="K48" s="27"/>
      <c r="L48" s="485">
        <f t="array" aca="1" ref="L48" ca="1">+IFERROR(INDEX('048_ANGERS'!$F$15:$F$79,SMALL(IF(('048_ANGERS'!$R$15:$R$79&gt;4)*('048_ANGERS'!$R$15:$R$79&lt;8),ROW('048_ANGERS'!$R$15:$R$79)-14),ROWS($1:3))),"")</f>
        <v>19090</v>
      </c>
      <c r="M48" s="27"/>
      <c r="N48" s="486" t="str">
        <f t="array" aca="1" ref="N48" ca="1">+IFERROR(INDEX('048_ANGERS'!$C$15:$C$79,SMALL(IF(('048_ANGERS'!$R$15:$R$79&gt;8)*('048_ANGERS'!$R$15:$R$79&lt;10),ROW('048_ANGERS'!$R$15:$R$79)-14),ROWS($1:3))),"")</f>
        <v/>
      </c>
      <c r="O48" s="27"/>
      <c r="P48" s="487" t="str">
        <f t="array" aca="1" ref="P48" ca="1">+IFERROR(INDEX('048_ANGERS'!$D$15:$D$79,SMALL(IF(('048_ANGERS'!$R$15:$R$79&gt;8)*('048_ANGERS'!$R$15:$R$79&lt;10),ROW('048_ANGERS'!$R$15:$R$79)-14),ROWS($1:3))),"")</f>
        <v/>
      </c>
      <c r="Q48" s="27"/>
      <c r="R48" s="488" t="str">
        <f t="array" aca="1" ref="R48" ca="1">+IFERROR(INDEX('048_ANGERS'!$F$15:$F$79,SMALL(IF(('048_ANGERS'!$R$15:$R$79&gt;8)*('048_ANGERS'!$R$15:$R$79&lt;10),ROW('048_ANGERS'!$R$15:$R$79)-14),ROWS($1:3))),"")</f>
        <v/>
      </c>
      <c r="S48" s="499"/>
      <c r="T48" s="499"/>
      <c r="Y48" s="29" t="s">
        <v>54</v>
      </c>
      <c r="Z48" s="489">
        <f ca="1">SUMIFS($F$46:$F$60,$D$46:$D$60,"ao")+SUMIFS($L$46:$L$60,$J$46:$J$60,"ao")</f>
        <v>93153</v>
      </c>
    </row>
    <row r="49" spans="1:26" s="29" customFormat="1" ht="16.149999999999999" customHeight="1">
      <c r="A49" s="464">
        <v>4</v>
      </c>
      <c r="B49" s="490" t="str">
        <f t="array" aca="1" ref="B49" ca="1">+IFERROR(INDEX('048_ANGERS'!$C$15:$C$79,SMALL(IF(('048_ANGERS'!$R$15:$R$79&gt;0)*('048_ANGERS'!$R$15:$R$79&lt;4),ROW('048_ANGERS'!$R$15:$R$79)-14),ROWS($1:4))),"")</f>
        <v>MAAF</v>
      </c>
      <c r="C49" s="27"/>
      <c r="D49" s="491" t="str">
        <f t="array" aca="1" ref="D49" ca="1">+IFERROR(INDEX('048_ANGERS'!$D$15:$D$79,SMALL(IF(('048_ANGERS'!$R$15:$R$79&gt;0)*('048_ANGERS'!$R$15:$R$79&lt;4),ROW('048_ANGERS'!$R$15:$R$79)-14),ROWS($1:4))),"")</f>
        <v>DCN</v>
      </c>
      <c r="E49" s="27"/>
      <c r="F49" s="492">
        <f t="array" aca="1" ref="F49" ca="1">+IFERROR(INDEX('048_ANGERS'!$F$15:$F$79,SMALL(IF(('048_ANGERS'!$R$15:$R$79&gt;0)*('048_ANGERS'!$R$15:$R$79&lt;4),ROW('048_ANGERS'!$R$15:$R$79)-14),ROWS($1:4))),"")</f>
        <v>11662</v>
      </c>
      <c r="G49" s="27"/>
      <c r="H49" s="493" t="str">
        <f t="array" aca="1" ref="H49" ca="1">+IFERROR(INDEX('048_ANGERS'!$C$15:$C$79,SMALL(IF(('048_ANGERS'!$R$15:$R$79&gt;4)*('048_ANGERS'!$R$15:$R$79&lt;8),ROW('048_ANGERS'!$R$15:$R$79)-14),ROWS($1:4))),"")</f>
        <v>MATLUR</v>
      </c>
      <c r="I49" s="27"/>
      <c r="J49" s="494" t="str">
        <f t="array" aca="1" ref="J49" ca="1">+IFERROR(INDEX('048_ANGERS'!$D$15:$D$79,SMALL(IF(('048_ANGERS'!$R$15:$R$79&gt;4)*('048_ANGERS'!$R$15:$R$79&lt;8),ROW('048_ANGERS'!$R$15:$R$79)-14),ROWS($1:4))),"")</f>
        <v>DCN</v>
      </c>
      <c r="K49" s="27"/>
      <c r="L49" s="495">
        <f t="array" aca="1" ref="L49" ca="1">+IFERROR(INDEX('048_ANGERS'!$F$15:$F$79,SMALL(IF(('048_ANGERS'!$R$15:$R$79&gt;4)*('048_ANGERS'!$R$15:$R$79&lt;8),ROW('048_ANGERS'!$R$15:$R$79)-14),ROWS($1:4))),"")</f>
        <v>9085</v>
      </c>
      <c r="M49" s="27"/>
      <c r="N49" s="486" t="str">
        <f t="array" aca="1" ref="N49" ca="1">+IFERROR(INDEX('048_ANGERS'!$C$15:$C$79,SMALL(IF(('048_ANGERS'!$R$15:$R$79&gt;8)*('048_ANGERS'!$R$15:$R$79&lt;10),ROW('048_ANGERS'!$R$15:$R$79)-14),ROWS($1:4))),"")</f>
        <v/>
      </c>
      <c r="O49" s="27"/>
      <c r="P49" s="487" t="str">
        <f t="array" aca="1" ref="P49" ca="1">+IFERROR(INDEX('048_ANGERS'!$D$15:$D$79,SMALL(IF(('048_ANGERS'!$R$15:$R$79&gt;8)*('048_ANGERS'!$R$15:$R$79&lt;10),ROW('048_ANGERS'!$R$15:$R$79)-14),ROWS($1:4))),"")</f>
        <v/>
      </c>
      <c r="Q49" s="27"/>
      <c r="R49" s="488" t="str">
        <f t="array" aca="1" ref="R49" ca="1">+IFERROR(INDEX('048_ANGERS'!$F$15:$F$79,SMALL(IF(('048_ANGERS'!$R$15:$R$79&gt;8)*('048_ANGERS'!$R$15:$R$79&lt;10),ROW('048_ANGERS'!$R$15:$R$79)-14),ROWS($1:4))),"")</f>
        <v/>
      </c>
      <c r="S49" s="500"/>
      <c r="T49" s="501"/>
      <c r="Y49" s="29" t="s">
        <v>53</v>
      </c>
      <c r="Z49" s="489">
        <f ca="1">SUMIFS($F$46:$F$60,$D$46:$D$60,"reg")+SUMIFS($L$46:$L$60,$J$46:$J$60,"reg")</f>
        <v>3293</v>
      </c>
    </row>
    <row r="50" spans="1:26" s="29" customFormat="1" ht="16.149999999999999" customHeight="1">
      <c r="A50" s="464">
        <v>5</v>
      </c>
      <c r="B50" s="480" t="str">
        <f t="array" aca="1" ref="B50" ca="1">+IFERROR(INDEX('048_ANGERS'!$C$15:$C$79,SMALL(IF(('048_ANGERS'!$R$15:$R$79&gt;0)*('048_ANGERS'!$R$15:$R$79&lt;4),ROW('048_ANGERS'!$R$15:$R$79)-14),ROWS($1:5))),"")</f>
        <v>CONFORAMA</v>
      </c>
      <c r="C50" s="27"/>
      <c r="D50" s="481" t="str">
        <f t="array" aca="1" ref="D50" ca="1">+IFERROR(INDEX('048_ANGERS'!$D$15:$D$79,SMALL(IF(('048_ANGERS'!$R$15:$R$79&gt;0)*('048_ANGERS'!$R$15:$R$79&lt;4),ROW('048_ANGERS'!$R$15:$R$79)-14),ROWS($1:5))),"")</f>
        <v>DCN</v>
      </c>
      <c r="E50" s="27"/>
      <c r="F50" s="482">
        <f t="array" aca="1" ref="F50" ca="1">+IFERROR(INDEX('048_ANGERS'!$F$15:$F$79,SMALL(IF(('048_ANGERS'!$R$15:$R$79&gt;0)*('048_ANGERS'!$R$15:$R$79&lt;4),ROW('048_ANGERS'!$R$15:$R$79)-14),ROWS($1:5))),"")</f>
        <v>5165</v>
      </c>
      <c r="G50" s="27"/>
      <c r="H50" s="483" t="str">
        <f t="array" aca="1" ref="H50" ca="1">+IFERROR(INDEX('048_ANGERS'!$C$15:$C$79,SMALL(IF(('048_ANGERS'!$R$15:$R$79&gt;4)*('048_ANGERS'!$R$15:$R$79&lt;8),ROW('048_ANGERS'!$R$15:$R$79)-14),ROWS($1:5))),"")</f>
        <v>MATLOR</v>
      </c>
      <c r="I50" s="27"/>
      <c r="J50" s="484" t="str">
        <f t="array" aca="1" ref="J50" ca="1">+IFERROR(INDEX('048_ANGERS'!$D$15:$D$79,SMALL(IF(('048_ANGERS'!$R$15:$R$79&gt;4)*('048_ANGERS'!$R$15:$R$79&lt;8),ROW('048_ANGERS'!$R$15:$R$79)-14),ROWS($1:5))),"")</f>
        <v>DCN</v>
      </c>
      <c r="K50" s="27"/>
      <c r="L50" s="485">
        <f t="array" aca="1" ref="L50" ca="1">+IFERROR(INDEX('048_ANGERS'!$F$15:$F$79,SMALL(IF(('048_ANGERS'!$R$15:$R$79&gt;4)*('048_ANGERS'!$R$15:$R$79&lt;8),ROW('048_ANGERS'!$R$15:$R$79)-14),ROWS($1:5))),"")</f>
        <v>6062</v>
      </c>
      <c r="M50" s="27"/>
      <c r="N50" s="496" t="str">
        <f t="array" aca="1" ref="N50" ca="1">+IFERROR(INDEX('048_ANGERS'!$C$15:$C$79,SMALL(IF(('048_ANGERS'!$R$15:$R$79&gt;8)*('048_ANGERS'!$R$15:$R$79&lt;10),ROW('048_ANGERS'!$R$15:$R$79)-14),ROWS($1:5))),"")</f>
        <v/>
      </c>
      <c r="O50" s="27"/>
      <c r="P50" s="497" t="str">
        <f t="array" aca="1" ref="P50" ca="1">+IFERROR(INDEX('048_ANGERS'!$D$15:$D$79,SMALL(IF(('048_ANGERS'!$R$15:$R$79&gt;8)*('048_ANGERS'!$R$15:$R$79&lt;10),ROW('048_ANGERS'!$R$15:$R$79)-14),ROWS($1:5))),"")</f>
        <v/>
      </c>
      <c r="Q50" s="27"/>
      <c r="R50" s="498" t="str">
        <f t="array" aca="1" ref="R50" ca="1">+IFERROR(INDEX('048_ANGERS'!$F$15:$F$79,SMALL(IF(('048_ANGERS'!$R$15:$R$79&gt;8)*('048_ANGERS'!$R$15:$R$79&lt;10),ROW('048_ANGERS'!$R$15:$R$79)-14),ROWS($1:5))),"")</f>
        <v/>
      </c>
    </row>
    <row r="51" spans="1:26" s="29" customFormat="1" ht="16.149999999999999" customHeight="1">
      <c r="A51" s="464">
        <v>6</v>
      </c>
      <c r="B51" s="490" t="str">
        <f t="array" aca="1" ref="B51" ca="1">+IFERROR(INDEX('048_ANGERS'!$C$15:$C$79,SMALL(IF(('048_ANGERS'!$R$15:$R$79&gt;0)*('048_ANGERS'!$R$15:$R$79&lt;4),ROW('048_ANGERS'!$R$15:$R$79)-14),ROWS($1:6))),"")</f>
        <v>SIROP LORGEAT</v>
      </c>
      <c r="C51" s="27"/>
      <c r="D51" s="491" t="str">
        <f t="array" aca="1" ref="D51" ca="1">+IFERROR(INDEX('048_ANGERS'!$D$15:$D$79,SMALL(IF(('048_ANGERS'!$R$15:$R$79&gt;0)*('048_ANGERS'!$R$15:$R$79&lt;4),ROW('048_ANGERS'!$R$15:$R$79)-14),ROWS($1:6))),"")</f>
        <v>DI</v>
      </c>
      <c r="E51" s="27"/>
      <c r="F51" s="492">
        <f t="array" aca="1" ref="F51" ca="1">+IFERROR(INDEX('048_ANGERS'!$F$15:$F$79,SMALL(IF(('048_ANGERS'!$R$15:$R$79&gt;0)*('048_ANGERS'!$R$15:$R$79&lt;4),ROW('048_ANGERS'!$R$15:$R$79)-14),ROWS($1:6))),"")</f>
        <v>4933</v>
      </c>
      <c r="G51" s="27"/>
      <c r="H51" s="493" t="str">
        <f t="array" aca="1" ref="H51" ca="1">+IFERROR(INDEX('048_ANGERS'!$C$15:$C$79,SMALL(IF(('048_ANGERS'!$R$15:$R$79&gt;4)*('048_ANGERS'!$R$15:$R$79&lt;8),ROW('048_ANGERS'!$R$15:$R$79)-14),ROWS($1:6))),"")</f>
        <v>MECA FORM</v>
      </c>
      <c r="I51" s="27"/>
      <c r="J51" s="494" t="str">
        <f t="array" aca="1" ref="J51" ca="1">+IFERROR(INDEX('048_ANGERS'!$D$15:$D$79,SMALL(IF(('048_ANGERS'!$R$15:$R$79&gt;4)*('048_ANGERS'!$R$15:$R$79&lt;8),ROW('048_ANGERS'!$R$15:$R$79)-14),ROWS($1:6))),"")</f>
        <v>DI</v>
      </c>
      <c r="K51" s="27"/>
      <c r="L51" s="495">
        <f t="array" aca="1" ref="L51" ca="1">+IFERROR(INDEX('048_ANGERS'!$F$15:$F$79,SMALL(IF(('048_ANGERS'!$R$15:$R$79&gt;4)*('048_ANGERS'!$R$15:$R$79&lt;8),ROW('048_ANGERS'!$R$15:$R$79)-14),ROWS($1:6))),"")</f>
        <v>2281</v>
      </c>
      <c r="M51" s="27"/>
      <c r="N51" s="486" t="str">
        <f t="array" aca="1" ref="N51" ca="1">+IFERROR(INDEX('048_ANGERS'!$C$15:$C$79,SMALL(IF(('048_ANGERS'!$R$15:$R$79&gt;8)*('048_ANGERS'!$R$15:$R$79&lt;10),ROW('048_ANGERS'!$R$15:$R$79)-14),ROWS($1:6))),"")</f>
        <v/>
      </c>
      <c r="O51" s="27"/>
      <c r="P51" s="487" t="str">
        <f t="array" aca="1" ref="P51" ca="1">+IFERROR(INDEX('048_ANGERS'!$D$15:$D$79,SMALL(IF(('048_ANGERS'!$R$15:$R$79&gt;8)*('048_ANGERS'!$R$15:$R$79&lt;10),ROW('048_ANGERS'!$R$15:$R$79)-14),ROWS($1:6))),"")</f>
        <v/>
      </c>
      <c r="Q51" s="27"/>
      <c r="R51" s="488" t="str">
        <f t="array" aca="1" ref="R51" ca="1">+IFERROR(INDEX('048_ANGERS'!$F$15:$F$79,SMALL(IF(('048_ANGERS'!$R$15:$R$79&gt;8)*('048_ANGERS'!$R$15:$R$79&lt;10),ROW('048_ANGERS'!$R$15:$R$79)-14),ROWS($1:6))),"")</f>
        <v/>
      </c>
    </row>
    <row r="52" spans="1:26" s="29" customFormat="1" ht="16.149999999999999" customHeight="1">
      <c r="A52" s="464">
        <v>7</v>
      </c>
      <c r="B52" s="480" t="str">
        <f t="array" aca="1" ref="B52" ca="1">+IFERROR(INDEX('048_ANGERS'!$C$15:$C$79,SMALL(IF(('048_ANGERS'!$R$15:$R$79&gt;0)*('048_ANGERS'!$R$15:$R$79&lt;4),ROW('048_ANGERS'!$R$15:$R$79)-14),ROWS($1:7))),"")</f>
        <v>BATTERIES SMECTA</v>
      </c>
      <c r="C52" s="27"/>
      <c r="D52" s="481" t="str">
        <f t="array" aca="1" ref="D52" ca="1">+IFERROR(INDEX('048_ANGERS'!$D$15:$D$79,SMALL(IF(('048_ANGERS'!$R$15:$R$79&gt;0)*('048_ANGERS'!$R$15:$R$79&lt;4),ROW('048_ANGERS'!$R$15:$R$79)-14),ROWS($1:7))),"")</f>
        <v>DI</v>
      </c>
      <c r="E52" s="27"/>
      <c r="F52" s="482">
        <f t="array" aca="1" ref="F52" ca="1">+IFERROR(INDEX('048_ANGERS'!$F$15:$F$79,SMALL(IF(('048_ANGERS'!$R$15:$R$79&gt;0)*('048_ANGERS'!$R$15:$R$79&lt;4),ROW('048_ANGERS'!$R$15:$R$79)-14),ROWS($1:7))),"")</f>
        <v>3991</v>
      </c>
      <c r="G52" s="27"/>
      <c r="H52" s="483" t="str">
        <f t="array" aca="1" ref="H52" ca="1">+IFERROR(INDEX('048_ANGERS'!$C$15:$C$79,SMALL(IF(('048_ANGERS'!$R$15:$R$79&gt;4)*('048_ANGERS'!$R$15:$R$79&lt;8),ROW('048_ANGERS'!$R$15:$R$79)-14),ROWS($1:7))),"")</f>
        <v>CONSEIL GENERAL ANJOU</v>
      </c>
      <c r="I52" s="27"/>
      <c r="J52" s="484" t="str">
        <f t="array" aca="1" ref="J52" ca="1">+IFERROR(INDEX('048_ANGERS'!$D$15:$D$79,SMALL(IF(('048_ANGERS'!$R$15:$R$79&gt;4)*('048_ANGERS'!$R$15:$R$79&lt;8),ROW('048_ANGERS'!$R$15:$R$79)-14),ROWS($1:7))),"")</f>
        <v>AO</v>
      </c>
      <c r="K52" s="27"/>
      <c r="L52" s="485">
        <f t="array" aca="1" ref="L52" ca="1">+IFERROR(INDEX('048_ANGERS'!$F$15:$F$79,SMALL(IF(('048_ANGERS'!$R$15:$R$79&gt;4)*('048_ANGERS'!$R$15:$R$79&lt;8),ROW('048_ANGERS'!$R$15:$R$79)-14),ROWS($1:7))),"")</f>
        <v>2104</v>
      </c>
      <c r="M52" s="27"/>
      <c r="N52" s="496" t="str">
        <f t="array" aca="1" ref="N52" ca="1">+IFERROR(INDEX('048_ANGERS'!$C$15:$C$79,SMALL(IF(('048_ANGERS'!$R$15:$R$79&gt;8)*('048_ANGERS'!$R$15:$R$79&lt;10),ROW('048_ANGERS'!$R$15:$R$79)-14),ROWS($1:7))),"")</f>
        <v/>
      </c>
      <c r="O52" s="27"/>
      <c r="P52" s="497" t="str">
        <f t="array" aca="1" ref="P52" ca="1">+IFERROR(INDEX('048_ANGERS'!$D$15:$D$79,SMALL(IF(('048_ANGERS'!$R$15:$R$79&gt;8)*('048_ANGERS'!$R$15:$R$79&lt;10),ROW('048_ANGERS'!$R$15:$R$79)-14),ROWS($1:7))),"")</f>
        <v/>
      </c>
      <c r="Q52" s="27"/>
      <c r="R52" s="498" t="str">
        <f t="array" aca="1" ref="R52" ca="1">+IFERROR(INDEX('048_ANGERS'!$F$15:$F$79,SMALL(IF(('048_ANGERS'!$R$15:$R$79&gt;8)*('048_ANGERS'!$R$15:$R$79&lt;10),ROW('048_ANGERS'!$R$15:$R$79)-14),ROWS($1:7))),"")</f>
        <v/>
      </c>
    </row>
    <row r="53" spans="1:26" s="29" customFormat="1" ht="16.149999999999999" customHeight="1">
      <c r="A53" s="464">
        <v>8</v>
      </c>
      <c r="B53" s="490" t="str">
        <f t="array" aca="1" ref="B53" ca="1">+IFERROR(INDEX('048_ANGERS'!$C$15:$C$79,SMALL(IF(('048_ANGERS'!$R$15:$R$79&gt;0)*('048_ANGERS'!$R$15:$R$79&lt;4),ROW('048_ANGERS'!$R$15:$R$79)-14),ROWS($1:8))),"")</f>
        <v>EFS</v>
      </c>
      <c r="C53" s="27"/>
      <c r="D53" s="491" t="str">
        <f t="array" aca="1" ref="D53" ca="1">+IFERROR(INDEX('048_ANGERS'!$D$15:$D$79,SMALL(IF(('048_ANGERS'!$R$15:$R$79&gt;0)*('048_ANGERS'!$R$15:$R$79&lt;4),ROW('048_ANGERS'!$R$15:$R$79)-14),ROWS($1:8))),"")</f>
        <v>AO</v>
      </c>
      <c r="E53" s="27"/>
      <c r="F53" s="492">
        <f t="array" aca="1" ref="F53" ca="1">+IFERROR(INDEX('048_ANGERS'!$F$15:$F$79,SMALL(IF(('048_ANGERS'!$R$15:$R$79&gt;0)*('048_ANGERS'!$R$15:$R$79&lt;4),ROW('048_ANGERS'!$R$15:$R$79)-14),ROWS($1:8))),"")</f>
        <v>3701</v>
      </c>
      <c r="G53" s="27"/>
      <c r="H53" s="493" t="str">
        <f t="array" aca="1" ref="H53" ca="1">+IFERROR(INDEX('048_ANGERS'!$C$15:$C$79,SMALL(IF(('048_ANGERS'!$R$15:$R$79&gt;4)*('048_ANGERS'!$R$15:$R$79&lt;8),ROW('048_ANGERS'!$R$15:$R$79)-14),ROWS($1:8))),"")</f>
        <v>MARKET PROJECT</v>
      </c>
      <c r="I53" s="27"/>
      <c r="J53" s="494" t="str">
        <f t="array" aca="1" ref="J53" ca="1">+IFERROR(INDEX('048_ANGERS'!$D$15:$D$79,SMALL(IF(('048_ANGERS'!$R$15:$R$79&gt;4)*('048_ANGERS'!$R$15:$R$79&lt;8),ROW('048_ANGERS'!$R$15:$R$79)-14),ROWS($1:8))),"")</f>
        <v>DI</v>
      </c>
      <c r="K53" s="27"/>
      <c r="L53" s="495">
        <f t="array" aca="1" ref="L53" ca="1">+IFERROR(INDEX('048_ANGERS'!$F$15:$F$79,SMALL(IF(('048_ANGERS'!$R$15:$R$79&gt;4)*('048_ANGERS'!$R$15:$R$79&lt;8),ROW('048_ANGERS'!$R$15:$R$79)-14),ROWS($1:8))),"")</f>
        <v>1864</v>
      </c>
      <c r="M53" s="27"/>
      <c r="N53" s="486" t="str">
        <f t="array" aca="1" ref="N53" ca="1">+IFERROR(INDEX('048_ANGERS'!$C$15:$C$79,SMALL(IF(('048_ANGERS'!$R$15:$R$79&gt;8)*('048_ANGERS'!$R$15:$R$79&lt;10),ROW('048_ANGERS'!$R$15:$R$79)-14),ROWS($1:8))),"")</f>
        <v/>
      </c>
      <c r="O53" s="27"/>
      <c r="P53" s="487" t="str">
        <f t="array" aca="1" ref="P53" ca="1">+IFERROR(INDEX('048_ANGERS'!$D$15:$D$79,SMALL(IF(('048_ANGERS'!$R$15:$R$79&gt;8)*('048_ANGERS'!$R$15:$R$79&lt;10),ROW('048_ANGERS'!$R$15:$R$79)-14),ROWS($1:8))),"")</f>
        <v/>
      </c>
      <c r="Q53" s="27"/>
      <c r="R53" s="488" t="str">
        <f t="array" aca="1" ref="R53" ca="1">+IFERROR(INDEX('048_ANGERS'!$F$15:$F$79,SMALL(IF(('048_ANGERS'!$R$15:$R$79&gt;8)*('048_ANGERS'!$R$15:$R$79&lt;10),ROW('048_ANGERS'!$R$15:$R$79)-14),ROWS($1:8))),"")</f>
        <v/>
      </c>
    </row>
    <row r="54" spans="1:26" s="29" customFormat="1" ht="16.149999999999999" customHeight="1">
      <c r="A54" s="464">
        <v>9</v>
      </c>
      <c r="B54" s="480" t="str">
        <f t="array" aca="1" ref="B54" ca="1">+IFERROR(INDEX('048_ANGERS'!$C$15:$C$79,SMALL(IF(('048_ANGERS'!$R$15:$R$79&gt;0)*('048_ANGERS'!$R$15:$R$79&lt;4),ROW('048_ANGERS'!$R$15:$R$79)-14),ROWS($1:9))),"")</f>
        <v>ATAC</v>
      </c>
      <c r="C54" s="27"/>
      <c r="D54" s="481" t="str">
        <f t="array" aca="1" ref="D54" ca="1">+IFERROR(INDEX('048_ANGERS'!$D$15:$D$79,SMALL(IF(('048_ANGERS'!$R$15:$R$79&gt;0)*('048_ANGERS'!$R$15:$R$79&lt;4),ROW('048_ANGERS'!$R$15:$R$79)-14),ROWS($1:9))),"")</f>
        <v>REG</v>
      </c>
      <c r="E54" s="27"/>
      <c r="F54" s="482">
        <f t="array" aca="1" ref="F54" ca="1">+IFERROR(INDEX('048_ANGERS'!$F$15:$F$79,SMALL(IF(('048_ANGERS'!$R$15:$R$79&gt;0)*('048_ANGERS'!$R$15:$R$79&lt;4),ROW('048_ANGERS'!$R$15:$R$79)-14),ROWS($1:9))),"")</f>
        <v>3293</v>
      </c>
      <c r="G54" s="27"/>
      <c r="H54" s="483" t="str">
        <f t="array" aca="1" ref="H54" ca="1">+IFERROR(INDEX('048_ANGERS'!$C$15:$C$79,SMALL(IF(('048_ANGERS'!$R$15:$R$79&gt;4)*('048_ANGERS'!$R$15:$R$79&lt;8),ROW('048_ANGERS'!$R$15:$R$79)-14),ROWS($1:9))),"")</f>
        <v>MEUNIER</v>
      </c>
      <c r="I54" s="27"/>
      <c r="J54" s="484" t="str">
        <f t="array" aca="1" ref="J54" ca="1">+IFERROR(INDEX('048_ANGERS'!$D$15:$D$79,SMALL(IF(('048_ANGERS'!$R$15:$R$79&gt;4)*('048_ANGERS'!$R$15:$R$79&lt;8),ROW('048_ANGERS'!$R$15:$R$79)-14),ROWS($1:9))),"")</f>
        <v>DI</v>
      </c>
      <c r="K54" s="27"/>
      <c r="L54" s="485">
        <f t="array" aca="1" ref="L54" ca="1">+IFERROR(INDEX('048_ANGERS'!$F$15:$F$79,SMALL(IF(('048_ANGERS'!$R$15:$R$79&gt;4)*('048_ANGERS'!$R$15:$R$79&lt;8),ROW('048_ANGERS'!$R$15:$R$79)-14),ROWS($1:9))),"")</f>
        <v>1492</v>
      </c>
      <c r="M54" s="27"/>
      <c r="N54" s="496" t="str">
        <f t="array" aca="1" ref="N54" ca="1">+IFERROR(INDEX('048_ANGERS'!$C$15:$C$79,SMALL(IF(('048_ANGERS'!$R$15:$R$79&gt;8)*('048_ANGERS'!$R$15:$R$79&lt;10),ROW('048_ANGERS'!$R$15:$R$79)-14),ROWS($1:9))),"")</f>
        <v/>
      </c>
      <c r="O54" s="27"/>
      <c r="P54" s="497" t="str">
        <f t="array" aca="1" ref="P54" ca="1">+IFERROR(INDEX('048_ANGERS'!$D$15:$D$79,SMALL(IF(('048_ANGERS'!$R$15:$R$79&gt;8)*('048_ANGERS'!$R$15:$R$79&lt;10),ROW('048_ANGERS'!$R$15:$R$79)-14),ROWS($1:9))),"")</f>
        <v/>
      </c>
      <c r="Q54" s="27"/>
      <c r="R54" s="498" t="str">
        <f t="array" aca="1" ref="R54" ca="1">+IFERROR(INDEX('048_ANGERS'!$F$15:$F$79,SMALL(IF(('048_ANGERS'!$R$15:$R$79&gt;8)*('048_ANGERS'!$R$15:$R$79&lt;10),ROW('048_ANGERS'!$R$15:$R$79)-14),ROWS($1:9))),"")</f>
        <v/>
      </c>
    </row>
    <row r="55" spans="1:26" s="29" customFormat="1" ht="16.149999999999999" customHeight="1">
      <c r="A55" s="464">
        <v>10</v>
      </c>
      <c r="B55" s="490" t="str">
        <f t="array" aca="1" ref="B55" ca="1">+IFERROR(INDEX('048_ANGERS'!$C$15:$C$79,SMALL(IF(('048_ANGERS'!$R$15:$R$79&gt;0)*('048_ANGERS'!$R$15:$R$79&lt;4),ROW('048_ANGERS'!$R$15:$R$79)-14),ROWS($1:10))),"")</f>
        <v>BUT</v>
      </c>
      <c r="C55" s="27"/>
      <c r="D55" s="491" t="str">
        <f t="array" aca="1" ref="D55" ca="1">+IFERROR(INDEX('048_ANGERS'!$D$15:$D$79,SMALL(IF(('048_ANGERS'!$R$15:$R$79&gt;0)*('048_ANGERS'!$R$15:$R$79&lt;4),ROW('048_ANGERS'!$R$15:$R$79)-14),ROWS($1:10))),"")</f>
        <v>DCN</v>
      </c>
      <c r="E55" s="27"/>
      <c r="F55" s="492">
        <f t="array" aca="1" ref="F55" ca="1">+IFERROR(INDEX('048_ANGERS'!$F$15:$F$79,SMALL(IF(('048_ANGERS'!$R$15:$R$79&gt;0)*('048_ANGERS'!$R$15:$R$79&lt;4),ROW('048_ANGERS'!$R$15:$R$79)-14),ROWS($1:10))),"")</f>
        <v>2238</v>
      </c>
      <c r="G55" s="27"/>
      <c r="H55" s="493" t="str">
        <f t="array" aca="1" ref="H55" ca="1">+IFERROR(INDEX('048_ANGERS'!$C$15:$C$79,SMALL(IF(('048_ANGERS'!$R$15:$R$79&gt;4)*('048_ANGERS'!$R$15:$R$79&lt;8),ROW('048_ANGERS'!$R$15:$R$79)-14),ROWS($1:10))),"")</f>
        <v/>
      </c>
      <c r="I55" s="27"/>
      <c r="J55" s="494" t="str">
        <f t="array" aca="1" ref="J55" ca="1">+IFERROR(INDEX('048_ANGERS'!$D$15:$D$79,SMALL(IF(('048_ANGERS'!$R$15:$R$79&gt;4)*('048_ANGERS'!$R$15:$R$79&lt;8),ROW('048_ANGERS'!$R$15:$R$79)-14),ROWS($1:10))),"")</f>
        <v/>
      </c>
      <c r="K55" s="27"/>
      <c r="L55" s="495" t="str">
        <f t="array" aca="1" ref="L55" ca="1">+IFERROR(INDEX('048_ANGERS'!$F$15:$F$79,SMALL(IF(('048_ANGERS'!$R$15:$R$79&gt;4)*('048_ANGERS'!$R$15:$R$79&lt;8),ROW('048_ANGERS'!$R$15:$R$79)-14),ROWS($1:10))),"")</f>
        <v/>
      </c>
      <c r="M55" s="27"/>
      <c r="N55" s="486" t="str">
        <f t="array" aca="1" ref="N55" ca="1">+IFERROR(INDEX('048_ANGERS'!$C$15:$C$79,SMALL(IF(('048_ANGERS'!$R$15:$R$79&gt;8)*('048_ANGERS'!$R$15:$R$79&lt;10),ROW('048_ANGERS'!$R$15:$R$79)-14),ROWS($1:10))),"")</f>
        <v/>
      </c>
      <c r="O55" s="27"/>
      <c r="P55" s="487" t="str">
        <f t="array" aca="1" ref="P55" ca="1">+IFERROR(INDEX('048_ANGERS'!$D$15:$D$79,SMALL(IF(('048_ANGERS'!$R$15:$R$79&gt;8)*('048_ANGERS'!$R$15:$R$79&lt;10),ROW('048_ANGERS'!$R$15:$R$79)-14),ROWS($1:10))),"")</f>
        <v/>
      </c>
      <c r="Q55" s="27"/>
      <c r="R55" s="488" t="str">
        <f t="array" aca="1" ref="R55" ca="1">+IFERROR(INDEX('048_ANGERS'!$F$15:$F$79,SMALL(IF(('048_ANGERS'!$R$15:$R$79&gt;8)*('048_ANGERS'!$R$15:$R$79&lt;10),ROW('048_ANGERS'!$R$15:$R$79)-14),ROWS($1:10))),"")</f>
        <v/>
      </c>
    </row>
    <row r="56" spans="1:26" s="29" customFormat="1" ht="16.149999999999999" customHeight="1">
      <c r="A56" s="464">
        <v>11</v>
      </c>
      <c r="B56" s="480" t="str">
        <f t="array" aca="1" ref="B56" ca="1">+IFERROR(INDEX('048_ANGERS'!$C$15:$C$79,SMALL(IF(('048_ANGERS'!$R$15:$R$79&gt;0)*('048_ANGERS'!$R$15:$R$79&lt;4),ROW('048_ANGERS'!$R$15:$R$79)-14),ROWS($1:11))),"")</f>
        <v>GEDCAF</v>
      </c>
      <c r="C56" s="27"/>
      <c r="D56" s="481" t="str">
        <f t="array" aca="1" ref="D56" ca="1">+IFERROR(INDEX('048_ANGERS'!$D$15:$D$79,SMALL(IF(('048_ANGERS'!$R$15:$R$79&gt;0)*('048_ANGERS'!$R$15:$R$79&lt;4),ROW('048_ANGERS'!$R$15:$R$79)-14),ROWS($1:11))),"")</f>
        <v>AO</v>
      </c>
      <c r="E56" s="27"/>
      <c r="F56" s="482">
        <f t="array" aca="1" ref="F56" ca="1">+IFERROR(INDEX('048_ANGERS'!$F$15:$F$79,SMALL(IF(('048_ANGERS'!$R$15:$R$79&gt;0)*('048_ANGERS'!$R$15:$R$79&lt;4),ROW('048_ANGERS'!$R$15:$R$79)-14),ROWS($1:11))),"")</f>
        <v>2084</v>
      </c>
      <c r="G56" s="27"/>
      <c r="H56" s="483" t="str">
        <f t="array" aca="1" ref="H56" ca="1">+IFERROR(INDEX('048_ANGERS'!$C$15:$C$79,SMALL(IF(('048_ANGERS'!$R$15:$R$79&gt;4)*('048_ANGERS'!$R$15:$R$79&lt;8),ROW('048_ANGERS'!$R$15:$R$79)-14),ROWS($1:11))),"")</f>
        <v/>
      </c>
      <c r="I56" s="27"/>
      <c r="J56" s="484" t="str">
        <f t="array" aca="1" ref="J56" ca="1">+IFERROR(INDEX('048_ANGERS'!$D$15:$D$79,SMALL(IF(('048_ANGERS'!$R$15:$R$79&gt;4)*('048_ANGERS'!$R$15:$R$79&lt;8),ROW('048_ANGERS'!$R$15:$R$79)-14),ROWS($1:11))),"")</f>
        <v/>
      </c>
      <c r="K56" s="27"/>
      <c r="L56" s="485" t="str">
        <f t="array" aca="1" ref="L56" ca="1">+IFERROR(INDEX('048_ANGERS'!$F$15:$F$79,SMALL(IF(('048_ANGERS'!$R$15:$R$79&gt;4)*('048_ANGERS'!$R$15:$R$79&lt;8),ROW('048_ANGERS'!$R$15:$R$79)-14),ROWS($1:11))),"")</f>
        <v/>
      </c>
      <c r="M56" s="27"/>
      <c r="N56" s="496" t="str">
        <f t="array" aca="1" ref="N56" ca="1">+IFERROR(INDEX('048_ANGERS'!$C$15:$C$79,SMALL(IF(('048_ANGERS'!$R$15:$R$79&gt;8)*('048_ANGERS'!$R$15:$R$79&lt;10),ROW('048_ANGERS'!$R$15:$R$79)-14),ROWS($1:11))),"")</f>
        <v/>
      </c>
      <c r="O56" s="27"/>
      <c r="P56" s="497" t="str">
        <f t="array" aca="1" ref="P56" ca="1">+IFERROR(INDEX('048_ANGERS'!$D$15:$D$79,SMALL(IF(('048_ANGERS'!$R$15:$R$79&gt;8)*('048_ANGERS'!$R$15:$R$79&lt;10),ROW('048_ANGERS'!$R$15:$R$79)-14),ROWS($1:11))),"")</f>
        <v/>
      </c>
      <c r="Q56" s="27"/>
      <c r="R56" s="498" t="str">
        <f t="array" aca="1" ref="R56" ca="1">+IFERROR(INDEX('048_ANGERS'!$F$15:$F$79,SMALL(IF(('048_ANGERS'!$R$15:$R$79&gt;8)*('048_ANGERS'!$R$15:$R$79&lt;10),ROW('048_ANGERS'!$R$15:$R$79)-14),ROWS($1:11))),"")</f>
        <v/>
      </c>
    </row>
    <row r="57" spans="1:26" s="29" customFormat="1" ht="16.149999999999999" customHeight="1">
      <c r="A57" s="464">
        <v>12</v>
      </c>
      <c r="B57" s="490" t="str">
        <f t="array" aca="1" ref="B57" ca="1">+IFERROR(INDEX('048_ANGERS'!$C$15:$C$79,SMALL(IF(('048_ANGERS'!$R$15:$R$79&gt;0)*('048_ANGERS'!$R$15:$R$79&lt;4),ROW('048_ANGERS'!$R$15:$R$79)-14),ROWS($1:12))),"")</f>
        <v>BGP LOGISTIC</v>
      </c>
      <c r="C57" s="27"/>
      <c r="D57" s="491" t="str">
        <f t="array" aca="1" ref="D57" ca="1">+IFERROR(INDEX('048_ANGERS'!$D$15:$D$79,SMALL(IF(('048_ANGERS'!$R$15:$R$79&gt;0)*('048_ANGERS'!$R$15:$R$79&lt;4),ROW('048_ANGERS'!$R$15:$R$79)-14),ROWS($1:12))),"")</f>
        <v>DI</v>
      </c>
      <c r="E57" s="27"/>
      <c r="F57" s="492">
        <f t="array" aca="1" ref="F57" ca="1">+IFERROR(INDEX('048_ANGERS'!$F$15:$F$79,SMALL(IF(('048_ANGERS'!$R$15:$R$79&gt;0)*('048_ANGERS'!$R$15:$R$79&lt;4),ROW('048_ANGERS'!$R$15:$R$79)-14),ROWS($1:12))),"")</f>
        <v>1741</v>
      </c>
      <c r="H57" s="493" t="str">
        <f t="array" aca="1" ref="H57" ca="1">+IFERROR(INDEX('048_ANGERS'!$C$15:$C$79,SMALL(IF(('048_ANGERS'!$R$15:$R$79&gt;4)*('048_ANGERS'!$R$15:$R$79&lt;8),ROW('048_ANGERS'!$R$15:$R$79)-14),ROWS($1:12))),"")</f>
        <v/>
      </c>
      <c r="I57" s="27"/>
      <c r="J57" s="494" t="str">
        <f t="array" aca="1" ref="J57" ca="1">+IFERROR(INDEX('048_ANGERS'!$D$15:$D$79,SMALL(IF(('048_ANGERS'!$R$15:$R$79&gt;4)*('048_ANGERS'!$R$15:$R$79&lt;8),ROW('048_ANGERS'!$R$15:$R$79)-14),ROWS($1:12))),"")</f>
        <v/>
      </c>
      <c r="K57" s="27"/>
      <c r="L57" s="495" t="str">
        <f t="array" aca="1" ref="L57" ca="1">+IFERROR(INDEX('048_ANGERS'!$F$15:$F$79,SMALL(IF(('048_ANGERS'!$R$15:$R$79&gt;4)*('048_ANGERS'!$R$15:$R$79&lt;8),ROW('048_ANGERS'!$R$15:$R$79)-14),ROWS($1:12))),"")</f>
        <v/>
      </c>
      <c r="N57" s="486" t="str">
        <f t="array" aca="1" ref="N57" ca="1">+IFERROR(INDEX('048_ANGERS'!$C$15:$C$79,SMALL(IF(('048_ANGERS'!$R$15:$R$79&gt;8)*('048_ANGERS'!$R$15:$R$79&lt;10),ROW('048_ANGERS'!$R$15:$R$79)-14),ROWS($1:12))),"")</f>
        <v/>
      </c>
      <c r="O57" s="27"/>
      <c r="P57" s="487" t="str">
        <f t="array" aca="1" ref="P57" ca="1">+IFERROR(INDEX('048_ANGERS'!$D$15:$D$79,SMALL(IF(('048_ANGERS'!$R$15:$R$79&gt;8)*('048_ANGERS'!$R$15:$R$79&lt;10),ROW('048_ANGERS'!$R$15:$R$79)-14),ROWS($1:12))),"")</f>
        <v/>
      </c>
      <c r="Q57" s="27"/>
      <c r="R57" s="488" t="str">
        <f t="array" aca="1" ref="R57" ca="1">+IFERROR(INDEX('048_ANGERS'!$F$15:$F$79,SMALL(IF(('048_ANGERS'!$R$15:$R$79&gt;8)*('048_ANGERS'!$R$15:$R$79&lt;10),ROW('048_ANGERS'!$R$15:$R$79)-14),ROWS($1:12))),"")</f>
        <v/>
      </c>
    </row>
    <row r="58" spans="1:26" s="29" customFormat="1" ht="16.149999999999999" customHeight="1">
      <c r="A58" s="464">
        <v>13</v>
      </c>
      <c r="B58" s="480" t="str">
        <f t="array" aca="1" ref="B58" ca="1">+IFERROR(INDEX('048_ANGERS'!$C$15:$C$79,SMALL(IF(('048_ANGERS'!$R$15:$R$79&gt;0)*('048_ANGERS'!$R$15:$R$79&lt;4),ROW('048_ANGERS'!$R$15:$R$79)-14),ROWS($1:13))),"")</f>
        <v>GATT</v>
      </c>
      <c r="C58" s="27"/>
      <c r="D58" s="481" t="str">
        <f t="array" aca="1" ref="D58" ca="1">+IFERROR(INDEX('048_ANGERS'!$D$15:$D$79,SMALL(IF(('048_ANGERS'!$R$15:$R$79&gt;0)*('048_ANGERS'!$R$15:$R$79&lt;4),ROW('048_ANGERS'!$R$15:$R$79)-14),ROWS($1:13))),"")</f>
        <v>DI</v>
      </c>
      <c r="E58" s="27"/>
      <c r="F58" s="482">
        <f t="array" aca="1" ref="F58" ca="1">+IFERROR(INDEX('048_ANGERS'!$F$15:$F$79,SMALL(IF(('048_ANGERS'!$R$15:$R$79&gt;0)*('048_ANGERS'!$R$15:$R$79&lt;4),ROW('048_ANGERS'!$R$15:$R$79)-14),ROWS($1:13))),"")</f>
        <v>1569</v>
      </c>
      <c r="H58" s="483" t="str">
        <f t="array" aca="1" ref="H58" ca="1">+IFERROR(INDEX('048_ANGERS'!$C$15:$C$79,SMALL(IF(('048_ANGERS'!$R$15:$R$79&gt;4)*('048_ANGERS'!$R$15:$R$79&lt;8),ROW('048_ANGERS'!$R$15:$R$79)-14),ROWS($1:13))),"")</f>
        <v/>
      </c>
      <c r="I58" s="27"/>
      <c r="J58" s="484" t="str">
        <f t="array" aca="1" ref="J58" ca="1">+IFERROR(INDEX('048_ANGERS'!$D$15:$D$79,SMALL(IF(('048_ANGERS'!$R$15:$R$79&gt;4)*('048_ANGERS'!$R$15:$R$79&lt;8),ROW('048_ANGERS'!$R$15:$R$79)-14),ROWS($1:13))),"")</f>
        <v/>
      </c>
      <c r="K58" s="27"/>
      <c r="L58" s="485" t="str">
        <f t="array" aca="1" ref="L58" ca="1">+IFERROR(INDEX('048_ANGERS'!$F$15:$F$79,SMALL(IF(('048_ANGERS'!$R$15:$R$79&gt;4)*('048_ANGERS'!$R$15:$R$79&lt;8),ROW('048_ANGERS'!$R$15:$R$79)-14),ROWS($1:13))),"")</f>
        <v/>
      </c>
      <c r="N58" s="496" t="str">
        <f t="array" aca="1" ref="N58" ca="1">+IFERROR(INDEX('048_ANGERS'!$C$15:$C$79,SMALL(IF(('048_ANGERS'!$R$15:$R$79&gt;8)*('048_ANGERS'!$R$15:$R$79&lt;10),ROW('048_ANGERS'!$R$15:$R$79)-14),ROWS($1:13))),"")</f>
        <v/>
      </c>
      <c r="O58" s="27"/>
      <c r="P58" s="497" t="str">
        <f t="array" aca="1" ref="P58" ca="1">+IFERROR(INDEX('048_ANGERS'!$D$15:$D$79,SMALL(IF(('048_ANGERS'!$R$15:$R$79&gt;8)*('048_ANGERS'!$R$15:$R$79&lt;10),ROW('048_ANGERS'!$R$15:$R$79)-14),ROWS($1:13))),"")</f>
        <v/>
      </c>
      <c r="Q58" s="27"/>
      <c r="R58" s="498" t="str">
        <f t="array" aca="1" ref="R58" ca="1">+IFERROR(INDEX('048_ANGERS'!$F$15:$F$79,SMALL(IF(('048_ANGERS'!$R$15:$R$79&gt;8)*('048_ANGERS'!$R$15:$R$79&lt;10),ROW('048_ANGERS'!$R$15:$R$79)-14),ROWS($1:13))),"")</f>
        <v/>
      </c>
    </row>
    <row r="59" spans="1:26" s="29" customFormat="1" ht="16.149999999999999" customHeight="1">
      <c r="A59" s="464">
        <v>14</v>
      </c>
      <c r="B59" s="490" t="str">
        <f t="array" aca="1" ref="B59" ca="1">+IFERROR(INDEX('048_ANGERS'!$C$15:$C$79,SMALL(IF(('048_ANGERS'!$R$15:$R$79&gt;0)*('048_ANGERS'!$R$15:$R$79&lt;4),ROW('048_ANGERS'!$R$15:$R$79)-14),ROWS($1:14))),"")</f>
        <v/>
      </c>
      <c r="C59" s="27"/>
      <c r="D59" s="491" t="str">
        <f t="array" aca="1" ref="D59" ca="1">+IFERROR(INDEX('048_ANGERS'!$D$15:$D$79,SMALL(IF(('048_ANGERS'!$R$15:$R$79&gt;0)*('048_ANGERS'!$R$15:$R$79&lt;4),ROW('048_ANGERS'!$R$15:$R$79)-14),ROWS($1:14))),"")</f>
        <v/>
      </c>
      <c r="E59" s="27"/>
      <c r="F59" s="492" t="str">
        <f t="array" aca="1" ref="F59" ca="1">+IFERROR(INDEX('048_ANGERS'!$F$15:$F$79,SMALL(IF(('048_ANGERS'!$R$15:$R$79&gt;0)*('048_ANGERS'!$R$15:$R$79&lt;4),ROW('048_ANGERS'!$R$15:$R$79)-14),ROWS($1:14))),"")</f>
        <v/>
      </c>
      <c r="H59" s="493" t="str">
        <f t="array" aca="1" ref="H59" ca="1">+IFERROR(INDEX('048_ANGERS'!$C$15:$C$79,SMALL(IF(('048_ANGERS'!$R$15:$R$79&gt;4)*('048_ANGERS'!$R$15:$R$79&lt;8),ROW('048_ANGERS'!$R$15:$R$79)-14),ROWS($1:14))),"")</f>
        <v/>
      </c>
      <c r="I59" s="27"/>
      <c r="J59" s="494" t="str">
        <f t="array" aca="1" ref="J59" ca="1">+IFERROR(INDEX('048_ANGERS'!$D$15:$D$79,SMALL(IF(('048_ANGERS'!$R$15:$R$79&gt;4)*('048_ANGERS'!$R$15:$R$79&lt;8),ROW('048_ANGERS'!$R$15:$R$79)-14),ROWS($1:14))),"")</f>
        <v/>
      </c>
      <c r="K59" s="27"/>
      <c r="L59" s="495" t="str">
        <f t="array" aca="1" ref="L59" ca="1">+IFERROR(INDEX('048_ANGERS'!$F$15:$F$79,SMALL(IF(('048_ANGERS'!$R$15:$R$79&gt;4)*('048_ANGERS'!$R$15:$R$79&lt;8),ROW('048_ANGERS'!$R$15:$R$79)-14),ROWS($1:14))),"")</f>
        <v/>
      </c>
      <c r="N59" s="486" t="str">
        <f t="array" aca="1" ref="N59" ca="1">+IFERROR(INDEX('048_ANGERS'!$C$15:$C$79,SMALL(IF(('048_ANGERS'!$R$15:$R$79&gt;8)*('048_ANGERS'!$R$15:$R$79&lt;10),ROW('048_ANGERS'!$R$15:$R$79)-14),ROWS($1:14))),"")</f>
        <v/>
      </c>
      <c r="O59" s="27"/>
      <c r="P59" s="487" t="str">
        <f t="array" aca="1" ref="P59" ca="1">+IFERROR(INDEX('048_ANGERS'!$D$15:$D$79,SMALL(IF(('048_ANGERS'!$R$15:$R$79&gt;8)*('048_ANGERS'!$R$15:$R$79&lt;10),ROW('048_ANGERS'!$R$15:$R$79)-14),ROWS($1:14))),"")</f>
        <v/>
      </c>
      <c r="Q59" s="27"/>
      <c r="R59" s="488" t="str">
        <f t="array" aca="1" ref="R59" ca="1">+IFERROR(INDEX('048_ANGERS'!$F$15:$F$79,SMALL(IF(('048_ANGERS'!$R$15:$R$79&gt;8)*('048_ANGERS'!$R$15:$R$79&lt;10),ROW('048_ANGERS'!$R$15:$R$79)-14),ROWS($1:14))),"")</f>
        <v/>
      </c>
    </row>
    <row r="60" spans="1:26" s="29" customFormat="1" ht="16.149999999999999" customHeight="1">
      <c r="A60" s="464">
        <v>15</v>
      </c>
      <c r="B60" s="480" t="str">
        <f t="array" aca="1" ref="B60" ca="1">+IFERROR(INDEX('048_ANGERS'!$C$15:$C$79,SMALL(IF(('048_ANGERS'!$R$15:$R$79&gt;0)*('048_ANGERS'!$R$15:$R$79&lt;4),ROW('048_ANGERS'!$R$15:$R$79)-14),ROWS($1:15))),"")</f>
        <v/>
      </c>
      <c r="C60" s="27"/>
      <c r="D60" s="481" t="str">
        <f t="array" aca="1" ref="D60" ca="1">+IFERROR(INDEX('048_ANGERS'!$D$15:$D$79,SMALL(IF(('048_ANGERS'!$R$15:$R$79&gt;0)*('048_ANGERS'!$R$15:$R$79&lt;4),ROW('048_ANGERS'!$R$15:$R$79)-14),ROWS($1:15))),"")</f>
        <v/>
      </c>
      <c r="E60" s="27"/>
      <c r="F60" s="482" t="str">
        <f t="array" aca="1" ref="F60" ca="1">+IFERROR(INDEX('048_ANGERS'!$F$15:$F$79,SMALL(IF(('048_ANGERS'!$R$15:$R$79&gt;0)*('048_ANGERS'!$R$15:$R$79&lt;4),ROW('048_ANGERS'!$R$15:$R$79)-14),ROWS($1:15))),"")</f>
        <v/>
      </c>
      <c r="H60" s="483" t="str">
        <f t="array" aca="1" ref="H60" ca="1">+IFERROR(INDEX('048_ANGERS'!$C$15:$C$79,SMALL(IF(('048_ANGERS'!$R$15:$R$79&gt;4)*('048_ANGERS'!$R$15:$R$79&lt;8),ROW('048_ANGERS'!$R$15:$R$79)-14),ROWS($1:15))),"")</f>
        <v/>
      </c>
      <c r="I60" s="27"/>
      <c r="J60" s="484" t="str">
        <f t="array" aca="1" ref="J60" ca="1">+IFERROR(INDEX('048_ANGERS'!$D$15:$D$79,SMALL(IF(('048_ANGERS'!$R$15:$R$79&gt;4)*('048_ANGERS'!$R$15:$R$79&lt;8),ROW('048_ANGERS'!$R$15:$R$79)-14),ROWS($1:15))),"")</f>
        <v/>
      </c>
      <c r="K60" s="27"/>
      <c r="L60" s="485" t="str">
        <f t="array" aca="1" ref="L60" ca="1">+IFERROR(INDEX('048_ANGERS'!$F$15:$F$79,SMALL(IF(('048_ANGERS'!$R$15:$R$79&gt;4)*('048_ANGERS'!$R$15:$R$79&lt;8),ROW('048_ANGERS'!$R$15:$R$79)-14),ROWS($1:15))),"")</f>
        <v/>
      </c>
      <c r="N60" s="496" t="str">
        <f t="array" aca="1" ref="N60" ca="1">+IFERROR(INDEX('048_ANGERS'!$C$15:$C$79,SMALL(IF(('048_ANGERS'!$R$15:$R$79&gt;8)*('048_ANGERS'!$R$15:$R$79&lt;10),ROW('048_ANGERS'!$R$15:$R$79)-14),ROWS($1:15))),"")</f>
        <v/>
      </c>
      <c r="O60" s="27"/>
      <c r="P60" s="497" t="str">
        <f t="array" aca="1" ref="P60" ca="1">+IFERROR(INDEX('048_ANGERS'!$D$15:$D$79,SMALL(IF(('048_ANGERS'!$R$15:$R$79&gt;8)*('048_ANGERS'!$R$15:$R$79&lt;10),ROW('048_ANGERS'!$R$15:$R$79)-14),ROWS($1:15))),"")</f>
        <v/>
      </c>
      <c r="Q60" s="27"/>
      <c r="R60" s="498" t="str">
        <f t="array" aca="1" ref="R60" ca="1">+IFERROR(INDEX('048_ANGERS'!$F$15:$F$79,SMALL(IF(('048_ANGERS'!$R$15:$R$79&gt;8)*('048_ANGERS'!$R$15:$R$79&lt;10),ROW('048_ANGERS'!$R$15:$R$79)-14),ROWS($1:15))),"")</f>
        <v/>
      </c>
    </row>
    <row r="61" spans="1:26">
      <c r="A61" s="464">
        <v>16</v>
      </c>
      <c r="B61" s="490" t="str">
        <f t="array" aca="1" ref="B61" ca="1">+IFERROR(INDEX('048_ANGERS'!$C$15:$C$79,SMALL(IF(('048_ANGERS'!$R$15:$R$79&gt;0)*('048_ANGERS'!$R$15:$R$79&lt;4),ROW('048_ANGERS'!$R$15:$R$79)-14),ROWS($1:16))),"")</f>
        <v/>
      </c>
      <c r="C61" s="27"/>
      <c r="D61" s="491" t="str">
        <f t="array" aca="1" ref="D61" ca="1">+IFERROR(INDEX('048_ANGERS'!$D$15:$D$79,SMALL(IF(('048_ANGERS'!$R$15:$R$79&gt;0)*('048_ANGERS'!$R$15:$R$79&lt;4),ROW('048_ANGERS'!$R$15:$R$79)-14),ROWS($1:16))),"")</f>
        <v/>
      </c>
      <c r="E61" s="27"/>
      <c r="F61" s="492" t="str">
        <f t="array" aca="1" ref="F61" ca="1">+IFERROR(INDEX('048_ANGERS'!$F$15:$F$79,SMALL(IF(('048_ANGERS'!$R$15:$R$79&gt;0)*('048_ANGERS'!$R$15:$R$79&lt;4),ROW('048_ANGERS'!$R$15:$R$79)-14),ROWS($1:16))),"")</f>
        <v/>
      </c>
      <c r="G61" s="27"/>
      <c r="H61" s="493" t="str">
        <f t="array" aca="1" ref="H61" ca="1">+IFERROR(INDEX('048_ANGERS'!$C$15:$C$79,SMALL(IF(('048_ANGERS'!$R$15:$R$79&gt;4)*('048_ANGERS'!$R$15:$R$79&lt;8),ROW('048_ANGERS'!$R$15:$R$79)-14),ROWS($1:16))),"")</f>
        <v/>
      </c>
      <c r="I61" s="27"/>
      <c r="J61" s="494" t="str">
        <f t="array" aca="1" ref="J61" ca="1">+IFERROR(INDEX('048_ANGERS'!$D$15:$D$79,SMALL(IF(('048_ANGERS'!$R$15:$R$79&gt;4)*('048_ANGERS'!$R$15:$R$79&lt;8),ROW('048_ANGERS'!$R$15:$R$79)-14),ROWS($1:16))),"")</f>
        <v/>
      </c>
      <c r="K61" s="27"/>
      <c r="L61" s="495" t="str">
        <f t="array" aca="1" ref="L61" ca="1">+IFERROR(INDEX('048_ANGERS'!$F$15:$F$79,SMALL(IF(('048_ANGERS'!$R$15:$R$79&gt;4)*('048_ANGERS'!$R$15:$R$79&lt;8),ROW('048_ANGERS'!$R$15:$R$79)-14),ROWS($1:16))),"")</f>
        <v/>
      </c>
      <c r="M61" s="27"/>
      <c r="N61" s="496" t="str">
        <f t="array" aca="1" ref="N61" ca="1">+IFERROR(INDEX('048_ANGERS'!$C$15:$C$79,SMALL(IF(('048_ANGERS'!$R$15:$R$79&gt;8)*('048_ANGERS'!$R$15:$R$79&lt;10),ROW('048_ANGERS'!$R$15:$R$79)-14),ROWS($1:16))),"")</f>
        <v/>
      </c>
      <c r="O61" s="27"/>
      <c r="P61" s="497" t="str">
        <f t="array" aca="1" ref="P61" ca="1">+IFERROR(INDEX('048_ANGERS'!$D$15:$D$79,SMALL(IF(('048_ANGERS'!$R$15:$R$79&gt;8)*('048_ANGERS'!$R$15:$R$79&lt;10),ROW('048_ANGERS'!$R$15:$R$79)-14),ROWS($1:16))),"")</f>
        <v/>
      </c>
      <c r="Q61" s="27"/>
      <c r="R61" s="498" t="str">
        <f t="array" aca="1" ref="R61" ca="1">+IFERROR(INDEX('048_ANGERS'!$F$15:$F$79,SMALL(IF(('048_ANGERS'!$R$15:$R$79&gt;8)*('048_ANGERS'!$R$15:$R$79&lt;10),ROW('048_ANGERS'!$R$15:$R$79)-14),ROWS($1:16))),"")</f>
        <v/>
      </c>
    </row>
    <row r="62" spans="1:26">
      <c r="A62" s="464">
        <v>17</v>
      </c>
      <c r="B62" s="480" t="str">
        <f t="array" aca="1" ref="B62" ca="1">+IFERROR(INDEX('048_ANGERS'!$C$15:$C$79,SMALL(IF(('048_ANGERS'!$R$15:$R$79&gt;0)*('048_ANGERS'!$R$15:$R$79&lt;4),ROW('048_ANGERS'!$R$15:$R$79)-14),ROWS($1:17))),"")</f>
        <v/>
      </c>
      <c r="C62" s="27"/>
      <c r="D62" s="481" t="str">
        <f t="array" aca="1" ref="D62" ca="1">+IFERROR(INDEX('048_ANGERS'!$D$15:$D$79,SMALL(IF(('048_ANGERS'!$R$15:$R$79&gt;0)*('048_ANGERS'!$R$15:$R$79&lt;4),ROW('048_ANGERS'!$R$15:$R$79)-14),ROWS($1:17))),"")</f>
        <v/>
      </c>
      <c r="E62" s="27"/>
      <c r="F62" s="482" t="str">
        <f t="array" aca="1" ref="F62" ca="1">+IFERROR(INDEX('048_ANGERS'!$F$15:$F$79,SMALL(IF(('048_ANGERS'!$R$15:$R$79&gt;0)*('048_ANGERS'!$R$15:$R$79&lt;4),ROW('048_ANGERS'!$R$15:$R$79)-14),ROWS($1:17))),"")</f>
        <v/>
      </c>
      <c r="G62" s="27"/>
      <c r="H62" s="483" t="str">
        <f t="array" aca="1" ref="H62" ca="1">+IFERROR(INDEX('048_ANGERS'!$C$15:$C$79,SMALL(IF(('048_ANGERS'!$R$15:$R$79&gt;4)*('048_ANGERS'!$R$15:$R$79&lt;8),ROW('048_ANGERS'!$R$15:$R$79)-14),ROWS($1:17))),"")</f>
        <v/>
      </c>
      <c r="I62" s="27"/>
      <c r="J62" s="484" t="str">
        <f t="array" aca="1" ref="J62" ca="1">+IFERROR(INDEX('048_ANGERS'!$D$15:$D$79,SMALL(IF(('048_ANGERS'!$R$15:$R$79&gt;4)*('048_ANGERS'!$R$15:$R$79&lt;8),ROW('048_ANGERS'!$R$15:$R$79)-14),ROWS($1:17))),"")</f>
        <v/>
      </c>
      <c r="K62" s="27"/>
      <c r="L62" s="485" t="str">
        <f t="array" aca="1" ref="L62" ca="1">+IFERROR(INDEX('048_ANGERS'!$F$15:$F$79,SMALL(IF(('048_ANGERS'!$R$15:$R$79&gt;4)*('048_ANGERS'!$R$15:$R$79&lt;8),ROW('048_ANGERS'!$R$15:$R$79)-14),ROWS($1:17))),"")</f>
        <v/>
      </c>
      <c r="M62" s="27"/>
      <c r="N62" s="486" t="str">
        <f t="array" aca="1" ref="N62" ca="1">+IFERROR(INDEX('048_ANGERS'!$C$15:$C$79,SMALL(IF(('048_ANGERS'!$R$15:$R$79&gt;8)*('048_ANGERS'!$R$15:$R$79&lt;10),ROW('048_ANGERS'!$R$15:$R$79)-14),ROWS($1:17))),"")</f>
        <v/>
      </c>
      <c r="O62" s="27"/>
      <c r="P62" s="487" t="str">
        <f t="array" aca="1" ref="P62" ca="1">+IFERROR(INDEX('048_ANGERS'!$D$15:$D$79,SMALL(IF(('048_ANGERS'!$R$15:$R$79&gt;8)*('048_ANGERS'!$R$15:$R$79&lt;10),ROW('048_ANGERS'!$R$15:$R$79)-14),ROWS($1:17))),"")</f>
        <v/>
      </c>
      <c r="Q62" s="27"/>
      <c r="R62" s="488" t="str">
        <f t="array" aca="1" ref="R62" ca="1">+IFERROR(INDEX('048_ANGERS'!$F$15:$F$79,SMALL(IF(('048_ANGERS'!$R$15:$R$79&gt;8)*('048_ANGERS'!$R$15:$R$79&lt;10),ROW('048_ANGERS'!$R$15:$R$79)-14),ROWS($1:17))),"")</f>
        <v/>
      </c>
    </row>
    <row r="63" spans="1:26">
      <c r="A63" s="464">
        <v>18</v>
      </c>
      <c r="B63" s="490" t="str">
        <f t="array" aca="1" ref="B63" ca="1">+IFERROR(INDEX('048_ANGERS'!$C$15:$C$79,SMALL(IF(('048_ANGERS'!$R$15:$R$79&gt;0)*('048_ANGERS'!$R$15:$R$79&lt;4),ROW('048_ANGERS'!$R$15:$R$79)-14),ROWS($1:18))),"")</f>
        <v/>
      </c>
      <c r="C63" s="27"/>
      <c r="D63" s="491" t="str">
        <f t="array" aca="1" ref="D63" ca="1">+IFERROR(INDEX('048_ANGERS'!$D$15:$D$79,SMALL(IF(('048_ANGERS'!$R$15:$R$79&gt;0)*('048_ANGERS'!$R$15:$R$79&lt;4),ROW('048_ANGERS'!$R$15:$R$79)-14),ROWS($1:18))),"")</f>
        <v/>
      </c>
      <c r="E63" s="27"/>
      <c r="F63" s="492" t="str">
        <f t="array" aca="1" ref="F63" ca="1">+IFERROR(INDEX('048_ANGERS'!$F$15:$F$79,SMALL(IF(('048_ANGERS'!$R$15:$R$79&gt;0)*('048_ANGERS'!$R$15:$R$79&lt;4),ROW('048_ANGERS'!$R$15:$R$79)-14),ROWS($1:18))),"")</f>
        <v/>
      </c>
      <c r="G63" s="27"/>
      <c r="H63" s="493" t="str">
        <f t="array" aca="1" ref="H63" ca="1">+IFERROR(INDEX('048_ANGERS'!$C$15:$C$79,SMALL(IF(('048_ANGERS'!$R$15:$R$79&gt;4)*('048_ANGERS'!$R$15:$R$79&lt;8),ROW('048_ANGERS'!$R$15:$R$79)-14),ROWS($1:18))),"")</f>
        <v/>
      </c>
      <c r="I63" s="27"/>
      <c r="J63" s="494" t="str">
        <f t="array" aca="1" ref="J63" ca="1">+IFERROR(INDEX('048_ANGERS'!$D$15:$D$79,SMALL(IF(('048_ANGERS'!$R$15:$R$79&gt;4)*('048_ANGERS'!$R$15:$R$79&lt;8),ROW('048_ANGERS'!$R$15:$R$79)-14),ROWS($1:18))),"")</f>
        <v/>
      </c>
      <c r="K63" s="27"/>
      <c r="L63" s="495" t="str">
        <f t="array" aca="1" ref="L63" ca="1">+IFERROR(INDEX('048_ANGERS'!$F$15:$F$79,SMALL(IF(('048_ANGERS'!$R$15:$R$79&gt;4)*('048_ANGERS'!$R$15:$R$79&lt;8),ROW('048_ANGERS'!$R$15:$R$79)-14),ROWS($1:18))),"")</f>
        <v/>
      </c>
      <c r="M63" s="27"/>
      <c r="N63" s="496" t="str">
        <f t="array" aca="1" ref="N63" ca="1">+IFERROR(INDEX('048_ANGERS'!$C$15:$C$79,SMALL(IF(('048_ANGERS'!$R$15:$R$79&gt;8)*('048_ANGERS'!$R$15:$R$79&lt;10),ROW('048_ANGERS'!$R$15:$R$79)-14),ROWS($1:18))),"")</f>
        <v/>
      </c>
      <c r="O63" s="27"/>
      <c r="P63" s="497" t="str">
        <f t="array" aca="1" ref="P63" ca="1">+IFERROR(INDEX('048_ANGERS'!$D$15:$D$79,SMALL(IF(('048_ANGERS'!$R$15:$R$79&gt;8)*('048_ANGERS'!$R$15:$R$79&lt;10),ROW('048_ANGERS'!$R$15:$R$79)-14),ROWS($1:18))),"")</f>
        <v/>
      </c>
      <c r="Q63" s="27"/>
      <c r="R63" s="498" t="str">
        <f t="array" aca="1" ref="R63" ca="1">+IFERROR(INDEX('048_ANGERS'!$F$15:$F$79,SMALL(IF(('048_ANGERS'!$R$15:$R$79&gt;8)*('048_ANGERS'!$R$15:$R$79&lt;10),ROW('048_ANGERS'!$R$15:$R$79)-14),ROWS($1:18))),"")</f>
        <v/>
      </c>
    </row>
    <row r="64" spans="1:26">
      <c r="A64" s="464">
        <v>19</v>
      </c>
      <c r="B64" s="480" t="str">
        <f t="array" aca="1" ref="B64" ca="1">+IFERROR(INDEX('048_ANGERS'!$C$15:$C$79,SMALL(IF(('048_ANGERS'!$R$15:$R$79&gt;0)*('048_ANGERS'!$R$15:$R$79&lt;4),ROW('048_ANGERS'!$R$15:$R$79)-14),ROWS($1:19))),"")</f>
        <v/>
      </c>
      <c r="C64" s="27"/>
      <c r="D64" s="481" t="str">
        <f t="array" aca="1" ref="D64" ca="1">+IFERROR(INDEX('048_ANGERS'!$D$15:$D$79,SMALL(IF(('048_ANGERS'!$R$15:$R$79&gt;0)*('048_ANGERS'!$R$15:$R$79&lt;4),ROW('048_ANGERS'!$R$15:$R$79)-14),ROWS($1:19))),"")</f>
        <v/>
      </c>
      <c r="E64" s="27"/>
      <c r="F64" s="482" t="str">
        <f t="array" aca="1" ref="F64" ca="1">+IFERROR(INDEX('048_ANGERS'!$F$15:$F$79,SMALL(IF(('048_ANGERS'!$R$15:$R$79&gt;0)*('048_ANGERS'!$R$15:$R$79&lt;4),ROW('048_ANGERS'!$R$15:$R$79)-14),ROWS($1:19))),"")</f>
        <v/>
      </c>
      <c r="G64" s="27"/>
      <c r="H64" s="483" t="str">
        <f t="array" aca="1" ref="H64" ca="1">+IFERROR(INDEX('048_ANGERS'!$C$15:$C$79,SMALL(IF(('048_ANGERS'!$R$15:$R$79&gt;4)*('048_ANGERS'!$R$15:$R$79&lt;8),ROW('048_ANGERS'!$R$15:$R$79)-14),ROWS($1:19))),"")</f>
        <v/>
      </c>
      <c r="I64" s="27"/>
      <c r="J64" s="484" t="str">
        <f t="array" aca="1" ref="J64" ca="1">+IFERROR(INDEX('048_ANGERS'!$D$15:$D$79,SMALL(IF(('048_ANGERS'!$R$15:$R$79&gt;4)*('048_ANGERS'!$R$15:$R$79&lt;8),ROW('048_ANGERS'!$R$15:$R$79)-14),ROWS($1:19))),"")</f>
        <v/>
      </c>
      <c r="K64" s="27"/>
      <c r="L64" s="485" t="str">
        <f t="array" aca="1" ref="L64" ca="1">+IFERROR(INDEX('048_ANGERS'!$F$15:$F$79,SMALL(IF(('048_ANGERS'!$R$15:$R$79&gt;4)*('048_ANGERS'!$R$15:$R$79&lt;8),ROW('048_ANGERS'!$R$15:$R$79)-14),ROWS($1:19))),"")</f>
        <v/>
      </c>
      <c r="M64" s="27"/>
      <c r="N64" s="486" t="str">
        <f t="array" aca="1" ref="N64" ca="1">+IFERROR(INDEX('048_ANGERS'!$C$15:$C$79,SMALL(IF(('048_ANGERS'!$R$15:$R$79&gt;8)*('048_ANGERS'!$R$15:$R$79&lt;10),ROW('048_ANGERS'!$R$15:$R$79)-14),ROWS($1:19))),"")</f>
        <v/>
      </c>
      <c r="O64" s="27"/>
      <c r="P64" s="487" t="str">
        <f t="array" aca="1" ref="P64" ca="1">+IFERROR(INDEX('048_ANGERS'!$D$15:$D$79,SMALL(IF(('048_ANGERS'!$R$15:$R$79&gt;8)*('048_ANGERS'!$R$15:$R$79&lt;10),ROW('048_ANGERS'!$R$15:$R$79)-14),ROWS($1:19))),"")</f>
        <v/>
      </c>
      <c r="Q64" s="27"/>
      <c r="R64" s="488" t="str">
        <f t="array" aca="1" ref="R64" ca="1">+IFERROR(INDEX('048_ANGERS'!$F$15:$F$79,SMALL(IF(('048_ANGERS'!$R$15:$R$79&gt;8)*('048_ANGERS'!$R$15:$R$79&lt;10),ROW('048_ANGERS'!$R$15:$R$79)-14),ROWS($1:19))),"")</f>
        <v/>
      </c>
    </row>
    <row r="65" spans="1:18">
      <c r="A65" s="464">
        <v>20</v>
      </c>
      <c r="B65" s="490" t="str">
        <f t="array" aca="1" ref="B65" ca="1">+IFERROR(INDEX('048_ANGERS'!$C$15:$C$79,SMALL(IF(('048_ANGERS'!$R$15:$R$79&gt;0)*('048_ANGERS'!$R$15:$R$79&lt;4),ROW('048_ANGERS'!$R$15:$R$79)-14),ROWS($1:20))),"")</f>
        <v/>
      </c>
      <c r="C65" s="27"/>
      <c r="D65" s="491" t="str">
        <f t="array" aca="1" ref="D65" ca="1">+IFERROR(INDEX('048_ANGERS'!$D$15:$D$79,SMALL(IF(('048_ANGERS'!$R$15:$R$79&gt;0)*('048_ANGERS'!$R$15:$R$79&lt;4),ROW('048_ANGERS'!$R$15:$R$79)-14),ROWS($1:20))),"")</f>
        <v/>
      </c>
      <c r="E65" s="27"/>
      <c r="F65" s="492" t="str">
        <f t="array" aca="1" ref="F65" ca="1">+IFERROR(INDEX('048_ANGERS'!$F$15:$F$79,SMALL(IF(('048_ANGERS'!$R$15:$R$79&gt;0)*('048_ANGERS'!$R$15:$R$79&lt;4),ROW('048_ANGERS'!$R$15:$R$79)-14),ROWS($1:20))),"")</f>
        <v/>
      </c>
      <c r="G65" s="27"/>
      <c r="H65" s="493" t="str">
        <f t="array" aca="1" ref="H65" ca="1">+IFERROR(INDEX('048_ANGERS'!$C$15:$C$79,SMALL(IF(('048_ANGERS'!$R$15:$R$79&gt;4)*('048_ANGERS'!$R$15:$R$79&lt;8),ROW('048_ANGERS'!$R$15:$R$79)-14),ROWS($1:20))),"")</f>
        <v/>
      </c>
      <c r="I65" s="27"/>
      <c r="J65" s="494" t="str">
        <f t="array" aca="1" ref="J65" ca="1">+IFERROR(INDEX('048_ANGERS'!$D$15:$D$79,SMALL(IF(('048_ANGERS'!$R$15:$R$79&gt;4)*('048_ANGERS'!$R$15:$R$79&lt;8),ROW('048_ANGERS'!$R$15:$R$79)-14),ROWS($1:20))),"")</f>
        <v/>
      </c>
      <c r="K65" s="27"/>
      <c r="L65" s="495" t="str">
        <f t="array" aca="1" ref="L65" ca="1">+IFERROR(INDEX('048_ANGERS'!$F$15:$F$79,SMALL(IF(('048_ANGERS'!$R$15:$R$79&gt;4)*('048_ANGERS'!$R$15:$R$79&lt;8),ROW('048_ANGERS'!$R$15:$R$79)-14),ROWS($1:20))),"")</f>
        <v/>
      </c>
      <c r="M65" s="27"/>
      <c r="N65" s="496" t="str">
        <f t="array" aca="1" ref="N65" ca="1">+IFERROR(INDEX('048_ANGERS'!$C$15:$C$79,SMALL(IF(('048_ANGERS'!$R$15:$R$79&gt;8)*('048_ANGERS'!$R$15:$R$79&lt;10),ROW('048_ANGERS'!$R$15:$R$79)-14),ROWS($1:20))),"")</f>
        <v/>
      </c>
      <c r="O65" s="27"/>
      <c r="P65" s="497" t="str">
        <f t="array" aca="1" ref="P65" ca="1">+IFERROR(INDEX('048_ANGERS'!$D$15:$D$79,SMALL(IF(('048_ANGERS'!$R$15:$R$79&gt;8)*('048_ANGERS'!$R$15:$R$79&lt;10),ROW('048_ANGERS'!$R$15:$R$79)-14),ROWS($1:20))),"")</f>
        <v/>
      </c>
      <c r="Q65" s="27"/>
      <c r="R65" s="498" t="str">
        <f t="array" aca="1" ref="R65" ca="1">+IFERROR(INDEX('048_ANGERS'!$F$15:$F$79,SMALL(IF(('048_ANGERS'!$R$15:$R$79&gt;8)*('048_ANGERS'!$R$15:$R$79&lt;10),ROW('048_ANGERS'!$R$15:$R$79)-14),ROWS($1:20))),"")</f>
        <v/>
      </c>
    </row>
    <row r="66" spans="1:18">
      <c r="A66" s="464">
        <v>21</v>
      </c>
      <c r="B66" s="480" t="str">
        <f t="array" aca="1" ref="B66" ca="1">+IFERROR(INDEX('048_ANGERS'!$C$15:$C$79,SMALL(IF(('048_ANGERS'!$R$15:$R$79&gt;0)*('048_ANGERS'!$R$15:$R$79&lt;4),ROW('048_ANGERS'!$R$15:$R$79)-14),ROWS($1:21))),"")</f>
        <v/>
      </c>
      <c r="C66" s="27"/>
      <c r="D66" s="481" t="str">
        <f t="array" aca="1" ref="D66" ca="1">+IFERROR(INDEX('048_ANGERS'!$D$15:$D$79,SMALL(IF(('048_ANGERS'!$R$15:$R$79&gt;0)*('048_ANGERS'!$R$15:$R$79&lt;4),ROW('048_ANGERS'!$R$15:$R$79)-14),ROWS($1:21))),"")</f>
        <v/>
      </c>
      <c r="E66" s="27"/>
      <c r="F66" s="482" t="str">
        <f t="array" aca="1" ref="F66" ca="1">+IFERROR(INDEX('048_ANGERS'!$F$15:$F$79,SMALL(IF(('048_ANGERS'!$R$15:$R$79&gt;0)*('048_ANGERS'!$R$15:$R$79&lt;4),ROW('048_ANGERS'!$R$15:$R$79)-14),ROWS($1:21))),"")</f>
        <v/>
      </c>
      <c r="G66" s="27"/>
      <c r="H66" s="483" t="str">
        <f t="array" aca="1" ref="H66" ca="1">+IFERROR(INDEX('048_ANGERS'!$C$15:$C$79,SMALL(IF(('048_ANGERS'!$R$15:$R$79&gt;4)*('048_ANGERS'!$R$15:$R$79&lt;8),ROW('048_ANGERS'!$R$15:$R$79)-14),ROWS($1:21))),"")</f>
        <v/>
      </c>
      <c r="I66" s="27"/>
      <c r="J66" s="484" t="str">
        <f t="array" aca="1" ref="J66" ca="1">+IFERROR(INDEX('048_ANGERS'!$D$15:$D$79,SMALL(IF(('048_ANGERS'!$R$15:$R$79&gt;4)*('048_ANGERS'!$R$15:$R$79&lt;8),ROW('048_ANGERS'!$R$15:$R$79)-14),ROWS($1:21))),"")</f>
        <v/>
      </c>
      <c r="K66" s="27"/>
      <c r="L66" s="485" t="str">
        <f t="array" aca="1" ref="L66" ca="1">+IFERROR(INDEX('048_ANGERS'!$F$15:$F$79,SMALL(IF(('048_ANGERS'!$R$15:$R$79&gt;4)*('048_ANGERS'!$R$15:$R$79&lt;8),ROW('048_ANGERS'!$R$15:$R$79)-14),ROWS($1:21))),"")</f>
        <v/>
      </c>
      <c r="M66" s="27"/>
      <c r="N66" s="486" t="str">
        <f t="array" aca="1" ref="N66" ca="1">+IFERROR(INDEX('048_ANGERS'!$C$15:$C$79,SMALL(IF(('048_ANGERS'!$R$15:$R$79&gt;8)*('048_ANGERS'!$R$15:$R$79&lt;10),ROW('048_ANGERS'!$R$15:$R$79)-14),ROWS($1:21))),"")</f>
        <v/>
      </c>
      <c r="O66" s="27"/>
      <c r="P66" s="487" t="str">
        <f t="array" aca="1" ref="P66" ca="1">+IFERROR(INDEX('048_ANGERS'!$D$15:$D$79,SMALL(IF(('048_ANGERS'!$R$15:$R$79&gt;8)*('048_ANGERS'!$R$15:$R$79&lt;10),ROW('048_ANGERS'!$R$15:$R$79)-14),ROWS($1:21))),"")</f>
        <v/>
      </c>
      <c r="Q66" s="27"/>
      <c r="R66" s="488" t="str">
        <f t="array" aca="1" ref="R66" ca="1">+IFERROR(INDEX('048_ANGERS'!$F$15:$F$79,SMALL(IF(('048_ANGERS'!$R$15:$R$79&gt;8)*('048_ANGERS'!$R$15:$R$79&lt;10),ROW('048_ANGERS'!$R$15:$R$79)-14),ROWS($1:21))),"")</f>
        <v/>
      </c>
    </row>
    <row r="67" spans="1:18">
      <c r="A67" s="464">
        <v>22</v>
      </c>
      <c r="B67" s="490" t="str">
        <f t="array" aca="1" ref="B67" ca="1">+IFERROR(INDEX('048_ANGERS'!$C$15:$C$79,SMALL(IF(('048_ANGERS'!$R$15:$R$79&gt;0)*('048_ANGERS'!$R$15:$R$79&lt;4),ROW('048_ANGERS'!$R$15:$R$79)-14),ROWS($1:22))),"")</f>
        <v/>
      </c>
      <c r="C67" s="27"/>
      <c r="D67" s="491" t="str">
        <f t="array" aca="1" ref="D67" ca="1">+IFERROR(INDEX('048_ANGERS'!$D$15:$D$79,SMALL(IF(('048_ANGERS'!$R$15:$R$79&gt;0)*('048_ANGERS'!$R$15:$R$79&lt;4),ROW('048_ANGERS'!$R$15:$R$79)-14),ROWS($1:22))),"")</f>
        <v/>
      </c>
      <c r="E67" s="27"/>
      <c r="F67" s="492" t="str">
        <f t="array" aca="1" ref="F67" ca="1">+IFERROR(INDEX('048_ANGERS'!$F$15:$F$79,SMALL(IF(('048_ANGERS'!$R$15:$R$79&gt;0)*('048_ANGERS'!$R$15:$R$79&lt;4),ROW('048_ANGERS'!$R$15:$R$79)-14),ROWS($1:22))),"")</f>
        <v/>
      </c>
      <c r="G67" s="27"/>
      <c r="H67" s="493" t="str">
        <f t="array" aca="1" ref="H67" ca="1">+IFERROR(INDEX('048_ANGERS'!$C$15:$C$79,SMALL(IF(('048_ANGERS'!$R$15:$R$79&gt;4)*('048_ANGERS'!$R$15:$R$79&lt;8),ROW('048_ANGERS'!$R$15:$R$79)-14),ROWS($1:22))),"")</f>
        <v/>
      </c>
      <c r="I67" s="27"/>
      <c r="J67" s="494" t="str">
        <f t="array" aca="1" ref="J67" ca="1">+IFERROR(INDEX('048_ANGERS'!$D$15:$D$79,SMALL(IF(('048_ANGERS'!$R$15:$R$79&gt;4)*('048_ANGERS'!$R$15:$R$79&lt;8),ROW('048_ANGERS'!$R$15:$R$79)-14),ROWS($1:22))),"")</f>
        <v/>
      </c>
      <c r="K67" s="27"/>
      <c r="L67" s="495" t="str">
        <f t="array" aca="1" ref="L67" ca="1">+IFERROR(INDEX('048_ANGERS'!$F$15:$F$79,SMALL(IF(('048_ANGERS'!$R$15:$R$79&gt;4)*('048_ANGERS'!$R$15:$R$79&lt;8),ROW('048_ANGERS'!$R$15:$R$79)-14),ROWS($1:22))),"")</f>
        <v/>
      </c>
      <c r="M67" s="27"/>
      <c r="N67" s="496" t="str">
        <f t="array" aca="1" ref="N67" ca="1">+IFERROR(INDEX('048_ANGERS'!$C$15:$C$79,SMALL(IF(('048_ANGERS'!$R$15:$R$79&gt;8)*('048_ANGERS'!$R$15:$R$79&lt;10),ROW('048_ANGERS'!$R$15:$R$79)-14),ROWS($1:22))),"")</f>
        <v/>
      </c>
      <c r="O67" s="27"/>
      <c r="P67" s="497" t="str">
        <f t="array" aca="1" ref="P67" ca="1">+IFERROR(INDEX('048_ANGERS'!$D$15:$D$79,SMALL(IF(('048_ANGERS'!$R$15:$R$79&gt;8)*('048_ANGERS'!$R$15:$R$79&lt;10),ROW('048_ANGERS'!$R$15:$R$79)-14),ROWS($1:22))),"")</f>
        <v/>
      </c>
      <c r="Q67" s="27"/>
      <c r="R67" s="498" t="str">
        <f t="array" aca="1" ref="R67" ca="1">+IFERROR(INDEX('048_ANGERS'!$F$15:$F$79,SMALL(IF(('048_ANGERS'!$R$15:$R$79&gt;8)*('048_ANGERS'!$R$15:$R$79&lt;10),ROW('048_ANGERS'!$R$15:$R$79)-14),ROWS($1:22))),"")</f>
        <v/>
      </c>
    </row>
    <row r="68" spans="1:18">
      <c r="A68" s="464">
        <v>23</v>
      </c>
      <c r="B68" s="480" t="str">
        <f t="array" aca="1" ref="B68" ca="1">+IFERROR(INDEX('048_ANGERS'!$C$15:$C$79,SMALL(IF(('048_ANGERS'!$R$15:$R$79&gt;0)*('048_ANGERS'!$R$15:$R$79&lt;4),ROW('048_ANGERS'!$R$15:$R$79)-14),ROWS($1:23))),"")</f>
        <v/>
      </c>
      <c r="C68" s="27"/>
      <c r="D68" s="481" t="str">
        <f t="array" aca="1" ref="D68" ca="1">+IFERROR(INDEX('048_ANGERS'!$D$15:$D$79,SMALL(IF(('048_ANGERS'!$R$15:$R$79&gt;0)*('048_ANGERS'!$R$15:$R$79&lt;4),ROW('048_ANGERS'!$R$15:$R$79)-14),ROWS($1:23))),"")</f>
        <v/>
      </c>
      <c r="E68" s="27"/>
      <c r="F68" s="482" t="str">
        <f t="array" aca="1" ref="F68" ca="1">+IFERROR(INDEX('048_ANGERS'!$F$15:$F$79,SMALL(IF(('048_ANGERS'!$R$15:$R$79&gt;0)*('048_ANGERS'!$R$15:$R$79&lt;4),ROW('048_ANGERS'!$R$15:$R$79)-14),ROWS($1:23))),"")</f>
        <v/>
      </c>
      <c r="G68" s="27"/>
      <c r="H68" s="483" t="str">
        <f t="array" aca="1" ref="H68" ca="1">+IFERROR(INDEX('048_ANGERS'!$C$15:$C$79,SMALL(IF(('048_ANGERS'!$R$15:$R$79&gt;4)*('048_ANGERS'!$R$15:$R$79&lt;8),ROW('048_ANGERS'!$R$15:$R$79)-14),ROWS($1:23))),"")</f>
        <v/>
      </c>
      <c r="I68" s="27"/>
      <c r="J68" s="484" t="str">
        <f t="array" aca="1" ref="J68" ca="1">+IFERROR(INDEX('048_ANGERS'!$D$15:$D$79,SMALL(IF(('048_ANGERS'!$R$15:$R$79&gt;4)*('048_ANGERS'!$R$15:$R$79&lt;8),ROW('048_ANGERS'!$R$15:$R$79)-14),ROWS($1:23))),"")</f>
        <v/>
      </c>
      <c r="K68" s="27"/>
      <c r="L68" s="485" t="str">
        <f t="array" aca="1" ref="L68" ca="1">+IFERROR(INDEX('048_ANGERS'!$F$15:$F$79,SMALL(IF(('048_ANGERS'!$R$15:$R$79&gt;4)*('048_ANGERS'!$R$15:$R$79&lt;8),ROW('048_ANGERS'!$R$15:$R$79)-14),ROWS($1:23))),"")</f>
        <v/>
      </c>
      <c r="M68" s="27"/>
      <c r="N68" s="486" t="str">
        <f t="array" aca="1" ref="N68" ca="1">+IFERROR(INDEX('048_ANGERS'!$C$15:$C$79,SMALL(IF(('048_ANGERS'!$R$15:$R$79&gt;8)*('048_ANGERS'!$R$15:$R$79&lt;10),ROW('048_ANGERS'!$R$15:$R$79)-14),ROWS($1:23))),"")</f>
        <v/>
      </c>
      <c r="O68" s="27"/>
      <c r="P68" s="487" t="str">
        <f t="array" aca="1" ref="P68" ca="1">+IFERROR(INDEX('048_ANGERS'!$D$15:$D$79,SMALL(IF(('048_ANGERS'!$R$15:$R$79&gt;8)*('048_ANGERS'!$R$15:$R$79&lt;10),ROW('048_ANGERS'!$R$15:$R$79)-14),ROWS($1:23))),"")</f>
        <v/>
      </c>
      <c r="Q68" s="27"/>
      <c r="R68" s="488" t="str">
        <f t="array" aca="1" ref="R68" ca="1">+IFERROR(INDEX('048_ANGERS'!$F$15:$F$79,SMALL(IF(('048_ANGERS'!$R$15:$R$79&gt;8)*('048_ANGERS'!$R$15:$R$79&lt;10),ROW('048_ANGERS'!$R$15:$R$79)-14),ROWS($1:23))),"")</f>
        <v/>
      </c>
    </row>
    <row r="69" spans="1:18">
      <c r="A69" s="464">
        <v>24</v>
      </c>
      <c r="B69" s="490" t="str">
        <f t="array" aca="1" ref="B69" ca="1">+IFERROR(INDEX('048_ANGERS'!$C$15:$C$79,SMALL(IF(('048_ANGERS'!$R$15:$R$79&gt;0)*('048_ANGERS'!$R$15:$R$79&lt;4),ROW('048_ANGERS'!$R$15:$R$79)-14),ROWS($1:24))),"")</f>
        <v/>
      </c>
      <c r="C69" s="27"/>
      <c r="D69" s="491" t="str">
        <f t="array" aca="1" ref="D69" ca="1">+IFERROR(INDEX('048_ANGERS'!$D$15:$D$79,SMALL(IF(('048_ANGERS'!$R$15:$R$79&gt;0)*('048_ANGERS'!$R$15:$R$79&lt;4),ROW('048_ANGERS'!$R$15:$R$79)-14),ROWS($1:24))),"")</f>
        <v/>
      </c>
      <c r="E69" s="27"/>
      <c r="F69" s="492" t="str">
        <f t="array" aca="1" ref="F69" ca="1">+IFERROR(INDEX('048_ANGERS'!$F$15:$F$79,SMALL(IF(('048_ANGERS'!$R$15:$R$79&gt;0)*('048_ANGERS'!$R$15:$R$79&lt;4),ROW('048_ANGERS'!$R$15:$R$79)-14),ROWS($1:24))),"")</f>
        <v/>
      </c>
      <c r="G69" s="27"/>
      <c r="H69" s="493" t="str">
        <f t="array" aca="1" ref="H69" ca="1">+IFERROR(INDEX('048_ANGERS'!$C$15:$C$79,SMALL(IF(('048_ANGERS'!$R$15:$R$79&gt;4)*('048_ANGERS'!$R$15:$R$79&lt;8),ROW('048_ANGERS'!$R$15:$R$79)-14),ROWS($1:24))),"")</f>
        <v/>
      </c>
      <c r="I69" s="27"/>
      <c r="J69" s="494" t="str">
        <f t="array" aca="1" ref="J69" ca="1">+IFERROR(INDEX('048_ANGERS'!$D$15:$D$79,SMALL(IF(('048_ANGERS'!$R$15:$R$79&gt;4)*('048_ANGERS'!$R$15:$R$79&lt;8),ROW('048_ANGERS'!$R$15:$R$79)-14),ROWS($1:24))),"")</f>
        <v/>
      </c>
      <c r="K69" s="27"/>
      <c r="L69" s="495" t="str">
        <f t="array" aca="1" ref="L69" ca="1">+IFERROR(INDEX('048_ANGERS'!$F$15:$F$79,SMALL(IF(('048_ANGERS'!$R$15:$R$79&gt;4)*('048_ANGERS'!$R$15:$R$79&lt;8),ROW('048_ANGERS'!$R$15:$R$79)-14),ROWS($1:24))),"")</f>
        <v/>
      </c>
      <c r="M69" s="27"/>
      <c r="N69" s="496" t="str">
        <f t="array" aca="1" ref="N69" ca="1">+IFERROR(INDEX('048_ANGERS'!$C$15:$C$79,SMALL(IF(('048_ANGERS'!$R$15:$R$79&gt;8)*('048_ANGERS'!$R$15:$R$79&lt;10),ROW('048_ANGERS'!$R$15:$R$79)-14),ROWS($1:24))),"")</f>
        <v/>
      </c>
      <c r="O69" s="27"/>
      <c r="P69" s="497" t="str">
        <f t="array" aca="1" ref="P69" ca="1">+IFERROR(INDEX('048_ANGERS'!$D$15:$D$79,SMALL(IF(('048_ANGERS'!$R$15:$R$79&gt;8)*('048_ANGERS'!$R$15:$R$79&lt;10),ROW('048_ANGERS'!$R$15:$R$79)-14),ROWS($1:24))),"")</f>
        <v/>
      </c>
      <c r="Q69" s="27"/>
      <c r="R69" s="498" t="str">
        <f t="array" aca="1" ref="R69" ca="1">+IFERROR(INDEX('048_ANGERS'!$F$15:$F$79,SMALL(IF(('048_ANGERS'!$R$15:$R$79&gt;8)*('048_ANGERS'!$R$15:$R$79&lt;10),ROW('048_ANGERS'!$R$15:$R$79)-14),ROWS($1:24))),"")</f>
        <v/>
      </c>
    </row>
    <row r="70" spans="1:18">
      <c r="A70" s="464">
        <v>25</v>
      </c>
      <c r="B70" s="480" t="str">
        <f t="array" aca="1" ref="B70" ca="1">+IFERROR(INDEX('048_ANGERS'!$C$15:$C$79,SMALL(IF(('048_ANGERS'!$R$15:$R$79&gt;0)*('048_ANGERS'!$R$15:$R$79&lt;4),ROW('048_ANGERS'!$R$15:$R$79)-14),ROWS($1:25))),"")</f>
        <v/>
      </c>
      <c r="C70" s="27"/>
      <c r="D70" s="481" t="str">
        <f t="array" aca="1" ref="D70" ca="1">+IFERROR(INDEX('048_ANGERS'!$D$15:$D$79,SMALL(IF(('048_ANGERS'!$R$15:$R$79&gt;0)*('048_ANGERS'!$R$15:$R$79&lt;4),ROW('048_ANGERS'!$R$15:$R$79)-14),ROWS($1:25))),"")</f>
        <v/>
      </c>
      <c r="E70" s="27"/>
      <c r="F70" s="482" t="str">
        <f t="array" aca="1" ref="F70" ca="1">+IFERROR(INDEX('048_ANGERS'!$F$15:$F$79,SMALL(IF(('048_ANGERS'!$R$15:$R$79&gt;0)*('048_ANGERS'!$R$15:$R$79&lt;4),ROW('048_ANGERS'!$R$15:$R$79)-14),ROWS($1:25))),"")</f>
        <v/>
      </c>
      <c r="G70" s="27"/>
      <c r="H70" s="483" t="str">
        <f t="array" aca="1" ref="H70" ca="1">+IFERROR(INDEX('048_ANGERS'!$C$15:$C$79,SMALL(IF(('048_ANGERS'!$R$15:$R$79&gt;4)*('048_ANGERS'!$R$15:$R$79&lt;8),ROW('048_ANGERS'!$R$15:$R$79)-14),ROWS($1:25))),"")</f>
        <v/>
      </c>
      <c r="I70" s="27"/>
      <c r="J70" s="484" t="str">
        <f t="array" aca="1" ref="J70" ca="1">+IFERROR(INDEX('048_ANGERS'!$D$15:$D$79,SMALL(IF(('048_ANGERS'!$R$15:$R$79&gt;4)*('048_ANGERS'!$R$15:$R$79&lt;8),ROW('048_ANGERS'!$R$15:$R$79)-14),ROWS($1:25))),"")</f>
        <v/>
      </c>
      <c r="K70" s="27"/>
      <c r="L70" s="485" t="str">
        <f t="array" aca="1" ref="L70" ca="1">+IFERROR(INDEX('048_ANGERS'!$F$15:$F$79,SMALL(IF(('048_ANGERS'!$R$15:$R$79&gt;4)*('048_ANGERS'!$R$15:$R$79&lt;8),ROW('048_ANGERS'!$R$15:$R$79)-14),ROWS($1:25))),"")</f>
        <v/>
      </c>
      <c r="M70" s="27"/>
      <c r="N70" s="486" t="str">
        <f t="array" aca="1" ref="N70" ca="1">+IFERROR(INDEX('048_ANGERS'!$C$15:$C$79,SMALL(IF(('048_ANGERS'!$R$15:$R$79&gt;8)*('048_ANGERS'!$R$15:$R$79&lt;10),ROW('048_ANGERS'!$R$15:$R$79)-14),ROWS($1:25))),"")</f>
        <v/>
      </c>
      <c r="O70" s="27"/>
      <c r="P70" s="487" t="str">
        <f t="array" aca="1" ref="P70" ca="1">+IFERROR(INDEX('048_ANGERS'!$D$15:$D$79,SMALL(IF(('048_ANGERS'!$R$15:$R$79&gt;8)*('048_ANGERS'!$R$15:$R$79&lt;10),ROW('048_ANGERS'!$R$15:$R$79)-14),ROWS($1:25))),"")</f>
        <v/>
      </c>
      <c r="Q70" s="27"/>
      <c r="R70" s="488" t="str">
        <f t="array" aca="1" ref="R70" ca="1">+IFERROR(INDEX('048_ANGERS'!$F$15:$F$79,SMALL(IF(('048_ANGERS'!$R$15:$R$79&gt;8)*('048_ANGERS'!$R$15:$R$79&lt;10),ROW('048_ANGERS'!$R$15:$R$79)-14),ROWS($1:25))),"")</f>
        <v/>
      </c>
    </row>
  </sheetData>
  <pageMargins left="0.11811023622047245" right="0.11811023622047245" top="0.74803149606299213" bottom="0.74803149606299213" header="0.31496062992125984" footer="0.31496062992125984"/>
  <pageSetup paperSize="8" scale="9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theme="1" tint="0.499984740745262"/>
  </sheetPr>
  <dimension ref="A1:DB73"/>
  <sheetViews>
    <sheetView showGridLines="0" tabSelected="1" zoomScale="80" zoomScaleNormal="80" workbookViewId="0">
      <pane xSplit="3" ySplit="12" topLeftCell="D13" activePane="bottomRight" state="frozen"/>
      <selection pane="topRight" activeCell="D1" sqref="D1"/>
      <selection pane="bottomLeft" activeCell="A13" sqref="A13"/>
      <selection pane="bottomRight" activeCell="K16" sqref="K16"/>
    </sheetView>
  </sheetViews>
  <sheetFormatPr baseColWidth="10" defaultColWidth="11.42578125" defaultRowHeight="16.5" outlineLevelRow="1" outlineLevelCol="1"/>
  <cols>
    <col min="1" max="1" width="3.140625" style="94" bestFit="1" customWidth="1"/>
    <col min="2" max="2" width="2.7109375" style="94" customWidth="1"/>
    <col min="3" max="3" width="35.7109375" style="285" customWidth="1"/>
    <col min="4" max="5" width="5.7109375" style="286" customWidth="1"/>
    <col min="6" max="6" width="12.7109375" style="285" customWidth="1"/>
    <col min="7" max="7" width="7.7109375" style="285" customWidth="1"/>
    <col min="8" max="8" width="11.7109375" style="285" customWidth="1"/>
    <col min="9" max="10" width="9.7109375" style="285" customWidth="1"/>
    <col min="11" max="11" width="9.7109375" style="287" customWidth="1"/>
    <col min="12" max="12" width="0.5703125" style="288" customWidth="1"/>
    <col min="13" max="13" width="11.7109375" style="287" customWidth="1"/>
    <col min="14" max="14" width="9.7109375" style="287" customWidth="1"/>
    <col min="15" max="15" width="0.5703125" style="288" customWidth="1"/>
    <col min="16" max="16" width="11.7109375" style="288" customWidth="1"/>
    <col min="17" max="17" width="0.5703125" style="288" customWidth="1"/>
    <col min="18" max="18" width="11.7109375" style="287" customWidth="1"/>
    <col min="19" max="19" width="0.5703125" style="288" customWidth="1"/>
    <col min="20" max="20" width="5.7109375" style="288" customWidth="1"/>
    <col min="21" max="21" width="11.7109375" style="289" customWidth="1"/>
    <col min="22" max="22" width="0.5703125" style="288" customWidth="1"/>
    <col min="23" max="23" width="10.7109375" style="290" customWidth="1"/>
    <col min="24" max="24" width="0.5703125" style="288" customWidth="1"/>
    <col min="25" max="25" width="9.7109375" style="291" customWidth="1"/>
    <col min="26" max="26" width="0.5703125" style="288" customWidth="1"/>
    <col min="27" max="27" width="17.7109375" style="288" customWidth="1"/>
    <col min="28" max="28" width="11.7109375" style="291" customWidth="1"/>
    <col min="29" max="29" width="0.5703125" style="291" customWidth="1"/>
    <col min="30" max="30" width="5.7109375" style="123" customWidth="1"/>
    <col min="31" max="31" width="15.7109375" style="288" customWidth="1"/>
    <col min="32" max="32" width="20.7109375" style="288" customWidth="1"/>
    <col min="33" max="33" width="25.7109375" style="286" customWidth="1"/>
    <col min="34" max="34" width="5.7109375" style="286" customWidth="1"/>
    <col min="35" max="35" width="15.7109375" style="285" customWidth="1"/>
    <col min="36" max="36" width="20.7109375" style="285" customWidth="1"/>
    <col min="37" max="37" width="25.7109375" style="285" customWidth="1"/>
    <col min="38" max="38" width="5.7109375" style="285" customWidth="1"/>
    <col min="39" max="39" width="15.7109375" style="285" customWidth="1"/>
    <col min="40" max="40" width="20.7109375" style="285" customWidth="1"/>
    <col min="41" max="41" width="25.7109375" style="285" customWidth="1"/>
    <col min="42" max="42" width="3.7109375" style="285" customWidth="1"/>
    <col min="43" max="43" width="28.7109375" style="285" hidden="1" customWidth="1" outlineLevel="1"/>
    <col min="44" max="45" width="11.7109375" style="285" hidden="1" customWidth="1" outlineLevel="1"/>
    <col min="46" max="46" width="15.7109375" style="285" hidden="1" customWidth="1" outlineLevel="1"/>
    <col min="47" max="47" width="55.7109375" style="285" hidden="1" customWidth="1" outlineLevel="1"/>
    <col min="48" max="48" width="28.7109375" style="285" hidden="1" customWidth="1" outlineLevel="1"/>
    <col min="49" max="50" width="11.7109375" style="285" hidden="1" customWidth="1" outlineLevel="1"/>
    <col min="51" max="51" width="15.7109375" style="285" hidden="1" customWidth="1" outlineLevel="1"/>
    <col min="52" max="52" width="55.7109375" style="285" hidden="1" customWidth="1" outlineLevel="1"/>
    <col min="53" max="53" width="28.7109375" style="285" hidden="1" customWidth="1" outlineLevel="1"/>
    <col min="54" max="55" width="11.7109375" style="285" hidden="1" customWidth="1" outlineLevel="1"/>
    <col min="56" max="56" width="15.7109375" style="285" hidden="1" customWidth="1" outlineLevel="1"/>
    <col min="57" max="57" width="55.7109375" style="285" hidden="1" customWidth="1" outlineLevel="1"/>
    <col min="58" max="58" width="5.7109375" style="285" customWidth="1" collapsed="1"/>
    <col min="59" max="59" width="28.7109375" style="285" customWidth="1"/>
    <col min="60" max="61" width="11.7109375" style="285" customWidth="1"/>
    <col min="62" max="62" width="15.7109375" style="285" customWidth="1"/>
    <col min="63" max="63" width="55.7109375" style="285" customWidth="1"/>
    <col min="64" max="64" width="28.7109375" style="285" customWidth="1"/>
    <col min="65" max="66" width="11.7109375" style="285" customWidth="1"/>
    <col min="67" max="67" width="15.7109375" style="285" customWidth="1"/>
    <col min="68" max="68" width="55.7109375" style="285" customWidth="1"/>
    <col min="69" max="69" width="28.7109375" style="285" customWidth="1"/>
    <col min="70" max="71" width="11.7109375" style="285" customWidth="1"/>
    <col min="72" max="72" width="15.7109375" style="285" customWidth="1"/>
    <col min="73" max="73" width="55.7109375" style="285" customWidth="1"/>
    <col min="74" max="74" width="5.7109375" style="285" customWidth="1"/>
    <col min="75" max="75" width="28.7109375" style="285" customWidth="1"/>
    <col min="76" max="77" width="11.7109375" style="285" customWidth="1"/>
    <col min="78" max="78" width="15.7109375" style="285" customWidth="1"/>
    <col min="79" max="79" width="55.7109375" style="285" customWidth="1"/>
    <col min="80" max="80" width="28.7109375" style="285" customWidth="1"/>
    <col min="81" max="82" width="11.7109375" style="285" customWidth="1"/>
    <col min="83" max="83" width="15.7109375" style="285" customWidth="1"/>
    <col min="84" max="84" width="55.7109375" style="285" customWidth="1"/>
    <col min="85" max="85" width="28.7109375" style="285" customWidth="1"/>
    <col min="86" max="87" width="11.7109375" style="285" customWidth="1"/>
    <col min="88" max="88" width="15.7109375" style="285" customWidth="1"/>
    <col min="89" max="89" width="55.7109375" style="285" customWidth="1"/>
    <col min="90" max="90" width="5.7109375" style="285" customWidth="1"/>
    <col min="91" max="91" width="28.7109375" style="285" customWidth="1"/>
    <col min="92" max="93" width="11.7109375" style="285" customWidth="1"/>
    <col min="94" max="94" width="15.7109375" style="285" customWidth="1"/>
    <col min="95" max="95" width="55.7109375" style="285" customWidth="1"/>
    <col min="96" max="96" width="28.7109375" style="285" customWidth="1"/>
    <col min="97" max="98" width="11.7109375" style="285" customWidth="1"/>
    <col min="99" max="99" width="15.7109375" style="285" customWidth="1"/>
    <col min="100" max="100" width="55.7109375" style="285" customWidth="1"/>
    <col min="101" max="101" width="28.7109375" style="285" customWidth="1"/>
    <col min="102" max="103" width="11.7109375" style="285" customWidth="1"/>
    <col min="104" max="104" width="15.7109375" style="285" customWidth="1"/>
    <col min="105" max="105" width="55.7109375" style="285" customWidth="1"/>
    <col min="106" max="106" width="11.42578125" style="288"/>
    <col min="107" max="16384" width="11.42578125" style="285"/>
  </cols>
  <sheetData>
    <row r="1" spans="1:106" s="32" customFormat="1" ht="16.5" customHeight="1" outlineLevel="1">
      <c r="A1" s="67"/>
      <c r="B1" s="67"/>
      <c r="C1" s="41" t="s">
        <v>190</v>
      </c>
      <c r="D1" s="48"/>
      <c r="E1" s="48"/>
      <c r="F1" s="22">
        <f ca="1">TODAY()</f>
        <v>43137</v>
      </c>
      <c r="G1" s="31"/>
      <c r="I1" s="123"/>
      <c r="J1" s="31"/>
      <c r="M1" s="31"/>
      <c r="N1" s="123"/>
      <c r="O1" s="123"/>
      <c r="P1" s="123"/>
      <c r="Q1" s="123"/>
      <c r="R1" s="31"/>
      <c r="S1" s="177"/>
      <c r="T1" s="190"/>
      <c r="U1" s="123"/>
      <c r="W1" s="31"/>
      <c r="Y1" s="123"/>
      <c r="AB1" s="174"/>
      <c r="AC1" s="174"/>
      <c r="AF1" s="151"/>
      <c r="DB1" s="123"/>
    </row>
    <row r="2" spans="1:106" s="32" customFormat="1" ht="15" customHeight="1" outlineLevel="1">
      <c r="A2" s="67"/>
      <c r="B2" s="67"/>
      <c r="C2" s="111" t="s">
        <v>185</v>
      </c>
      <c r="D2" s="49"/>
      <c r="E2" s="49"/>
      <c r="F2" s="199">
        <v>574132</v>
      </c>
      <c r="G2" s="97" t="s">
        <v>20</v>
      </c>
      <c r="H2" s="200">
        <f>SUMIF(E15:E29,"Perdu",F15:F29)+SUMIF(E39:E63,"Perdu",F39:F63)+SUMIF(E64:E66,"Perdu",F64:F66)</f>
        <v>109930</v>
      </c>
      <c r="I2" s="611" t="s">
        <v>37</v>
      </c>
      <c r="J2" s="612"/>
      <c r="K2" s="612"/>
      <c r="L2" s="228"/>
      <c r="M2" s="578" t="s">
        <v>48</v>
      </c>
      <c r="N2" s="578"/>
      <c r="O2" s="578"/>
      <c r="P2" s="627"/>
      <c r="Q2" s="277"/>
      <c r="R2" s="278">
        <f>SUMIFS($F$15:$F$29,$D$15:$D$29,"dcn",$E$15:$E$29,"")+SUMIFS($F$39:$F$53,$D$39:$D$53,"dcn",$E$39:$E$53,"")+SUMIFS($F$62:$F$66,$D$62:$D$66,"DCn",$E$62:$E$66,"")</f>
        <v>131945.07</v>
      </c>
      <c r="S2" s="272"/>
      <c r="U2" s="278">
        <f>SUMIFS($F$15:$F$29,$D$15:$D$29,"di",$E$15:$E$29,"")+SUMIFS($F$39:$F$53,$D$39:$D$53,"di",$E$39:$E$53,"")+SUMIFS(F62:F66,D62:D66,"di",E62:E66,"")</f>
        <v>115821</v>
      </c>
      <c r="W2" s="626" t="s">
        <v>108</v>
      </c>
      <c r="X2" s="626"/>
      <c r="Y2" s="626"/>
      <c r="Z2" s="626"/>
      <c r="AA2" s="626"/>
      <c r="AC2" s="31"/>
      <c r="AD2" s="31"/>
      <c r="AE2" s="31"/>
      <c r="DB2" s="123"/>
    </row>
    <row r="3" spans="1:106" s="32" customFormat="1" ht="15" customHeight="1" outlineLevel="1">
      <c r="A3" s="67"/>
      <c r="B3" s="67"/>
      <c r="C3" s="111" t="s">
        <v>19</v>
      </c>
      <c r="D3" s="42"/>
      <c r="E3" s="42"/>
      <c r="F3" s="201">
        <v>98</v>
      </c>
      <c r="G3" s="43"/>
      <c r="H3" s="202">
        <f>COUNTA($E$15:$E$29)+COUNTA($E$39:$E$63)+COUNTA($E$64:$E$66)</f>
        <v>6</v>
      </c>
      <c r="I3" s="613" t="s">
        <v>40</v>
      </c>
      <c r="J3" s="614"/>
      <c r="K3" s="614"/>
      <c r="L3" s="211"/>
      <c r="M3" s="574" t="s">
        <v>40</v>
      </c>
      <c r="N3" s="574"/>
      <c r="O3" s="574"/>
      <c r="P3" s="574"/>
      <c r="Q3" s="176"/>
      <c r="R3" s="229">
        <f>COUNTIFS($D$15:$D$29,"DCN",E15:E29,"")+COUNTIFS($D$39:$D$53,"DCN",E39:E53,"")+COUNTIFS($D$62:$D$66,"DCN",E62:E66,"")</f>
        <v>13</v>
      </c>
      <c r="S3" s="273"/>
      <c r="U3" s="229">
        <f>COUNTIFS($D$15:$D$29,"DI",E15:E29,"")+COUNTIFS($D$39:$D$53,"DI",E39:E53,"")+COUNTIFS($D$62:$D$66,"DI",E62:E66,"")</f>
        <v>7</v>
      </c>
      <c r="W3" s="570" t="s">
        <v>40</v>
      </c>
      <c r="X3" s="570"/>
      <c r="Y3" s="570"/>
      <c r="Z3" s="570"/>
      <c r="AA3" s="570"/>
      <c r="AC3" s="95"/>
      <c r="AD3" s="95"/>
      <c r="AE3" s="95"/>
      <c r="DB3" s="123"/>
    </row>
    <row r="4" spans="1:106" s="32" customFormat="1" ht="15" customHeight="1" outlineLevel="1">
      <c r="A4" s="67"/>
      <c r="B4" s="67"/>
      <c r="C4" s="111" t="s">
        <v>35</v>
      </c>
      <c r="D4" s="42"/>
      <c r="E4" s="42"/>
      <c r="F4" s="204">
        <f>COUNTA($C$15:$C$29)/$F$3</f>
        <v>0.15306122448979592</v>
      </c>
      <c r="G4" s="43"/>
      <c r="H4" s="205">
        <f>$H$2/$F$2</f>
        <v>0.19147164763503863</v>
      </c>
      <c r="I4" s="613" t="s">
        <v>41</v>
      </c>
      <c r="J4" s="614"/>
      <c r="K4" s="614"/>
      <c r="L4" s="211"/>
      <c r="M4" s="574" t="s">
        <v>111</v>
      </c>
      <c r="N4" s="574"/>
      <c r="O4" s="574"/>
      <c r="P4" s="574"/>
      <c r="Q4" s="176"/>
      <c r="R4" s="230">
        <f>$R$2/$F$2</f>
        <v>0.22981661011753396</v>
      </c>
      <c r="S4" s="273"/>
      <c r="U4" s="230">
        <f>$U$2/$F$2</f>
        <v>0.20173235423212779</v>
      </c>
      <c r="W4" s="570" t="s">
        <v>111</v>
      </c>
      <c r="X4" s="570"/>
      <c r="Y4" s="570"/>
      <c r="Z4" s="570"/>
      <c r="AA4" s="570"/>
      <c r="AC4" s="31"/>
      <c r="AD4" s="31"/>
      <c r="AE4" s="31"/>
      <c r="DB4" s="123"/>
    </row>
    <row r="5" spans="1:106" s="32" customFormat="1" ht="5.25" customHeight="1" outlineLevel="1">
      <c r="A5" s="69"/>
      <c r="B5" s="69"/>
      <c r="C5" s="50"/>
      <c r="D5" s="50"/>
      <c r="E5" s="50"/>
      <c r="G5" s="31"/>
      <c r="L5" s="124"/>
      <c r="M5" s="297"/>
      <c r="N5" s="297"/>
      <c r="O5" s="296"/>
      <c r="P5" s="296"/>
      <c r="Q5" s="123"/>
      <c r="R5" s="31"/>
      <c r="S5" s="123"/>
      <c r="U5" s="31"/>
      <c r="W5" s="31"/>
      <c r="Z5" s="124"/>
      <c r="AA5" s="124"/>
      <c r="AC5" s="124"/>
      <c r="AD5" s="274"/>
      <c r="AE5" s="124"/>
      <c r="AG5" s="44"/>
      <c r="AH5" s="44"/>
      <c r="AI5" s="44"/>
      <c r="AJ5" s="44"/>
      <c r="AK5" s="44"/>
      <c r="AL5" s="44"/>
      <c r="AM5" s="44"/>
      <c r="AN5" s="44"/>
      <c r="AO5" s="44"/>
      <c r="AP5" s="44"/>
      <c r="DB5" s="123"/>
    </row>
    <row r="6" spans="1:106" s="32" customFormat="1" ht="15" customHeight="1" outlineLevel="1">
      <c r="A6" s="69"/>
      <c r="B6" s="69"/>
      <c r="C6" s="50"/>
      <c r="D6" s="50"/>
      <c r="E6" s="50"/>
      <c r="G6" s="31"/>
      <c r="L6" s="124"/>
      <c r="M6" s="572" t="s">
        <v>107</v>
      </c>
      <c r="N6" s="572"/>
      <c r="O6" s="572"/>
      <c r="P6" s="573"/>
      <c r="Q6" s="277"/>
      <c r="R6" s="278">
        <f>SUMIFS($F$15:$F$29,$D$15:$D$29,"AO",$E$15:$E$29,"")+SUMIFS($F$39:$F53,$D$39:$D$53,"AO",$E$39:$E$53,"")+SUMIFS($F$62:$F$66,$D$62:$D$66,"AO",$E$62:$E$66,"")</f>
        <v>160217</v>
      </c>
      <c r="S6" s="272"/>
      <c r="U6" s="278">
        <f>SUMIFS($F$15:$F$29,$D$15:$D$29,"REG",$E$15:$E$29,"")+SUMIFS($F$39:$F$53,$D$39:$D$53,"REG",$E$39:$E$53,"")+SUMIFS($F$62:$F$66,$D$62:$D$66,"REG",$E$62:$E$66,"")</f>
        <v>4309</v>
      </c>
      <c r="W6" s="579" t="s">
        <v>109</v>
      </c>
      <c r="X6" s="579"/>
      <c r="Y6" s="579"/>
      <c r="Z6" s="579"/>
      <c r="AA6" s="579"/>
      <c r="AC6" s="124"/>
      <c r="AD6" s="274"/>
      <c r="AE6" s="124"/>
      <c r="AG6" s="44"/>
      <c r="AH6" s="44"/>
      <c r="AI6" s="44"/>
      <c r="AJ6" s="44"/>
      <c r="AK6" s="44"/>
      <c r="AL6" s="44"/>
      <c r="AM6" s="44"/>
      <c r="AN6" s="44"/>
      <c r="AO6" s="44"/>
      <c r="AP6" s="44"/>
      <c r="DB6" s="123"/>
    </row>
    <row r="7" spans="1:106" s="32" customFormat="1" ht="15" customHeight="1" outlineLevel="1">
      <c r="A7" s="69"/>
      <c r="B7" s="69"/>
      <c r="C7" s="50"/>
      <c r="D7" s="50"/>
      <c r="E7" s="50"/>
      <c r="G7" s="31"/>
      <c r="L7" s="124"/>
      <c r="M7" s="574" t="s">
        <v>40</v>
      </c>
      <c r="N7" s="574"/>
      <c r="O7" s="574"/>
      <c r="P7" s="574"/>
      <c r="Q7" s="29"/>
      <c r="R7" s="229">
        <f>COUNTIFS($D$15:$D$29,"AO",$E$15:$E$29,"")+COUNTIFS($D$39:$D$53,"AO",$E$39:$E$53,"")+COUNTIFS($D$62:$D$66,"AO",$E$62:$E$66,"")</f>
        <v>9</v>
      </c>
      <c r="S7" s="273"/>
      <c r="U7" s="229">
        <f>COUNTIFS($D$15:$D$29,"REG",$E$15:$E$29,"")+COUNTIFS($D$39:$D$53,"REG",$E$39:$E$53,"")+COUNTIFS($D$62:$D$66,"REG",$E$62:$E$66,"")</f>
        <v>1</v>
      </c>
      <c r="W7" s="570" t="s">
        <v>40</v>
      </c>
      <c r="X7" s="570"/>
      <c r="Y7" s="570"/>
      <c r="Z7" s="570"/>
      <c r="AA7" s="570"/>
      <c r="AC7" s="124"/>
      <c r="AD7" s="274"/>
      <c r="AE7" s="124"/>
      <c r="AG7" s="44"/>
      <c r="AH7" s="44"/>
      <c r="AI7" s="44"/>
      <c r="AJ7" s="44"/>
      <c r="AK7" s="44"/>
      <c r="AL7" s="44"/>
      <c r="AM7" s="44"/>
      <c r="AN7" s="44"/>
      <c r="AO7" s="44"/>
      <c r="AP7" s="44"/>
      <c r="DB7" s="123"/>
    </row>
    <row r="8" spans="1:106" s="32" customFormat="1" ht="15" customHeight="1" outlineLevel="1">
      <c r="A8" s="69"/>
      <c r="B8" s="69"/>
      <c r="C8" s="50"/>
      <c r="D8" s="50"/>
      <c r="E8" s="50"/>
      <c r="G8" s="31"/>
      <c r="L8" s="124"/>
      <c r="M8" s="574" t="s">
        <v>111</v>
      </c>
      <c r="N8" s="574"/>
      <c r="O8" s="574"/>
      <c r="P8" s="574"/>
      <c r="Q8" s="29"/>
      <c r="R8" s="230">
        <f>$R$6/$F$2</f>
        <v>0.27905951941365398</v>
      </c>
      <c r="S8" s="273"/>
      <c r="U8" s="230">
        <f>$U$6/$F$2</f>
        <v>7.5052426968014322E-3</v>
      </c>
      <c r="W8" s="570" t="s">
        <v>111</v>
      </c>
      <c r="X8" s="570"/>
      <c r="Y8" s="570"/>
      <c r="Z8" s="570"/>
      <c r="AA8" s="570"/>
      <c r="AC8" s="124"/>
      <c r="AD8" s="274"/>
      <c r="AE8" s="124"/>
      <c r="AG8" s="44"/>
      <c r="AH8" s="44"/>
      <c r="AI8" s="44"/>
      <c r="AJ8" s="44"/>
      <c r="AK8" s="44"/>
      <c r="AL8" s="44"/>
      <c r="AM8" s="44"/>
      <c r="AN8" s="44"/>
      <c r="AO8" s="44"/>
      <c r="AP8" s="44"/>
      <c r="DB8" s="123"/>
    </row>
    <row r="9" spans="1:106" s="32" customFormat="1" ht="12.75" customHeight="1">
      <c r="A9" s="69"/>
      <c r="B9" s="69"/>
      <c r="C9" s="50"/>
      <c r="D9" s="50"/>
      <c r="E9" s="50"/>
      <c r="G9" s="31"/>
      <c r="L9" s="124"/>
      <c r="M9" s="31"/>
      <c r="O9" s="123"/>
      <c r="P9" s="123"/>
      <c r="Q9" s="123"/>
      <c r="S9" s="123"/>
      <c r="T9" s="124"/>
      <c r="U9" s="31"/>
      <c r="V9" s="124"/>
      <c r="W9" s="274"/>
      <c r="X9" s="124"/>
      <c r="Y9" s="31"/>
      <c r="Z9" s="124"/>
      <c r="AA9" s="124"/>
      <c r="AB9" s="124"/>
      <c r="AC9" s="124"/>
      <c r="AD9" s="124"/>
      <c r="AE9" s="44"/>
      <c r="AF9" s="44"/>
      <c r="AG9" s="44"/>
      <c r="AH9" s="44"/>
      <c r="AI9" s="44"/>
      <c r="AJ9" s="44"/>
      <c r="AK9" s="44"/>
      <c r="AL9" s="44"/>
      <c r="AM9" s="44"/>
      <c r="AN9" s="44"/>
      <c r="AO9" s="44"/>
      <c r="AP9" s="44"/>
      <c r="DB9" s="123"/>
    </row>
    <row r="10" spans="1:106" s="32" customFormat="1" ht="17.25" thickBot="1">
      <c r="A10" s="67"/>
      <c r="B10" s="67"/>
      <c r="D10" s="31"/>
      <c r="E10" s="31"/>
      <c r="F10" s="595" t="s">
        <v>32</v>
      </c>
      <c r="G10" s="596"/>
      <c r="H10" s="596"/>
      <c r="I10" s="597">
        <v>43008</v>
      </c>
      <c r="J10" s="597"/>
      <c r="K10" s="597"/>
      <c r="L10" s="123"/>
      <c r="M10" s="45"/>
      <c r="N10" s="45"/>
      <c r="O10" s="178"/>
      <c r="P10" s="178"/>
      <c r="Q10" s="178"/>
      <c r="R10" s="45"/>
      <c r="S10" s="178"/>
      <c r="T10" s="123"/>
      <c r="U10" s="52"/>
      <c r="V10" s="123"/>
      <c r="W10" s="177"/>
      <c r="X10" s="123"/>
      <c r="Y10" s="31"/>
      <c r="Z10" s="123"/>
      <c r="AA10" s="123"/>
      <c r="AB10" s="174"/>
      <c r="AC10" s="174"/>
      <c r="AD10" s="625" t="s">
        <v>62</v>
      </c>
      <c r="AE10" s="625"/>
      <c r="AF10" s="625"/>
      <c r="AG10" s="625"/>
      <c r="AH10" s="625" t="s">
        <v>61</v>
      </c>
      <c r="AI10" s="625"/>
      <c r="AJ10" s="625"/>
      <c r="AK10" s="625"/>
      <c r="AL10" s="625" t="s">
        <v>88</v>
      </c>
      <c r="AM10" s="625"/>
      <c r="AN10" s="625"/>
      <c r="AO10" s="625"/>
      <c r="AP10" s="184"/>
      <c r="DB10" s="123"/>
    </row>
    <row r="11" spans="1:106" s="32" customFormat="1" ht="36" customHeight="1" thickBot="1">
      <c r="A11" s="67"/>
      <c r="B11" s="67"/>
      <c r="C11" s="333" t="s">
        <v>193</v>
      </c>
      <c r="D11" s="166" t="s">
        <v>39</v>
      </c>
      <c r="E11" s="166" t="s">
        <v>38</v>
      </c>
      <c r="F11" s="47" t="s">
        <v>0</v>
      </c>
      <c r="G11" s="46" t="s">
        <v>33</v>
      </c>
      <c r="H11" s="47" t="s">
        <v>1</v>
      </c>
      <c r="I11" s="47" t="s">
        <v>2</v>
      </c>
      <c r="J11" s="47" t="s">
        <v>3</v>
      </c>
      <c r="K11" s="114" t="s">
        <v>4</v>
      </c>
      <c r="L11" s="125"/>
      <c r="M11" s="116" t="s">
        <v>28</v>
      </c>
      <c r="N11" s="116" t="s">
        <v>34</v>
      </c>
      <c r="O11" s="125"/>
      <c r="P11" s="128" t="s">
        <v>112</v>
      </c>
      <c r="Q11" s="125"/>
      <c r="R11" s="276" t="s">
        <v>31</v>
      </c>
      <c r="S11" s="185"/>
      <c r="T11" s="580" t="s">
        <v>132</v>
      </c>
      <c r="U11" s="607"/>
      <c r="V11" s="125"/>
      <c r="W11" s="128" t="s">
        <v>118</v>
      </c>
      <c r="X11" s="125"/>
      <c r="Y11" s="116" t="s">
        <v>6</v>
      </c>
      <c r="Z11" s="125"/>
      <c r="AA11" s="608" t="s">
        <v>119</v>
      </c>
      <c r="AB11" s="609"/>
      <c r="AC11" s="610"/>
      <c r="AD11" s="117" t="s">
        <v>42</v>
      </c>
      <c r="AE11" s="118" t="s">
        <v>44</v>
      </c>
      <c r="AF11" s="118" t="s">
        <v>90</v>
      </c>
      <c r="AG11" s="118" t="s">
        <v>64</v>
      </c>
      <c r="AH11" s="119" t="s">
        <v>42</v>
      </c>
      <c r="AI11" s="120" t="s">
        <v>44</v>
      </c>
      <c r="AJ11" s="120" t="s">
        <v>90</v>
      </c>
      <c r="AK11" s="120" t="s">
        <v>64</v>
      </c>
      <c r="AL11" s="121" t="s">
        <v>42</v>
      </c>
      <c r="AM11" s="122" t="s">
        <v>44</v>
      </c>
      <c r="AN11" s="122" t="s">
        <v>90</v>
      </c>
      <c r="AO11" s="122" t="s">
        <v>64</v>
      </c>
      <c r="AQ11" s="584">
        <v>42644</v>
      </c>
      <c r="AR11" s="585"/>
      <c r="AS11" s="585"/>
      <c r="AT11" s="585"/>
      <c r="AU11" s="586"/>
      <c r="AV11" s="584">
        <v>42676</v>
      </c>
      <c r="AW11" s="585"/>
      <c r="AX11" s="585"/>
      <c r="AY11" s="585"/>
      <c r="AZ11" s="586"/>
      <c r="BA11" s="584">
        <v>42707</v>
      </c>
      <c r="BB11" s="585"/>
      <c r="BC11" s="585"/>
      <c r="BD11" s="585"/>
      <c r="BE11" s="586"/>
      <c r="BG11" s="584">
        <v>42736</v>
      </c>
      <c r="BH11" s="585"/>
      <c r="BI11" s="585"/>
      <c r="BJ11" s="585"/>
      <c r="BK11" s="586"/>
      <c r="BL11" s="584">
        <v>42767</v>
      </c>
      <c r="BM11" s="585"/>
      <c r="BN11" s="585"/>
      <c r="BO11" s="585"/>
      <c r="BP11" s="586"/>
      <c r="BQ11" s="584">
        <v>42795</v>
      </c>
      <c r="BR11" s="585"/>
      <c r="BS11" s="585"/>
      <c r="BT11" s="585"/>
      <c r="BU11" s="586"/>
      <c r="BV11" s="430"/>
      <c r="BW11" s="584">
        <v>42826</v>
      </c>
      <c r="BX11" s="585"/>
      <c r="BY11" s="585"/>
      <c r="BZ11" s="585"/>
      <c r="CA11" s="586"/>
      <c r="CB11" s="584">
        <v>42856</v>
      </c>
      <c r="CC11" s="585"/>
      <c r="CD11" s="585"/>
      <c r="CE11" s="585"/>
      <c r="CF11" s="586"/>
      <c r="CG11" s="584">
        <v>42887</v>
      </c>
      <c r="CH11" s="585"/>
      <c r="CI11" s="585"/>
      <c r="CJ11" s="585"/>
      <c r="CK11" s="586"/>
      <c r="CM11" s="584">
        <v>42917</v>
      </c>
      <c r="CN11" s="585"/>
      <c r="CO11" s="585"/>
      <c r="CP11" s="585"/>
      <c r="CQ11" s="586"/>
      <c r="CR11" s="584">
        <v>42948</v>
      </c>
      <c r="CS11" s="585"/>
      <c r="CT11" s="585"/>
      <c r="CU11" s="585"/>
      <c r="CV11" s="586"/>
      <c r="CW11" s="584">
        <v>42979</v>
      </c>
      <c r="CX11" s="585"/>
      <c r="CY11" s="585"/>
      <c r="CZ11" s="585"/>
      <c r="DA11" s="586"/>
      <c r="DB11" s="123"/>
    </row>
    <row r="12" spans="1:106" s="184" customFormat="1" ht="5.25" customHeight="1">
      <c r="A12" s="68"/>
      <c r="B12" s="68"/>
      <c r="C12" s="41"/>
      <c r="D12" s="48"/>
      <c r="E12" s="48"/>
      <c r="F12" s="210"/>
      <c r="G12" s="384"/>
      <c r="L12" s="123"/>
      <c r="M12" s="384"/>
      <c r="O12" s="123"/>
      <c r="P12" s="384"/>
      <c r="Q12" s="123"/>
      <c r="S12" s="123"/>
      <c r="T12" s="123"/>
      <c r="U12" s="384"/>
      <c r="V12" s="123"/>
      <c r="W12" s="177"/>
      <c r="X12" s="123"/>
      <c r="Y12" s="384"/>
      <c r="Z12" s="123"/>
      <c r="AA12" s="123"/>
      <c r="AB12" s="123"/>
      <c r="AC12" s="123"/>
      <c r="AQ12" s="427"/>
      <c r="AR12" s="427"/>
      <c r="AS12" s="427"/>
      <c r="AT12" s="427"/>
      <c r="AU12" s="427"/>
      <c r="AV12" s="427"/>
      <c r="AW12" s="427"/>
      <c r="AX12" s="427"/>
      <c r="AY12" s="427"/>
      <c r="AZ12" s="427"/>
      <c r="BA12" s="427"/>
      <c r="BB12" s="427"/>
      <c r="BC12" s="427"/>
      <c r="BD12" s="427"/>
      <c r="BE12" s="427"/>
      <c r="BG12" s="427"/>
      <c r="BH12" s="427"/>
      <c r="BI12" s="427"/>
      <c r="BJ12" s="427"/>
      <c r="BK12" s="427"/>
      <c r="BL12" s="427"/>
      <c r="BM12" s="427"/>
      <c r="BN12" s="427"/>
      <c r="BO12" s="427"/>
      <c r="BP12" s="427"/>
      <c r="BQ12" s="427"/>
      <c r="BR12" s="427"/>
      <c r="BS12" s="427"/>
      <c r="BT12" s="427"/>
      <c r="BU12" s="427"/>
      <c r="BW12" s="427"/>
      <c r="BX12" s="427"/>
      <c r="BY12" s="427"/>
      <c r="BZ12" s="427"/>
      <c r="CA12" s="427"/>
      <c r="CB12" s="427"/>
      <c r="CC12" s="427"/>
      <c r="CD12" s="427"/>
      <c r="CE12" s="427"/>
      <c r="CF12" s="427"/>
      <c r="CG12" s="427"/>
      <c r="CH12" s="427"/>
      <c r="CI12" s="427"/>
      <c r="CJ12" s="427"/>
      <c r="CK12" s="427"/>
      <c r="CM12" s="427"/>
      <c r="CN12" s="427"/>
      <c r="CO12" s="427"/>
      <c r="CP12" s="427"/>
      <c r="CQ12" s="427"/>
      <c r="CR12" s="427"/>
      <c r="CS12" s="427"/>
      <c r="CT12" s="427"/>
      <c r="CU12" s="427"/>
      <c r="CV12" s="427"/>
      <c r="CW12" s="427"/>
      <c r="CX12" s="427"/>
      <c r="CY12" s="427"/>
      <c r="CZ12" s="427"/>
      <c r="DA12" s="427"/>
      <c r="DB12" s="123"/>
    </row>
    <row r="13" spans="1:106" s="29" customFormat="1" ht="18.75" outlineLevel="1" thickBot="1">
      <c r="A13" s="68"/>
      <c r="B13" s="68"/>
      <c r="C13" s="53"/>
      <c r="D13" s="54"/>
      <c r="E13" s="138" t="s">
        <v>91</v>
      </c>
      <c r="F13" s="112">
        <f>SUM(F15:F29)</f>
        <v>425182</v>
      </c>
      <c r="G13" s="113">
        <f>F13/F2</f>
        <v>0.74056488751715632</v>
      </c>
      <c r="H13" s="55"/>
      <c r="J13" s="57"/>
      <c r="K13" s="58"/>
      <c r="L13" s="53"/>
      <c r="M13" s="55"/>
      <c r="N13" s="115"/>
      <c r="O13" s="115"/>
      <c r="P13" s="33"/>
      <c r="Q13" s="115"/>
      <c r="R13" s="58"/>
      <c r="S13" s="58"/>
      <c r="T13" s="188" t="s">
        <v>114</v>
      </c>
      <c r="U13" s="187" t="s">
        <v>60</v>
      </c>
      <c r="V13" s="53"/>
      <c r="W13" s="275"/>
      <c r="X13" s="53"/>
      <c r="Y13" s="33"/>
      <c r="Z13" s="53"/>
      <c r="AA13" s="53"/>
      <c r="AB13" s="53"/>
      <c r="AC13" s="53"/>
      <c r="AD13" s="61"/>
      <c r="AE13" s="61"/>
      <c r="AF13" s="25"/>
      <c r="AG13" s="25"/>
      <c r="AH13" s="61"/>
      <c r="AI13" s="61"/>
      <c r="AJ13" s="25"/>
      <c r="AK13" s="25"/>
      <c r="AL13" s="61"/>
      <c r="AM13" s="61"/>
      <c r="AN13" s="25"/>
      <c r="AO13" s="25"/>
      <c r="AQ13" s="386" t="s">
        <v>5</v>
      </c>
      <c r="AR13" s="387" t="s">
        <v>6</v>
      </c>
      <c r="AS13" s="387" t="s">
        <v>7</v>
      </c>
      <c r="AT13" s="387" t="s">
        <v>8</v>
      </c>
      <c r="AU13" s="388" t="s">
        <v>9</v>
      </c>
      <c r="AV13" s="386" t="s">
        <v>5</v>
      </c>
      <c r="AW13" s="387" t="s">
        <v>6</v>
      </c>
      <c r="AX13" s="387" t="s">
        <v>7</v>
      </c>
      <c r="AY13" s="387" t="s">
        <v>8</v>
      </c>
      <c r="AZ13" s="388" t="s">
        <v>9</v>
      </c>
      <c r="BA13" s="386" t="s">
        <v>5</v>
      </c>
      <c r="BB13" s="387" t="s">
        <v>6</v>
      </c>
      <c r="BC13" s="387" t="s">
        <v>7</v>
      </c>
      <c r="BD13" s="387" t="s">
        <v>8</v>
      </c>
      <c r="BE13" s="388" t="s">
        <v>9</v>
      </c>
      <c r="BF13" s="389"/>
      <c r="BG13" s="386" t="s">
        <v>5</v>
      </c>
      <c r="BH13" s="387" t="s">
        <v>6</v>
      </c>
      <c r="BI13" s="387" t="s">
        <v>7</v>
      </c>
      <c r="BJ13" s="387" t="s">
        <v>8</v>
      </c>
      <c r="BK13" s="388" t="s">
        <v>9</v>
      </c>
      <c r="BL13" s="386" t="s">
        <v>5</v>
      </c>
      <c r="BM13" s="387" t="s">
        <v>6</v>
      </c>
      <c r="BN13" s="387" t="s">
        <v>7</v>
      </c>
      <c r="BO13" s="387" t="s">
        <v>8</v>
      </c>
      <c r="BP13" s="388" t="s">
        <v>9</v>
      </c>
      <c r="BQ13" s="386" t="s">
        <v>5</v>
      </c>
      <c r="BR13" s="387" t="s">
        <v>6</v>
      </c>
      <c r="BS13" s="387" t="s">
        <v>7</v>
      </c>
      <c r="BT13" s="387" t="s">
        <v>8</v>
      </c>
      <c r="BU13" s="388" t="s">
        <v>9</v>
      </c>
      <c r="BV13" s="390"/>
      <c r="BW13" s="386" t="s">
        <v>5</v>
      </c>
      <c r="BX13" s="387" t="s">
        <v>6</v>
      </c>
      <c r="BY13" s="387" t="s">
        <v>7</v>
      </c>
      <c r="BZ13" s="387" t="s">
        <v>8</v>
      </c>
      <c r="CA13" s="388" t="s">
        <v>9</v>
      </c>
      <c r="CB13" s="386" t="s">
        <v>5</v>
      </c>
      <c r="CC13" s="387" t="s">
        <v>6</v>
      </c>
      <c r="CD13" s="387" t="s">
        <v>7</v>
      </c>
      <c r="CE13" s="387" t="s">
        <v>8</v>
      </c>
      <c r="CF13" s="388" t="s">
        <v>9</v>
      </c>
      <c r="CG13" s="386" t="s">
        <v>5</v>
      </c>
      <c r="CH13" s="387" t="s">
        <v>6</v>
      </c>
      <c r="CI13" s="387" t="s">
        <v>7</v>
      </c>
      <c r="CJ13" s="387" t="s">
        <v>8</v>
      </c>
      <c r="CK13" s="388" t="s">
        <v>9</v>
      </c>
      <c r="CL13" s="391"/>
      <c r="CM13" s="386" t="s">
        <v>5</v>
      </c>
      <c r="CN13" s="387" t="s">
        <v>6</v>
      </c>
      <c r="CO13" s="387" t="s">
        <v>7</v>
      </c>
      <c r="CP13" s="387" t="s">
        <v>8</v>
      </c>
      <c r="CQ13" s="388" t="s">
        <v>9</v>
      </c>
      <c r="CR13" s="386" t="s">
        <v>5</v>
      </c>
      <c r="CS13" s="387" t="s">
        <v>6</v>
      </c>
      <c r="CT13" s="387" t="s">
        <v>7</v>
      </c>
      <c r="CU13" s="387" t="s">
        <v>8</v>
      </c>
      <c r="CV13" s="388" t="s">
        <v>9</v>
      </c>
      <c r="CW13" s="386" t="s">
        <v>5</v>
      </c>
      <c r="CX13" s="387" t="s">
        <v>6</v>
      </c>
      <c r="CY13" s="387" t="s">
        <v>7</v>
      </c>
      <c r="CZ13" s="387" t="s">
        <v>8</v>
      </c>
      <c r="DA13" s="388" t="s">
        <v>9</v>
      </c>
      <c r="DB13" s="27"/>
    </row>
    <row r="14" spans="1:106" s="32" customFormat="1" ht="5.25" customHeight="1" thickBot="1">
      <c r="A14" s="67"/>
      <c r="B14" s="67"/>
      <c r="C14" s="41"/>
      <c r="D14" s="48"/>
      <c r="E14" s="48"/>
      <c r="F14" s="22"/>
      <c r="G14" s="31"/>
      <c r="L14" s="123"/>
      <c r="M14" s="31"/>
      <c r="O14" s="123"/>
      <c r="P14" s="31"/>
      <c r="Q14" s="123"/>
      <c r="S14" s="123"/>
      <c r="T14" s="123"/>
      <c r="U14" s="31"/>
      <c r="V14" s="123"/>
      <c r="W14" s="177"/>
      <c r="X14" s="123"/>
      <c r="Y14" s="31"/>
      <c r="Z14" s="123"/>
      <c r="AA14" s="174"/>
      <c r="AB14" s="123"/>
      <c r="AC14" s="123"/>
      <c r="DB14" s="123"/>
    </row>
    <row r="15" spans="1:106" s="280" customFormat="1" ht="18" customHeight="1">
      <c r="A15" s="94">
        <v>1</v>
      </c>
      <c r="B15" s="94">
        <v>1</v>
      </c>
      <c r="C15" s="71" t="s">
        <v>218</v>
      </c>
      <c r="D15" s="72" t="s">
        <v>54</v>
      </c>
      <c r="E15" s="556"/>
      <c r="F15" s="257">
        <v>61382</v>
      </c>
      <c r="G15" s="279">
        <f>F15/$F$2</f>
        <v>0.10691269603505814</v>
      </c>
      <c r="H15" s="257">
        <v>44840</v>
      </c>
      <c r="I15" s="257">
        <v>6926</v>
      </c>
      <c r="J15" s="258">
        <v>9615.5</v>
      </c>
      <c r="K15" s="135">
        <f>J15/F15</f>
        <v>0.15665015802678309</v>
      </c>
      <c r="L15" s="269"/>
      <c r="M15" s="374"/>
      <c r="N15" s="330">
        <f ca="1">($F$1-M15)/30.33/12</f>
        <v>118.52126607319487</v>
      </c>
      <c r="O15" s="269"/>
      <c r="P15" s="73" t="s">
        <v>25</v>
      </c>
      <c r="Q15" s="269"/>
      <c r="R15" s="129">
        <f ca="1">(W15-$F$1)/30.33</f>
        <v>3.7586547972304651</v>
      </c>
      <c r="S15" s="186"/>
      <c r="T15" s="73" t="s">
        <v>116</v>
      </c>
      <c r="U15" s="132">
        <v>12</v>
      </c>
      <c r="V15" s="271"/>
      <c r="W15" s="192">
        <f>IF(OR(T15="",T15="N"),P15,EDATE(P15,U15))</f>
        <v>43251</v>
      </c>
      <c r="X15" s="271"/>
      <c r="Y15" s="74" t="s">
        <v>57</v>
      </c>
      <c r="Z15" s="271"/>
      <c r="AA15" s="593"/>
      <c r="AB15" s="594"/>
      <c r="AC15" s="292"/>
      <c r="AD15" s="226" t="s">
        <v>43</v>
      </c>
      <c r="AE15" s="226" t="s">
        <v>125</v>
      </c>
      <c r="AF15" s="231" t="s">
        <v>126</v>
      </c>
      <c r="AG15" s="233"/>
      <c r="AH15" s="226"/>
      <c r="AI15" s="226"/>
      <c r="AJ15" s="231"/>
      <c r="AK15" s="233"/>
      <c r="AL15" s="226"/>
      <c r="AM15" s="226"/>
      <c r="AN15" s="231"/>
      <c r="AO15" s="239"/>
      <c r="AQ15" s="392" t="s">
        <v>145</v>
      </c>
      <c r="AR15" s="393" t="s">
        <v>146</v>
      </c>
      <c r="AS15" s="393" t="s">
        <v>147</v>
      </c>
      <c r="AT15" s="393" t="s">
        <v>148</v>
      </c>
      <c r="AU15" s="394" t="s">
        <v>149</v>
      </c>
      <c r="AV15" s="392" t="s">
        <v>150</v>
      </c>
      <c r="AW15" s="393" t="s">
        <v>146</v>
      </c>
      <c r="AX15" s="393" t="s">
        <v>151</v>
      </c>
      <c r="AY15" s="393" t="s">
        <v>152</v>
      </c>
      <c r="AZ15" s="394" t="s">
        <v>153</v>
      </c>
      <c r="BA15" s="392"/>
      <c r="BB15" s="393"/>
      <c r="BC15" s="393"/>
      <c r="BD15" s="393"/>
      <c r="BE15" s="394"/>
      <c r="BF15" s="395"/>
      <c r="BG15" s="392"/>
      <c r="BH15" s="393"/>
      <c r="BI15" s="428"/>
      <c r="BJ15" s="393"/>
      <c r="BK15" s="394"/>
      <c r="BL15" s="392"/>
      <c r="BM15" s="393"/>
      <c r="BN15" s="393"/>
      <c r="BO15" s="393"/>
      <c r="BP15" s="394"/>
      <c r="BQ15" s="392"/>
      <c r="BR15" s="393"/>
      <c r="BS15" s="393"/>
      <c r="BT15" s="393"/>
      <c r="BU15" s="394"/>
      <c r="BV15" s="396"/>
      <c r="BW15" s="392"/>
      <c r="BX15" s="393"/>
      <c r="BY15" s="393"/>
      <c r="BZ15" s="393"/>
      <c r="CA15" s="394"/>
      <c r="CB15" s="392"/>
      <c r="CC15" s="393"/>
      <c r="CD15" s="393"/>
      <c r="CE15" s="393"/>
      <c r="CF15" s="394"/>
      <c r="CG15" s="392"/>
      <c r="CH15" s="393"/>
      <c r="CI15" s="393"/>
      <c r="CJ15" s="393"/>
      <c r="CK15" s="394"/>
      <c r="CL15" s="397"/>
      <c r="CM15" s="392"/>
      <c r="CN15" s="393"/>
      <c r="CO15" s="393"/>
      <c r="CP15" s="393"/>
      <c r="CQ15" s="394"/>
      <c r="CR15" s="392"/>
      <c r="CS15" s="393"/>
      <c r="CT15" s="393"/>
      <c r="CU15" s="393"/>
      <c r="CV15" s="394"/>
      <c r="CW15" s="392"/>
      <c r="CX15" s="393"/>
      <c r="CY15" s="393"/>
      <c r="CZ15" s="393"/>
      <c r="DA15" s="394"/>
      <c r="DB15" s="329"/>
    </row>
    <row r="16" spans="1:106" s="280" customFormat="1" ht="18" customHeight="1">
      <c r="A16" s="94">
        <v>2</v>
      </c>
      <c r="B16" s="94">
        <v>2</v>
      </c>
      <c r="C16" s="254" t="s">
        <v>222</v>
      </c>
      <c r="D16" s="255" t="s">
        <v>89</v>
      </c>
      <c r="E16" s="557" t="s">
        <v>36</v>
      </c>
      <c r="F16" s="256">
        <v>55221</v>
      </c>
      <c r="G16" s="281">
        <f>F16/$F$2</f>
        <v>9.6181714309601277E-2</v>
      </c>
      <c r="H16" s="256">
        <v>38642.699999999997</v>
      </c>
      <c r="I16" s="256">
        <v>2159.1</v>
      </c>
      <c r="J16" s="256">
        <v>14418.8</v>
      </c>
      <c r="K16" s="136">
        <f t="shared" ref="K16:K29" si="0">J16/F16</f>
        <v>0.26111080929356584</v>
      </c>
      <c r="L16" s="269"/>
      <c r="M16" s="375"/>
      <c r="N16" s="331">
        <f ca="1">($F$1-M16)/30.33/12</f>
        <v>118.52126607319487</v>
      </c>
      <c r="O16" s="269"/>
      <c r="P16" s="76" t="s">
        <v>10</v>
      </c>
      <c r="Q16" s="269"/>
      <c r="R16" s="130">
        <f ca="1">(W16-$F$1)/30.33</f>
        <v>2.7365644576327068</v>
      </c>
      <c r="S16" s="186"/>
      <c r="T16" s="76" t="s">
        <v>116</v>
      </c>
      <c r="U16" s="133">
        <v>4</v>
      </c>
      <c r="V16" s="282"/>
      <c r="W16" s="193">
        <f t="shared" ref="W16:W26" si="1">IF(OR(T16="",T16="N"),P16,EDATE(P16,U16))</f>
        <v>43220</v>
      </c>
      <c r="X16" s="282"/>
      <c r="Y16" s="78" t="s">
        <v>14</v>
      </c>
      <c r="Z16" s="282"/>
      <c r="AA16" s="589"/>
      <c r="AB16" s="590"/>
      <c r="AC16" s="293"/>
      <c r="AD16" s="240" t="s">
        <v>45</v>
      </c>
      <c r="AE16" s="240"/>
      <c r="AF16" s="241" t="s">
        <v>128</v>
      </c>
      <c r="AG16" s="242"/>
      <c r="AH16" s="240" t="s">
        <v>45</v>
      </c>
      <c r="AI16" s="240"/>
      <c r="AJ16" s="241" t="s">
        <v>127</v>
      </c>
      <c r="AK16" s="242"/>
      <c r="AL16" s="240" t="s">
        <v>45</v>
      </c>
      <c r="AM16" s="240"/>
      <c r="AN16" s="241" t="s">
        <v>130</v>
      </c>
      <c r="AO16" s="243" t="s">
        <v>129</v>
      </c>
      <c r="AQ16" s="398" t="s">
        <v>154</v>
      </c>
      <c r="AR16" s="399" t="s">
        <v>18</v>
      </c>
      <c r="AS16" s="399" t="s">
        <v>155</v>
      </c>
      <c r="AT16" s="399" t="s">
        <v>156</v>
      </c>
      <c r="AU16" s="400" t="s">
        <v>157</v>
      </c>
      <c r="AV16" s="398"/>
      <c r="AW16" s="399"/>
      <c r="AX16" s="399"/>
      <c r="AY16" s="399"/>
      <c r="AZ16" s="400"/>
      <c r="BA16" s="398"/>
      <c r="BB16" s="399"/>
      <c r="BC16" s="399"/>
      <c r="BD16" s="399"/>
      <c r="BE16" s="400"/>
      <c r="BF16" s="404"/>
      <c r="BG16" s="398" t="s">
        <v>154</v>
      </c>
      <c r="BH16" s="399" t="s">
        <v>18</v>
      </c>
      <c r="BI16" s="429" t="s">
        <v>158</v>
      </c>
      <c r="BJ16" s="399" t="s">
        <v>156</v>
      </c>
      <c r="BK16" s="400" t="s">
        <v>159</v>
      </c>
      <c r="BL16" s="398" t="s">
        <v>160</v>
      </c>
      <c r="BM16" s="399" t="s">
        <v>18</v>
      </c>
      <c r="BN16" s="399" t="s">
        <v>161</v>
      </c>
      <c r="BO16" s="399" t="s">
        <v>162</v>
      </c>
      <c r="BP16" s="400" t="s">
        <v>163</v>
      </c>
      <c r="BQ16" s="398"/>
      <c r="BR16" s="399"/>
      <c r="BS16" s="399"/>
      <c r="BT16" s="399"/>
      <c r="BU16" s="400"/>
      <c r="BV16" s="406"/>
      <c r="BW16" s="398"/>
      <c r="BX16" s="399"/>
      <c r="BY16" s="399"/>
      <c r="BZ16" s="399"/>
      <c r="CA16" s="400"/>
      <c r="CB16" s="398"/>
      <c r="CC16" s="399"/>
      <c r="CD16" s="399"/>
      <c r="CE16" s="399"/>
      <c r="CF16" s="400"/>
      <c r="CG16" s="398"/>
      <c r="CH16" s="399"/>
      <c r="CI16" s="399"/>
      <c r="CJ16" s="399"/>
      <c r="CK16" s="400"/>
      <c r="CL16" s="407"/>
      <c r="CM16" s="398"/>
      <c r="CN16" s="399"/>
      <c r="CO16" s="399"/>
      <c r="CP16" s="399"/>
      <c r="CQ16" s="400"/>
      <c r="CR16" s="398"/>
      <c r="CS16" s="399"/>
      <c r="CT16" s="399"/>
      <c r="CU16" s="399"/>
      <c r="CV16" s="400"/>
      <c r="CW16" s="398"/>
      <c r="CX16" s="399"/>
      <c r="CY16" s="399"/>
      <c r="CZ16" s="399"/>
      <c r="DA16" s="403"/>
      <c r="DB16" s="329"/>
    </row>
    <row r="17" spans="1:106" s="280" customFormat="1" ht="18" customHeight="1">
      <c r="A17" s="94">
        <v>3</v>
      </c>
      <c r="B17" s="94">
        <v>3</v>
      </c>
      <c r="C17" s="79" t="s">
        <v>219</v>
      </c>
      <c r="D17" s="80" t="s">
        <v>89</v>
      </c>
      <c r="E17" s="555"/>
      <c r="F17" s="259">
        <v>51997</v>
      </c>
      <c r="G17" s="281">
        <f t="shared" ref="G17:G25" si="2">F17/$F$2</f>
        <v>9.0566280924944093E-2</v>
      </c>
      <c r="H17" s="259">
        <v>33809</v>
      </c>
      <c r="I17" s="259">
        <v>7601.2</v>
      </c>
      <c r="J17" s="260">
        <v>10587</v>
      </c>
      <c r="K17" s="136">
        <f t="shared" si="0"/>
        <v>0.20360790045579552</v>
      </c>
      <c r="L17" s="269"/>
      <c r="M17" s="376"/>
      <c r="N17" s="331">
        <f t="shared" ref="N17:N26" ca="1" si="3">($F$1-M17)/30.33/12</f>
        <v>118.52126607319487</v>
      </c>
      <c r="O17" s="269"/>
      <c r="P17" s="81" t="s">
        <v>46</v>
      </c>
      <c r="Q17" s="269"/>
      <c r="R17" s="130">
        <f t="shared" ref="R17:R20" ca="1" si="4">(W17-$F$1)/30.33</f>
        <v>19.815364325750082</v>
      </c>
      <c r="S17" s="186"/>
      <c r="T17" s="81" t="s">
        <v>116</v>
      </c>
      <c r="U17" s="133">
        <v>24</v>
      </c>
      <c r="V17" s="271"/>
      <c r="W17" s="193">
        <f t="shared" si="1"/>
        <v>43738</v>
      </c>
      <c r="X17" s="271"/>
      <c r="Y17" s="77" t="s">
        <v>21</v>
      </c>
      <c r="Z17" s="271"/>
      <c r="AA17" s="589"/>
      <c r="AB17" s="590"/>
      <c r="AC17" s="293"/>
      <c r="AD17" s="225"/>
      <c r="AE17" s="225" t="s">
        <v>124</v>
      </c>
      <c r="AF17" s="241" t="s">
        <v>131</v>
      </c>
      <c r="AG17" s="242"/>
      <c r="AH17" s="225"/>
      <c r="AI17" s="225"/>
      <c r="AJ17" s="241"/>
      <c r="AK17" s="242"/>
      <c r="AL17" s="225"/>
      <c r="AM17" s="225"/>
      <c r="AN17" s="241"/>
      <c r="AO17" s="243"/>
      <c r="AQ17" s="405"/>
      <c r="AR17" s="402"/>
      <c r="AS17" s="402"/>
      <c r="AT17" s="402"/>
      <c r="AU17" s="403"/>
      <c r="AV17" s="405" t="s">
        <v>164</v>
      </c>
      <c r="AW17" s="402" t="s">
        <v>165</v>
      </c>
      <c r="AX17" s="402">
        <v>42677</v>
      </c>
      <c r="AY17" s="402" t="s">
        <v>166</v>
      </c>
      <c r="AZ17" s="403" t="s">
        <v>167</v>
      </c>
      <c r="BA17" s="405"/>
      <c r="BB17" s="402"/>
      <c r="BC17" s="402"/>
      <c r="BD17" s="402"/>
      <c r="BE17" s="403"/>
      <c r="BF17" s="410"/>
      <c r="BG17" s="405"/>
      <c r="BH17" s="402"/>
      <c r="BI17" s="409"/>
      <c r="BJ17" s="402"/>
      <c r="BK17" s="403"/>
      <c r="BL17" s="405" t="s">
        <v>168</v>
      </c>
      <c r="BM17" s="402" t="s">
        <v>165</v>
      </c>
      <c r="BN17" s="409">
        <v>42789</v>
      </c>
      <c r="BO17" s="402" t="s">
        <v>23</v>
      </c>
      <c r="BP17" s="403" t="s">
        <v>169</v>
      </c>
      <c r="BQ17" s="405"/>
      <c r="BR17" s="402"/>
      <c r="BS17" s="409"/>
      <c r="BT17" s="402"/>
      <c r="BU17" s="403"/>
      <c r="BV17" s="411"/>
      <c r="BW17" s="405"/>
      <c r="BX17" s="402"/>
      <c r="BY17" s="409"/>
      <c r="BZ17" s="402"/>
      <c r="CA17" s="403"/>
      <c r="CB17" s="405"/>
      <c r="CC17" s="402"/>
      <c r="CD17" s="409"/>
      <c r="CE17" s="402"/>
      <c r="CF17" s="403"/>
      <c r="CG17" s="405"/>
      <c r="CH17" s="402"/>
      <c r="CI17" s="409"/>
      <c r="CJ17" s="402"/>
      <c r="CK17" s="403"/>
      <c r="CL17" s="412"/>
      <c r="CM17" s="405"/>
      <c r="CN17" s="402"/>
      <c r="CO17" s="409"/>
      <c r="CP17" s="402"/>
      <c r="CQ17" s="403"/>
      <c r="CR17" s="405"/>
      <c r="CS17" s="402"/>
      <c r="CT17" s="409"/>
      <c r="CU17" s="402"/>
      <c r="CV17" s="403"/>
      <c r="CW17" s="405"/>
      <c r="CX17" s="402"/>
      <c r="CY17" s="409"/>
      <c r="CZ17" s="402"/>
      <c r="DA17" s="403"/>
      <c r="DB17" s="329"/>
    </row>
    <row r="18" spans="1:106" s="280" customFormat="1" ht="18" customHeight="1">
      <c r="A18" s="94">
        <v>4</v>
      </c>
      <c r="B18" s="94">
        <v>4</v>
      </c>
      <c r="C18" s="79" t="s">
        <v>189</v>
      </c>
      <c r="D18" s="80" t="s">
        <v>54</v>
      </c>
      <c r="E18" s="555"/>
      <c r="F18" s="259">
        <v>25486</v>
      </c>
      <c r="G18" s="281">
        <f t="shared" si="2"/>
        <v>4.4390488598440775E-2</v>
      </c>
      <c r="H18" s="259">
        <v>37719.5</v>
      </c>
      <c r="I18" s="259">
        <v>5241.1000000000004</v>
      </c>
      <c r="J18" s="260">
        <v>6308.2</v>
      </c>
      <c r="K18" s="136">
        <f t="shared" si="0"/>
        <v>0.24751628344973711</v>
      </c>
      <c r="L18" s="269"/>
      <c r="M18" s="376"/>
      <c r="N18" s="331">
        <f ca="1">($F$1-M18)/30.33/12</f>
        <v>118.52126607319487</v>
      </c>
      <c r="O18" s="269"/>
      <c r="P18" s="81" t="s">
        <v>139</v>
      </c>
      <c r="Q18" s="269"/>
      <c r="R18" s="130">
        <f t="shared" ca="1" si="4"/>
        <v>0.72535443455324766</v>
      </c>
      <c r="S18" s="186"/>
      <c r="T18" s="81" t="s">
        <v>116</v>
      </c>
      <c r="U18" s="133">
        <v>12</v>
      </c>
      <c r="V18" s="271"/>
      <c r="W18" s="193">
        <f t="shared" si="1"/>
        <v>43159</v>
      </c>
      <c r="X18" s="271"/>
      <c r="Y18" s="77"/>
      <c r="Z18" s="271"/>
      <c r="AA18" s="503"/>
      <c r="AB18" s="504"/>
      <c r="AC18" s="294"/>
      <c r="AD18" s="225"/>
      <c r="AE18" s="225"/>
      <c r="AF18" s="241"/>
      <c r="AG18" s="242"/>
      <c r="AH18" s="225"/>
      <c r="AI18" s="225"/>
      <c r="AJ18" s="241"/>
      <c r="AK18" s="242"/>
      <c r="AL18" s="225"/>
      <c r="AM18" s="225"/>
      <c r="AN18" s="241"/>
      <c r="AO18" s="243"/>
      <c r="AQ18" s="405"/>
      <c r="AR18" s="402"/>
      <c r="AS18" s="402"/>
      <c r="AT18" s="402"/>
      <c r="AU18" s="403"/>
      <c r="AV18" s="405"/>
      <c r="AW18" s="402"/>
      <c r="AX18" s="402"/>
      <c r="AY18" s="402"/>
      <c r="AZ18" s="403"/>
      <c r="BA18" s="405"/>
      <c r="BB18" s="402"/>
      <c r="BC18" s="402"/>
      <c r="BD18" s="402"/>
      <c r="BE18" s="403"/>
      <c r="BF18" s="410"/>
      <c r="BG18" s="405"/>
      <c r="BH18" s="402"/>
      <c r="BI18" s="409"/>
      <c r="BJ18" s="402"/>
      <c r="BK18" s="403"/>
      <c r="BL18" s="405"/>
      <c r="BM18" s="402"/>
      <c r="BN18" s="409"/>
      <c r="BO18" s="402"/>
      <c r="BP18" s="403"/>
      <c r="BQ18" s="405"/>
      <c r="BR18" s="402"/>
      <c r="BS18" s="409"/>
      <c r="BT18" s="402"/>
      <c r="BU18" s="403"/>
      <c r="BV18" s="411"/>
      <c r="BW18" s="405"/>
      <c r="BX18" s="402"/>
      <c r="BY18" s="409"/>
      <c r="BZ18" s="402"/>
      <c r="CA18" s="403"/>
      <c r="CB18" s="405"/>
      <c r="CC18" s="402"/>
      <c r="CD18" s="409"/>
      <c r="CE18" s="402"/>
      <c r="CF18" s="403"/>
      <c r="CG18" s="405"/>
      <c r="CH18" s="402"/>
      <c r="CI18" s="409"/>
      <c r="CJ18" s="402"/>
      <c r="CK18" s="403"/>
      <c r="CL18" s="412"/>
      <c r="CM18" s="405"/>
      <c r="CN18" s="402"/>
      <c r="CO18" s="409"/>
      <c r="CP18" s="402"/>
      <c r="CQ18" s="403"/>
      <c r="CR18" s="405"/>
      <c r="CS18" s="402"/>
      <c r="CT18" s="409"/>
      <c r="CU18" s="402"/>
      <c r="CV18" s="403"/>
      <c r="CW18" s="405"/>
      <c r="CX18" s="402"/>
      <c r="CY18" s="409"/>
      <c r="CZ18" s="402"/>
      <c r="DA18" s="403"/>
      <c r="DB18" s="329"/>
    </row>
    <row r="19" spans="1:106" s="280" customFormat="1" ht="18" customHeight="1">
      <c r="A19" s="94">
        <v>5</v>
      </c>
      <c r="B19" s="94">
        <v>5</v>
      </c>
      <c r="C19" s="79" t="s">
        <v>220</v>
      </c>
      <c r="D19" s="80" t="s">
        <v>89</v>
      </c>
      <c r="E19" s="555"/>
      <c r="F19" s="259">
        <v>37723</v>
      </c>
      <c r="G19" s="281">
        <f>F19/$F$2</f>
        <v>6.5704402471905413E-2</v>
      </c>
      <c r="H19" s="259">
        <v>25673</v>
      </c>
      <c r="I19" s="259">
        <v>4681.3999999999996</v>
      </c>
      <c r="J19" s="260">
        <v>7369</v>
      </c>
      <c r="K19" s="136">
        <f t="shared" si="0"/>
        <v>0.19534501497759987</v>
      </c>
      <c r="L19" s="269"/>
      <c r="M19" s="376"/>
      <c r="N19" s="331">
        <f ca="1">($F$1-M19)/30.33/12</f>
        <v>118.52126607319487</v>
      </c>
      <c r="O19" s="269"/>
      <c r="P19" s="81" t="s">
        <v>10</v>
      </c>
      <c r="Q19" s="269"/>
      <c r="R19" s="130">
        <f ca="1">(W19-$F$1)/30.33</f>
        <v>10.814375206066602</v>
      </c>
      <c r="S19" s="186"/>
      <c r="T19" s="81" t="s">
        <v>116</v>
      </c>
      <c r="U19" s="133">
        <v>12</v>
      </c>
      <c r="V19" s="271"/>
      <c r="W19" s="193">
        <f>IF(OR(T19="",T19="N"),P19,EDATE(P19,U19))</f>
        <v>43465</v>
      </c>
      <c r="X19" s="271"/>
      <c r="Y19" s="77" t="s">
        <v>14</v>
      </c>
      <c r="Z19" s="271"/>
      <c r="AA19" s="589"/>
      <c r="AB19" s="590"/>
      <c r="AC19" s="295"/>
      <c r="AD19" s="225"/>
      <c r="AE19" s="225" t="s">
        <v>124</v>
      </c>
      <c r="AF19" s="241" t="s">
        <v>13</v>
      </c>
      <c r="AG19" s="242"/>
      <c r="AH19" s="225"/>
      <c r="AI19" s="225"/>
      <c r="AJ19" s="241"/>
      <c r="AK19" s="242"/>
      <c r="AL19" s="225"/>
      <c r="AM19" s="225"/>
      <c r="AN19" s="241"/>
      <c r="AO19" s="243"/>
      <c r="AQ19" s="398" t="s">
        <v>154</v>
      </c>
      <c r="AR19" s="399" t="s">
        <v>146</v>
      </c>
      <c r="AS19" s="399" t="s">
        <v>170</v>
      </c>
      <c r="AT19" s="399" t="s">
        <v>171</v>
      </c>
      <c r="AU19" s="401" t="s">
        <v>172</v>
      </c>
      <c r="AV19" s="398" t="s">
        <v>173</v>
      </c>
      <c r="AW19" s="399" t="s">
        <v>18</v>
      </c>
      <c r="AX19" s="399" t="s">
        <v>174</v>
      </c>
      <c r="AY19" s="399" t="s">
        <v>152</v>
      </c>
      <c r="AZ19" s="401" t="s">
        <v>175</v>
      </c>
      <c r="BA19" s="398" t="s">
        <v>176</v>
      </c>
      <c r="BB19" s="399" t="s">
        <v>18</v>
      </c>
      <c r="BC19" s="399" t="s">
        <v>177</v>
      </c>
      <c r="BD19" s="399" t="s">
        <v>171</v>
      </c>
      <c r="BE19" s="401" t="s">
        <v>172</v>
      </c>
      <c r="BF19" s="404"/>
      <c r="BG19" s="398" t="s">
        <v>178</v>
      </c>
      <c r="BH19" s="399" t="s">
        <v>18</v>
      </c>
      <c r="BI19" s="429">
        <v>42761</v>
      </c>
      <c r="BJ19" s="399" t="s">
        <v>148</v>
      </c>
      <c r="BK19" s="401" t="s">
        <v>172</v>
      </c>
      <c r="BL19" s="398" t="s">
        <v>179</v>
      </c>
      <c r="BM19" s="399" t="s">
        <v>18</v>
      </c>
      <c r="BN19" s="429">
        <v>42774</v>
      </c>
      <c r="BO19" s="399" t="s">
        <v>26</v>
      </c>
      <c r="BP19" s="401" t="s">
        <v>172</v>
      </c>
      <c r="BQ19" s="398"/>
      <c r="BR19" s="399"/>
      <c r="BS19" s="429"/>
      <c r="BT19" s="399"/>
      <c r="BU19" s="401"/>
      <c r="BV19" s="406"/>
      <c r="BW19" s="398"/>
      <c r="BX19" s="399"/>
      <c r="BY19" s="429"/>
      <c r="BZ19" s="399"/>
      <c r="CA19" s="401"/>
      <c r="CB19" s="398"/>
      <c r="CC19" s="399"/>
      <c r="CD19" s="429"/>
      <c r="CE19" s="399"/>
      <c r="CF19" s="401"/>
      <c r="CG19" s="398"/>
      <c r="CH19" s="399"/>
      <c r="CI19" s="429"/>
      <c r="CJ19" s="399"/>
      <c r="CK19" s="401"/>
      <c r="CL19" s="407"/>
      <c r="CM19" s="398"/>
      <c r="CN19" s="399"/>
      <c r="CO19" s="429"/>
      <c r="CP19" s="399"/>
      <c r="CQ19" s="401"/>
      <c r="CR19" s="398"/>
      <c r="CS19" s="399"/>
      <c r="CT19" s="429"/>
      <c r="CU19" s="399"/>
      <c r="CV19" s="401"/>
      <c r="CW19" s="398"/>
      <c r="CX19" s="399"/>
      <c r="CY19" s="429"/>
      <c r="CZ19" s="399"/>
      <c r="DA19" s="401"/>
      <c r="DB19" s="329"/>
    </row>
    <row r="20" spans="1:106" s="283" customFormat="1" ht="18" customHeight="1">
      <c r="A20" s="94">
        <v>6</v>
      </c>
      <c r="B20" s="94">
        <v>6</v>
      </c>
      <c r="C20" s="82" t="s">
        <v>221</v>
      </c>
      <c r="D20" s="83" t="s">
        <v>30</v>
      </c>
      <c r="E20" s="558"/>
      <c r="F20" s="261">
        <v>35570</v>
      </c>
      <c r="G20" s="281">
        <f t="shared" si="2"/>
        <v>6.1954393763106741E-2</v>
      </c>
      <c r="H20" s="261">
        <v>29381.8</v>
      </c>
      <c r="I20" s="261">
        <v>-240.6</v>
      </c>
      <c r="J20" s="262">
        <v>6428.8</v>
      </c>
      <c r="K20" s="136">
        <f t="shared" si="0"/>
        <v>0.18073657576609503</v>
      </c>
      <c r="L20" s="269"/>
      <c r="M20" s="376"/>
      <c r="N20" s="331">
        <f t="shared" ca="1" si="3"/>
        <v>118.52126607319487</v>
      </c>
      <c r="O20" s="269"/>
      <c r="P20" s="81" t="s">
        <v>10</v>
      </c>
      <c r="Q20" s="269"/>
      <c r="R20" s="130">
        <f t="shared" ca="1" si="4"/>
        <v>10.814375206066602</v>
      </c>
      <c r="S20" s="186"/>
      <c r="T20" s="81" t="s">
        <v>116</v>
      </c>
      <c r="U20" s="133">
        <v>12</v>
      </c>
      <c r="V20" s="271"/>
      <c r="W20" s="193">
        <f t="shared" si="1"/>
        <v>43465</v>
      </c>
      <c r="X20" s="271"/>
      <c r="Y20" s="84" t="s">
        <v>21</v>
      </c>
      <c r="Z20" s="271"/>
      <c r="AA20" s="589"/>
      <c r="AB20" s="590"/>
      <c r="AC20" s="294"/>
      <c r="AD20" s="225"/>
      <c r="AE20" s="225"/>
      <c r="AF20" s="244"/>
      <c r="AG20" s="245"/>
      <c r="AH20" s="225"/>
      <c r="AI20" s="225"/>
      <c r="AJ20" s="244"/>
      <c r="AK20" s="245"/>
      <c r="AL20" s="225"/>
      <c r="AM20" s="225"/>
      <c r="AN20" s="244"/>
      <c r="AO20" s="246"/>
      <c r="AQ20" s="413"/>
      <c r="AR20" s="408"/>
      <c r="AS20" s="408"/>
      <c r="AT20" s="408"/>
      <c r="AU20" s="414"/>
      <c r="AV20" s="413"/>
      <c r="AW20" s="408"/>
      <c r="AX20" s="408"/>
      <c r="AY20" s="408"/>
      <c r="AZ20" s="414"/>
      <c r="BA20" s="413"/>
      <c r="BB20" s="408"/>
      <c r="BC20" s="408"/>
      <c r="BD20" s="408"/>
      <c r="BE20" s="414"/>
      <c r="BF20" s="415"/>
      <c r="BG20" s="413"/>
      <c r="BH20" s="408"/>
      <c r="BI20" s="416"/>
      <c r="BJ20" s="408"/>
      <c r="BK20" s="414"/>
      <c r="BL20" s="413"/>
      <c r="BM20" s="408"/>
      <c r="BN20" s="416"/>
      <c r="BO20" s="408"/>
      <c r="BP20" s="414"/>
      <c r="BQ20" s="413"/>
      <c r="BR20" s="408"/>
      <c r="BS20" s="416"/>
      <c r="BT20" s="408"/>
      <c r="BU20" s="414"/>
      <c r="BV20" s="417"/>
      <c r="BW20" s="413"/>
      <c r="BX20" s="408"/>
      <c r="BY20" s="416"/>
      <c r="BZ20" s="408"/>
      <c r="CA20" s="414"/>
      <c r="CB20" s="413"/>
      <c r="CC20" s="408"/>
      <c r="CD20" s="416"/>
      <c r="CE20" s="408"/>
      <c r="CF20" s="414"/>
      <c r="CG20" s="413"/>
      <c r="CH20" s="408"/>
      <c r="CI20" s="416"/>
      <c r="CJ20" s="408"/>
      <c r="CK20" s="414"/>
      <c r="CL20" s="418"/>
      <c r="CM20" s="413"/>
      <c r="CN20" s="408"/>
      <c r="CO20" s="416"/>
      <c r="CP20" s="408"/>
      <c r="CQ20" s="414"/>
      <c r="CR20" s="413"/>
      <c r="CS20" s="408"/>
      <c r="CT20" s="416"/>
      <c r="CU20" s="408"/>
      <c r="CV20" s="414"/>
      <c r="CW20" s="413"/>
      <c r="CX20" s="408"/>
      <c r="CY20" s="416"/>
      <c r="CZ20" s="408"/>
      <c r="DA20" s="414"/>
      <c r="DB20" s="329"/>
    </row>
    <row r="21" spans="1:106" s="280" customFormat="1" ht="18" customHeight="1">
      <c r="A21" s="94">
        <v>7</v>
      </c>
      <c r="B21" s="94">
        <v>7</v>
      </c>
      <c r="C21" s="79" t="s">
        <v>216</v>
      </c>
      <c r="D21" s="80" t="s">
        <v>30</v>
      </c>
      <c r="E21" s="555" t="s">
        <v>36</v>
      </c>
      <c r="F21" s="259">
        <v>29433</v>
      </c>
      <c r="G21" s="281">
        <f t="shared" si="2"/>
        <v>5.1265214271282562E-2</v>
      </c>
      <c r="H21" s="259">
        <v>16727</v>
      </c>
      <c r="I21" s="259">
        <v>5049.3999999999996</v>
      </c>
      <c r="J21" s="260">
        <v>7656.6</v>
      </c>
      <c r="K21" s="136">
        <f t="shared" si="0"/>
        <v>0.2601365813882377</v>
      </c>
      <c r="L21" s="269"/>
      <c r="M21" s="376"/>
      <c r="N21" s="331">
        <f t="shared" ca="1" si="3"/>
        <v>118.52126607319487</v>
      </c>
      <c r="O21" s="269"/>
      <c r="P21" s="76" t="s">
        <v>25</v>
      </c>
      <c r="Q21" s="269"/>
      <c r="R21" s="130">
        <f ca="1">(W21-$F$1)/30.33</f>
        <v>3.7586547972304651</v>
      </c>
      <c r="S21" s="186"/>
      <c r="T21" s="76" t="s">
        <v>116</v>
      </c>
      <c r="U21" s="133">
        <v>12</v>
      </c>
      <c r="V21" s="271"/>
      <c r="W21" s="193">
        <f t="shared" si="1"/>
        <v>43251</v>
      </c>
      <c r="X21" s="271"/>
      <c r="Y21" s="77" t="s">
        <v>57</v>
      </c>
      <c r="Z21" s="271"/>
      <c r="AA21" s="589"/>
      <c r="AB21" s="590"/>
      <c r="AC21" s="294"/>
      <c r="AD21" s="225"/>
      <c r="AE21" s="225"/>
      <c r="AF21" s="241"/>
      <c r="AG21" s="242"/>
      <c r="AH21" s="225"/>
      <c r="AI21" s="225"/>
      <c r="AJ21" s="241"/>
      <c r="AK21" s="242"/>
      <c r="AL21" s="225"/>
      <c r="AM21" s="225"/>
      <c r="AN21" s="241"/>
      <c r="AO21" s="243"/>
      <c r="AQ21" s="398"/>
      <c r="AR21" s="399"/>
      <c r="AS21" s="399"/>
      <c r="AT21" s="399"/>
      <c r="AU21" s="401"/>
      <c r="AV21" s="398"/>
      <c r="AW21" s="399"/>
      <c r="AX21" s="399"/>
      <c r="AY21" s="399"/>
      <c r="AZ21" s="401"/>
      <c r="BA21" s="398"/>
      <c r="BB21" s="399"/>
      <c r="BC21" s="399"/>
      <c r="BD21" s="399"/>
      <c r="BE21" s="401"/>
      <c r="BF21" s="410"/>
      <c r="BG21" s="398"/>
      <c r="BH21" s="399"/>
      <c r="BI21" s="429"/>
      <c r="BJ21" s="399"/>
      <c r="BK21" s="401"/>
      <c r="BL21" s="398"/>
      <c r="BM21" s="399"/>
      <c r="BN21" s="429"/>
      <c r="BO21" s="399"/>
      <c r="BP21" s="401"/>
      <c r="BQ21" s="398"/>
      <c r="BR21" s="399"/>
      <c r="BS21" s="429"/>
      <c r="BT21" s="399"/>
      <c r="BU21" s="401"/>
      <c r="BV21" s="411"/>
      <c r="BW21" s="398"/>
      <c r="BX21" s="399"/>
      <c r="BY21" s="429"/>
      <c r="BZ21" s="399"/>
      <c r="CA21" s="401"/>
      <c r="CB21" s="398"/>
      <c r="CC21" s="399"/>
      <c r="CD21" s="429"/>
      <c r="CE21" s="399"/>
      <c r="CF21" s="401"/>
      <c r="CG21" s="398"/>
      <c r="CH21" s="399"/>
      <c r="CI21" s="429"/>
      <c r="CJ21" s="399"/>
      <c r="CK21" s="401"/>
      <c r="CL21" s="412"/>
      <c r="CM21" s="398"/>
      <c r="CN21" s="399"/>
      <c r="CO21" s="429"/>
      <c r="CP21" s="399"/>
      <c r="CQ21" s="401"/>
      <c r="CR21" s="398"/>
      <c r="CS21" s="399"/>
      <c r="CT21" s="429"/>
      <c r="CU21" s="399"/>
      <c r="CV21" s="401"/>
      <c r="CW21" s="398"/>
      <c r="CX21" s="399"/>
      <c r="CY21" s="429"/>
      <c r="CZ21" s="399"/>
      <c r="DA21" s="401"/>
      <c r="DB21" s="329"/>
    </row>
    <row r="22" spans="1:106" s="280" customFormat="1" ht="18" customHeight="1">
      <c r="A22" s="94">
        <v>8</v>
      </c>
      <c r="B22" s="94">
        <v>8</v>
      </c>
      <c r="C22" s="79" t="s">
        <v>217</v>
      </c>
      <c r="D22" s="80" t="s">
        <v>30</v>
      </c>
      <c r="E22" s="555"/>
      <c r="F22" s="259">
        <v>25149</v>
      </c>
      <c r="G22" s="281">
        <f t="shared" si="2"/>
        <v>4.3803515567848506E-2</v>
      </c>
      <c r="H22" s="259">
        <v>16614.2</v>
      </c>
      <c r="I22" s="259">
        <v>1325.3</v>
      </c>
      <c r="J22" s="260">
        <v>7290.4</v>
      </c>
      <c r="K22" s="136">
        <f t="shared" si="0"/>
        <v>0.2898882659350272</v>
      </c>
      <c r="L22" s="269"/>
      <c r="M22" s="376">
        <v>42278</v>
      </c>
      <c r="N22" s="331">
        <f t="shared" ca="1" si="3"/>
        <v>2.3601494669743928</v>
      </c>
      <c r="O22" s="269"/>
      <c r="P22" s="76" t="s">
        <v>47</v>
      </c>
      <c r="Q22" s="269"/>
      <c r="R22" s="130">
        <f ca="1">(W22-$F$1)/30.33</f>
        <v>7.7810748433893835</v>
      </c>
      <c r="S22" s="186"/>
      <c r="T22" s="76" t="s">
        <v>116</v>
      </c>
      <c r="U22" s="133">
        <v>12</v>
      </c>
      <c r="V22" s="271"/>
      <c r="W22" s="193">
        <f t="shared" si="1"/>
        <v>43373</v>
      </c>
      <c r="X22" s="271"/>
      <c r="Y22" s="84" t="s">
        <v>14</v>
      </c>
      <c r="Z22" s="271"/>
      <c r="AA22" s="589"/>
      <c r="AB22" s="590"/>
      <c r="AC22" s="294"/>
      <c r="AD22" s="225"/>
      <c r="AE22" s="225"/>
      <c r="AF22" s="244"/>
      <c r="AG22" s="244"/>
      <c r="AH22" s="225"/>
      <c r="AI22" s="225"/>
      <c r="AJ22" s="244"/>
      <c r="AK22" s="245"/>
      <c r="AL22" s="225"/>
      <c r="AM22" s="225"/>
      <c r="AN22" s="244"/>
      <c r="AO22" s="246"/>
      <c r="AQ22" s="405"/>
      <c r="AR22" s="402"/>
      <c r="AS22" s="409"/>
      <c r="AT22" s="402"/>
      <c r="AU22" s="403"/>
      <c r="AV22" s="405"/>
      <c r="AW22" s="402"/>
      <c r="AX22" s="409"/>
      <c r="AY22" s="402"/>
      <c r="AZ22" s="403"/>
      <c r="BA22" s="405"/>
      <c r="BB22" s="402"/>
      <c r="BC22" s="409"/>
      <c r="BD22" s="402"/>
      <c r="BE22" s="403"/>
      <c r="BF22" s="404"/>
      <c r="BG22" s="405"/>
      <c r="BH22" s="402"/>
      <c r="BI22" s="409"/>
      <c r="BJ22" s="402"/>
      <c r="BK22" s="403"/>
      <c r="BL22" s="405"/>
      <c r="BM22" s="402"/>
      <c r="BN22" s="409"/>
      <c r="BO22" s="402"/>
      <c r="BP22" s="403"/>
      <c r="BQ22" s="405"/>
      <c r="BR22" s="402"/>
      <c r="BS22" s="409"/>
      <c r="BT22" s="402"/>
      <c r="BU22" s="403"/>
      <c r="BV22" s="406"/>
      <c r="BW22" s="405"/>
      <c r="BX22" s="402"/>
      <c r="BY22" s="409"/>
      <c r="BZ22" s="402"/>
      <c r="CA22" s="403"/>
      <c r="CB22" s="405"/>
      <c r="CC22" s="402"/>
      <c r="CD22" s="409"/>
      <c r="CE22" s="402"/>
      <c r="CF22" s="403"/>
      <c r="CG22" s="405"/>
      <c r="CH22" s="402"/>
      <c r="CI22" s="409"/>
      <c r="CJ22" s="402"/>
      <c r="CK22" s="403"/>
      <c r="CL22" s="407"/>
      <c r="CM22" s="405"/>
      <c r="CN22" s="402"/>
      <c r="CO22" s="409"/>
      <c r="CP22" s="402"/>
      <c r="CQ22" s="403"/>
      <c r="CR22" s="405"/>
      <c r="CS22" s="402"/>
      <c r="CT22" s="409"/>
      <c r="CU22" s="402"/>
      <c r="CV22" s="403"/>
      <c r="CW22" s="405"/>
      <c r="CX22" s="402"/>
      <c r="CY22" s="409"/>
      <c r="CZ22" s="402"/>
      <c r="DA22" s="403"/>
      <c r="DB22" s="329"/>
    </row>
    <row r="23" spans="1:106" s="280" customFormat="1" ht="18" customHeight="1">
      <c r="A23" s="94">
        <v>9</v>
      </c>
      <c r="B23" s="94">
        <v>9</v>
      </c>
      <c r="C23" s="79" t="s">
        <v>223</v>
      </c>
      <c r="D23" s="80" t="s">
        <v>30</v>
      </c>
      <c r="E23" s="555"/>
      <c r="F23" s="259">
        <v>22623</v>
      </c>
      <c r="G23" s="281">
        <f t="shared" si="2"/>
        <v>3.9403830478008543E-2</v>
      </c>
      <c r="H23" s="259">
        <v>8029.3</v>
      </c>
      <c r="I23" s="259">
        <v>7749.4</v>
      </c>
      <c r="J23" s="260">
        <v>6844.6</v>
      </c>
      <c r="K23" s="136">
        <f t="shared" si="0"/>
        <v>0.30255050170180792</v>
      </c>
      <c r="L23" s="269"/>
      <c r="M23" s="376"/>
      <c r="N23" s="331">
        <f t="shared" ca="1" si="3"/>
        <v>118.52126607319487</v>
      </c>
      <c r="O23" s="269"/>
      <c r="P23" s="81" t="s">
        <v>12</v>
      </c>
      <c r="Q23" s="269"/>
      <c r="R23" s="130">
        <f ca="1">(P23-$F$1)/30.33</f>
        <v>1.7474447741510057</v>
      </c>
      <c r="S23" s="186"/>
      <c r="T23" s="81"/>
      <c r="U23" s="133"/>
      <c r="V23" s="271"/>
      <c r="W23" s="193" t="str">
        <f t="shared" si="1"/>
        <v>31/03/2018</v>
      </c>
      <c r="X23" s="271"/>
      <c r="Y23" s="77" t="s">
        <v>14</v>
      </c>
      <c r="Z23" s="271"/>
      <c r="AA23" s="589"/>
      <c r="AB23" s="590"/>
      <c r="AC23" s="294"/>
      <c r="AD23" s="225"/>
      <c r="AE23" s="225"/>
      <c r="AF23" s="241"/>
      <c r="AG23" s="242"/>
      <c r="AH23" s="225"/>
      <c r="AI23" s="225"/>
      <c r="AJ23" s="241"/>
      <c r="AK23" s="242"/>
      <c r="AL23" s="225"/>
      <c r="AM23" s="225"/>
      <c r="AN23" s="241"/>
      <c r="AO23" s="243"/>
      <c r="AQ23" s="398"/>
      <c r="AR23" s="399"/>
      <c r="AS23" s="399"/>
      <c r="AT23" s="399"/>
      <c r="AU23" s="401"/>
      <c r="AV23" s="398"/>
      <c r="AW23" s="399"/>
      <c r="AX23" s="399"/>
      <c r="AY23" s="399"/>
      <c r="AZ23" s="401"/>
      <c r="BA23" s="398"/>
      <c r="BB23" s="399"/>
      <c r="BC23" s="399"/>
      <c r="BD23" s="399"/>
      <c r="BE23" s="401"/>
      <c r="BF23" s="410"/>
      <c r="BG23" s="398"/>
      <c r="BH23" s="399"/>
      <c r="BI23" s="429"/>
      <c r="BJ23" s="399"/>
      <c r="BK23" s="401"/>
      <c r="BL23" s="398"/>
      <c r="BM23" s="399"/>
      <c r="BN23" s="429"/>
      <c r="BO23" s="399"/>
      <c r="BP23" s="401"/>
      <c r="BQ23" s="398"/>
      <c r="BR23" s="399"/>
      <c r="BS23" s="429"/>
      <c r="BT23" s="399"/>
      <c r="BU23" s="401"/>
      <c r="BV23" s="411"/>
      <c r="BW23" s="398"/>
      <c r="BX23" s="399"/>
      <c r="BY23" s="429"/>
      <c r="BZ23" s="399"/>
      <c r="CA23" s="401"/>
      <c r="CB23" s="398"/>
      <c r="CC23" s="399"/>
      <c r="CD23" s="429"/>
      <c r="CE23" s="399"/>
      <c r="CF23" s="401"/>
      <c r="CG23" s="398"/>
      <c r="CH23" s="399"/>
      <c r="CI23" s="429"/>
      <c r="CJ23" s="399"/>
      <c r="CK23" s="401"/>
      <c r="CL23" s="412"/>
      <c r="CM23" s="398"/>
      <c r="CN23" s="399"/>
      <c r="CO23" s="429"/>
      <c r="CP23" s="399"/>
      <c r="CQ23" s="401"/>
      <c r="CR23" s="398"/>
      <c r="CS23" s="399"/>
      <c r="CT23" s="429"/>
      <c r="CU23" s="399"/>
      <c r="CV23" s="401"/>
      <c r="CW23" s="398"/>
      <c r="CX23" s="399"/>
      <c r="CY23" s="429"/>
      <c r="CZ23" s="399"/>
      <c r="DA23" s="401"/>
      <c r="DB23" s="329"/>
    </row>
    <row r="24" spans="1:106" s="280" customFormat="1" ht="18" customHeight="1">
      <c r="A24" s="94">
        <v>10</v>
      </c>
      <c r="B24" s="94">
        <v>10</v>
      </c>
      <c r="C24" s="79" t="s">
        <v>215</v>
      </c>
      <c r="D24" s="80" t="s">
        <v>54</v>
      </c>
      <c r="E24" s="555"/>
      <c r="F24" s="259">
        <v>20126</v>
      </c>
      <c r="G24" s="281">
        <f t="shared" si="2"/>
        <v>3.5054656420474735E-2</v>
      </c>
      <c r="H24" s="259">
        <v>14443</v>
      </c>
      <c r="I24" s="259">
        <v>1745.4</v>
      </c>
      <c r="J24" s="260">
        <v>3937.6</v>
      </c>
      <c r="K24" s="136">
        <f t="shared" si="0"/>
        <v>0.19564742124614926</v>
      </c>
      <c r="L24" s="269"/>
      <c r="M24" s="376"/>
      <c r="N24" s="331">
        <f t="shared" ca="1" si="3"/>
        <v>118.52126607319487</v>
      </c>
      <c r="O24" s="269"/>
      <c r="P24" s="76" t="s">
        <v>22</v>
      </c>
      <c r="Q24" s="269"/>
      <c r="R24" s="130">
        <f t="shared" ref="R24:R26" ca="1" si="5">(P24-$F$1)/30.33</f>
        <v>-9.2977250247279919</v>
      </c>
      <c r="S24" s="186"/>
      <c r="T24" s="76"/>
      <c r="U24" s="133"/>
      <c r="V24" s="271"/>
      <c r="W24" s="193" t="str">
        <f t="shared" si="1"/>
        <v>30/04/2017</v>
      </c>
      <c r="X24" s="271"/>
      <c r="Y24" s="77" t="s">
        <v>21</v>
      </c>
      <c r="Z24" s="271"/>
      <c r="AA24" s="589"/>
      <c r="AB24" s="590"/>
      <c r="AC24" s="294"/>
      <c r="AD24" s="225"/>
      <c r="AE24" s="225"/>
      <c r="AF24" s="241"/>
      <c r="AG24" s="242"/>
      <c r="AH24" s="225"/>
      <c r="AI24" s="225"/>
      <c r="AJ24" s="241"/>
      <c r="AK24" s="242"/>
      <c r="AL24" s="225"/>
      <c r="AM24" s="225"/>
      <c r="AN24" s="241"/>
      <c r="AO24" s="243"/>
      <c r="AQ24" s="405"/>
      <c r="AR24" s="402"/>
      <c r="AS24" s="402"/>
      <c r="AT24" s="402"/>
      <c r="AU24" s="403"/>
      <c r="AV24" s="405"/>
      <c r="AW24" s="402"/>
      <c r="AX24" s="402"/>
      <c r="AY24" s="402"/>
      <c r="AZ24" s="403"/>
      <c r="BA24" s="405"/>
      <c r="BB24" s="402"/>
      <c r="BC24" s="402"/>
      <c r="BD24" s="402"/>
      <c r="BE24" s="403"/>
      <c r="BF24" s="404"/>
      <c r="BG24" s="405"/>
      <c r="BH24" s="402"/>
      <c r="BI24" s="409"/>
      <c r="BJ24" s="402"/>
      <c r="BK24" s="403"/>
      <c r="BL24" s="405"/>
      <c r="BM24" s="402"/>
      <c r="BN24" s="409"/>
      <c r="BO24" s="402"/>
      <c r="BP24" s="403"/>
      <c r="BQ24" s="405"/>
      <c r="BR24" s="402"/>
      <c r="BS24" s="409"/>
      <c r="BT24" s="402"/>
      <c r="BU24" s="403"/>
      <c r="BV24" s="406"/>
      <c r="BW24" s="405"/>
      <c r="BX24" s="402"/>
      <c r="BY24" s="409"/>
      <c r="BZ24" s="402"/>
      <c r="CA24" s="403"/>
      <c r="CB24" s="405"/>
      <c r="CC24" s="402"/>
      <c r="CD24" s="409"/>
      <c r="CE24" s="402"/>
      <c r="CF24" s="403"/>
      <c r="CG24" s="405"/>
      <c r="CH24" s="402"/>
      <c r="CI24" s="409"/>
      <c r="CJ24" s="402"/>
      <c r="CK24" s="403"/>
      <c r="CL24" s="407"/>
      <c r="CM24" s="405"/>
      <c r="CN24" s="402"/>
      <c r="CO24" s="409"/>
      <c r="CP24" s="402"/>
      <c r="CQ24" s="403"/>
      <c r="CR24" s="405"/>
      <c r="CS24" s="402"/>
      <c r="CT24" s="409"/>
      <c r="CU24" s="402"/>
      <c r="CV24" s="403"/>
      <c r="CW24" s="405"/>
      <c r="CX24" s="402"/>
      <c r="CY24" s="409"/>
      <c r="CZ24" s="402"/>
      <c r="DA24" s="403"/>
      <c r="DB24" s="329"/>
    </row>
    <row r="25" spans="1:106" s="280" customFormat="1" ht="18" customHeight="1">
      <c r="A25" s="94">
        <v>11</v>
      </c>
      <c r="B25" s="94">
        <v>11</v>
      </c>
      <c r="C25" s="82" t="s">
        <v>214</v>
      </c>
      <c r="D25" s="83" t="s">
        <v>54</v>
      </c>
      <c r="E25" s="558"/>
      <c r="F25" s="259">
        <v>15899</v>
      </c>
      <c r="G25" s="281">
        <f t="shared" si="2"/>
        <v>2.7692238021918305E-2</v>
      </c>
      <c r="H25" s="259">
        <v>13056.1</v>
      </c>
      <c r="I25" s="259">
        <v>6320.5</v>
      </c>
      <c r="J25" s="260">
        <v>3477.4</v>
      </c>
      <c r="K25" s="136">
        <f t="shared" si="0"/>
        <v>0.21871815837474057</v>
      </c>
      <c r="L25" s="269"/>
      <c r="M25" s="376"/>
      <c r="N25" s="331">
        <f t="shared" ca="1" si="3"/>
        <v>118.52126607319487</v>
      </c>
      <c r="O25" s="269"/>
      <c r="P25" s="76" t="s">
        <v>11</v>
      </c>
      <c r="Q25" s="269"/>
      <c r="R25" s="130">
        <f t="shared" ca="1" si="5"/>
        <v>-7.2865150016485334</v>
      </c>
      <c r="S25" s="186"/>
      <c r="T25" s="76" t="s">
        <v>116</v>
      </c>
      <c r="U25" s="133">
        <v>12</v>
      </c>
      <c r="V25" s="271"/>
      <c r="W25" s="193">
        <f t="shared" si="1"/>
        <v>43281</v>
      </c>
      <c r="X25" s="271"/>
      <c r="Y25" s="77" t="s">
        <v>21</v>
      </c>
      <c r="Z25" s="271"/>
      <c r="AA25" s="589"/>
      <c r="AB25" s="590"/>
      <c r="AC25" s="294"/>
      <c r="AD25" s="225"/>
      <c r="AE25" s="225"/>
      <c r="AF25" s="241"/>
      <c r="AG25" s="242"/>
      <c r="AH25" s="225"/>
      <c r="AI25" s="225"/>
      <c r="AJ25" s="241"/>
      <c r="AK25" s="242"/>
      <c r="AL25" s="225"/>
      <c r="AM25" s="225"/>
      <c r="AN25" s="241"/>
      <c r="AO25" s="243"/>
      <c r="AQ25" s="405"/>
      <c r="AR25" s="402"/>
      <c r="AS25" s="402"/>
      <c r="AT25" s="402"/>
      <c r="AU25" s="403"/>
      <c r="AV25" s="405"/>
      <c r="AW25" s="402"/>
      <c r="AX25" s="402"/>
      <c r="AY25" s="402"/>
      <c r="AZ25" s="403"/>
      <c r="BA25" s="405"/>
      <c r="BB25" s="402"/>
      <c r="BC25" s="402"/>
      <c r="BD25" s="402"/>
      <c r="BE25" s="403"/>
      <c r="BF25" s="404"/>
      <c r="BG25" s="405"/>
      <c r="BH25" s="402"/>
      <c r="BI25" s="409"/>
      <c r="BJ25" s="402"/>
      <c r="BK25" s="403"/>
      <c r="BL25" s="405"/>
      <c r="BM25" s="402"/>
      <c r="BN25" s="409"/>
      <c r="BO25" s="402"/>
      <c r="BP25" s="403"/>
      <c r="BQ25" s="405"/>
      <c r="BR25" s="402"/>
      <c r="BS25" s="409"/>
      <c r="BT25" s="402"/>
      <c r="BU25" s="403"/>
      <c r="BV25" s="406"/>
      <c r="BW25" s="405"/>
      <c r="BX25" s="402"/>
      <c r="BY25" s="409"/>
      <c r="BZ25" s="402"/>
      <c r="CA25" s="403"/>
      <c r="CB25" s="405"/>
      <c r="CC25" s="402"/>
      <c r="CD25" s="409"/>
      <c r="CE25" s="402"/>
      <c r="CF25" s="403"/>
      <c r="CG25" s="405"/>
      <c r="CH25" s="402"/>
      <c r="CI25" s="409"/>
      <c r="CJ25" s="402"/>
      <c r="CK25" s="403"/>
      <c r="CL25" s="407"/>
      <c r="CM25" s="405"/>
      <c r="CN25" s="402"/>
      <c r="CO25" s="409"/>
      <c r="CP25" s="402"/>
      <c r="CQ25" s="403"/>
      <c r="CR25" s="405"/>
      <c r="CS25" s="402"/>
      <c r="CT25" s="409"/>
      <c r="CU25" s="402"/>
      <c r="CV25" s="403"/>
      <c r="CW25" s="405"/>
      <c r="CX25" s="402"/>
      <c r="CY25" s="409"/>
      <c r="CZ25" s="402"/>
      <c r="DA25" s="403"/>
      <c r="DB25" s="329"/>
    </row>
    <row r="26" spans="1:106" s="280" customFormat="1" ht="18" customHeight="1">
      <c r="A26" s="94">
        <v>12</v>
      </c>
      <c r="B26" s="94">
        <v>12</v>
      </c>
      <c r="C26" s="79" t="s">
        <v>213</v>
      </c>
      <c r="D26" s="80" t="s">
        <v>30</v>
      </c>
      <c r="E26" s="555" t="s">
        <v>36</v>
      </c>
      <c r="F26" s="259">
        <v>12252</v>
      </c>
      <c r="G26" s="281">
        <f t="shared" ref="G26" si="6">F26/$F$2</f>
        <v>2.1340040269485067E-2</v>
      </c>
      <c r="H26" s="259">
        <v>13132.8</v>
      </c>
      <c r="I26" s="259">
        <v>550.70000000000005</v>
      </c>
      <c r="J26" s="260">
        <v>1431.6</v>
      </c>
      <c r="K26" s="136">
        <f t="shared" si="0"/>
        <v>0.11684622918707149</v>
      </c>
      <c r="L26" s="269"/>
      <c r="M26" s="376"/>
      <c r="N26" s="331">
        <f t="shared" ca="1" si="3"/>
        <v>118.52126607319487</v>
      </c>
      <c r="O26" s="269"/>
      <c r="P26" s="76" t="s">
        <v>29</v>
      </c>
      <c r="Q26" s="269"/>
      <c r="R26" s="130">
        <f t="shared" ca="1" si="5"/>
        <v>-3.2311242993735578</v>
      </c>
      <c r="S26" s="186"/>
      <c r="T26" s="76" t="s">
        <v>116</v>
      </c>
      <c r="U26" s="133">
        <v>8</v>
      </c>
      <c r="V26" s="271"/>
      <c r="W26" s="193">
        <f t="shared" si="1"/>
        <v>43281</v>
      </c>
      <c r="X26" s="271"/>
      <c r="Y26" s="84" t="s">
        <v>14</v>
      </c>
      <c r="Z26" s="271"/>
      <c r="AA26" s="589"/>
      <c r="AB26" s="590"/>
      <c r="AC26" s="294"/>
      <c r="AD26" s="225"/>
      <c r="AE26" s="225"/>
      <c r="AF26" s="244"/>
      <c r="AG26" s="245"/>
      <c r="AH26" s="225"/>
      <c r="AI26" s="225"/>
      <c r="AJ26" s="244"/>
      <c r="AK26" s="245"/>
      <c r="AL26" s="225"/>
      <c r="AM26" s="225"/>
      <c r="AN26" s="244"/>
      <c r="AO26" s="246"/>
      <c r="AQ26" s="405"/>
      <c r="AR26" s="402"/>
      <c r="AS26" s="402"/>
      <c r="AT26" s="402"/>
      <c r="AU26" s="403"/>
      <c r="AV26" s="405"/>
      <c r="AW26" s="402"/>
      <c r="AX26" s="402"/>
      <c r="AY26" s="402"/>
      <c r="AZ26" s="403"/>
      <c r="BA26" s="405"/>
      <c r="BB26" s="402"/>
      <c r="BC26" s="402"/>
      <c r="BD26" s="402"/>
      <c r="BE26" s="403"/>
      <c r="BF26" s="404"/>
      <c r="BG26" s="405"/>
      <c r="BH26" s="402"/>
      <c r="BI26" s="409"/>
      <c r="BJ26" s="402"/>
      <c r="BK26" s="403"/>
      <c r="BL26" s="405"/>
      <c r="BM26" s="402"/>
      <c r="BN26" s="409"/>
      <c r="BO26" s="402"/>
      <c r="BP26" s="403"/>
      <c r="BQ26" s="405"/>
      <c r="BR26" s="402"/>
      <c r="BS26" s="409"/>
      <c r="BT26" s="402"/>
      <c r="BU26" s="403"/>
      <c r="BV26" s="406"/>
      <c r="BW26" s="405"/>
      <c r="BX26" s="402"/>
      <c r="BY26" s="409"/>
      <c r="BZ26" s="402"/>
      <c r="CA26" s="403"/>
      <c r="CB26" s="405"/>
      <c r="CC26" s="402"/>
      <c r="CD26" s="409"/>
      <c r="CE26" s="402"/>
      <c r="CF26" s="403"/>
      <c r="CG26" s="405"/>
      <c r="CH26" s="402"/>
      <c r="CI26" s="409"/>
      <c r="CJ26" s="402"/>
      <c r="CK26" s="403"/>
      <c r="CL26" s="407"/>
      <c r="CM26" s="405"/>
      <c r="CN26" s="402"/>
      <c r="CO26" s="409"/>
      <c r="CP26" s="402"/>
      <c r="CQ26" s="403"/>
      <c r="CR26" s="405"/>
      <c r="CS26" s="402"/>
      <c r="CT26" s="409"/>
      <c r="CU26" s="402"/>
      <c r="CV26" s="403"/>
      <c r="CW26" s="405"/>
      <c r="CX26" s="402"/>
      <c r="CY26" s="409"/>
      <c r="CZ26" s="402"/>
      <c r="DA26" s="403"/>
      <c r="DB26" s="329"/>
    </row>
    <row r="27" spans="1:106" s="280" customFormat="1" ht="18" customHeight="1">
      <c r="A27" s="94">
        <v>13</v>
      </c>
      <c r="B27" s="94">
        <v>13</v>
      </c>
      <c r="C27" s="79" t="s">
        <v>212</v>
      </c>
      <c r="D27" s="80" t="s">
        <v>89</v>
      </c>
      <c r="E27" s="555"/>
      <c r="F27" s="259">
        <v>11509</v>
      </c>
      <c r="G27" s="281">
        <f>F27/$F$2</f>
        <v>2.0045912786606564E-2</v>
      </c>
      <c r="H27" s="259">
        <v>7383.6</v>
      </c>
      <c r="I27" s="259">
        <v>534.29999999999995</v>
      </c>
      <c r="J27" s="260">
        <v>3591.1</v>
      </c>
      <c r="K27" s="136">
        <f t="shared" si="0"/>
        <v>0.31202537144843168</v>
      </c>
      <c r="L27" s="269"/>
      <c r="M27" s="376"/>
      <c r="N27" s="331">
        <f ca="1">($F$1-M27)/30.33/12</f>
        <v>118.52126607319487</v>
      </c>
      <c r="O27" s="269"/>
      <c r="P27" s="76" t="s">
        <v>24</v>
      </c>
      <c r="Q27" s="269"/>
      <c r="R27" s="130">
        <f ca="1">(P27-$F$1)/30.33</f>
        <v>22.848664688427302</v>
      </c>
      <c r="S27" s="186"/>
      <c r="T27" s="76"/>
      <c r="U27" s="133"/>
      <c r="V27" s="271"/>
      <c r="W27" s="193" t="str">
        <f>IF(OR(T27="",T27="N"),P27,EDATE(P27,U27))</f>
        <v>31/12/2019</v>
      </c>
      <c r="X27" s="271"/>
      <c r="Y27" s="84" t="s">
        <v>14</v>
      </c>
      <c r="Z27" s="271"/>
      <c r="AA27" s="589"/>
      <c r="AB27" s="590"/>
      <c r="AC27" s="294"/>
      <c r="AD27" s="225"/>
      <c r="AE27" s="225"/>
      <c r="AF27" s="244"/>
      <c r="AG27" s="245"/>
      <c r="AH27" s="225"/>
      <c r="AI27" s="225"/>
      <c r="AJ27" s="244"/>
      <c r="AK27" s="245"/>
      <c r="AL27" s="225"/>
      <c r="AM27" s="225"/>
      <c r="AN27" s="244"/>
      <c r="AO27" s="246"/>
      <c r="AQ27" s="405"/>
      <c r="AR27" s="402"/>
      <c r="AS27" s="402"/>
      <c r="AT27" s="402"/>
      <c r="AU27" s="403"/>
      <c r="AV27" s="405"/>
      <c r="AW27" s="402"/>
      <c r="AX27" s="402"/>
      <c r="AY27" s="402"/>
      <c r="AZ27" s="403"/>
      <c r="BA27" s="405"/>
      <c r="BB27" s="402"/>
      <c r="BC27" s="402"/>
      <c r="BD27" s="402"/>
      <c r="BE27" s="403"/>
      <c r="BF27" s="404"/>
      <c r="BG27" s="405"/>
      <c r="BH27" s="402"/>
      <c r="BI27" s="409"/>
      <c r="BJ27" s="402"/>
      <c r="BK27" s="403"/>
      <c r="BL27" s="405"/>
      <c r="BM27" s="402"/>
      <c r="BN27" s="409"/>
      <c r="BO27" s="402"/>
      <c r="BP27" s="403"/>
      <c r="BQ27" s="405"/>
      <c r="BR27" s="402"/>
      <c r="BS27" s="409"/>
      <c r="BT27" s="402"/>
      <c r="BU27" s="403"/>
      <c r="BV27" s="406"/>
      <c r="BW27" s="405"/>
      <c r="BX27" s="402"/>
      <c r="BY27" s="409"/>
      <c r="BZ27" s="402"/>
      <c r="CA27" s="403"/>
      <c r="CB27" s="405"/>
      <c r="CC27" s="402"/>
      <c r="CD27" s="409"/>
      <c r="CE27" s="402"/>
      <c r="CF27" s="403"/>
      <c r="CG27" s="405"/>
      <c r="CH27" s="402"/>
      <c r="CI27" s="409"/>
      <c r="CJ27" s="402"/>
      <c r="CK27" s="403"/>
      <c r="CL27" s="407"/>
      <c r="CM27" s="405"/>
      <c r="CN27" s="402"/>
      <c r="CO27" s="409"/>
      <c r="CP27" s="402"/>
      <c r="CQ27" s="403"/>
      <c r="CR27" s="405"/>
      <c r="CS27" s="402"/>
      <c r="CT27" s="409"/>
      <c r="CU27" s="402"/>
      <c r="CV27" s="403"/>
      <c r="CW27" s="405"/>
      <c r="CX27" s="402"/>
      <c r="CY27" s="409"/>
      <c r="CZ27" s="402"/>
      <c r="DA27" s="403"/>
      <c r="DB27" s="329"/>
    </row>
    <row r="28" spans="1:106" s="280" customFormat="1" ht="18" customHeight="1">
      <c r="A28" s="94">
        <v>14</v>
      </c>
      <c r="B28" s="94">
        <v>14</v>
      </c>
      <c r="C28" s="79" t="s">
        <v>211</v>
      </c>
      <c r="D28" s="80" t="s">
        <v>54</v>
      </c>
      <c r="E28" s="555"/>
      <c r="F28" s="259">
        <v>10609</v>
      </c>
      <c r="G28" s="281">
        <f>F28/$F$2</f>
        <v>1.8478329025380921E-2</v>
      </c>
      <c r="H28" s="259">
        <v>7530.1</v>
      </c>
      <c r="I28" s="259">
        <v>534.1</v>
      </c>
      <c r="J28" s="260">
        <v>2544.8000000000002</v>
      </c>
      <c r="K28" s="136">
        <f t="shared" si="0"/>
        <v>0.23987180695635782</v>
      </c>
      <c r="L28" s="269"/>
      <c r="M28" s="376"/>
      <c r="N28" s="331">
        <f ca="1">($F$1-M28)/30.33/12</f>
        <v>118.52126607319487</v>
      </c>
      <c r="O28" s="269"/>
      <c r="P28" s="76">
        <v>42977</v>
      </c>
      <c r="Q28" s="269"/>
      <c r="R28" s="130">
        <f ca="1">(W28-$F$1)/30.33</f>
        <v>-5.275304978569074</v>
      </c>
      <c r="S28" s="186"/>
      <c r="T28" s="76"/>
      <c r="U28" s="133"/>
      <c r="V28" s="271"/>
      <c r="W28" s="193">
        <f>IF(OR(T28="",T28="N"),P28,EDATE(P28,U28))</f>
        <v>42977</v>
      </c>
      <c r="X28" s="271"/>
      <c r="Y28" s="84" t="s">
        <v>14</v>
      </c>
      <c r="Z28" s="271"/>
      <c r="AA28" s="589"/>
      <c r="AB28" s="590"/>
      <c r="AC28" s="294"/>
      <c r="AD28" s="225"/>
      <c r="AE28" s="225"/>
      <c r="AF28" s="244"/>
      <c r="AG28" s="245"/>
      <c r="AH28" s="225"/>
      <c r="AI28" s="225"/>
      <c r="AJ28" s="244"/>
      <c r="AK28" s="245"/>
      <c r="AL28" s="225"/>
      <c r="AM28" s="225"/>
      <c r="AN28" s="244"/>
      <c r="AO28" s="246"/>
      <c r="AQ28" s="405"/>
      <c r="AR28" s="402"/>
      <c r="AS28" s="402"/>
      <c r="AT28" s="402"/>
      <c r="AU28" s="403"/>
      <c r="AV28" s="405"/>
      <c r="AW28" s="402"/>
      <c r="AX28" s="402"/>
      <c r="AY28" s="402"/>
      <c r="AZ28" s="403"/>
      <c r="BA28" s="405"/>
      <c r="BB28" s="402"/>
      <c r="BC28" s="402"/>
      <c r="BD28" s="402"/>
      <c r="BE28" s="403"/>
      <c r="BF28" s="404"/>
      <c r="BG28" s="405"/>
      <c r="BH28" s="402"/>
      <c r="BI28" s="409"/>
      <c r="BJ28" s="402"/>
      <c r="BK28" s="403"/>
      <c r="BL28" s="405"/>
      <c r="BM28" s="402"/>
      <c r="BN28" s="409"/>
      <c r="BO28" s="402"/>
      <c r="BP28" s="403"/>
      <c r="BQ28" s="405"/>
      <c r="BR28" s="402"/>
      <c r="BS28" s="409"/>
      <c r="BT28" s="402"/>
      <c r="BU28" s="403"/>
      <c r="BV28" s="406"/>
      <c r="BW28" s="405"/>
      <c r="BX28" s="402"/>
      <c r="BY28" s="409"/>
      <c r="BZ28" s="402"/>
      <c r="CA28" s="403"/>
      <c r="CB28" s="405"/>
      <c r="CC28" s="402"/>
      <c r="CD28" s="409"/>
      <c r="CE28" s="402"/>
      <c r="CF28" s="403"/>
      <c r="CG28" s="405"/>
      <c r="CH28" s="402"/>
      <c r="CI28" s="409"/>
      <c r="CJ28" s="402"/>
      <c r="CK28" s="403"/>
      <c r="CL28" s="407"/>
      <c r="CM28" s="405"/>
      <c r="CN28" s="402"/>
      <c r="CO28" s="409"/>
      <c r="CP28" s="402"/>
      <c r="CQ28" s="403"/>
      <c r="CR28" s="405"/>
      <c r="CS28" s="402"/>
      <c r="CT28" s="409"/>
      <c r="CU28" s="402"/>
      <c r="CV28" s="403"/>
      <c r="CW28" s="405"/>
      <c r="CX28" s="402"/>
      <c r="CY28" s="409"/>
      <c r="CZ28" s="402"/>
      <c r="DA28" s="403"/>
      <c r="DB28" s="329"/>
    </row>
    <row r="29" spans="1:106" s="280" customFormat="1" ht="18" customHeight="1" thickBot="1">
      <c r="A29" s="94">
        <v>15</v>
      </c>
      <c r="B29" s="94">
        <v>15</v>
      </c>
      <c r="C29" s="85" t="s">
        <v>224</v>
      </c>
      <c r="D29" s="86" t="s">
        <v>30</v>
      </c>
      <c r="E29" s="559"/>
      <c r="F29" s="263">
        <v>10203</v>
      </c>
      <c r="G29" s="284">
        <f>F29/$F$2</f>
        <v>1.777117457309469E-2</v>
      </c>
      <c r="H29" s="263">
        <v>6331.6</v>
      </c>
      <c r="I29" s="263">
        <v>875.1</v>
      </c>
      <c r="J29" s="264">
        <v>2996.7</v>
      </c>
      <c r="K29" s="137">
        <f t="shared" si="0"/>
        <v>0.29370773301970005</v>
      </c>
      <c r="L29" s="269"/>
      <c r="M29" s="377"/>
      <c r="N29" s="332">
        <f ca="1">($F$1-M29)/30.33/12</f>
        <v>118.52126607319487</v>
      </c>
      <c r="O29" s="269"/>
      <c r="P29" s="87">
        <v>43189</v>
      </c>
      <c r="Q29" s="269"/>
      <c r="R29" s="131">
        <f ca="1">(W29-$F$1)/30.33</f>
        <v>13.748763600395648</v>
      </c>
      <c r="S29" s="186"/>
      <c r="T29" s="87" t="s">
        <v>116</v>
      </c>
      <c r="U29" s="134">
        <v>12</v>
      </c>
      <c r="V29" s="271"/>
      <c r="W29" s="194">
        <f>IF(OR(T29="",T29="N"),P29,EDATE(P29,U29))</f>
        <v>43554</v>
      </c>
      <c r="X29" s="271"/>
      <c r="Y29" s="99" t="s">
        <v>14</v>
      </c>
      <c r="Z29" s="271"/>
      <c r="AA29" s="591"/>
      <c r="AB29" s="592"/>
      <c r="AC29" s="292"/>
      <c r="AD29" s="227"/>
      <c r="AE29" s="227"/>
      <c r="AF29" s="247"/>
      <c r="AG29" s="248"/>
      <c r="AH29" s="227"/>
      <c r="AI29" s="227"/>
      <c r="AJ29" s="247"/>
      <c r="AK29" s="248"/>
      <c r="AL29" s="227"/>
      <c r="AM29" s="227"/>
      <c r="AN29" s="247"/>
      <c r="AO29" s="249"/>
      <c r="AQ29" s="420"/>
      <c r="AR29" s="421"/>
      <c r="AS29" s="422"/>
      <c r="AT29" s="421"/>
      <c r="AU29" s="423"/>
      <c r="AV29" s="420"/>
      <c r="AW29" s="421"/>
      <c r="AX29" s="422"/>
      <c r="AY29" s="421"/>
      <c r="AZ29" s="423"/>
      <c r="BA29" s="420"/>
      <c r="BB29" s="421"/>
      <c r="BC29" s="422"/>
      <c r="BD29" s="421"/>
      <c r="BE29" s="423"/>
      <c r="BF29" s="424"/>
      <c r="BG29" s="420"/>
      <c r="BH29" s="421"/>
      <c r="BI29" s="422"/>
      <c r="BJ29" s="421"/>
      <c r="BK29" s="423"/>
      <c r="BL29" s="420"/>
      <c r="BM29" s="421"/>
      <c r="BN29" s="422"/>
      <c r="BO29" s="421"/>
      <c r="BP29" s="423"/>
      <c r="BQ29" s="420"/>
      <c r="BR29" s="421"/>
      <c r="BS29" s="422"/>
      <c r="BT29" s="421"/>
      <c r="BU29" s="423"/>
      <c r="BV29" s="425"/>
      <c r="BW29" s="420"/>
      <c r="BX29" s="421"/>
      <c r="BY29" s="422"/>
      <c r="BZ29" s="421"/>
      <c r="CA29" s="423"/>
      <c r="CB29" s="420"/>
      <c r="CC29" s="421"/>
      <c r="CD29" s="422"/>
      <c r="CE29" s="421"/>
      <c r="CF29" s="423"/>
      <c r="CG29" s="420"/>
      <c r="CH29" s="421"/>
      <c r="CI29" s="422"/>
      <c r="CJ29" s="421"/>
      <c r="CK29" s="423"/>
      <c r="CL29" s="426"/>
      <c r="CM29" s="420"/>
      <c r="CN29" s="421"/>
      <c r="CO29" s="422"/>
      <c r="CP29" s="421"/>
      <c r="CQ29" s="423"/>
      <c r="CR29" s="420"/>
      <c r="CS29" s="421"/>
      <c r="CT29" s="422"/>
      <c r="CU29" s="421"/>
      <c r="CV29" s="423"/>
      <c r="CW29" s="420"/>
      <c r="CX29" s="421"/>
      <c r="CY29" s="422"/>
      <c r="CZ29" s="421"/>
      <c r="DA29" s="423"/>
      <c r="DB29" s="329"/>
    </row>
    <row r="31" spans="1:106" s="176" customFormat="1" ht="4.5" customHeight="1" outlineLevel="1">
      <c r="A31" s="216"/>
      <c r="B31" s="216"/>
      <c r="C31" s="217"/>
      <c r="D31" s="218"/>
      <c r="E31" s="218"/>
      <c r="F31" s="219"/>
      <c r="G31" s="220"/>
      <c r="H31" s="219"/>
      <c r="I31" s="219"/>
      <c r="J31" s="221"/>
      <c r="K31" s="175"/>
      <c r="L31" s="24"/>
      <c r="M31" s="179"/>
      <c r="N31" s="175"/>
      <c r="O31" s="175"/>
      <c r="P31" s="23"/>
      <c r="Q31" s="175"/>
      <c r="R31" s="175"/>
      <c r="S31" s="175"/>
      <c r="T31" s="24"/>
      <c r="U31" s="23"/>
      <c r="V31" s="24"/>
      <c r="W31" s="23"/>
      <c r="X31" s="24"/>
      <c r="Y31" s="23"/>
      <c r="Z31" s="24"/>
      <c r="AA31" s="24"/>
      <c r="AB31" s="28"/>
      <c r="AC31" s="28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DB31" s="27"/>
    </row>
    <row r="32" spans="1:106" s="32" customFormat="1" outlineLevel="1">
      <c r="A32" s="67"/>
      <c r="B32" s="67"/>
      <c r="C32" s="615" t="s">
        <v>97</v>
      </c>
      <c r="D32" s="616"/>
      <c r="E32" s="616"/>
      <c r="F32" s="150">
        <f>SUMIF($E$15:$E$29,"",$F$15:$F$29)</f>
        <v>328276</v>
      </c>
      <c r="G32" s="140">
        <f>$F$32/$F$2</f>
        <v>0.5717779186667874</v>
      </c>
      <c r="H32" s="30"/>
      <c r="I32" s="617" t="s">
        <v>103</v>
      </c>
      <c r="J32" s="618"/>
      <c r="K32" s="619"/>
      <c r="L32" s="27"/>
      <c r="M32" s="144">
        <f>SUMIF($D$15:$D$29,"DCN",$F$15:$F$29)</f>
        <v>135230</v>
      </c>
      <c r="N32" s="145">
        <f>$M$32/$F$2</f>
        <v>0.23553816892282611</v>
      </c>
      <c r="O32" s="182"/>
      <c r="P32" s="155"/>
      <c r="Q32" s="182"/>
      <c r="S32" s="123"/>
      <c r="T32" s="156"/>
      <c r="U32" s="157"/>
      <c r="V32" s="206"/>
      <c r="W32" s="155"/>
      <c r="X32" s="206"/>
      <c r="Y32" s="156"/>
      <c r="Z32" s="156"/>
      <c r="AA32" s="207"/>
      <c r="AB32" s="28"/>
      <c r="AC32" s="28"/>
      <c r="AD32" s="184"/>
      <c r="DB32" s="123"/>
    </row>
    <row r="33" spans="1:106" s="32" customFormat="1" outlineLevel="1">
      <c r="A33" s="67"/>
      <c r="B33" s="67"/>
      <c r="C33" s="208"/>
      <c r="D33" s="153"/>
      <c r="E33" s="153"/>
      <c r="F33" s="154"/>
      <c r="G33" s="151"/>
      <c r="H33" s="60"/>
      <c r="I33" s="598" t="s">
        <v>104</v>
      </c>
      <c r="J33" s="599"/>
      <c r="K33" s="600"/>
      <c r="L33" s="27"/>
      <c r="M33" s="146">
        <f>SUMIF($D$15:$D$29,"AO",$F$15:$F$29)</f>
        <v>133502</v>
      </c>
      <c r="N33" s="147">
        <f>$M$33/$F$2</f>
        <v>0.23252840810127287</v>
      </c>
      <c r="O33" s="182"/>
      <c r="P33" s="159"/>
      <c r="Q33" s="182"/>
      <c r="R33" s="524"/>
      <c r="S33" s="123"/>
      <c r="T33" s="162"/>
      <c r="U33" s="162"/>
      <c r="V33" s="206"/>
      <c r="W33" s="159"/>
      <c r="X33" s="206"/>
      <c r="Y33" s="171"/>
      <c r="Z33" s="160"/>
      <c r="AA33" s="207"/>
      <c r="AB33" s="203"/>
      <c r="AC33" s="203"/>
      <c r="AD33" s="214"/>
      <c r="AE33" s="34"/>
      <c r="AF33" s="34"/>
      <c r="AG33" s="34"/>
      <c r="AH33" s="34"/>
      <c r="AI33" s="34"/>
      <c r="AJ33" s="34"/>
      <c r="AK33" s="34"/>
      <c r="AL33" s="34"/>
      <c r="AM33" s="34"/>
      <c r="AN33" s="34"/>
      <c r="DB33" s="123"/>
    </row>
    <row r="34" spans="1:106" s="32" customFormat="1" outlineLevel="1">
      <c r="A34" s="67"/>
      <c r="B34" s="67"/>
      <c r="C34" s="208"/>
      <c r="D34" s="153"/>
      <c r="E34" s="153"/>
      <c r="F34" s="154"/>
      <c r="G34" s="151"/>
      <c r="H34" s="60"/>
      <c r="I34" s="601" t="s">
        <v>105</v>
      </c>
      <c r="J34" s="602"/>
      <c r="K34" s="603"/>
      <c r="L34" s="27"/>
      <c r="M34" s="148">
        <f>SUMIF($D$15:$D$29,"DI",$F$15:$F$29)</f>
        <v>156450</v>
      </c>
      <c r="N34" s="149">
        <f>$M$34/$F$2</f>
        <v>0.27249831049305734</v>
      </c>
      <c r="O34" s="182"/>
      <c r="P34" s="143"/>
      <c r="Q34" s="182"/>
      <c r="S34" s="123"/>
      <c r="T34" s="162"/>
      <c r="U34" s="172"/>
      <c r="V34" s="206"/>
      <c r="W34" s="143"/>
      <c r="X34" s="206"/>
      <c r="Y34" s="162"/>
      <c r="Z34" s="162"/>
      <c r="AA34" s="207"/>
      <c r="AB34" s="28"/>
      <c r="AC34" s="28"/>
      <c r="AD34" s="214"/>
      <c r="AE34" s="34"/>
      <c r="AF34" s="34"/>
      <c r="AG34" s="34"/>
      <c r="AH34" s="34"/>
      <c r="AI34" s="34"/>
      <c r="AJ34" s="34"/>
      <c r="AK34" s="34"/>
      <c r="AL34" s="34"/>
      <c r="AM34" s="34"/>
      <c r="AN34" s="34"/>
      <c r="DB34" s="123"/>
    </row>
    <row r="35" spans="1:106" s="32" customFormat="1" outlineLevel="1">
      <c r="A35" s="67"/>
      <c r="B35" s="67"/>
      <c r="C35" s="208"/>
      <c r="D35" s="153"/>
      <c r="E35" s="153"/>
      <c r="F35" s="154"/>
      <c r="G35" s="151"/>
      <c r="H35" s="60"/>
      <c r="I35" s="604" t="s">
        <v>106</v>
      </c>
      <c r="J35" s="605"/>
      <c r="K35" s="606"/>
      <c r="L35" s="27"/>
      <c r="M35" s="267">
        <f>SUMIF($D$15:$D$29,"REG",$F$15:$F$29)</f>
        <v>0</v>
      </c>
      <c r="N35" s="268">
        <f>$M$35/$F$2</f>
        <v>0</v>
      </c>
      <c r="O35" s="182"/>
      <c r="P35" s="143"/>
      <c r="Q35" s="182"/>
      <c r="S35" s="123"/>
      <c r="T35" s="162"/>
      <c r="U35" s="173"/>
      <c r="V35" s="206"/>
      <c r="W35" s="143"/>
      <c r="X35" s="206"/>
      <c r="Z35" s="162"/>
      <c r="AA35" s="207"/>
      <c r="AB35" s="28"/>
      <c r="AC35" s="28"/>
      <c r="AD35" s="214"/>
      <c r="AE35" s="34"/>
      <c r="AF35" s="34"/>
      <c r="AG35" s="34"/>
      <c r="AH35" s="34"/>
      <c r="AI35" s="34"/>
      <c r="AJ35" s="34"/>
      <c r="AK35" s="34"/>
      <c r="AL35" s="34"/>
      <c r="AM35" s="34"/>
      <c r="AN35" s="34"/>
      <c r="DB35" s="123"/>
    </row>
    <row r="36" spans="1:106" s="32" customFormat="1" ht="14.25" customHeight="1">
      <c r="A36" s="67"/>
      <c r="B36" s="68"/>
      <c r="C36" s="35"/>
      <c r="D36" s="62"/>
      <c r="E36" s="62"/>
      <c r="F36" s="37"/>
      <c r="G36" s="63"/>
      <c r="H36" s="37"/>
      <c r="I36" s="36"/>
      <c r="J36" s="64"/>
      <c r="K36" s="65"/>
      <c r="L36" s="123"/>
      <c r="M36" s="40"/>
      <c r="N36" s="39"/>
      <c r="O36" s="183"/>
      <c r="P36" s="31"/>
      <c r="Q36" s="183"/>
      <c r="R36" s="39"/>
      <c r="S36" s="183"/>
      <c r="T36" s="123"/>
      <c r="U36" s="171"/>
      <c r="V36" s="123"/>
      <c r="W36" s="31"/>
      <c r="X36" s="123"/>
      <c r="Y36" s="31"/>
      <c r="Z36" s="123"/>
      <c r="AA36" s="123"/>
      <c r="AB36" s="203"/>
      <c r="AC36" s="203"/>
      <c r="AD36" s="184"/>
      <c r="DB36" s="123"/>
    </row>
    <row r="37" spans="1:106" s="29" customFormat="1" ht="18.75" outlineLevel="1" thickBot="1">
      <c r="A37" s="68"/>
      <c r="B37" s="68"/>
      <c r="C37" s="53"/>
      <c r="D37" s="54"/>
      <c r="E37" s="138" t="s">
        <v>91</v>
      </c>
      <c r="F37" s="112">
        <f>SUM(F39:F63)</f>
        <v>502430.14</v>
      </c>
      <c r="G37" s="113">
        <f>$F$37/$F$2</f>
        <v>0.87511258734925068</v>
      </c>
      <c r="H37" s="55"/>
      <c r="J37" s="57"/>
      <c r="K37" s="58"/>
      <c r="L37" s="53"/>
      <c r="M37" s="55"/>
      <c r="N37" s="115"/>
      <c r="O37" s="115"/>
      <c r="P37" s="33"/>
      <c r="Q37" s="115"/>
      <c r="R37" s="58"/>
      <c r="S37" s="58"/>
      <c r="T37" s="53"/>
      <c r="U37" s="33"/>
      <c r="V37" s="53"/>
      <c r="W37" s="33"/>
      <c r="X37" s="53"/>
      <c r="Y37" s="33"/>
      <c r="Z37" s="53"/>
      <c r="AA37" s="53"/>
      <c r="AB37" s="28"/>
      <c r="AC37" s="28"/>
      <c r="AD37" s="61"/>
      <c r="AE37" s="25"/>
      <c r="AF37" s="25"/>
      <c r="AG37" s="61"/>
      <c r="AH37" s="61"/>
      <c r="AI37" s="25"/>
      <c r="AJ37" s="25"/>
      <c r="AK37" s="61"/>
      <c r="AL37" s="61"/>
      <c r="AM37" s="25"/>
      <c r="AN37" s="25"/>
      <c r="AQ37" s="386" t="s">
        <v>5</v>
      </c>
      <c r="AR37" s="387" t="s">
        <v>6</v>
      </c>
      <c r="AS37" s="387" t="s">
        <v>7</v>
      </c>
      <c r="AT37" s="387" t="s">
        <v>8</v>
      </c>
      <c r="AU37" s="388" t="s">
        <v>9</v>
      </c>
      <c r="AV37" s="386" t="s">
        <v>5</v>
      </c>
      <c r="AW37" s="387" t="s">
        <v>6</v>
      </c>
      <c r="AX37" s="387" t="s">
        <v>7</v>
      </c>
      <c r="AY37" s="387" t="s">
        <v>8</v>
      </c>
      <c r="AZ37" s="388" t="s">
        <v>9</v>
      </c>
      <c r="BA37" s="386" t="s">
        <v>5</v>
      </c>
      <c r="BB37" s="387" t="s">
        <v>6</v>
      </c>
      <c r="BC37" s="387" t="s">
        <v>7</v>
      </c>
      <c r="BD37" s="387" t="s">
        <v>8</v>
      </c>
      <c r="BE37" s="388" t="s">
        <v>9</v>
      </c>
      <c r="BF37" s="389"/>
      <c r="BG37" s="386" t="s">
        <v>5</v>
      </c>
      <c r="BH37" s="387" t="s">
        <v>6</v>
      </c>
      <c r="BI37" s="387" t="s">
        <v>7</v>
      </c>
      <c r="BJ37" s="387" t="s">
        <v>8</v>
      </c>
      <c r="BK37" s="388" t="s">
        <v>9</v>
      </c>
      <c r="BL37" s="386" t="s">
        <v>5</v>
      </c>
      <c r="BM37" s="387" t="s">
        <v>6</v>
      </c>
      <c r="BN37" s="387" t="s">
        <v>7</v>
      </c>
      <c r="BO37" s="387" t="s">
        <v>8</v>
      </c>
      <c r="BP37" s="388" t="s">
        <v>9</v>
      </c>
      <c r="BQ37" s="386" t="s">
        <v>5</v>
      </c>
      <c r="BR37" s="387" t="s">
        <v>6</v>
      </c>
      <c r="BS37" s="387" t="s">
        <v>7</v>
      </c>
      <c r="BT37" s="387" t="s">
        <v>8</v>
      </c>
      <c r="BU37" s="388" t="s">
        <v>9</v>
      </c>
      <c r="BV37" s="390"/>
      <c r="BW37" s="386" t="s">
        <v>5</v>
      </c>
      <c r="BX37" s="387" t="s">
        <v>6</v>
      </c>
      <c r="BY37" s="387" t="s">
        <v>7</v>
      </c>
      <c r="BZ37" s="387" t="s">
        <v>8</v>
      </c>
      <c r="CA37" s="388" t="s">
        <v>9</v>
      </c>
      <c r="CB37" s="386" t="s">
        <v>5</v>
      </c>
      <c r="CC37" s="387" t="s">
        <v>6</v>
      </c>
      <c r="CD37" s="387" t="s">
        <v>7</v>
      </c>
      <c r="CE37" s="387" t="s">
        <v>8</v>
      </c>
      <c r="CF37" s="388" t="s">
        <v>9</v>
      </c>
      <c r="CG37" s="386" t="s">
        <v>5</v>
      </c>
      <c r="CH37" s="387" t="s">
        <v>6</v>
      </c>
      <c r="CI37" s="387" t="s">
        <v>7</v>
      </c>
      <c r="CJ37" s="387" t="s">
        <v>8</v>
      </c>
      <c r="CK37" s="388" t="s">
        <v>9</v>
      </c>
      <c r="CL37" s="391"/>
      <c r="CM37" s="386" t="s">
        <v>5</v>
      </c>
      <c r="CN37" s="387" t="s">
        <v>6</v>
      </c>
      <c r="CO37" s="387" t="s">
        <v>7</v>
      </c>
      <c r="CP37" s="387" t="s">
        <v>8</v>
      </c>
      <c r="CQ37" s="388" t="s">
        <v>9</v>
      </c>
      <c r="CR37" s="386" t="s">
        <v>5</v>
      </c>
      <c r="CS37" s="387" t="s">
        <v>6</v>
      </c>
      <c r="CT37" s="387" t="s">
        <v>7</v>
      </c>
      <c r="CU37" s="387" t="s">
        <v>8</v>
      </c>
      <c r="CV37" s="388" t="s">
        <v>9</v>
      </c>
      <c r="CW37" s="386" t="s">
        <v>5</v>
      </c>
      <c r="CX37" s="387" t="s">
        <v>6</v>
      </c>
      <c r="CY37" s="387" t="s">
        <v>7</v>
      </c>
      <c r="CZ37" s="387" t="s">
        <v>8</v>
      </c>
      <c r="DA37" s="388" t="s">
        <v>9</v>
      </c>
      <c r="DB37" s="27"/>
    </row>
    <row r="38" spans="1:106" s="29" customFormat="1" ht="4.5" customHeight="1" outlineLevel="1" thickBot="1">
      <c r="A38" s="68"/>
      <c r="B38" s="68"/>
      <c r="C38" s="53"/>
      <c r="D38" s="54"/>
      <c r="E38" s="54"/>
      <c r="F38" s="55"/>
      <c r="G38" s="56"/>
      <c r="H38" s="55"/>
      <c r="I38" s="55"/>
      <c r="J38" s="57"/>
      <c r="K38" s="58"/>
      <c r="L38" s="53"/>
      <c r="M38" s="59"/>
      <c r="N38" s="58"/>
      <c r="O38" s="58"/>
      <c r="P38" s="33"/>
      <c r="Q38" s="58"/>
      <c r="R38" s="58"/>
      <c r="S38" s="58"/>
      <c r="T38" s="53"/>
      <c r="U38" s="33"/>
      <c r="V38" s="53"/>
      <c r="W38" s="33"/>
      <c r="X38" s="53"/>
      <c r="Y38" s="33"/>
      <c r="Z38" s="53"/>
      <c r="AA38" s="53"/>
      <c r="AB38" s="28"/>
      <c r="AC38" s="28"/>
      <c r="AD38" s="61"/>
      <c r="AG38" s="61"/>
      <c r="AH38" s="61"/>
      <c r="AK38" s="61"/>
      <c r="AL38" s="61"/>
      <c r="DB38" s="27"/>
    </row>
    <row r="39" spans="1:106" s="280" customFormat="1" ht="18" customHeight="1">
      <c r="A39" s="94">
        <v>16</v>
      </c>
      <c r="B39" s="94">
        <v>1</v>
      </c>
      <c r="C39" s="71" t="s">
        <v>202</v>
      </c>
      <c r="D39" s="72" t="s">
        <v>54</v>
      </c>
      <c r="E39" s="556"/>
      <c r="F39" s="257">
        <v>9098</v>
      </c>
      <c r="G39" s="279">
        <f t="shared" ref="G39:G44" si="7">F39/$F$2</f>
        <v>1.5846530066256539E-2</v>
      </c>
      <c r="H39" s="257">
        <v>6895.4</v>
      </c>
      <c r="I39" s="257">
        <v>0</v>
      </c>
      <c r="J39" s="258">
        <v>2202.6</v>
      </c>
      <c r="K39" s="135">
        <f t="shared" ref="K39:K44" si="8">J39/F39</f>
        <v>0.24209716421191468</v>
      </c>
      <c r="L39" s="269"/>
      <c r="M39" s="374"/>
      <c r="N39" s="330">
        <f ca="1">($F$1-M39)/30.33/12</f>
        <v>118.52126607319487</v>
      </c>
      <c r="O39" s="269"/>
      <c r="P39" s="73" t="s">
        <v>10</v>
      </c>
      <c r="Q39" s="269"/>
      <c r="R39" s="129">
        <f ca="1">(W39-$F$1)/30.33</f>
        <v>-1.2199142762940984</v>
      </c>
      <c r="S39" s="186"/>
      <c r="T39" s="73"/>
      <c r="U39" s="132"/>
      <c r="V39" s="271"/>
      <c r="W39" s="192" t="str">
        <f>IF(OR(T39="",T39="N"),P39,EDATE(P39,U39))</f>
        <v>31/12/2017</v>
      </c>
      <c r="X39" s="271"/>
      <c r="Y39" s="74" t="s">
        <v>21</v>
      </c>
      <c r="Z39" s="271"/>
      <c r="AA39" s="593" t="s">
        <v>27</v>
      </c>
      <c r="AB39" s="594"/>
      <c r="AC39" s="292"/>
      <c r="AD39" s="226" t="s">
        <v>43</v>
      </c>
      <c r="AE39" s="226" t="s">
        <v>122</v>
      </c>
      <c r="AF39" s="231" t="s">
        <v>123</v>
      </c>
      <c r="AG39" s="233"/>
      <c r="AH39" s="226"/>
      <c r="AI39" s="226" t="s">
        <v>121</v>
      </c>
      <c r="AJ39" s="231" t="s">
        <v>120</v>
      </c>
      <c r="AK39" s="233"/>
      <c r="AL39" s="226"/>
      <c r="AM39" s="226"/>
      <c r="AN39" s="231"/>
      <c r="AO39" s="239"/>
      <c r="AQ39" s="392"/>
      <c r="AR39" s="393"/>
      <c r="AS39" s="393"/>
      <c r="AT39" s="393"/>
      <c r="AU39" s="394"/>
      <c r="AV39" s="392"/>
      <c r="AW39" s="393"/>
      <c r="AX39" s="393"/>
      <c r="AY39" s="393"/>
      <c r="AZ39" s="394"/>
      <c r="BA39" s="392"/>
      <c r="BB39" s="393"/>
      <c r="BC39" s="393"/>
      <c r="BD39" s="393"/>
      <c r="BE39" s="394"/>
      <c r="BF39" s="395"/>
      <c r="BG39" s="392"/>
      <c r="BH39" s="393"/>
      <c r="BI39" s="428"/>
      <c r="BJ39" s="393"/>
      <c r="BK39" s="394"/>
      <c r="BL39" s="392" t="s">
        <v>180</v>
      </c>
      <c r="BM39" s="393" t="s">
        <v>181</v>
      </c>
      <c r="BN39" s="393" t="s">
        <v>182</v>
      </c>
      <c r="BO39" s="393" t="s">
        <v>27</v>
      </c>
      <c r="BP39" s="394" t="s">
        <v>183</v>
      </c>
      <c r="BQ39" s="392"/>
      <c r="BR39" s="393"/>
      <c r="BS39" s="393"/>
      <c r="BT39" s="393"/>
      <c r="BU39" s="394"/>
      <c r="BV39" s="396"/>
      <c r="BW39" s="392"/>
      <c r="BX39" s="393"/>
      <c r="BY39" s="393"/>
      <c r="BZ39" s="393"/>
      <c r="CA39" s="394"/>
      <c r="CB39" s="392"/>
      <c r="CC39" s="393"/>
      <c r="CD39" s="393"/>
      <c r="CE39" s="393"/>
      <c r="CF39" s="394"/>
      <c r="CG39" s="392"/>
      <c r="CH39" s="393"/>
      <c r="CI39" s="393"/>
      <c r="CJ39" s="393"/>
      <c r="CK39" s="394"/>
      <c r="CL39" s="397"/>
      <c r="CM39" s="392"/>
      <c r="CN39" s="393"/>
      <c r="CO39" s="393"/>
      <c r="CP39" s="393"/>
      <c r="CQ39" s="394"/>
      <c r="CR39" s="392"/>
      <c r="CS39" s="393"/>
      <c r="CT39" s="393"/>
      <c r="CU39" s="393"/>
      <c r="CV39" s="394"/>
      <c r="CW39" s="392"/>
      <c r="CX39" s="393"/>
      <c r="CY39" s="393"/>
      <c r="CZ39" s="393"/>
      <c r="DA39" s="394"/>
      <c r="DB39" s="329"/>
    </row>
    <row r="40" spans="1:106" s="75" customFormat="1" ht="20.100000000000001" customHeight="1">
      <c r="A40" s="94">
        <v>17</v>
      </c>
      <c r="B40" s="94">
        <v>2</v>
      </c>
      <c r="C40" s="79" t="s">
        <v>225</v>
      </c>
      <c r="D40" s="80" t="s">
        <v>54</v>
      </c>
      <c r="E40" s="560"/>
      <c r="F40" s="259">
        <v>8164</v>
      </c>
      <c r="G40" s="281">
        <f t="shared" si="7"/>
        <v>1.4219726474051264E-2</v>
      </c>
      <c r="H40" s="259">
        <v>6777</v>
      </c>
      <c r="I40" s="259">
        <v>418</v>
      </c>
      <c r="J40" s="260">
        <v>969</v>
      </c>
      <c r="K40" s="136">
        <f t="shared" si="8"/>
        <v>0.11869181773640372</v>
      </c>
      <c r="L40" s="269"/>
      <c r="M40" s="378"/>
      <c r="N40" s="331"/>
      <c r="O40" s="269"/>
      <c r="P40" s="88">
        <v>43190</v>
      </c>
      <c r="Q40" s="269"/>
      <c r="R40" s="130"/>
      <c r="S40" s="269"/>
      <c r="T40" s="100"/>
      <c r="U40" s="133"/>
      <c r="V40" s="269"/>
      <c r="W40" s="193">
        <f>IF(OR(T40="",T40="N"),P40,EDATE(P40,U40))</f>
        <v>43190</v>
      </c>
      <c r="X40" s="269"/>
      <c r="Y40" s="78"/>
      <c r="Z40" s="269"/>
      <c r="AA40" s="587"/>
      <c r="AB40" s="588"/>
      <c r="AC40" s="169"/>
      <c r="AD40" s="225"/>
      <c r="AE40" s="225"/>
      <c r="AF40" s="232"/>
      <c r="AG40" s="234"/>
      <c r="AH40" s="223"/>
      <c r="AI40" s="237"/>
      <c r="AJ40" s="235"/>
      <c r="AK40" s="236"/>
      <c r="AL40" s="237"/>
      <c r="AM40" s="237"/>
      <c r="AN40" s="235"/>
      <c r="AO40" s="238"/>
      <c r="AQ40" s="405"/>
      <c r="AR40" s="402"/>
      <c r="AS40" s="402"/>
      <c r="AT40" s="402"/>
      <c r="AU40" s="403"/>
      <c r="AV40" s="405"/>
      <c r="AW40" s="402"/>
      <c r="AX40" s="402"/>
      <c r="AY40" s="402"/>
      <c r="AZ40" s="403"/>
      <c r="BA40" s="431"/>
      <c r="BB40" s="402"/>
      <c r="BC40" s="402"/>
      <c r="BD40" s="402"/>
      <c r="BE40" s="402"/>
      <c r="BF40" s="407"/>
      <c r="BG40" s="402"/>
      <c r="BH40" s="402"/>
      <c r="BI40" s="402"/>
      <c r="BJ40" s="402"/>
      <c r="BK40" s="432"/>
      <c r="BL40" s="398"/>
      <c r="BM40" s="399"/>
      <c r="BN40" s="399"/>
      <c r="BO40" s="399"/>
      <c r="BP40" s="401"/>
      <c r="BQ40" s="398"/>
      <c r="BR40" s="399"/>
      <c r="BS40" s="399"/>
      <c r="BT40" s="401"/>
      <c r="BU40" s="399"/>
      <c r="BV40" s="406"/>
      <c r="BW40" s="399"/>
      <c r="BX40" s="399"/>
      <c r="BY40" s="399"/>
      <c r="BZ40" s="399"/>
      <c r="CA40" s="399"/>
      <c r="CB40" s="399"/>
      <c r="CC40" s="399"/>
      <c r="CD40" s="399"/>
      <c r="CE40" s="399"/>
      <c r="CF40" s="399"/>
      <c r="CG40" s="399"/>
      <c r="CH40" s="399"/>
      <c r="CI40" s="399"/>
      <c r="CJ40" s="399"/>
      <c r="CK40" s="399"/>
      <c r="CL40" s="407"/>
      <c r="CM40" s="399"/>
      <c r="CN40" s="399"/>
      <c r="CO40" s="399"/>
      <c r="CP40" s="399"/>
      <c r="CQ40" s="399"/>
      <c r="CR40" s="399"/>
      <c r="CS40" s="399"/>
      <c r="CT40" s="402"/>
      <c r="CU40" s="402"/>
      <c r="CV40" s="402"/>
      <c r="CW40" s="402"/>
      <c r="CX40" s="402"/>
      <c r="CY40" s="402"/>
      <c r="CZ40" s="402"/>
      <c r="DA40" s="403"/>
      <c r="DB40" s="438"/>
    </row>
    <row r="41" spans="1:106" s="75" customFormat="1" ht="20.100000000000001" customHeight="1">
      <c r="A41" s="94">
        <v>18</v>
      </c>
      <c r="B41" s="94">
        <v>3</v>
      </c>
      <c r="C41" s="79" t="s">
        <v>203</v>
      </c>
      <c r="D41" s="80" t="s">
        <v>30</v>
      </c>
      <c r="E41" s="560"/>
      <c r="F41" s="259">
        <v>7841.07</v>
      </c>
      <c r="G41" s="281">
        <f t="shared" si="7"/>
        <v>1.3657260002926155E-2</v>
      </c>
      <c r="H41" s="259">
        <v>5643.3</v>
      </c>
      <c r="I41" s="259">
        <v>11.7</v>
      </c>
      <c r="J41" s="260">
        <v>2186.1</v>
      </c>
      <c r="K41" s="136">
        <f t="shared" si="8"/>
        <v>0.27880123503552451</v>
      </c>
      <c r="L41" s="269"/>
      <c r="M41" s="378"/>
      <c r="N41" s="331">
        <f ca="1">($F$1-M41)/30.33/12</f>
        <v>118.52126607319487</v>
      </c>
      <c r="O41" s="269"/>
      <c r="P41" s="88">
        <v>43069</v>
      </c>
      <c r="Q41" s="269"/>
      <c r="R41" s="130">
        <f ca="1">(W41-$F$1)/30.33</f>
        <v>9.7922848664688438</v>
      </c>
      <c r="S41" s="269"/>
      <c r="T41" s="100" t="s">
        <v>116</v>
      </c>
      <c r="U41" s="133">
        <v>12</v>
      </c>
      <c r="V41" s="269"/>
      <c r="W41" s="193">
        <f>IF(OR(T41="",T41="N"),P41,EDATE(P41,U41))</f>
        <v>43434</v>
      </c>
      <c r="X41" s="269"/>
      <c r="Y41" s="78" t="s">
        <v>14</v>
      </c>
      <c r="Z41" s="269"/>
      <c r="AA41" s="587"/>
      <c r="AB41" s="588"/>
      <c r="AC41" s="169"/>
      <c r="AD41" s="225"/>
      <c r="AE41" s="225"/>
      <c r="AF41" s="232"/>
      <c r="AG41" s="234"/>
      <c r="AH41" s="223"/>
      <c r="AI41" s="237"/>
      <c r="AJ41" s="235"/>
      <c r="AK41" s="236"/>
      <c r="AL41" s="237"/>
      <c r="AM41" s="237"/>
      <c r="AN41" s="235"/>
      <c r="AO41" s="238"/>
      <c r="AQ41" s="405"/>
      <c r="AR41" s="402"/>
      <c r="AS41" s="402"/>
      <c r="AT41" s="402"/>
      <c r="AU41" s="403"/>
      <c r="AV41" s="405"/>
      <c r="AW41" s="402"/>
      <c r="AX41" s="402"/>
      <c r="AY41" s="402"/>
      <c r="AZ41" s="403"/>
      <c r="BA41" s="431"/>
      <c r="BB41" s="402"/>
      <c r="BC41" s="402"/>
      <c r="BD41" s="402"/>
      <c r="BE41" s="402"/>
      <c r="BF41" s="407"/>
      <c r="BG41" s="402"/>
      <c r="BH41" s="402"/>
      <c r="BI41" s="402"/>
      <c r="BJ41" s="402"/>
      <c r="BK41" s="432"/>
      <c r="BL41" s="398"/>
      <c r="BM41" s="399"/>
      <c r="BN41" s="399"/>
      <c r="BO41" s="399"/>
      <c r="BP41" s="401"/>
      <c r="BQ41" s="398"/>
      <c r="BR41" s="399"/>
      <c r="BS41" s="399"/>
      <c r="BT41" s="401"/>
      <c r="BU41" s="399"/>
      <c r="BV41" s="406"/>
      <c r="BW41" s="399"/>
      <c r="BX41" s="399"/>
      <c r="BY41" s="399"/>
      <c r="BZ41" s="399"/>
      <c r="CA41" s="399"/>
      <c r="CB41" s="399"/>
      <c r="CC41" s="399"/>
      <c r="CD41" s="399"/>
      <c r="CE41" s="399"/>
      <c r="CF41" s="399"/>
      <c r="CG41" s="399"/>
      <c r="CH41" s="399"/>
      <c r="CI41" s="399"/>
      <c r="CJ41" s="399"/>
      <c r="CK41" s="399"/>
      <c r="CL41" s="407"/>
      <c r="CM41" s="399"/>
      <c r="CN41" s="399"/>
      <c r="CO41" s="399"/>
      <c r="CP41" s="399"/>
      <c r="CQ41" s="399"/>
      <c r="CR41" s="399"/>
      <c r="CS41" s="399"/>
      <c r="CT41" s="402"/>
      <c r="CU41" s="402"/>
      <c r="CV41" s="402"/>
      <c r="CW41" s="402"/>
      <c r="CX41" s="402"/>
      <c r="CY41" s="402"/>
      <c r="CZ41" s="402"/>
      <c r="DA41" s="403"/>
      <c r="DB41" s="438"/>
    </row>
    <row r="42" spans="1:106" s="75" customFormat="1" ht="20.100000000000001" customHeight="1">
      <c r="A42" s="94">
        <v>19</v>
      </c>
      <c r="B42" s="94">
        <v>4</v>
      </c>
      <c r="C42" s="79" t="s">
        <v>204</v>
      </c>
      <c r="D42" s="80" t="s">
        <v>30</v>
      </c>
      <c r="E42" s="555" t="s">
        <v>36</v>
      </c>
      <c r="F42" s="259">
        <v>7810</v>
      </c>
      <c r="G42" s="281">
        <f t="shared" si="7"/>
        <v>1.3603143527969179E-2</v>
      </c>
      <c r="H42" s="259">
        <v>3893</v>
      </c>
      <c r="I42" s="259">
        <v>356.7</v>
      </c>
      <c r="J42" s="260">
        <v>3560</v>
      </c>
      <c r="K42" s="136">
        <f t="shared" si="8"/>
        <v>0.45582586427656852</v>
      </c>
      <c r="L42" s="269"/>
      <c r="M42" s="378"/>
      <c r="N42" s="331">
        <f ca="1">($F$1-M42)/30.33/12</f>
        <v>118.52126607319487</v>
      </c>
      <c r="O42" s="269"/>
      <c r="P42" s="88">
        <v>43100</v>
      </c>
      <c r="Q42" s="269"/>
      <c r="R42" s="130">
        <f ca="1">(W42-$F$1)/30.33</f>
        <v>-0.19782393669634027</v>
      </c>
      <c r="S42" s="269"/>
      <c r="T42" s="100" t="s">
        <v>116</v>
      </c>
      <c r="U42" s="133">
        <v>6</v>
      </c>
      <c r="V42" s="269"/>
      <c r="W42" s="193">
        <v>43131</v>
      </c>
      <c r="X42" s="269"/>
      <c r="Y42" s="78" t="s">
        <v>14</v>
      </c>
      <c r="Z42" s="269"/>
      <c r="AA42" s="587"/>
      <c r="AB42" s="588"/>
      <c r="AC42" s="169"/>
      <c r="AD42" s="225"/>
      <c r="AE42" s="225"/>
      <c r="AF42" s="232"/>
      <c r="AG42" s="234"/>
      <c r="AH42" s="223"/>
      <c r="AI42" s="237"/>
      <c r="AJ42" s="235"/>
      <c r="AK42" s="236"/>
      <c r="AL42" s="237"/>
      <c r="AM42" s="237"/>
      <c r="AN42" s="235"/>
      <c r="AO42" s="238"/>
      <c r="AQ42" s="405"/>
      <c r="AR42" s="402"/>
      <c r="AS42" s="402"/>
      <c r="AT42" s="402"/>
      <c r="AU42" s="403"/>
      <c r="AV42" s="405"/>
      <c r="AW42" s="402"/>
      <c r="AX42" s="402"/>
      <c r="AY42" s="402"/>
      <c r="AZ42" s="403"/>
      <c r="BA42" s="431"/>
      <c r="BB42" s="402"/>
      <c r="BC42" s="402"/>
      <c r="BD42" s="402"/>
      <c r="BE42" s="402"/>
      <c r="BF42" s="407"/>
      <c r="BG42" s="402"/>
      <c r="BH42" s="402"/>
      <c r="BI42" s="402"/>
      <c r="BJ42" s="402"/>
      <c r="BK42" s="432"/>
      <c r="BL42" s="398"/>
      <c r="BM42" s="399"/>
      <c r="BN42" s="399"/>
      <c r="BO42" s="399"/>
      <c r="BP42" s="401"/>
      <c r="BQ42" s="398"/>
      <c r="BR42" s="399"/>
      <c r="BS42" s="399"/>
      <c r="BT42" s="401"/>
      <c r="BU42" s="399"/>
      <c r="BV42" s="406"/>
      <c r="BW42" s="399"/>
      <c r="BX42" s="399"/>
      <c r="BY42" s="399"/>
      <c r="BZ42" s="399"/>
      <c r="CA42" s="399"/>
      <c r="CB42" s="399"/>
      <c r="CC42" s="399"/>
      <c r="CD42" s="399"/>
      <c r="CE42" s="399"/>
      <c r="CF42" s="399"/>
      <c r="CG42" s="399"/>
      <c r="CH42" s="399"/>
      <c r="CI42" s="399"/>
      <c r="CJ42" s="399"/>
      <c r="CK42" s="399"/>
      <c r="CL42" s="407"/>
      <c r="CM42" s="399"/>
      <c r="CN42" s="399"/>
      <c r="CO42" s="399"/>
      <c r="CP42" s="399"/>
      <c r="CQ42" s="399"/>
      <c r="CR42" s="399"/>
      <c r="CS42" s="399"/>
      <c r="CT42" s="402"/>
      <c r="CU42" s="402"/>
      <c r="CV42" s="402"/>
      <c r="CW42" s="402"/>
      <c r="CX42" s="402"/>
      <c r="CY42" s="402"/>
      <c r="CZ42" s="402"/>
      <c r="DA42" s="403"/>
      <c r="DB42" s="438"/>
    </row>
    <row r="43" spans="1:106" s="75" customFormat="1" ht="20.100000000000001" customHeight="1">
      <c r="A43" s="94">
        <v>20</v>
      </c>
      <c r="B43" s="94">
        <v>5</v>
      </c>
      <c r="C43" s="79" t="s">
        <v>205</v>
      </c>
      <c r="D43" s="80" t="s">
        <v>30</v>
      </c>
      <c r="E43" s="555"/>
      <c r="F43" s="259">
        <v>7779</v>
      </c>
      <c r="G43" s="281">
        <f t="shared" si="7"/>
        <v>1.3549148976193628E-2</v>
      </c>
      <c r="H43" s="259">
        <v>5844.9</v>
      </c>
      <c r="I43" s="259">
        <v>0</v>
      </c>
      <c r="J43" s="260">
        <v>1934</v>
      </c>
      <c r="K43" s="136">
        <f t="shared" si="8"/>
        <v>0.2486180743026096</v>
      </c>
      <c r="L43" s="269"/>
      <c r="M43" s="378"/>
      <c r="N43" s="331">
        <f ca="1">($F$1-M43)/30.33/12</f>
        <v>118.52126607319487</v>
      </c>
      <c r="O43" s="269"/>
      <c r="P43" s="88">
        <v>42461</v>
      </c>
      <c r="Q43" s="269"/>
      <c r="R43" s="130">
        <f ca="1">(W43-$F$1)/30.33</f>
        <v>1.7804154302670625</v>
      </c>
      <c r="S43" s="269"/>
      <c r="T43" s="100" t="s">
        <v>116</v>
      </c>
      <c r="U43" s="133">
        <v>24</v>
      </c>
      <c r="V43" s="269"/>
      <c r="W43" s="193">
        <f>IF(OR(T43="",T43="N"),P43,EDATE(P43,U43))</f>
        <v>43191</v>
      </c>
      <c r="X43" s="269"/>
      <c r="Y43" s="78" t="s">
        <v>14</v>
      </c>
      <c r="Z43" s="269"/>
      <c r="AA43" s="587"/>
      <c r="AB43" s="588"/>
      <c r="AC43" s="169"/>
      <c r="AD43" s="225"/>
      <c r="AE43" s="225"/>
      <c r="AF43" s="232"/>
      <c r="AG43" s="234"/>
      <c r="AH43" s="223"/>
      <c r="AI43" s="237"/>
      <c r="AJ43" s="235"/>
      <c r="AK43" s="236"/>
      <c r="AL43" s="237"/>
      <c r="AM43" s="237"/>
      <c r="AN43" s="235"/>
      <c r="AO43" s="238"/>
      <c r="AQ43" s="405"/>
      <c r="AR43" s="402"/>
      <c r="AS43" s="402"/>
      <c r="AT43" s="402"/>
      <c r="AU43" s="403"/>
      <c r="AV43" s="405"/>
      <c r="AW43" s="402"/>
      <c r="AX43" s="402"/>
      <c r="AY43" s="402"/>
      <c r="AZ43" s="403"/>
      <c r="BA43" s="431"/>
      <c r="BB43" s="402"/>
      <c r="BC43" s="402"/>
      <c r="BD43" s="402"/>
      <c r="BE43" s="402"/>
      <c r="BF43" s="407"/>
      <c r="BG43" s="402"/>
      <c r="BH43" s="402"/>
      <c r="BI43" s="402"/>
      <c r="BJ43" s="402"/>
      <c r="BK43" s="432"/>
      <c r="BL43" s="398"/>
      <c r="BM43" s="399"/>
      <c r="BN43" s="399"/>
      <c r="BO43" s="399"/>
      <c r="BP43" s="401"/>
      <c r="BQ43" s="398"/>
      <c r="BR43" s="399"/>
      <c r="BS43" s="399"/>
      <c r="BT43" s="401"/>
      <c r="BU43" s="399"/>
      <c r="BV43" s="406"/>
      <c r="BW43" s="399"/>
      <c r="BX43" s="399"/>
      <c r="BY43" s="399"/>
      <c r="BZ43" s="399"/>
      <c r="CA43" s="399"/>
      <c r="CB43" s="399"/>
      <c r="CC43" s="399"/>
      <c r="CD43" s="399"/>
      <c r="CE43" s="399"/>
      <c r="CF43" s="399"/>
      <c r="CG43" s="399"/>
      <c r="CH43" s="399"/>
      <c r="CI43" s="399"/>
      <c r="CJ43" s="399"/>
      <c r="CK43" s="399"/>
      <c r="CL43" s="407"/>
      <c r="CM43" s="399"/>
      <c r="CN43" s="399"/>
      <c r="CO43" s="399"/>
      <c r="CP43" s="399"/>
      <c r="CQ43" s="399"/>
      <c r="CR43" s="399"/>
      <c r="CS43" s="399"/>
      <c r="CT43" s="402"/>
      <c r="CU43" s="402"/>
      <c r="CV43" s="402"/>
      <c r="CW43" s="402"/>
      <c r="CX43" s="402"/>
      <c r="CY43" s="402"/>
      <c r="CZ43" s="402"/>
      <c r="DA43" s="403"/>
      <c r="DB43" s="438"/>
    </row>
    <row r="44" spans="1:106" s="75" customFormat="1" ht="20.100000000000001" customHeight="1">
      <c r="A44" s="94">
        <v>21</v>
      </c>
      <c r="B44" s="94">
        <v>6</v>
      </c>
      <c r="C44" s="79" t="s">
        <v>206</v>
      </c>
      <c r="D44" s="80" t="s">
        <v>54</v>
      </c>
      <c r="E44" s="555"/>
      <c r="F44" s="259">
        <v>5643</v>
      </c>
      <c r="G44" s="281">
        <f t="shared" si="7"/>
        <v>9.8287501828847722E-3</v>
      </c>
      <c r="H44" s="259">
        <v>4348.8999999999996</v>
      </c>
      <c r="I44" s="259">
        <v>430</v>
      </c>
      <c r="J44" s="260">
        <v>863.8</v>
      </c>
      <c r="K44" s="136">
        <f t="shared" si="8"/>
        <v>0.15307460570618464</v>
      </c>
      <c r="L44" s="269"/>
      <c r="M44" s="378"/>
      <c r="N44" s="331">
        <f ca="1">($F$1-M44)/30.33/12</f>
        <v>118.52126607319487</v>
      </c>
      <c r="O44" s="269"/>
      <c r="P44" s="88">
        <v>43343</v>
      </c>
      <c r="Q44" s="269"/>
      <c r="R44" s="130">
        <f ca="1">(W44-$F$1)/30.33</f>
        <v>6.7919551599076824</v>
      </c>
      <c r="S44" s="269"/>
      <c r="T44" s="100"/>
      <c r="U44" s="133"/>
      <c r="V44" s="269"/>
      <c r="W44" s="193">
        <f>IF(OR(T44="",T44="N"),P44,EDATE(P44,U44))</f>
        <v>43343</v>
      </c>
      <c r="X44" s="269"/>
      <c r="Y44" s="78" t="s">
        <v>21</v>
      </c>
      <c r="Z44" s="269"/>
      <c r="AA44" s="587"/>
      <c r="AB44" s="588"/>
      <c r="AC44" s="169"/>
      <c r="AD44" s="225"/>
      <c r="AE44" s="225"/>
      <c r="AF44" s="232"/>
      <c r="AG44" s="234"/>
      <c r="AH44" s="223"/>
      <c r="AI44" s="237"/>
      <c r="AJ44" s="235"/>
      <c r="AK44" s="236"/>
      <c r="AL44" s="237"/>
      <c r="AM44" s="237"/>
      <c r="AN44" s="235"/>
      <c r="AO44" s="238"/>
      <c r="AQ44" s="405"/>
      <c r="AR44" s="402"/>
      <c r="AS44" s="402"/>
      <c r="AT44" s="402"/>
      <c r="AU44" s="403"/>
      <c r="AV44" s="405"/>
      <c r="AW44" s="402"/>
      <c r="AX44" s="402"/>
      <c r="AY44" s="402"/>
      <c r="AZ44" s="403"/>
      <c r="BA44" s="431"/>
      <c r="BB44" s="402"/>
      <c r="BC44" s="402"/>
      <c r="BD44" s="402"/>
      <c r="BE44" s="402"/>
      <c r="BF44" s="407"/>
      <c r="BG44" s="402"/>
      <c r="BH44" s="402"/>
      <c r="BI44" s="402"/>
      <c r="BJ44" s="402"/>
      <c r="BK44" s="432"/>
      <c r="BL44" s="398"/>
      <c r="BM44" s="399"/>
      <c r="BN44" s="399"/>
      <c r="BO44" s="399"/>
      <c r="BP44" s="401"/>
      <c r="BQ44" s="398"/>
      <c r="BR44" s="399"/>
      <c r="BS44" s="399"/>
      <c r="BT44" s="401"/>
      <c r="BU44" s="399"/>
      <c r="BV44" s="406"/>
      <c r="BW44" s="399"/>
      <c r="BX44" s="399"/>
      <c r="BY44" s="399"/>
      <c r="BZ44" s="399"/>
      <c r="CA44" s="399"/>
      <c r="CB44" s="399"/>
      <c r="CC44" s="399"/>
      <c r="CD44" s="399"/>
      <c r="CE44" s="399"/>
      <c r="CF44" s="399"/>
      <c r="CG44" s="399"/>
      <c r="CH44" s="399"/>
      <c r="CI44" s="399"/>
      <c r="CJ44" s="399"/>
      <c r="CK44" s="399"/>
      <c r="CL44" s="407"/>
      <c r="CM44" s="399"/>
      <c r="CN44" s="399"/>
      <c r="CO44" s="399"/>
      <c r="CP44" s="399"/>
      <c r="CQ44" s="399"/>
      <c r="CR44" s="399"/>
      <c r="CS44" s="399"/>
      <c r="CT44" s="402"/>
      <c r="CU44" s="402"/>
      <c r="CV44" s="402"/>
      <c r="CW44" s="402"/>
      <c r="CX44" s="402"/>
      <c r="CY44" s="402"/>
      <c r="CZ44" s="402"/>
      <c r="DA44" s="403"/>
      <c r="DB44" s="438"/>
    </row>
    <row r="45" spans="1:106" s="75" customFormat="1" ht="20.100000000000001" customHeight="1">
      <c r="A45" s="94">
        <v>22</v>
      </c>
      <c r="B45" s="94">
        <v>7</v>
      </c>
      <c r="C45" s="79" t="s">
        <v>207</v>
      </c>
      <c r="D45" s="80" t="s">
        <v>30</v>
      </c>
      <c r="E45" s="555" t="s">
        <v>36</v>
      </c>
      <c r="F45" s="259">
        <v>5214</v>
      </c>
      <c r="G45" s="281">
        <f t="shared" ref="G45:G53" si="9">F45/$F$2</f>
        <v>9.0815352567005497E-3</v>
      </c>
      <c r="H45" s="259">
        <v>4416.3999999999996</v>
      </c>
      <c r="I45" s="259">
        <v>5.5</v>
      </c>
      <c r="J45" s="260">
        <v>792.3</v>
      </c>
      <c r="K45" s="136">
        <f t="shared" ref="K45:K53" si="10">J45/F45</f>
        <v>0.15195627157652472</v>
      </c>
      <c r="L45" s="269"/>
      <c r="M45" s="378"/>
      <c r="N45" s="331">
        <f t="shared" ref="N45:N53" ca="1" si="11">($F$1-M45)/30.33/12</f>
        <v>118.52126607319487</v>
      </c>
      <c r="O45" s="269"/>
      <c r="P45" s="88">
        <v>43100</v>
      </c>
      <c r="Q45" s="269"/>
      <c r="R45" s="130">
        <f t="shared" ref="R45:R53" ca="1" si="12">(W45-$F$1)/30.33</f>
        <v>6.7919551599076824</v>
      </c>
      <c r="S45" s="269"/>
      <c r="T45" s="100" t="s">
        <v>116</v>
      </c>
      <c r="U45" s="133">
        <v>8</v>
      </c>
      <c r="V45" s="269"/>
      <c r="W45" s="193">
        <f t="shared" ref="W45:W53" si="13">IF(OR(T45="",T45="N"),P45,EDATE(P45,U45))</f>
        <v>43343</v>
      </c>
      <c r="X45" s="269"/>
      <c r="Y45" s="78" t="s">
        <v>21</v>
      </c>
      <c r="Z45" s="269"/>
      <c r="AA45" s="587"/>
      <c r="AB45" s="588"/>
      <c r="AC45" s="169"/>
      <c r="AD45" s="225"/>
      <c r="AE45" s="225"/>
      <c r="AF45" s="232"/>
      <c r="AG45" s="234"/>
      <c r="AH45" s="223"/>
      <c r="AI45" s="237"/>
      <c r="AJ45" s="235"/>
      <c r="AK45" s="236"/>
      <c r="AL45" s="237"/>
      <c r="AM45" s="237"/>
      <c r="AN45" s="235"/>
      <c r="AO45" s="238"/>
      <c r="AQ45" s="405"/>
      <c r="AR45" s="402"/>
      <c r="AS45" s="402"/>
      <c r="AT45" s="402"/>
      <c r="AU45" s="403"/>
      <c r="AV45" s="405"/>
      <c r="AW45" s="402"/>
      <c r="AX45" s="402"/>
      <c r="AY45" s="402"/>
      <c r="AZ45" s="403"/>
      <c r="BA45" s="431"/>
      <c r="BB45" s="402"/>
      <c r="BC45" s="402"/>
      <c r="BD45" s="402"/>
      <c r="BE45" s="402"/>
      <c r="BF45" s="407"/>
      <c r="BG45" s="402"/>
      <c r="BH45" s="402"/>
      <c r="BI45" s="402"/>
      <c r="BJ45" s="402"/>
      <c r="BK45" s="432"/>
      <c r="BL45" s="398"/>
      <c r="BM45" s="399"/>
      <c r="BN45" s="399"/>
      <c r="BO45" s="399"/>
      <c r="BP45" s="401"/>
      <c r="BQ45" s="398"/>
      <c r="BR45" s="399"/>
      <c r="BS45" s="399"/>
      <c r="BT45" s="401"/>
      <c r="BU45" s="399"/>
      <c r="BV45" s="406"/>
      <c r="BW45" s="399"/>
      <c r="BX45" s="399"/>
      <c r="BY45" s="399"/>
      <c r="BZ45" s="399"/>
      <c r="CA45" s="399"/>
      <c r="CB45" s="399"/>
      <c r="CC45" s="399"/>
      <c r="CD45" s="399"/>
      <c r="CE45" s="399"/>
      <c r="CF45" s="399"/>
      <c r="CG45" s="399"/>
      <c r="CH45" s="399"/>
      <c r="CI45" s="399"/>
      <c r="CJ45" s="399"/>
      <c r="CK45" s="399"/>
      <c r="CL45" s="407"/>
      <c r="CM45" s="399"/>
      <c r="CN45" s="399"/>
      <c r="CO45" s="399"/>
      <c r="CP45" s="399"/>
      <c r="CQ45" s="399"/>
      <c r="CR45" s="399"/>
      <c r="CS45" s="399"/>
      <c r="CT45" s="402"/>
      <c r="CU45" s="402"/>
      <c r="CV45" s="402"/>
      <c r="CW45" s="402"/>
      <c r="CX45" s="402"/>
      <c r="CY45" s="402"/>
      <c r="CZ45" s="402"/>
      <c r="DA45" s="403"/>
      <c r="DB45" s="438"/>
    </row>
    <row r="46" spans="1:106" s="75" customFormat="1" ht="20.100000000000001" customHeight="1">
      <c r="A46" s="94">
        <v>23</v>
      </c>
      <c r="B46" s="94">
        <v>8</v>
      </c>
      <c r="C46" s="79" t="s">
        <v>208</v>
      </c>
      <c r="D46" s="80" t="s">
        <v>89</v>
      </c>
      <c r="E46" s="555"/>
      <c r="F46" s="259">
        <v>4981</v>
      </c>
      <c r="G46" s="281">
        <f t="shared" ref="G46:G52" si="14">F46/$F$2</f>
        <v>8.6757052385165786E-3</v>
      </c>
      <c r="H46" s="259">
        <v>4262.3999999999996</v>
      </c>
      <c r="I46" s="259">
        <v>143.6</v>
      </c>
      <c r="J46" s="260">
        <v>575.5</v>
      </c>
      <c r="K46" s="136">
        <f>J46/F46</f>
        <v>0.11553904838385866</v>
      </c>
      <c r="L46" s="269"/>
      <c r="M46" s="378"/>
      <c r="N46" s="331">
        <f t="shared" ref="N46:N52" ca="1" si="15">($F$1-M46)/30.33/12</f>
        <v>118.52126607319487</v>
      </c>
      <c r="O46" s="269"/>
      <c r="P46" s="88">
        <v>43100</v>
      </c>
      <c r="Q46" s="269"/>
      <c r="R46" s="130">
        <f ca="1">(W46-$F$1)/30.33</f>
        <v>10.814375206066602</v>
      </c>
      <c r="S46" s="269"/>
      <c r="T46" s="100" t="s">
        <v>116</v>
      </c>
      <c r="U46" s="133">
        <v>12</v>
      </c>
      <c r="V46" s="269"/>
      <c r="W46" s="193">
        <f t="shared" ref="W46:W52" si="16">IF(OR(T46="",T46="N"),P46,EDATE(P46,U46))</f>
        <v>43465</v>
      </c>
      <c r="X46" s="269"/>
      <c r="Y46" s="78" t="s">
        <v>57</v>
      </c>
      <c r="Z46" s="269"/>
      <c r="AA46" s="587"/>
      <c r="AB46" s="588"/>
      <c r="AC46" s="169"/>
      <c r="AD46" s="225"/>
      <c r="AE46" s="225"/>
      <c r="AF46" s="232"/>
      <c r="AG46" s="234"/>
      <c r="AH46" s="223"/>
      <c r="AI46" s="237"/>
      <c r="AJ46" s="235"/>
      <c r="AK46" s="236"/>
      <c r="AL46" s="237"/>
      <c r="AM46" s="237"/>
      <c r="AN46" s="235"/>
      <c r="AO46" s="238"/>
      <c r="AQ46" s="405"/>
      <c r="AR46" s="402"/>
      <c r="AS46" s="402"/>
      <c r="AT46" s="402"/>
      <c r="AU46" s="403"/>
      <c r="AV46" s="405"/>
      <c r="AW46" s="402"/>
      <c r="AX46" s="402"/>
      <c r="AY46" s="402"/>
      <c r="AZ46" s="403"/>
      <c r="BA46" s="431"/>
      <c r="BB46" s="402"/>
      <c r="BC46" s="402"/>
      <c r="BD46" s="402"/>
      <c r="BE46" s="402"/>
      <c r="BF46" s="407"/>
      <c r="BG46" s="402"/>
      <c r="BH46" s="402"/>
      <c r="BI46" s="402"/>
      <c r="BJ46" s="402"/>
      <c r="BK46" s="432"/>
      <c r="BL46" s="398"/>
      <c r="BM46" s="399"/>
      <c r="BN46" s="399"/>
      <c r="BO46" s="399"/>
      <c r="BP46" s="401"/>
      <c r="BQ46" s="398"/>
      <c r="BR46" s="399"/>
      <c r="BS46" s="399"/>
      <c r="BT46" s="401"/>
      <c r="BU46" s="399"/>
      <c r="BV46" s="406"/>
      <c r="BW46" s="399"/>
      <c r="BX46" s="399"/>
      <c r="BY46" s="399"/>
      <c r="BZ46" s="399"/>
      <c r="CA46" s="399"/>
      <c r="CB46" s="399"/>
      <c r="CC46" s="399"/>
      <c r="CD46" s="399"/>
      <c r="CE46" s="399"/>
      <c r="CF46" s="399"/>
      <c r="CG46" s="399"/>
      <c r="CH46" s="399"/>
      <c r="CI46" s="399"/>
      <c r="CJ46" s="399"/>
      <c r="CK46" s="399"/>
      <c r="CL46" s="407"/>
      <c r="CM46" s="399"/>
      <c r="CN46" s="399"/>
      <c r="CO46" s="399"/>
      <c r="CP46" s="399"/>
      <c r="CQ46" s="399"/>
      <c r="CR46" s="399"/>
      <c r="CS46" s="399"/>
      <c r="CT46" s="402"/>
      <c r="CU46" s="402"/>
      <c r="CV46" s="402"/>
      <c r="CW46" s="402"/>
      <c r="CX46" s="402"/>
      <c r="CY46" s="402"/>
      <c r="CZ46" s="402"/>
      <c r="DA46" s="403"/>
      <c r="DB46" s="438"/>
    </row>
    <row r="47" spans="1:106" s="75" customFormat="1" ht="20.100000000000001" customHeight="1">
      <c r="A47" s="94">
        <v>24</v>
      </c>
      <c r="B47" s="94">
        <v>9</v>
      </c>
      <c r="C47" s="79" t="s">
        <v>209</v>
      </c>
      <c r="D47" s="80" t="s">
        <v>53</v>
      </c>
      <c r="E47" s="560"/>
      <c r="F47" s="259">
        <v>4309</v>
      </c>
      <c r="G47" s="281">
        <f t="shared" si="14"/>
        <v>7.5052426968014322E-3</v>
      </c>
      <c r="H47" s="259">
        <v>2706.1</v>
      </c>
      <c r="I47" s="259">
        <v>243.5</v>
      </c>
      <c r="J47" s="260">
        <v>1359.1</v>
      </c>
      <c r="K47" s="136">
        <f>J47/F47</f>
        <v>0.31540960779763283</v>
      </c>
      <c r="L47" s="269"/>
      <c r="M47" s="378"/>
      <c r="N47" s="331">
        <f t="shared" ca="1" si="15"/>
        <v>118.52126607319487</v>
      </c>
      <c r="O47" s="269"/>
      <c r="P47" s="88">
        <v>43496</v>
      </c>
      <c r="Q47" s="269"/>
      <c r="R47" s="130">
        <f ca="1">(W47-$F$1)/30.33</f>
        <v>11.836465545664359</v>
      </c>
      <c r="S47" s="269"/>
      <c r="T47" s="100"/>
      <c r="U47" s="133"/>
      <c r="V47" s="269"/>
      <c r="W47" s="193">
        <f t="shared" si="16"/>
        <v>43496</v>
      </c>
      <c r="X47" s="269"/>
      <c r="Y47" s="78" t="s">
        <v>14</v>
      </c>
      <c r="Z47" s="269"/>
      <c r="AA47" s="587"/>
      <c r="AB47" s="588"/>
      <c r="AC47" s="169"/>
      <c r="AD47" s="225"/>
      <c r="AE47" s="225"/>
      <c r="AF47" s="232"/>
      <c r="AG47" s="234"/>
      <c r="AH47" s="223"/>
      <c r="AI47" s="237"/>
      <c r="AJ47" s="235"/>
      <c r="AK47" s="236"/>
      <c r="AL47" s="237"/>
      <c r="AM47" s="237"/>
      <c r="AN47" s="235"/>
      <c r="AO47" s="238"/>
      <c r="AQ47" s="405"/>
      <c r="AR47" s="402"/>
      <c r="AS47" s="402"/>
      <c r="AT47" s="402"/>
      <c r="AU47" s="403"/>
      <c r="AV47" s="405"/>
      <c r="AW47" s="402"/>
      <c r="AX47" s="402"/>
      <c r="AY47" s="402"/>
      <c r="AZ47" s="403"/>
      <c r="BA47" s="431"/>
      <c r="BB47" s="402"/>
      <c r="BC47" s="402"/>
      <c r="BD47" s="402"/>
      <c r="BE47" s="402"/>
      <c r="BF47" s="407"/>
      <c r="BG47" s="402"/>
      <c r="BH47" s="402"/>
      <c r="BI47" s="402"/>
      <c r="BJ47" s="402"/>
      <c r="BK47" s="432"/>
      <c r="BL47" s="398"/>
      <c r="BM47" s="399"/>
      <c r="BN47" s="399"/>
      <c r="BO47" s="399"/>
      <c r="BP47" s="401"/>
      <c r="BQ47" s="398"/>
      <c r="BR47" s="399"/>
      <c r="BS47" s="399"/>
      <c r="BT47" s="401"/>
      <c r="BU47" s="399"/>
      <c r="BV47" s="406"/>
      <c r="BW47" s="399"/>
      <c r="BX47" s="399"/>
      <c r="BY47" s="399"/>
      <c r="BZ47" s="399"/>
      <c r="CA47" s="399"/>
      <c r="CB47" s="399"/>
      <c r="CC47" s="399"/>
      <c r="CD47" s="399"/>
      <c r="CE47" s="399"/>
      <c r="CF47" s="399"/>
      <c r="CG47" s="399"/>
      <c r="CH47" s="399"/>
      <c r="CI47" s="399"/>
      <c r="CJ47" s="399"/>
      <c r="CK47" s="399"/>
      <c r="CL47" s="407"/>
      <c r="CM47" s="399"/>
      <c r="CN47" s="399"/>
      <c r="CO47" s="399"/>
      <c r="CP47" s="399"/>
      <c r="CQ47" s="399"/>
      <c r="CR47" s="399"/>
      <c r="CS47" s="399"/>
      <c r="CT47" s="402"/>
      <c r="CU47" s="402"/>
      <c r="CV47" s="402"/>
      <c r="CW47" s="402"/>
      <c r="CX47" s="402"/>
      <c r="CY47" s="402"/>
      <c r="CZ47" s="402"/>
      <c r="DA47" s="403"/>
      <c r="DB47" s="438"/>
    </row>
    <row r="48" spans="1:106" s="75" customFormat="1" ht="20.100000000000001" customHeight="1">
      <c r="A48" s="94">
        <v>25</v>
      </c>
      <c r="B48" s="94">
        <v>10</v>
      </c>
      <c r="C48" s="79" t="s">
        <v>210</v>
      </c>
      <c r="D48" s="80" t="s">
        <v>30</v>
      </c>
      <c r="E48" s="560"/>
      <c r="F48" s="259">
        <v>4294</v>
      </c>
      <c r="G48" s="281">
        <f t="shared" si="14"/>
        <v>7.4791163007810052E-3</v>
      </c>
      <c r="H48" s="259">
        <v>2708.6</v>
      </c>
      <c r="I48" s="259">
        <v>430.7</v>
      </c>
      <c r="J48" s="260">
        <v>1154.4000000000001</v>
      </c>
      <c r="K48" s="136">
        <f>J48/F48</f>
        <v>0.2688402421984164</v>
      </c>
      <c r="L48" s="269"/>
      <c r="M48" s="378"/>
      <c r="N48" s="331">
        <f t="shared" ca="1" si="15"/>
        <v>118.52126607319487</v>
      </c>
      <c r="O48" s="269"/>
      <c r="P48" s="88">
        <v>43100</v>
      </c>
      <c r="Q48" s="269"/>
      <c r="R48" s="130">
        <f ca="1">(W48-$F$1)/30.33</f>
        <v>10.814375206066602</v>
      </c>
      <c r="S48" s="269"/>
      <c r="T48" s="100" t="s">
        <v>116</v>
      </c>
      <c r="U48" s="133">
        <v>12</v>
      </c>
      <c r="V48" s="269"/>
      <c r="W48" s="193">
        <f t="shared" si="16"/>
        <v>43465</v>
      </c>
      <c r="X48" s="269"/>
      <c r="Y48" s="78" t="s">
        <v>14</v>
      </c>
      <c r="Z48" s="269"/>
      <c r="AA48" s="587"/>
      <c r="AB48" s="588"/>
      <c r="AC48" s="169"/>
      <c r="AD48" s="225"/>
      <c r="AE48" s="225"/>
      <c r="AF48" s="232"/>
      <c r="AG48" s="234"/>
      <c r="AH48" s="223"/>
      <c r="AI48" s="237"/>
      <c r="AJ48" s="235"/>
      <c r="AK48" s="236"/>
      <c r="AL48" s="237"/>
      <c r="AM48" s="237"/>
      <c r="AN48" s="235"/>
      <c r="AO48" s="238"/>
      <c r="AQ48" s="405"/>
      <c r="AR48" s="402"/>
      <c r="AS48" s="402"/>
      <c r="AT48" s="402"/>
      <c r="AU48" s="403"/>
      <c r="AV48" s="405"/>
      <c r="AW48" s="402"/>
      <c r="AX48" s="402"/>
      <c r="AY48" s="402"/>
      <c r="AZ48" s="403"/>
      <c r="BA48" s="431"/>
      <c r="BB48" s="402"/>
      <c r="BC48" s="402"/>
      <c r="BD48" s="402"/>
      <c r="BE48" s="402"/>
      <c r="BF48" s="407"/>
      <c r="BG48" s="402"/>
      <c r="BH48" s="402"/>
      <c r="BI48" s="402"/>
      <c r="BJ48" s="402"/>
      <c r="BK48" s="432"/>
      <c r="BL48" s="398"/>
      <c r="BM48" s="399"/>
      <c r="BN48" s="399"/>
      <c r="BO48" s="399"/>
      <c r="BP48" s="401"/>
      <c r="BQ48" s="398"/>
      <c r="BR48" s="399"/>
      <c r="BS48" s="399"/>
      <c r="BT48" s="401"/>
      <c r="BU48" s="399"/>
      <c r="BV48" s="406"/>
      <c r="BW48" s="399"/>
      <c r="BX48" s="399"/>
      <c r="BY48" s="399"/>
      <c r="BZ48" s="399"/>
      <c r="CA48" s="399"/>
      <c r="CB48" s="399"/>
      <c r="CC48" s="399"/>
      <c r="CD48" s="399"/>
      <c r="CE48" s="399"/>
      <c r="CF48" s="399"/>
      <c r="CG48" s="399"/>
      <c r="CH48" s="399"/>
      <c r="CI48" s="399"/>
      <c r="CJ48" s="399"/>
      <c r="CK48" s="399"/>
      <c r="CL48" s="407"/>
      <c r="CM48" s="399"/>
      <c r="CN48" s="399"/>
      <c r="CO48" s="399"/>
      <c r="CP48" s="399"/>
      <c r="CQ48" s="399"/>
      <c r="CR48" s="399"/>
      <c r="CS48" s="399"/>
      <c r="CT48" s="402"/>
      <c r="CU48" s="402"/>
      <c r="CV48" s="402"/>
      <c r="CW48" s="402"/>
      <c r="CX48" s="402"/>
      <c r="CY48" s="402"/>
      <c r="CZ48" s="402"/>
      <c r="DA48" s="403"/>
      <c r="DB48" s="438"/>
    </row>
    <row r="49" spans="1:106" s="75" customFormat="1" ht="20.100000000000001" customHeight="1">
      <c r="A49" s="94">
        <v>26</v>
      </c>
      <c r="B49" s="94">
        <v>11</v>
      </c>
      <c r="C49" s="79" t="s">
        <v>201</v>
      </c>
      <c r="D49" s="80" t="s">
        <v>30</v>
      </c>
      <c r="E49" s="560"/>
      <c r="F49" s="259">
        <v>3985</v>
      </c>
      <c r="G49" s="281">
        <f t="shared" si="14"/>
        <v>6.9409125427602018E-3</v>
      </c>
      <c r="H49" s="259">
        <v>3017.5</v>
      </c>
      <c r="I49" s="259">
        <v>17.7</v>
      </c>
      <c r="J49" s="260">
        <v>949.6</v>
      </c>
      <c r="K49" s="136">
        <v>0.28342840365741101</v>
      </c>
      <c r="L49" s="269"/>
      <c r="M49" s="378"/>
      <c r="N49" s="331">
        <f t="shared" ca="1" si="15"/>
        <v>118.52126607319487</v>
      </c>
      <c r="O49" s="269"/>
      <c r="P49" s="88">
        <v>43039</v>
      </c>
      <c r="Q49" s="269"/>
      <c r="R49" s="130">
        <f ca="1">(P49-$F$1)/30.33</f>
        <v>-3.2311242993735578</v>
      </c>
      <c r="S49" s="269"/>
      <c r="T49" s="100" t="s">
        <v>116</v>
      </c>
      <c r="U49" s="133">
        <v>12</v>
      </c>
      <c r="V49" s="269"/>
      <c r="W49" s="193">
        <f t="shared" si="16"/>
        <v>43404</v>
      </c>
      <c r="X49" s="269"/>
      <c r="Y49" s="78" t="s">
        <v>14</v>
      </c>
      <c r="Z49" s="269"/>
      <c r="AA49" s="587"/>
      <c r="AB49" s="588"/>
      <c r="AC49" s="169"/>
      <c r="AD49" s="225"/>
      <c r="AE49" s="225"/>
      <c r="AF49" s="232"/>
      <c r="AG49" s="234"/>
      <c r="AH49" s="223"/>
      <c r="AI49" s="237"/>
      <c r="AJ49" s="235"/>
      <c r="AK49" s="236"/>
      <c r="AL49" s="237"/>
      <c r="AM49" s="237"/>
      <c r="AN49" s="235"/>
      <c r="AO49" s="238"/>
      <c r="AQ49" s="405"/>
      <c r="AR49" s="402"/>
      <c r="AS49" s="402"/>
      <c r="AT49" s="402"/>
      <c r="AU49" s="403"/>
      <c r="AV49" s="405"/>
      <c r="AW49" s="402"/>
      <c r="AX49" s="402"/>
      <c r="AY49" s="402"/>
      <c r="AZ49" s="403"/>
      <c r="BA49" s="431"/>
      <c r="BB49" s="402"/>
      <c r="BC49" s="402"/>
      <c r="BD49" s="402"/>
      <c r="BE49" s="402"/>
      <c r="BF49" s="407"/>
      <c r="BG49" s="402"/>
      <c r="BH49" s="402"/>
      <c r="BI49" s="402"/>
      <c r="BJ49" s="402"/>
      <c r="BK49" s="432"/>
      <c r="BL49" s="398"/>
      <c r="BM49" s="399"/>
      <c r="BN49" s="399"/>
      <c r="BO49" s="399"/>
      <c r="BP49" s="401"/>
      <c r="BQ49" s="398"/>
      <c r="BR49" s="399"/>
      <c r="BS49" s="399"/>
      <c r="BT49" s="401"/>
      <c r="BU49" s="399"/>
      <c r="BV49" s="406"/>
      <c r="BW49" s="399"/>
      <c r="BX49" s="399"/>
      <c r="BY49" s="399"/>
      <c r="BZ49" s="399"/>
      <c r="CA49" s="399"/>
      <c r="CB49" s="399"/>
      <c r="CC49" s="399"/>
      <c r="CD49" s="399"/>
      <c r="CE49" s="399"/>
      <c r="CF49" s="399"/>
      <c r="CG49" s="399"/>
      <c r="CH49" s="399"/>
      <c r="CI49" s="399"/>
      <c r="CJ49" s="399"/>
      <c r="CK49" s="399"/>
      <c r="CL49" s="407"/>
      <c r="CM49" s="399"/>
      <c r="CN49" s="399"/>
      <c r="CO49" s="399"/>
      <c r="CP49" s="399"/>
      <c r="CQ49" s="399"/>
      <c r="CR49" s="399"/>
      <c r="CS49" s="399"/>
      <c r="CT49" s="402"/>
      <c r="CU49" s="402"/>
      <c r="CV49" s="402"/>
      <c r="CW49" s="402"/>
      <c r="CX49" s="402"/>
      <c r="CY49" s="402"/>
      <c r="CZ49" s="402"/>
      <c r="DA49" s="403"/>
      <c r="DB49" s="438"/>
    </row>
    <row r="50" spans="1:106" s="75" customFormat="1" ht="20.100000000000001" customHeight="1">
      <c r="A50" s="94">
        <v>27</v>
      </c>
      <c r="B50" s="94">
        <v>12</v>
      </c>
      <c r="C50" s="79" t="s">
        <v>200</v>
      </c>
      <c r="D50" s="80" t="s">
        <v>30</v>
      </c>
      <c r="E50" s="560"/>
      <c r="F50" s="259">
        <v>3903</v>
      </c>
      <c r="G50" s="281">
        <f t="shared" si="14"/>
        <v>6.7980882445151988E-3</v>
      </c>
      <c r="H50" s="259">
        <v>1637</v>
      </c>
      <c r="I50" s="259">
        <v>217</v>
      </c>
      <c r="J50" s="260">
        <v>2050</v>
      </c>
      <c r="K50" s="136">
        <f>J50/F50</f>
        <v>0.52523699718165517</v>
      </c>
      <c r="L50" s="269"/>
      <c r="M50" s="378"/>
      <c r="N50" s="331">
        <f t="shared" ca="1" si="15"/>
        <v>118.52126607319487</v>
      </c>
      <c r="O50" s="269"/>
      <c r="P50" s="88">
        <v>42886</v>
      </c>
      <c r="Q50" s="269"/>
      <c r="R50" s="130">
        <f ca="1">(W50-$F$1)/30.33</f>
        <v>3.7586547972304651</v>
      </c>
      <c r="S50" s="269"/>
      <c r="T50" s="100" t="s">
        <v>116</v>
      </c>
      <c r="U50" s="133">
        <v>12</v>
      </c>
      <c r="V50" s="269"/>
      <c r="W50" s="193">
        <f t="shared" si="16"/>
        <v>43251</v>
      </c>
      <c r="X50" s="269"/>
      <c r="Y50" s="78" t="s">
        <v>14</v>
      </c>
      <c r="Z50" s="269"/>
      <c r="AA50" s="587"/>
      <c r="AB50" s="588"/>
      <c r="AC50" s="169"/>
      <c r="AD50" s="225"/>
      <c r="AE50" s="225"/>
      <c r="AF50" s="232"/>
      <c r="AG50" s="234"/>
      <c r="AH50" s="223"/>
      <c r="AI50" s="237"/>
      <c r="AJ50" s="235"/>
      <c r="AK50" s="236"/>
      <c r="AL50" s="237"/>
      <c r="AM50" s="237"/>
      <c r="AN50" s="235"/>
      <c r="AO50" s="238"/>
      <c r="AQ50" s="405"/>
      <c r="AR50" s="402"/>
      <c r="AS50" s="402"/>
      <c r="AT50" s="402"/>
      <c r="AU50" s="403"/>
      <c r="AV50" s="405"/>
      <c r="AW50" s="402"/>
      <c r="AX50" s="402"/>
      <c r="AY50" s="402"/>
      <c r="AZ50" s="403"/>
      <c r="BA50" s="431"/>
      <c r="BB50" s="402"/>
      <c r="BC50" s="402"/>
      <c r="BD50" s="402"/>
      <c r="BE50" s="402"/>
      <c r="BF50" s="407"/>
      <c r="BG50" s="402"/>
      <c r="BH50" s="402"/>
      <c r="BI50" s="402"/>
      <c r="BJ50" s="402"/>
      <c r="BK50" s="432"/>
      <c r="BL50" s="398"/>
      <c r="BM50" s="399"/>
      <c r="BN50" s="399"/>
      <c r="BO50" s="399"/>
      <c r="BP50" s="401"/>
      <c r="BQ50" s="398"/>
      <c r="BR50" s="399"/>
      <c r="BS50" s="399"/>
      <c r="BT50" s="401"/>
      <c r="BU50" s="399"/>
      <c r="BV50" s="406"/>
      <c r="BW50" s="399"/>
      <c r="BX50" s="399"/>
      <c r="BY50" s="399"/>
      <c r="BZ50" s="399"/>
      <c r="CA50" s="399"/>
      <c r="CB50" s="399"/>
      <c r="CC50" s="399"/>
      <c r="CD50" s="399"/>
      <c r="CE50" s="399"/>
      <c r="CF50" s="399"/>
      <c r="CG50" s="399"/>
      <c r="CH50" s="399"/>
      <c r="CI50" s="399"/>
      <c r="CJ50" s="399"/>
      <c r="CK50" s="399"/>
      <c r="CL50" s="407"/>
      <c r="CM50" s="399"/>
      <c r="CN50" s="399"/>
      <c r="CO50" s="399"/>
      <c r="CP50" s="399"/>
      <c r="CQ50" s="399"/>
      <c r="CR50" s="399"/>
      <c r="CS50" s="399"/>
      <c r="CT50" s="402"/>
      <c r="CU50" s="402"/>
      <c r="CV50" s="402"/>
      <c r="CW50" s="402"/>
      <c r="CX50" s="402"/>
      <c r="CY50" s="402"/>
      <c r="CZ50" s="402"/>
      <c r="DA50" s="403"/>
      <c r="DB50" s="438"/>
    </row>
    <row r="51" spans="1:106" s="75" customFormat="1" ht="20.100000000000001" customHeight="1">
      <c r="A51" s="94">
        <v>28</v>
      </c>
      <c r="B51" s="94">
        <v>13</v>
      </c>
      <c r="C51" s="79" t="s">
        <v>199</v>
      </c>
      <c r="D51" s="80" t="s">
        <v>54</v>
      </c>
      <c r="E51" s="560"/>
      <c r="F51" s="259">
        <v>3810</v>
      </c>
      <c r="G51" s="281">
        <f t="shared" si="14"/>
        <v>6.636104589188549E-3</v>
      </c>
      <c r="H51" s="259">
        <v>3154.7</v>
      </c>
      <c r="I51" s="259">
        <v>329.2</v>
      </c>
      <c r="J51" s="260">
        <v>325.7</v>
      </c>
      <c r="K51" s="136">
        <f>J51/F51</f>
        <v>8.5485564304461942E-2</v>
      </c>
      <c r="L51" s="269"/>
      <c r="M51" s="378"/>
      <c r="N51" s="331">
        <f t="shared" ca="1" si="15"/>
        <v>118.52126607319487</v>
      </c>
      <c r="O51" s="269"/>
      <c r="P51" s="88">
        <v>43921</v>
      </c>
      <c r="Q51" s="269"/>
      <c r="R51" s="130">
        <f ca="1">(W51-$F$1)/30.33</f>
        <v>25.848994394988463</v>
      </c>
      <c r="S51" s="269"/>
      <c r="T51" s="100"/>
      <c r="U51" s="133"/>
      <c r="V51" s="269"/>
      <c r="W51" s="193">
        <f t="shared" si="16"/>
        <v>43921</v>
      </c>
      <c r="X51" s="269"/>
      <c r="Y51" s="78" t="s">
        <v>14</v>
      </c>
      <c r="Z51" s="269"/>
      <c r="AA51" s="587"/>
      <c r="AB51" s="588"/>
      <c r="AC51" s="168"/>
      <c r="AD51" s="225"/>
      <c r="AE51" s="225"/>
      <c r="AF51" s="232"/>
      <c r="AG51" s="234"/>
      <c r="AH51" s="223"/>
      <c r="AI51" s="237"/>
      <c r="AJ51" s="235"/>
      <c r="AK51" s="236"/>
      <c r="AL51" s="237"/>
      <c r="AM51" s="237"/>
      <c r="AN51" s="235"/>
      <c r="AO51" s="238"/>
      <c r="AQ51" s="405"/>
      <c r="AR51" s="402"/>
      <c r="AS51" s="402"/>
      <c r="AT51" s="402"/>
      <c r="AU51" s="403"/>
      <c r="AV51" s="405"/>
      <c r="AW51" s="402"/>
      <c r="AX51" s="402"/>
      <c r="AY51" s="402"/>
      <c r="AZ51" s="403"/>
      <c r="BA51" s="431"/>
      <c r="BB51" s="402"/>
      <c r="BC51" s="402"/>
      <c r="BD51" s="402"/>
      <c r="BE51" s="402"/>
      <c r="BF51" s="407"/>
      <c r="BG51" s="402"/>
      <c r="BH51" s="402"/>
      <c r="BI51" s="402"/>
      <c r="BJ51" s="402"/>
      <c r="BK51" s="434"/>
      <c r="BL51" s="435"/>
      <c r="BM51" s="436"/>
      <c r="BN51" s="436"/>
      <c r="BO51" s="436"/>
      <c r="BP51" s="437"/>
      <c r="BQ51" s="435"/>
      <c r="BR51" s="436"/>
      <c r="BS51" s="436"/>
      <c r="BT51" s="437"/>
      <c r="BU51" s="436"/>
      <c r="BV51" s="417"/>
      <c r="BW51" s="436"/>
      <c r="BX51" s="436"/>
      <c r="BY51" s="436"/>
      <c r="BZ51" s="436"/>
      <c r="CA51" s="436"/>
      <c r="CB51" s="436"/>
      <c r="CC51" s="436"/>
      <c r="CD51" s="436"/>
      <c r="CE51" s="436"/>
      <c r="CF51" s="436"/>
      <c r="CG51" s="436"/>
      <c r="CH51" s="436"/>
      <c r="CI51" s="436"/>
      <c r="CJ51" s="436"/>
      <c r="CK51" s="436"/>
      <c r="CL51" s="407"/>
      <c r="CM51" s="436"/>
      <c r="CN51" s="436"/>
      <c r="CO51" s="436"/>
      <c r="CP51" s="436"/>
      <c r="CQ51" s="436"/>
      <c r="CR51" s="436"/>
      <c r="CS51" s="436"/>
      <c r="CT51" s="402"/>
      <c r="CU51" s="402"/>
      <c r="CV51" s="402"/>
      <c r="CW51" s="402"/>
      <c r="CX51" s="402"/>
      <c r="CY51" s="402"/>
      <c r="CZ51" s="402"/>
      <c r="DA51" s="403"/>
      <c r="DB51" s="438"/>
    </row>
    <row r="52" spans="1:106" s="75" customFormat="1" ht="20.100000000000001" customHeight="1">
      <c r="A52" s="94">
        <v>29</v>
      </c>
      <c r="B52" s="94">
        <v>14</v>
      </c>
      <c r="C52" s="79" t="s">
        <v>198</v>
      </c>
      <c r="D52" s="80" t="s">
        <v>30</v>
      </c>
      <c r="E52" s="560"/>
      <c r="F52" s="259">
        <v>3696</v>
      </c>
      <c r="G52" s="281">
        <f t="shared" si="14"/>
        <v>6.4375439794333014E-3</v>
      </c>
      <c r="H52" s="259">
        <v>1383.6</v>
      </c>
      <c r="I52" s="259">
        <v>0</v>
      </c>
      <c r="J52" s="260">
        <v>2312.1</v>
      </c>
      <c r="K52" s="136">
        <f>J52/F52</f>
        <v>0.62556818181818175</v>
      </c>
      <c r="L52" s="269"/>
      <c r="M52" s="378"/>
      <c r="N52" s="331">
        <f t="shared" ca="1" si="15"/>
        <v>118.52126607319487</v>
      </c>
      <c r="O52" s="269"/>
      <c r="P52" s="88">
        <v>43100</v>
      </c>
      <c r="Q52" s="269"/>
      <c r="R52" s="130">
        <f ca="1">(W52-$F$1)/30.33</f>
        <v>10.814375206066602</v>
      </c>
      <c r="S52" s="269"/>
      <c r="T52" s="100" t="s">
        <v>116</v>
      </c>
      <c r="U52" s="133">
        <v>12</v>
      </c>
      <c r="V52" s="269"/>
      <c r="W52" s="193">
        <f t="shared" si="16"/>
        <v>43465</v>
      </c>
      <c r="X52" s="269"/>
      <c r="Y52" s="100" t="s">
        <v>14</v>
      </c>
      <c r="Z52" s="269"/>
      <c r="AA52" s="587"/>
      <c r="AB52" s="588"/>
      <c r="AC52" s="169"/>
      <c r="AD52" s="225"/>
      <c r="AE52" s="225"/>
      <c r="AF52" s="232"/>
      <c r="AG52" s="234"/>
      <c r="AH52" s="223"/>
      <c r="AI52" s="237"/>
      <c r="AJ52" s="235"/>
      <c r="AK52" s="236"/>
      <c r="AL52" s="237"/>
      <c r="AM52" s="237"/>
      <c r="AN52" s="235"/>
      <c r="AO52" s="238"/>
      <c r="AQ52" s="405"/>
      <c r="AR52" s="402"/>
      <c r="AS52" s="402"/>
      <c r="AT52" s="402"/>
      <c r="AU52" s="403"/>
      <c r="AV52" s="405"/>
      <c r="AW52" s="402"/>
      <c r="AX52" s="402"/>
      <c r="AY52" s="402"/>
      <c r="AZ52" s="403"/>
      <c r="BA52" s="431"/>
      <c r="BB52" s="402"/>
      <c r="BC52" s="402"/>
      <c r="BD52" s="402"/>
      <c r="BE52" s="402"/>
      <c r="BF52" s="407"/>
      <c r="BG52" s="402"/>
      <c r="BH52" s="402"/>
      <c r="BI52" s="402"/>
      <c r="BJ52" s="402"/>
      <c r="BK52" s="419"/>
      <c r="BL52" s="405"/>
      <c r="BM52" s="402"/>
      <c r="BN52" s="402"/>
      <c r="BO52" s="402"/>
      <c r="BP52" s="403"/>
      <c r="BQ52" s="405"/>
      <c r="BR52" s="402"/>
      <c r="BS52" s="402"/>
      <c r="BT52" s="403"/>
      <c r="BU52" s="402"/>
      <c r="BV52" s="411"/>
      <c r="BW52" s="402"/>
      <c r="BX52" s="402"/>
      <c r="BY52" s="402"/>
      <c r="BZ52" s="402"/>
      <c r="CA52" s="402"/>
      <c r="CB52" s="402"/>
      <c r="CC52" s="402"/>
      <c r="CD52" s="402"/>
      <c r="CE52" s="402"/>
      <c r="CF52" s="402"/>
      <c r="CG52" s="402"/>
      <c r="CH52" s="402"/>
      <c r="CI52" s="402"/>
      <c r="CJ52" s="402"/>
      <c r="CK52" s="402"/>
      <c r="CL52" s="407"/>
      <c r="CM52" s="402"/>
      <c r="CN52" s="402"/>
      <c r="CO52" s="402"/>
      <c r="CP52" s="402"/>
      <c r="CQ52" s="402"/>
      <c r="CR52" s="402"/>
      <c r="CS52" s="402"/>
      <c r="CT52" s="402"/>
      <c r="CU52" s="402"/>
      <c r="CV52" s="402"/>
      <c r="CW52" s="402"/>
      <c r="CX52" s="402"/>
      <c r="CY52" s="402"/>
      <c r="CZ52" s="402"/>
      <c r="DA52" s="403"/>
      <c r="DB52" s="438"/>
    </row>
    <row r="53" spans="1:106" s="70" customFormat="1" ht="18" customHeight="1" thickBot="1">
      <c r="A53" s="94">
        <v>30</v>
      </c>
      <c r="B53" s="94">
        <v>15</v>
      </c>
      <c r="C53" s="92" t="s">
        <v>197</v>
      </c>
      <c r="D53" s="93" t="s">
        <v>89</v>
      </c>
      <c r="E53" s="561"/>
      <c r="F53" s="263">
        <v>3458</v>
      </c>
      <c r="G53" s="284">
        <f t="shared" si="9"/>
        <v>6.0230051625758535E-3</v>
      </c>
      <c r="H53" s="263">
        <v>0</v>
      </c>
      <c r="I53" s="263">
        <v>3458.1</v>
      </c>
      <c r="J53" s="264">
        <v>0</v>
      </c>
      <c r="K53" s="137">
        <f t="shared" si="10"/>
        <v>0</v>
      </c>
      <c r="L53" s="270"/>
      <c r="M53" s="379"/>
      <c r="N53" s="332">
        <f t="shared" ca="1" si="11"/>
        <v>118.52126607319487</v>
      </c>
      <c r="O53" s="270"/>
      <c r="P53" s="89">
        <v>43190</v>
      </c>
      <c r="Q53" s="270"/>
      <c r="R53" s="131">
        <f t="shared" ca="1" si="12"/>
        <v>1.7474447741510057</v>
      </c>
      <c r="S53" s="270"/>
      <c r="T53" s="224"/>
      <c r="U53" s="134"/>
      <c r="V53" s="270"/>
      <c r="W53" s="194">
        <f t="shared" si="13"/>
        <v>43190</v>
      </c>
      <c r="X53" s="270"/>
      <c r="Y53" s="101"/>
      <c r="Z53" s="270"/>
      <c r="AA53" s="582"/>
      <c r="AB53" s="583"/>
      <c r="AC53" s="270"/>
      <c r="AD53" s="252"/>
      <c r="AE53" s="252"/>
      <c r="AF53" s="253"/>
      <c r="AG53" s="253"/>
      <c r="AH53" s="252"/>
      <c r="AI53" s="252"/>
      <c r="AJ53" s="253"/>
      <c r="AK53" s="253"/>
      <c r="AL53" s="252"/>
      <c r="AM53" s="252"/>
      <c r="AN53" s="253"/>
      <c r="AO53" s="253"/>
      <c r="AQ53" s="445"/>
      <c r="AR53" s="445"/>
      <c r="AS53" s="445"/>
      <c r="AT53" s="445"/>
      <c r="AU53" s="445"/>
      <c r="AV53" s="445"/>
      <c r="AW53" s="445"/>
      <c r="AX53" s="445"/>
      <c r="AY53" s="445"/>
      <c r="AZ53" s="445"/>
      <c r="BA53" s="445"/>
      <c r="BB53" s="445"/>
      <c r="BC53" s="445"/>
      <c r="BD53" s="445"/>
      <c r="BE53" s="445"/>
      <c r="BF53" s="446"/>
      <c r="BG53" s="445"/>
      <c r="BH53" s="445"/>
      <c r="BI53" s="445"/>
      <c r="BJ53" s="445"/>
      <c r="BK53" s="445"/>
      <c r="BL53" s="445"/>
      <c r="BM53" s="445"/>
      <c r="BN53" s="445"/>
      <c r="BO53" s="445"/>
      <c r="BP53" s="445"/>
      <c r="BQ53" s="445"/>
      <c r="BR53" s="445"/>
      <c r="BS53" s="445"/>
      <c r="BT53" s="445"/>
      <c r="BU53" s="453"/>
      <c r="BV53" s="456"/>
      <c r="BW53" s="445"/>
      <c r="BX53" s="445"/>
      <c r="BY53" s="445"/>
      <c r="BZ53" s="445"/>
      <c r="CA53" s="445"/>
      <c r="CB53" s="445"/>
      <c r="CC53" s="445"/>
      <c r="CD53" s="445"/>
      <c r="CE53" s="445"/>
      <c r="CF53" s="445"/>
      <c r="CG53" s="445"/>
      <c r="CH53" s="445"/>
      <c r="CI53" s="445"/>
      <c r="CJ53" s="445"/>
      <c r="CK53" s="445"/>
      <c r="CL53" s="446"/>
      <c r="CM53" s="445"/>
      <c r="CN53" s="445"/>
      <c r="CO53" s="445"/>
      <c r="CP53" s="445"/>
      <c r="CQ53" s="445"/>
      <c r="CR53" s="445"/>
      <c r="CS53" s="445"/>
      <c r="CT53" s="445"/>
      <c r="CU53" s="445"/>
      <c r="CV53" s="445"/>
      <c r="CW53" s="445"/>
      <c r="CX53" s="445"/>
      <c r="CY53" s="445"/>
      <c r="CZ53" s="445"/>
      <c r="DA53" s="447"/>
      <c r="DB53" s="439"/>
    </row>
    <row r="54" spans="1:106" s="176" customFormat="1" ht="4.5" customHeight="1" outlineLevel="1">
      <c r="A54" s="216"/>
      <c r="B54" s="216"/>
      <c r="C54" s="217"/>
      <c r="D54" s="218"/>
      <c r="E54" s="218"/>
      <c r="F54" s="219"/>
      <c r="G54" s="220"/>
      <c r="H54" s="219"/>
      <c r="I54" s="219"/>
      <c r="J54" s="221"/>
      <c r="K54" s="175"/>
      <c r="L54" s="24"/>
      <c r="M54" s="179"/>
      <c r="N54" s="175"/>
      <c r="O54" s="24"/>
      <c r="P54" s="175"/>
      <c r="Q54" s="24"/>
      <c r="R54" s="175"/>
      <c r="S54" s="24"/>
      <c r="T54" s="24"/>
      <c r="U54" s="23"/>
      <c r="V54" s="24"/>
      <c r="W54" s="23"/>
      <c r="X54" s="24"/>
      <c r="Y54" s="23"/>
      <c r="Z54" s="24"/>
      <c r="AA54" s="24"/>
      <c r="AB54" s="27"/>
      <c r="AC54" s="24"/>
      <c r="AD54" s="24"/>
      <c r="AE54" s="24"/>
      <c r="AF54" s="24"/>
      <c r="AG54" s="24"/>
      <c r="AH54" s="24"/>
      <c r="AI54" s="24"/>
      <c r="AJ54" s="24"/>
      <c r="AK54" s="24"/>
      <c r="AL54" s="24"/>
      <c r="AM54" s="24"/>
      <c r="AN54" s="24"/>
      <c r="AQ54" s="70"/>
      <c r="AR54" s="70"/>
      <c r="AS54" s="70"/>
      <c r="AT54" s="70"/>
      <c r="AU54" s="70"/>
      <c r="AV54" s="70"/>
      <c r="AW54" s="70"/>
      <c r="AX54" s="70"/>
      <c r="AY54" s="70"/>
      <c r="AZ54" s="70"/>
      <c r="BA54" s="70"/>
      <c r="BB54" s="70"/>
      <c r="BC54" s="70"/>
      <c r="BD54" s="70"/>
      <c r="BE54" s="70"/>
      <c r="BF54" s="70"/>
      <c r="BG54" s="70"/>
      <c r="BH54" s="70"/>
      <c r="BI54" s="70"/>
      <c r="BJ54" s="70"/>
      <c r="BK54" s="70"/>
      <c r="BL54" s="70"/>
      <c r="BM54" s="70"/>
      <c r="BN54" s="70"/>
      <c r="BO54" s="70"/>
      <c r="BP54" s="70"/>
      <c r="BQ54" s="70"/>
      <c r="BR54" s="70"/>
      <c r="BS54" s="70"/>
      <c r="BT54" s="70"/>
      <c r="BU54" s="70"/>
      <c r="BV54" s="70"/>
      <c r="BW54" s="70"/>
      <c r="BX54" s="70"/>
      <c r="BY54" s="70"/>
      <c r="BZ54" s="70"/>
      <c r="CA54" s="70"/>
      <c r="CB54" s="70"/>
      <c r="CC54" s="70"/>
      <c r="CD54" s="70"/>
      <c r="CE54" s="70"/>
      <c r="CF54" s="70"/>
      <c r="CG54" s="70"/>
      <c r="CH54" s="70"/>
      <c r="CI54" s="70"/>
      <c r="CJ54" s="70"/>
      <c r="CK54" s="70"/>
      <c r="CL54" s="70"/>
      <c r="CM54" s="70"/>
      <c r="CN54" s="70"/>
      <c r="CO54" s="70"/>
      <c r="CP54" s="70"/>
      <c r="CQ54" s="70"/>
      <c r="CR54" s="70"/>
      <c r="CS54" s="70"/>
      <c r="CT54" s="70"/>
      <c r="CU54" s="70"/>
      <c r="CV54" s="70"/>
      <c r="CW54" s="70"/>
      <c r="CX54" s="70"/>
      <c r="CY54" s="70"/>
      <c r="CZ54" s="70"/>
      <c r="DA54" s="70"/>
      <c r="DB54" s="27"/>
    </row>
    <row r="55" spans="1:106" s="32" customFormat="1" outlineLevel="1">
      <c r="A55" s="67"/>
      <c r="B55" s="67"/>
      <c r="C55" s="620" t="s">
        <v>93</v>
      </c>
      <c r="D55" s="621"/>
      <c r="E55" s="621"/>
      <c r="F55" s="139">
        <f>SUMIF($E$39:$E$53,"",$F$39:$F$53)+$F$32</f>
        <v>399237.07</v>
      </c>
      <c r="G55" s="140">
        <f>$F$55/$F$2</f>
        <v>0.69537505312367187</v>
      </c>
      <c r="H55" s="60"/>
      <c r="I55" s="617" t="s">
        <v>94</v>
      </c>
      <c r="J55" s="618"/>
      <c r="K55" s="619"/>
      <c r="L55" s="27"/>
      <c r="M55" s="144">
        <f>SUMIF($D$29:$D$53,"DCN",$F$29:$F$53)</f>
        <v>54725.07</v>
      </c>
      <c r="N55" s="145">
        <f>$M$55/$F$2</f>
        <v>9.5317923404373908E-2</v>
      </c>
      <c r="O55" s="182"/>
      <c r="P55" s="31"/>
      <c r="Q55" s="182"/>
      <c r="S55" s="123"/>
      <c r="T55" s="123"/>
      <c r="U55" s="31"/>
      <c r="V55" s="123"/>
      <c r="W55" s="31"/>
      <c r="X55" s="123"/>
      <c r="Y55" s="31"/>
      <c r="Z55" s="123"/>
      <c r="AA55" s="123"/>
      <c r="AB55" s="24"/>
      <c r="AC55" s="24"/>
      <c r="DB55" s="123"/>
    </row>
    <row r="56" spans="1:106" s="32" customFormat="1" outlineLevel="1">
      <c r="A56" s="67"/>
      <c r="B56" s="67"/>
      <c r="C56" s="209"/>
      <c r="D56" s="209"/>
      <c r="E56" s="209"/>
      <c r="F56" s="142"/>
      <c r="G56" s="143"/>
      <c r="H56" s="60"/>
      <c r="I56" s="598" t="s">
        <v>95</v>
      </c>
      <c r="J56" s="599"/>
      <c r="K56" s="600"/>
      <c r="L56" s="27"/>
      <c r="M56" s="146">
        <f>SUMIF($D$29:$D$53,"AO",$F$29:$F$53)</f>
        <v>26715</v>
      </c>
      <c r="N56" s="147">
        <f>$M$56/$F$2</f>
        <v>4.6531111312381128E-2</v>
      </c>
      <c r="O56" s="182"/>
      <c r="P56" s="31"/>
      <c r="Q56" s="182"/>
      <c r="S56" s="123"/>
      <c r="T56" s="123"/>
      <c r="U56" s="31"/>
      <c r="V56" s="123"/>
      <c r="W56" s="31"/>
      <c r="X56" s="123"/>
      <c r="Y56" s="31"/>
      <c r="Z56" s="123"/>
      <c r="AA56" s="123"/>
      <c r="AB56" s="123"/>
      <c r="AC56" s="123"/>
      <c r="DB56" s="123"/>
    </row>
    <row r="57" spans="1:106" s="32" customFormat="1" outlineLevel="1">
      <c r="A57" s="67"/>
      <c r="B57" s="67"/>
      <c r="C57" s="209"/>
      <c r="D57" s="209"/>
      <c r="E57" s="209"/>
      <c r="F57" s="142"/>
      <c r="G57" s="143"/>
      <c r="H57" s="60"/>
      <c r="I57" s="622" t="s">
        <v>96</v>
      </c>
      <c r="J57" s="623"/>
      <c r="K57" s="624"/>
      <c r="L57" s="27"/>
      <c r="M57" s="265">
        <f>SUMIF($D$29:$D$53,"DI",$F$29:$F$53)</f>
        <v>8439</v>
      </c>
      <c r="N57" s="266">
        <f>$M$57/$F$2</f>
        <v>1.4698710401092432E-2</v>
      </c>
      <c r="O57" s="182"/>
      <c r="P57" s="31"/>
      <c r="Q57" s="182"/>
      <c r="S57" s="123"/>
      <c r="T57" s="123"/>
      <c r="U57" s="31"/>
      <c r="V57" s="123"/>
      <c r="W57" s="31"/>
      <c r="X57" s="123"/>
      <c r="Y57" s="31"/>
      <c r="Z57" s="123"/>
      <c r="AA57" s="123"/>
      <c r="AB57" s="123"/>
      <c r="AC57" s="123"/>
      <c r="DB57" s="123"/>
    </row>
    <row r="58" spans="1:106" s="32" customFormat="1" outlineLevel="1">
      <c r="A58" s="67"/>
      <c r="B58" s="67"/>
      <c r="C58" s="209"/>
      <c r="D58" s="209"/>
      <c r="E58" s="209"/>
      <c r="F58" s="142"/>
      <c r="G58" s="143"/>
      <c r="H58" s="60"/>
      <c r="I58" s="604" t="s">
        <v>102</v>
      </c>
      <c r="J58" s="605"/>
      <c r="K58" s="606"/>
      <c r="L58" s="27"/>
      <c r="M58" s="267">
        <f>SUMIF($D$29:$D$53,"REG",$F$29:$F$53)</f>
        <v>4309</v>
      </c>
      <c r="N58" s="268">
        <f>$M$58/$F$2</f>
        <v>7.5052426968014322E-3</v>
      </c>
      <c r="O58" s="182"/>
      <c r="P58" s="31"/>
      <c r="Q58" s="182"/>
      <c r="S58" s="123"/>
      <c r="T58" s="123"/>
      <c r="U58" s="167"/>
      <c r="V58" s="123"/>
      <c r="W58" s="31"/>
      <c r="X58" s="123"/>
      <c r="Y58" s="31"/>
      <c r="Z58" s="123"/>
      <c r="AA58" s="123"/>
      <c r="AB58" s="123"/>
      <c r="AC58" s="123"/>
      <c r="DB58" s="123"/>
    </row>
    <row r="59" spans="1:106" s="32" customFormat="1" ht="11.25" customHeight="1">
      <c r="A59" s="67"/>
      <c r="B59" s="68"/>
      <c r="C59" s="35"/>
      <c r="D59" s="62"/>
      <c r="E59" s="62"/>
      <c r="F59" s="37"/>
      <c r="G59" s="63"/>
      <c r="H59" s="37"/>
      <c r="I59" s="37"/>
      <c r="J59" s="38"/>
      <c r="K59" s="39"/>
      <c r="L59" s="123"/>
      <c r="M59" s="40"/>
      <c r="N59" s="39"/>
      <c r="O59" s="183"/>
      <c r="P59" s="31"/>
      <c r="Q59" s="183"/>
      <c r="R59" s="39"/>
      <c r="S59" s="183"/>
      <c r="T59" s="123"/>
      <c r="U59" s="31"/>
      <c r="V59" s="123"/>
      <c r="W59" s="31"/>
      <c r="X59" s="123"/>
      <c r="Y59" s="31"/>
      <c r="Z59" s="123"/>
      <c r="AA59" s="123"/>
      <c r="AB59" s="123"/>
      <c r="AC59" s="123"/>
      <c r="DB59" s="123"/>
    </row>
    <row r="60" spans="1:106" s="29" customFormat="1" ht="18.75" outlineLevel="1" thickBot="1">
      <c r="A60" s="68"/>
      <c r="B60" s="68"/>
      <c r="C60" s="53"/>
      <c r="D60" s="54"/>
      <c r="E60" s="138" t="s">
        <v>91</v>
      </c>
      <c r="F60" s="112">
        <f>SUM($F$62:$F$66)</f>
        <v>13055</v>
      </c>
      <c r="G60" s="113">
        <f>$F$60/$F$2</f>
        <v>2.2738673336445279E-2</v>
      </c>
      <c r="H60" s="55"/>
      <c r="J60" s="57"/>
      <c r="K60" s="58"/>
      <c r="L60" s="53"/>
      <c r="M60" s="55"/>
      <c r="N60" s="115"/>
      <c r="O60" s="115"/>
      <c r="P60" s="33"/>
      <c r="Q60" s="115"/>
      <c r="R60" s="58"/>
      <c r="S60" s="58"/>
      <c r="T60" s="53"/>
      <c r="U60" s="33"/>
      <c r="V60" s="53"/>
      <c r="W60" s="33"/>
      <c r="X60" s="53"/>
      <c r="Y60" s="33"/>
      <c r="Z60" s="53"/>
      <c r="AA60" s="53"/>
      <c r="AB60" s="123"/>
      <c r="AC60" s="123"/>
      <c r="AD60" s="61"/>
      <c r="AE60" s="25"/>
      <c r="AF60" s="25"/>
      <c r="AG60" s="61"/>
      <c r="AH60" s="61"/>
      <c r="AI60" s="25"/>
      <c r="AJ60" s="25"/>
      <c r="AK60" s="61"/>
      <c r="AL60" s="61"/>
      <c r="AM60" s="25"/>
      <c r="AN60" s="25"/>
      <c r="AQ60" s="386" t="s">
        <v>5</v>
      </c>
      <c r="AR60" s="387" t="s">
        <v>6</v>
      </c>
      <c r="AS60" s="387" t="s">
        <v>7</v>
      </c>
      <c r="AT60" s="387" t="s">
        <v>8</v>
      </c>
      <c r="AU60" s="388" t="s">
        <v>9</v>
      </c>
      <c r="AV60" s="386" t="s">
        <v>5</v>
      </c>
      <c r="AW60" s="387" t="s">
        <v>6</v>
      </c>
      <c r="AX60" s="387" t="s">
        <v>7</v>
      </c>
      <c r="AY60" s="387" t="s">
        <v>8</v>
      </c>
      <c r="AZ60" s="388" t="s">
        <v>9</v>
      </c>
      <c r="BA60" s="386" t="s">
        <v>5</v>
      </c>
      <c r="BB60" s="387" t="s">
        <v>6</v>
      </c>
      <c r="BC60" s="387" t="s">
        <v>7</v>
      </c>
      <c r="BD60" s="387" t="s">
        <v>8</v>
      </c>
      <c r="BE60" s="388" t="s">
        <v>9</v>
      </c>
      <c r="BF60" s="389"/>
      <c r="BG60" s="386" t="s">
        <v>5</v>
      </c>
      <c r="BH60" s="387" t="s">
        <v>6</v>
      </c>
      <c r="BI60" s="387" t="s">
        <v>7</v>
      </c>
      <c r="BJ60" s="387" t="s">
        <v>8</v>
      </c>
      <c r="BK60" s="388" t="s">
        <v>9</v>
      </c>
      <c r="BL60" s="386" t="s">
        <v>5</v>
      </c>
      <c r="BM60" s="387" t="s">
        <v>6</v>
      </c>
      <c r="BN60" s="387" t="s">
        <v>7</v>
      </c>
      <c r="BO60" s="387" t="s">
        <v>8</v>
      </c>
      <c r="BP60" s="388" t="s">
        <v>9</v>
      </c>
      <c r="BQ60" s="386" t="s">
        <v>5</v>
      </c>
      <c r="BR60" s="387" t="s">
        <v>6</v>
      </c>
      <c r="BS60" s="387" t="s">
        <v>7</v>
      </c>
      <c r="BT60" s="387" t="s">
        <v>8</v>
      </c>
      <c r="BU60" s="388" t="s">
        <v>9</v>
      </c>
      <c r="BV60" s="390"/>
      <c r="BW60" s="386" t="s">
        <v>5</v>
      </c>
      <c r="BX60" s="387" t="s">
        <v>6</v>
      </c>
      <c r="BY60" s="387" t="s">
        <v>7</v>
      </c>
      <c r="BZ60" s="387" t="s">
        <v>8</v>
      </c>
      <c r="CA60" s="388" t="s">
        <v>9</v>
      </c>
      <c r="CB60" s="386" t="s">
        <v>5</v>
      </c>
      <c r="CC60" s="387" t="s">
        <v>6</v>
      </c>
      <c r="CD60" s="387" t="s">
        <v>7</v>
      </c>
      <c r="CE60" s="387" t="s">
        <v>8</v>
      </c>
      <c r="CF60" s="388" t="s">
        <v>9</v>
      </c>
      <c r="CG60" s="386" t="s">
        <v>5</v>
      </c>
      <c r="CH60" s="387" t="s">
        <v>6</v>
      </c>
      <c r="CI60" s="387" t="s">
        <v>7</v>
      </c>
      <c r="CJ60" s="387" t="s">
        <v>8</v>
      </c>
      <c r="CK60" s="388" t="s">
        <v>9</v>
      </c>
      <c r="CL60" s="391"/>
      <c r="CM60" s="386" t="s">
        <v>5</v>
      </c>
      <c r="CN60" s="387" t="s">
        <v>6</v>
      </c>
      <c r="CO60" s="387" t="s">
        <v>7</v>
      </c>
      <c r="CP60" s="387" t="s">
        <v>8</v>
      </c>
      <c r="CQ60" s="388" t="s">
        <v>9</v>
      </c>
      <c r="CR60" s="386" t="s">
        <v>5</v>
      </c>
      <c r="CS60" s="387" t="s">
        <v>6</v>
      </c>
      <c r="CT60" s="387" t="s">
        <v>7</v>
      </c>
      <c r="CU60" s="387" t="s">
        <v>8</v>
      </c>
      <c r="CV60" s="388" t="s">
        <v>9</v>
      </c>
      <c r="CW60" s="386" t="s">
        <v>5</v>
      </c>
      <c r="CX60" s="387" t="s">
        <v>6</v>
      </c>
      <c r="CY60" s="387" t="s">
        <v>7</v>
      </c>
      <c r="CZ60" s="387" t="s">
        <v>8</v>
      </c>
      <c r="DA60" s="388" t="s">
        <v>9</v>
      </c>
      <c r="DB60" s="27"/>
    </row>
    <row r="61" spans="1:106" s="29" customFormat="1" ht="4.5" customHeight="1" outlineLevel="1" thickBot="1">
      <c r="A61" s="68"/>
      <c r="B61" s="68"/>
      <c r="C61" s="53"/>
      <c r="D61" s="54"/>
      <c r="E61" s="54"/>
      <c r="F61" s="55"/>
      <c r="G61" s="56"/>
      <c r="H61" s="55"/>
      <c r="I61" s="55"/>
      <c r="J61" s="57"/>
      <c r="K61" s="58"/>
      <c r="L61" s="53"/>
      <c r="M61" s="59"/>
      <c r="N61" s="58"/>
      <c r="O61" s="58"/>
      <c r="P61" s="33"/>
      <c r="Q61" s="58"/>
      <c r="R61" s="58"/>
      <c r="S61" s="58"/>
      <c r="T61" s="53"/>
      <c r="U61" s="33"/>
      <c r="V61" s="53"/>
      <c r="W61" s="33"/>
      <c r="X61" s="53"/>
      <c r="Y61" s="33"/>
      <c r="Z61" s="53"/>
      <c r="AA61" s="53"/>
      <c r="AB61" s="53"/>
      <c r="AC61" s="53"/>
      <c r="AD61" s="61"/>
      <c r="AG61" s="61"/>
      <c r="AH61" s="61"/>
      <c r="AK61" s="61"/>
      <c r="AL61" s="61"/>
      <c r="DB61" s="27"/>
    </row>
    <row r="62" spans="1:106" s="70" customFormat="1" ht="18" customHeight="1">
      <c r="A62" s="94">
        <v>31</v>
      </c>
      <c r="B62" s="94">
        <v>16</v>
      </c>
      <c r="C62" s="90" t="s">
        <v>186</v>
      </c>
      <c r="D62" s="91" t="s">
        <v>89</v>
      </c>
      <c r="E62" s="562"/>
      <c r="F62" s="257">
        <v>3128</v>
      </c>
      <c r="G62" s="279">
        <f>F62/$F$2</f>
        <v>5.4482244501264515E-3</v>
      </c>
      <c r="H62" s="257">
        <v>1970.8</v>
      </c>
      <c r="I62" s="257">
        <v>58.2</v>
      </c>
      <c r="J62" s="258">
        <v>1099.4000000000001</v>
      </c>
      <c r="K62" s="135">
        <v>0.27323377369327972</v>
      </c>
      <c r="L62" s="270"/>
      <c r="M62" s="380">
        <v>38353</v>
      </c>
      <c r="N62" s="330">
        <f ca="1">($F$1-M62)/30.33/12</f>
        <v>13.144301571601275</v>
      </c>
      <c r="O62" s="270"/>
      <c r="P62" s="73" t="s">
        <v>138</v>
      </c>
      <c r="Q62" s="270"/>
      <c r="R62" s="129">
        <f ca="1">(W62-$F$1)/30.33</f>
        <v>-0.19782393669634027</v>
      </c>
      <c r="S62" s="270"/>
      <c r="T62" s="565" t="s">
        <v>116</v>
      </c>
      <c r="U62" s="132">
        <v>12</v>
      </c>
      <c r="V62" s="270"/>
      <c r="W62" s="192">
        <f>IF(OR(T62="",T62="N"),P62,EDATE(P62,U62))</f>
        <v>43131</v>
      </c>
      <c r="X62" s="270"/>
      <c r="Y62" s="74"/>
      <c r="Z62" s="270"/>
      <c r="AA62" s="593"/>
      <c r="AB62" s="594"/>
      <c r="AC62" s="270"/>
      <c r="AD62" s="250"/>
      <c r="AE62" s="250"/>
      <c r="AF62" s="251"/>
      <c r="AG62" s="251"/>
      <c r="AH62" s="250"/>
      <c r="AI62" s="250"/>
      <c r="AJ62" s="251"/>
      <c r="AK62" s="251"/>
      <c r="AL62" s="250"/>
      <c r="AM62" s="250"/>
      <c r="AN62" s="251"/>
      <c r="AO62" s="251"/>
      <c r="AQ62" s="440"/>
      <c r="AR62" s="440"/>
      <c r="AS62" s="440"/>
      <c r="AT62" s="440"/>
      <c r="AU62" s="440"/>
      <c r="AV62" s="440"/>
      <c r="AW62" s="440"/>
      <c r="AX62" s="440"/>
      <c r="AY62" s="440"/>
      <c r="AZ62" s="440"/>
      <c r="BA62" s="440"/>
      <c r="BB62" s="440"/>
      <c r="BC62" s="440"/>
      <c r="BD62" s="440"/>
      <c r="BE62" s="440"/>
      <c r="BF62" s="441"/>
      <c r="BG62" s="440"/>
      <c r="BH62" s="440"/>
      <c r="BI62" s="440"/>
      <c r="BJ62" s="440"/>
      <c r="BK62" s="440"/>
      <c r="BL62" s="440"/>
      <c r="BM62" s="440"/>
      <c r="BN62" s="440"/>
      <c r="BO62" s="440"/>
      <c r="BP62" s="440"/>
      <c r="BQ62" s="440"/>
      <c r="BR62" s="440"/>
      <c r="BS62" s="440"/>
      <c r="BT62" s="440"/>
      <c r="BU62" s="451"/>
      <c r="BV62" s="454"/>
      <c r="BW62" s="440"/>
      <c r="BX62" s="440"/>
      <c r="BY62" s="440"/>
      <c r="BZ62" s="440"/>
      <c r="CA62" s="440"/>
      <c r="CB62" s="440"/>
      <c r="CC62" s="440"/>
      <c r="CD62" s="440"/>
      <c r="CE62" s="440"/>
      <c r="CF62" s="440"/>
      <c r="CG62" s="440"/>
      <c r="CH62" s="440"/>
      <c r="CI62" s="440"/>
      <c r="CJ62" s="440"/>
      <c r="CK62" s="440"/>
      <c r="CL62" s="441"/>
      <c r="CM62" s="440"/>
      <c r="CN62" s="440"/>
      <c r="CO62" s="440"/>
      <c r="CP62" s="440"/>
      <c r="CQ62" s="440"/>
      <c r="CR62" s="440"/>
      <c r="CS62" s="440"/>
      <c r="CT62" s="440"/>
      <c r="CU62" s="440"/>
      <c r="CV62" s="440"/>
      <c r="CW62" s="440"/>
      <c r="CX62" s="440"/>
      <c r="CY62" s="440"/>
      <c r="CZ62" s="440"/>
      <c r="DA62" s="442"/>
      <c r="DB62" s="439"/>
    </row>
    <row r="63" spans="1:106" s="70" customFormat="1" ht="18" customHeight="1">
      <c r="A63" s="94">
        <v>32</v>
      </c>
      <c r="B63" s="94">
        <v>17</v>
      </c>
      <c r="C63" s="507" t="s">
        <v>15</v>
      </c>
      <c r="D63" s="508" t="s">
        <v>89</v>
      </c>
      <c r="E63" s="563"/>
      <c r="F63" s="509">
        <v>3025</v>
      </c>
      <c r="G63" s="281">
        <f>F63/$F$2</f>
        <v>5.2688231974528507E-3</v>
      </c>
      <c r="H63" s="509">
        <v>1827.4</v>
      </c>
      <c r="I63" s="509">
        <v>142</v>
      </c>
      <c r="J63" s="510">
        <v>1055.9000000000001</v>
      </c>
      <c r="K63" s="136">
        <v>0.3020138089758343</v>
      </c>
      <c r="L63" s="270"/>
      <c r="M63" s="511">
        <v>41030</v>
      </c>
      <c r="N63" s="512">
        <f ca="1">($F$1-M63)/30.33/12</f>
        <v>5.7890977030442912</v>
      </c>
      <c r="O63" s="270"/>
      <c r="P63" s="564">
        <v>42794</v>
      </c>
      <c r="Q63" s="270"/>
      <c r="R63" s="130">
        <f ca="1">(W63-$F$1)/30.33</f>
        <v>0.72535443455324766</v>
      </c>
      <c r="S63" s="270"/>
      <c r="T63" s="566" t="s">
        <v>116</v>
      </c>
      <c r="U63" s="514">
        <v>12</v>
      </c>
      <c r="V63" s="270"/>
      <c r="W63" s="515">
        <f>IF(OR(T63="",T63="N"),P63,EDATE(P63,U63))</f>
        <v>43159</v>
      </c>
      <c r="X63" s="270"/>
      <c r="Y63" s="516" t="s">
        <v>14</v>
      </c>
      <c r="Z63" s="270"/>
      <c r="AA63" s="517"/>
      <c r="AB63" s="518"/>
      <c r="AC63" s="270"/>
      <c r="AD63" s="519"/>
      <c r="AE63" s="519"/>
      <c r="AF63" s="520"/>
      <c r="AG63" s="520"/>
      <c r="AH63" s="519"/>
      <c r="AI63" s="519"/>
      <c r="AJ63" s="520"/>
      <c r="AK63" s="520"/>
      <c r="AL63" s="519"/>
      <c r="AM63" s="519"/>
      <c r="AN63" s="520"/>
      <c r="AO63" s="520"/>
      <c r="AQ63" s="448"/>
      <c r="AR63" s="448"/>
      <c r="AS63" s="448"/>
      <c r="AT63" s="448"/>
      <c r="AU63" s="448"/>
      <c r="AV63" s="448"/>
      <c r="AW63" s="448"/>
      <c r="AX63" s="448"/>
      <c r="AY63" s="448"/>
      <c r="AZ63" s="448"/>
      <c r="BA63" s="448"/>
      <c r="BB63" s="448"/>
      <c r="BC63" s="448"/>
      <c r="BD63" s="448"/>
      <c r="BE63" s="448"/>
      <c r="BF63" s="449"/>
      <c r="BG63" s="448"/>
      <c r="BH63" s="448"/>
      <c r="BI63" s="448"/>
      <c r="BJ63" s="448"/>
      <c r="BK63" s="448"/>
      <c r="BL63" s="448"/>
      <c r="BM63" s="448"/>
      <c r="BN63" s="448"/>
      <c r="BO63" s="448"/>
      <c r="BP63" s="448"/>
      <c r="BQ63" s="448"/>
      <c r="BR63" s="448"/>
      <c r="BS63" s="448"/>
      <c r="BT63" s="448"/>
      <c r="BU63" s="452"/>
      <c r="BV63" s="455"/>
      <c r="BW63" s="448"/>
      <c r="BX63" s="448"/>
      <c r="BY63" s="448"/>
      <c r="BZ63" s="448"/>
      <c r="CA63" s="448"/>
      <c r="CB63" s="448"/>
      <c r="CC63" s="448"/>
      <c r="CD63" s="448"/>
      <c r="CE63" s="448"/>
      <c r="CF63" s="448"/>
      <c r="CG63" s="448"/>
      <c r="CH63" s="448"/>
      <c r="CI63" s="448"/>
      <c r="CJ63" s="448"/>
      <c r="CK63" s="448"/>
      <c r="CL63" s="449"/>
      <c r="CM63" s="448"/>
      <c r="CN63" s="448"/>
      <c r="CO63" s="448"/>
      <c r="CP63" s="448"/>
      <c r="CQ63" s="448"/>
      <c r="CR63" s="448"/>
      <c r="CS63" s="448"/>
      <c r="CT63" s="448"/>
      <c r="CU63" s="448"/>
      <c r="CV63" s="448"/>
      <c r="CW63" s="448"/>
      <c r="CX63" s="448"/>
      <c r="CY63" s="448"/>
      <c r="CZ63" s="448"/>
      <c r="DA63" s="450"/>
      <c r="DB63" s="439"/>
    </row>
    <row r="64" spans="1:106" s="70" customFormat="1" ht="18" customHeight="1">
      <c r="A64" s="94">
        <v>33</v>
      </c>
      <c r="B64" s="94">
        <v>1</v>
      </c>
      <c r="C64" s="507" t="s">
        <v>194</v>
      </c>
      <c r="D64" s="508" t="s">
        <v>30</v>
      </c>
      <c r="E64" s="563"/>
      <c r="F64" s="509">
        <v>2419</v>
      </c>
      <c r="G64" s="281">
        <f>F64/$F$2</f>
        <v>4.2133167982275855E-3</v>
      </c>
      <c r="H64" s="509">
        <v>1668</v>
      </c>
      <c r="I64" s="509">
        <v>220</v>
      </c>
      <c r="J64" s="510">
        <v>531</v>
      </c>
      <c r="K64" s="136">
        <v>0.3020138089758343</v>
      </c>
      <c r="L64" s="270"/>
      <c r="M64" s="511">
        <v>39356</v>
      </c>
      <c r="N64" s="512">
        <f t="shared" ref="N64:N66" ca="1" si="17">($F$1-M64)/30.33/12</f>
        <v>10.388504231234203</v>
      </c>
      <c r="O64" s="270"/>
      <c r="P64" s="513" t="s">
        <v>25</v>
      </c>
      <c r="Q64" s="270"/>
      <c r="R64" s="130">
        <f ca="1">(W64-$F$1)/30.33</f>
        <v>3.7586547972304651</v>
      </c>
      <c r="S64" s="270"/>
      <c r="T64" s="525" t="s">
        <v>116</v>
      </c>
      <c r="U64" s="514">
        <v>12</v>
      </c>
      <c r="V64" s="270"/>
      <c r="W64" s="515">
        <f>IF(OR(T64="",T64="N"),P64,EDATE(P64,U64))</f>
        <v>43251</v>
      </c>
      <c r="X64" s="270"/>
      <c r="Y64" s="516"/>
      <c r="Z64" s="270"/>
      <c r="AA64" s="517"/>
      <c r="AB64" s="518"/>
      <c r="AC64" s="270"/>
      <c r="AD64" s="519"/>
      <c r="AE64" s="519"/>
      <c r="AF64" s="520"/>
      <c r="AG64" s="520"/>
      <c r="AH64" s="519"/>
      <c r="AI64" s="519"/>
      <c r="AJ64" s="520"/>
      <c r="AK64" s="520"/>
      <c r="AL64" s="519"/>
      <c r="AM64" s="519"/>
      <c r="AN64" s="520"/>
      <c r="AO64" s="520"/>
      <c r="AQ64" s="448"/>
      <c r="AR64" s="448"/>
      <c r="AS64" s="448"/>
      <c r="AT64" s="448"/>
      <c r="AU64" s="448"/>
      <c r="AV64" s="448"/>
      <c r="AW64" s="448"/>
      <c r="AX64" s="448"/>
      <c r="AY64" s="448"/>
      <c r="AZ64" s="448"/>
      <c r="BA64" s="448"/>
      <c r="BB64" s="448"/>
      <c r="BC64" s="448"/>
      <c r="BD64" s="448"/>
      <c r="BE64" s="448"/>
      <c r="BF64" s="449"/>
      <c r="BG64" s="448"/>
      <c r="BH64" s="448"/>
      <c r="BI64" s="448"/>
      <c r="BJ64" s="448"/>
      <c r="BK64" s="448"/>
      <c r="BL64" s="448"/>
      <c r="BM64" s="448"/>
      <c r="BN64" s="448"/>
      <c r="BO64" s="448"/>
      <c r="BP64" s="448"/>
      <c r="BQ64" s="448"/>
      <c r="BR64" s="448"/>
      <c r="BS64" s="448"/>
      <c r="BT64" s="448"/>
      <c r="BU64" s="452"/>
      <c r="BV64" s="455"/>
      <c r="BW64" s="448"/>
      <c r="BX64" s="448"/>
      <c r="BY64" s="448"/>
      <c r="BZ64" s="448"/>
      <c r="CA64" s="448"/>
      <c r="CB64" s="448"/>
      <c r="CC64" s="448"/>
      <c r="CD64" s="448"/>
      <c r="CE64" s="448"/>
      <c r="CF64" s="448"/>
      <c r="CG64" s="448"/>
      <c r="CH64" s="448"/>
      <c r="CI64" s="448"/>
      <c r="CJ64" s="448"/>
      <c r="CK64" s="448"/>
      <c r="CL64" s="449"/>
      <c r="CM64" s="448"/>
      <c r="CN64" s="448"/>
      <c r="CO64" s="448"/>
      <c r="CP64" s="448"/>
      <c r="CQ64" s="448"/>
      <c r="CR64" s="448"/>
      <c r="CS64" s="448"/>
      <c r="CT64" s="448"/>
      <c r="CU64" s="448"/>
      <c r="CV64" s="448"/>
      <c r="CW64" s="448"/>
      <c r="CX64" s="448"/>
      <c r="CY64" s="448"/>
      <c r="CZ64" s="448"/>
      <c r="DA64" s="450"/>
      <c r="DB64" s="439"/>
    </row>
    <row r="65" spans="1:106" s="70" customFormat="1" ht="18" customHeight="1">
      <c r="A65" s="94">
        <v>34</v>
      </c>
      <c r="B65" s="94">
        <v>2</v>
      </c>
      <c r="C65" s="507" t="s">
        <v>196</v>
      </c>
      <c r="D65" s="508" t="s">
        <v>30</v>
      </c>
      <c r="E65" s="563"/>
      <c r="F65" s="509">
        <v>2269</v>
      </c>
      <c r="G65" s="281">
        <f t="shared" ref="G65:G66" si="18">F65/$F$2</f>
        <v>3.9520528380233115E-3</v>
      </c>
      <c r="H65" s="509">
        <v>1547.1</v>
      </c>
      <c r="I65" s="509">
        <v>310.5</v>
      </c>
      <c r="J65" s="510">
        <v>411.5</v>
      </c>
      <c r="K65" s="136">
        <v>0.3020138089758343</v>
      </c>
      <c r="L65" s="270"/>
      <c r="M65" s="511">
        <v>42186</v>
      </c>
      <c r="N65" s="512">
        <f t="shared" ca="1" si="17"/>
        <v>2.6129244971974943</v>
      </c>
      <c r="O65" s="270"/>
      <c r="P65" s="564">
        <v>43100</v>
      </c>
      <c r="Q65" s="270"/>
      <c r="R65" s="130">
        <f ca="1">(W65-$F$1)/30.33</f>
        <v>10.814375206066602</v>
      </c>
      <c r="S65" s="270"/>
      <c r="T65" s="525" t="s">
        <v>116</v>
      </c>
      <c r="U65" s="514">
        <v>12</v>
      </c>
      <c r="V65" s="270"/>
      <c r="W65" s="515">
        <f t="shared" ref="W65:W66" si="19">IF(OR(T65="",T65="N"),P65,EDATE(P65,U65))</f>
        <v>43465</v>
      </c>
      <c r="X65" s="270"/>
      <c r="Y65" s="516"/>
      <c r="Z65" s="270"/>
      <c r="AA65" s="517"/>
      <c r="AB65" s="518"/>
      <c r="AC65" s="270"/>
      <c r="AD65" s="519"/>
      <c r="AE65" s="519"/>
      <c r="AF65" s="520"/>
      <c r="AG65" s="520"/>
      <c r="AH65" s="519"/>
      <c r="AI65" s="519"/>
      <c r="AJ65" s="520"/>
      <c r="AK65" s="520"/>
      <c r="AL65" s="519"/>
      <c r="AM65" s="519"/>
      <c r="AN65" s="520"/>
      <c r="AO65" s="520"/>
      <c r="AQ65" s="448"/>
      <c r="AR65" s="448"/>
      <c r="AS65" s="448"/>
      <c r="AT65" s="448"/>
      <c r="AU65" s="448"/>
      <c r="AV65" s="448"/>
      <c r="AW65" s="448"/>
      <c r="AX65" s="448"/>
      <c r="AY65" s="448"/>
      <c r="AZ65" s="448"/>
      <c r="BA65" s="448"/>
      <c r="BB65" s="448"/>
      <c r="BC65" s="448"/>
      <c r="BD65" s="448"/>
      <c r="BE65" s="448"/>
      <c r="BF65" s="449"/>
      <c r="BG65" s="448"/>
      <c r="BH65" s="448"/>
      <c r="BI65" s="448"/>
      <c r="BJ65" s="448"/>
      <c r="BK65" s="448"/>
      <c r="BL65" s="448"/>
      <c r="BM65" s="448"/>
      <c r="BN65" s="448"/>
      <c r="BO65" s="448"/>
      <c r="BP65" s="448"/>
      <c r="BQ65" s="448"/>
      <c r="BR65" s="448"/>
      <c r="BS65" s="448"/>
      <c r="BT65" s="448"/>
      <c r="BU65" s="452"/>
      <c r="BV65" s="455"/>
      <c r="BW65" s="448"/>
      <c r="BX65" s="448"/>
      <c r="BY65" s="448"/>
      <c r="BZ65" s="448"/>
      <c r="CA65" s="448"/>
      <c r="CB65" s="448"/>
      <c r="CC65" s="448"/>
      <c r="CD65" s="448"/>
      <c r="CE65" s="448"/>
      <c r="CF65" s="448"/>
      <c r="CG65" s="448"/>
      <c r="CH65" s="448"/>
      <c r="CI65" s="448"/>
      <c r="CJ65" s="448"/>
      <c r="CK65" s="448"/>
      <c r="CL65" s="449"/>
      <c r="CM65" s="448"/>
      <c r="CN65" s="448"/>
      <c r="CO65" s="448"/>
      <c r="CP65" s="448"/>
      <c r="CQ65" s="448"/>
      <c r="CR65" s="448"/>
      <c r="CS65" s="448"/>
      <c r="CT65" s="448"/>
      <c r="CU65" s="448"/>
      <c r="CV65" s="448"/>
      <c r="CW65" s="448"/>
      <c r="CX65" s="448"/>
      <c r="CY65" s="448"/>
      <c r="CZ65" s="448"/>
      <c r="DA65" s="450"/>
      <c r="DB65" s="439"/>
    </row>
    <row r="66" spans="1:106" s="70" customFormat="1" ht="18" customHeight="1" thickBot="1">
      <c r="A66" s="94">
        <v>35</v>
      </c>
      <c r="B66" s="94">
        <v>3</v>
      </c>
      <c r="C66" s="92" t="s">
        <v>195</v>
      </c>
      <c r="D66" s="93" t="s">
        <v>30</v>
      </c>
      <c r="E66" s="561"/>
      <c r="F66" s="263">
        <v>2214</v>
      </c>
      <c r="G66" s="284">
        <f t="shared" si="18"/>
        <v>3.8562560526150783E-3</v>
      </c>
      <c r="H66" s="263">
        <v>1349.1</v>
      </c>
      <c r="I66" s="263">
        <v>0</v>
      </c>
      <c r="J66" s="264">
        <v>864.7</v>
      </c>
      <c r="K66" s="137">
        <v>0.3020138089758343</v>
      </c>
      <c r="L66" s="270"/>
      <c r="M66" s="379">
        <v>42430</v>
      </c>
      <c r="N66" s="332">
        <f t="shared" ca="1" si="17"/>
        <v>1.9425211561710078</v>
      </c>
      <c r="O66" s="270"/>
      <c r="P66" s="89">
        <v>43159</v>
      </c>
      <c r="Q66" s="270"/>
      <c r="R66" s="131">
        <f ca="1">(W66-$F$1)/30.33</f>
        <v>0.72535443455324766</v>
      </c>
      <c r="S66" s="270"/>
      <c r="T66" s="567" t="s">
        <v>117</v>
      </c>
      <c r="U66" s="134"/>
      <c r="V66" s="270"/>
      <c r="W66" s="194">
        <f t="shared" si="19"/>
        <v>43159</v>
      </c>
      <c r="X66" s="270"/>
      <c r="Y66" s="101"/>
      <c r="Z66" s="270"/>
      <c r="AA66" s="582"/>
      <c r="AB66" s="583"/>
      <c r="AC66" s="270"/>
      <c r="AD66" s="252"/>
      <c r="AE66" s="252"/>
      <c r="AF66" s="253"/>
      <c r="AG66" s="253"/>
      <c r="AH66" s="252"/>
      <c r="AI66" s="252"/>
      <c r="AJ66" s="253"/>
      <c r="AK66" s="253"/>
      <c r="AL66" s="252"/>
      <c r="AM66" s="252"/>
      <c r="AN66" s="253"/>
      <c r="AO66" s="253"/>
      <c r="AQ66" s="445"/>
      <c r="AR66" s="445"/>
      <c r="AS66" s="445"/>
      <c r="AT66" s="445"/>
      <c r="AU66" s="445"/>
      <c r="AV66" s="445"/>
      <c r="AW66" s="445"/>
      <c r="AX66" s="445"/>
      <c r="AY66" s="445"/>
      <c r="AZ66" s="445"/>
      <c r="BA66" s="445"/>
      <c r="BB66" s="445"/>
      <c r="BC66" s="445"/>
      <c r="BD66" s="445"/>
      <c r="BE66" s="445"/>
      <c r="BF66" s="446"/>
      <c r="BG66" s="445"/>
      <c r="BH66" s="445"/>
      <c r="BI66" s="445"/>
      <c r="BJ66" s="445"/>
      <c r="BK66" s="445"/>
      <c r="BL66" s="445"/>
      <c r="BM66" s="445"/>
      <c r="BN66" s="445"/>
      <c r="BO66" s="445"/>
      <c r="BP66" s="445"/>
      <c r="BQ66" s="445"/>
      <c r="BR66" s="445"/>
      <c r="BS66" s="445"/>
      <c r="BT66" s="445"/>
      <c r="BU66" s="453"/>
      <c r="BV66" s="456"/>
      <c r="BW66" s="445"/>
      <c r="BX66" s="445"/>
      <c r="BY66" s="445"/>
      <c r="BZ66" s="445"/>
      <c r="CA66" s="445"/>
      <c r="CB66" s="445"/>
      <c r="CC66" s="445"/>
      <c r="CD66" s="445"/>
      <c r="CE66" s="445"/>
      <c r="CF66" s="445"/>
      <c r="CG66" s="445"/>
      <c r="CH66" s="445"/>
      <c r="CI66" s="445"/>
      <c r="CJ66" s="445"/>
      <c r="CK66" s="445"/>
      <c r="CL66" s="446"/>
      <c r="CM66" s="445"/>
      <c r="CN66" s="445"/>
      <c r="CO66" s="445"/>
      <c r="CP66" s="445"/>
      <c r="CQ66" s="445"/>
      <c r="CR66" s="445"/>
      <c r="CS66" s="445"/>
      <c r="CT66" s="445"/>
      <c r="CU66" s="445"/>
      <c r="CV66" s="445"/>
      <c r="CW66" s="445"/>
      <c r="CX66" s="445"/>
      <c r="CY66" s="445"/>
      <c r="CZ66" s="445"/>
      <c r="DA66" s="447"/>
      <c r="DB66" s="439"/>
    </row>
    <row r="67" spans="1:106" s="176" customFormat="1" ht="4.5" customHeight="1" outlineLevel="1">
      <c r="A67" s="216"/>
      <c r="B67" s="216"/>
      <c r="C67" s="217"/>
      <c r="D67" s="218"/>
      <c r="E67" s="218"/>
      <c r="F67" s="219"/>
      <c r="G67" s="220"/>
      <c r="H67" s="219"/>
      <c r="I67" s="219"/>
      <c r="J67" s="221"/>
      <c r="K67" s="175"/>
      <c r="L67" s="24"/>
      <c r="M67" s="179"/>
      <c r="N67" s="175"/>
      <c r="O67" s="24"/>
      <c r="P67" s="175"/>
      <c r="Q67" s="24"/>
      <c r="R67" s="175"/>
      <c r="S67" s="24"/>
      <c r="T67" s="24"/>
      <c r="U67" s="23"/>
      <c r="V67" s="24"/>
      <c r="W67" s="23"/>
      <c r="X67" s="24"/>
      <c r="Y67" s="23"/>
      <c r="Z67" s="24"/>
      <c r="AA67" s="24"/>
      <c r="AB67" s="27"/>
      <c r="AC67" s="24"/>
      <c r="AD67" s="24"/>
      <c r="AE67" s="24"/>
      <c r="AF67" s="24"/>
      <c r="AG67" s="24"/>
      <c r="AH67" s="24"/>
      <c r="AI67" s="24"/>
      <c r="AJ67" s="24"/>
      <c r="AK67" s="24"/>
      <c r="AL67" s="24"/>
      <c r="AM67" s="24"/>
      <c r="AN67" s="24"/>
      <c r="AQ67" s="70"/>
      <c r="AR67" s="70"/>
      <c r="AS67" s="70"/>
      <c r="AT67" s="70"/>
      <c r="AU67" s="70"/>
      <c r="AV67" s="70"/>
      <c r="AW67" s="70"/>
      <c r="AX67" s="70"/>
      <c r="AY67" s="70"/>
      <c r="AZ67" s="70"/>
      <c r="BA67" s="70"/>
      <c r="BB67" s="70"/>
      <c r="BC67" s="70"/>
      <c r="BD67" s="70"/>
      <c r="BE67" s="70"/>
      <c r="BF67" s="70"/>
      <c r="BG67" s="70"/>
      <c r="BH67" s="70"/>
      <c r="BI67" s="70"/>
      <c r="BJ67" s="70"/>
      <c r="BK67" s="70"/>
      <c r="BL67" s="70"/>
      <c r="BM67" s="70"/>
      <c r="BN67" s="70"/>
      <c r="BO67" s="70"/>
      <c r="BP67" s="70"/>
      <c r="BQ67" s="70"/>
      <c r="BR67" s="70"/>
      <c r="BS67" s="70"/>
      <c r="BT67" s="70"/>
      <c r="BU67" s="70"/>
      <c r="BV67" s="70"/>
      <c r="BW67" s="70"/>
      <c r="BX67" s="70"/>
      <c r="BY67" s="70"/>
      <c r="BZ67" s="70"/>
      <c r="CA67" s="70"/>
      <c r="CB67" s="70"/>
      <c r="CC67" s="70"/>
      <c r="CD67" s="70"/>
      <c r="CE67" s="70"/>
      <c r="CF67" s="70"/>
      <c r="CG67" s="70"/>
      <c r="CH67" s="70"/>
      <c r="CI67" s="70"/>
      <c r="CJ67" s="70"/>
      <c r="CK67" s="70"/>
      <c r="CL67" s="70"/>
      <c r="CM67" s="70"/>
      <c r="CN67" s="70"/>
      <c r="CO67" s="70"/>
      <c r="CP67" s="70"/>
      <c r="CQ67" s="70"/>
      <c r="CR67" s="70"/>
      <c r="CS67" s="70"/>
      <c r="CT67" s="70"/>
      <c r="CU67" s="70"/>
      <c r="CV67" s="70"/>
      <c r="CW67" s="70"/>
      <c r="CX67" s="70"/>
      <c r="CY67" s="70"/>
      <c r="CZ67" s="70"/>
      <c r="DA67" s="70"/>
      <c r="DB67" s="27"/>
    </row>
    <row r="68" spans="1:106" s="32" customFormat="1" outlineLevel="1">
      <c r="A68" s="67"/>
      <c r="B68" s="67"/>
      <c r="C68" s="620" t="s">
        <v>92</v>
      </c>
      <c r="D68" s="621"/>
      <c r="E68" s="621"/>
      <c r="F68" s="139">
        <f>SUMIF($E$62:$E$66,"",$F$62:$F$66)+$F$55</f>
        <v>412292.07</v>
      </c>
      <c r="G68" s="140">
        <f>$F$68/$F$2</f>
        <v>0.71811372646011717</v>
      </c>
      <c r="H68" s="30"/>
      <c r="I68" s="617" t="s">
        <v>98</v>
      </c>
      <c r="J68" s="618"/>
      <c r="K68" s="619"/>
      <c r="L68" s="27"/>
      <c r="M68" s="144">
        <f>SUMIF($D$62:$D$66,"DCN",$F$62:$F$66)</f>
        <v>6902</v>
      </c>
      <c r="N68" s="145">
        <f>$M$68/$F$2</f>
        <v>1.2021625688865976E-2</v>
      </c>
      <c r="O68" s="182"/>
      <c r="P68" s="182"/>
      <c r="Q68" s="182"/>
      <c r="R68" s="30"/>
      <c r="S68" s="60"/>
      <c r="T68" s="123"/>
      <c r="U68" s="31"/>
      <c r="V68" s="123"/>
      <c r="W68" s="177"/>
      <c r="X68" s="123"/>
      <c r="Y68" s="31"/>
      <c r="Z68" s="123"/>
      <c r="AA68" s="123"/>
      <c r="AB68" s="27"/>
      <c r="AC68" s="27"/>
      <c r="AQ68" s="176"/>
      <c r="AR68" s="176"/>
      <c r="AS68" s="176"/>
      <c r="AT68" s="176"/>
      <c r="AU68" s="176"/>
      <c r="AV68" s="176"/>
      <c r="AW68" s="176"/>
      <c r="AX68" s="176"/>
      <c r="AY68" s="176"/>
      <c r="AZ68" s="176"/>
      <c r="BA68" s="176"/>
      <c r="BB68" s="176"/>
      <c r="BC68" s="176"/>
      <c r="BD68" s="176"/>
      <c r="BE68" s="176"/>
      <c r="BF68" s="176"/>
      <c r="BG68" s="176"/>
      <c r="BH68" s="176"/>
      <c r="BI68" s="176"/>
      <c r="BJ68" s="176"/>
      <c r="BK68" s="176"/>
      <c r="BL68" s="176"/>
      <c r="BM68" s="176"/>
      <c r="BN68" s="176"/>
      <c r="BO68" s="176"/>
      <c r="BP68" s="176"/>
      <c r="BQ68" s="176"/>
      <c r="BR68" s="176"/>
      <c r="BS68" s="176"/>
      <c r="BT68" s="176"/>
      <c r="BU68" s="176"/>
      <c r="BV68" s="176"/>
      <c r="BW68" s="176"/>
      <c r="BX68" s="176"/>
      <c r="BY68" s="176"/>
      <c r="BZ68" s="176"/>
      <c r="CA68" s="176"/>
      <c r="CB68" s="176"/>
      <c r="CC68" s="176"/>
      <c r="CD68" s="176"/>
      <c r="CE68" s="176"/>
      <c r="CF68" s="176"/>
      <c r="CG68" s="176"/>
      <c r="CH68" s="176"/>
      <c r="CI68" s="176"/>
      <c r="CJ68" s="176"/>
      <c r="CK68" s="176"/>
      <c r="CL68" s="176"/>
      <c r="CM68" s="176"/>
      <c r="CN68" s="176"/>
      <c r="CO68" s="176"/>
      <c r="CP68" s="176"/>
      <c r="CQ68" s="176"/>
      <c r="CR68" s="176"/>
      <c r="CS68" s="176"/>
      <c r="CT68" s="176"/>
      <c r="CU68" s="176"/>
      <c r="CV68" s="176"/>
      <c r="CW68" s="176"/>
      <c r="CX68" s="176"/>
      <c r="CY68" s="176"/>
      <c r="CZ68" s="176"/>
      <c r="DA68" s="176"/>
      <c r="DB68" s="123"/>
    </row>
    <row r="69" spans="1:106" s="32" customFormat="1" outlineLevel="1">
      <c r="A69" s="67"/>
      <c r="B69" s="67"/>
      <c r="D69" s="31"/>
      <c r="E69" s="31"/>
      <c r="H69" s="30"/>
      <c r="I69" s="598" t="s">
        <v>99</v>
      </c>
      <c r="J69" s="599"/>
      <c r="K69" s="600"/>
      <c r="L69" s="27"/>
      <c r="M69" s="146">
        <f>SUMIF($D$62:$D$66,"AO",$F$62:$F$66)</f>
        <v>0</v>
      </c>
      <c r="N69" s="147">
        <f>$M$69/$F$2</f>
        <v>0</v>
      </c>
      <c r="O69" s="182"/>
      <c r="P69" s="182"/>
      <c r="Q69" s="182"/>
      <c r="R69" s="30"/>
      <c r="S69" s="60"/>
      <c r="T69" s="123"/>
      <c r="U69" s="31"/>
      <c r="V69" s="123"/>
      <c r="W69" s="177"/>
      <c r="X69" s="123"/>
      <c r="Y69" s="31"/>
      <c r="Z69" s="123"/>
      <c r="AA69" s="123"/>
      <c r="AB69" s="24"/>
      <c r="AC69" s="24"/>
      <c r="DB69" s="123"/>
    </row>
    <row r="70" spans="1:106" s="32" customFormat="1" outlineLevel="1">
      <c r="A70" s="67"/>
      <c r="B70" s="67"/>
      <c r="D70" s="31"/>
      <c r="E70" s="31"/>
      <c r="G70" s="31"/>
      <c r="H70" s="174"/>
      <c r="I70" s="601" t="s">
        <v>100</v>
      </c>
      <c r="J70" s="602"/>
      <c r="K70" s="603"/>
      <c r="L70" s="27"/>
      <c r="M70" s="148">
        <f>SUMIF($D$62:$D$66,"DI",$F$62:$F$66)</f>
        <v>6153</v>
      </c>
      <c r="N70" s="149">
        <f>$M$70/$F$2</f>
        <v>1.0717047647579303E-2</v>
      </c>
      <c r="O70" s="182"/>
      <c r="P70" s="182"/>
      <c r="Q70" s="182"/>
      <c r="R70" s="174"/>
      <c r="S70" s="123"/>
      <c r="T70" s="123"/>
      <c r="U70" s="31"/>
      <c r="V70" s="123"/>
      <c r="W70" s="177"/>
      <c r="X70" s="123"/>
      <c r="Y70" s="31"/>
      <c r="Z70" s="123"/>
      <c r="AA70" s="123"/>
      <c r="AB70" s="123"/>
      <c r="AC70" s="123"/>
      <c r="DB70" s="123"/>
    </row>
    <row r="71" spans="1:106" s="32" customFormat="1" outlineLevel="1">
      <c r="A71" s="67"/>
      <c r="B71" s="67"/>
      <c r="D71" s="31"/>
      <c r="E71" s="31"/>
      <c r="G71" s="31"/>
      <c r="I71" s="604" t="s">
        <v>101</v>
      </c>
      <c r="J71" s="605"/>
      <c r="K71" s="606"/>
      <c r="L71" s="27"/>
      <c r="M71" s="267">
        <f>SUMIF($D$62:$D$66,"REG",$F$62:$F$66)</f>
        <v>0</v>
      </c>
      <c r="N71" s="268">
        <f>$M$71/$F$2</f>
        <v>0</v>
      </c>
      <c r="O71" s="182"/>
      <c r="P71" s="182"/>
      <c r="Q71" s="182"/>
      <c r="S71" s="123"/>
      <c r="T71" s="123"/>
      <c r="U71" s="31"/>
      <c r="V71" s="123"/>
      <c r="W71" s="177"/>
      <c r="X71" s="123"/>
      <c r="Y71" s="31"/>
      <c r="Z71" s="123"/>
      <c r="AA71" s="123"/>
      <c r="AB71" s="123"/>
      <c r="AC71" s="123"/>
      <c r="DB71" s="123"/>
    </row>
    <row r="72" spans="1:106">
      <c r="AA72" s="291"/>
      <c r="AB72" s="123"/>
      <c r="AC72" s="123"/>
      <c r="AD72" s="288"/>
      <c r="AF72" s="286"/>
      <c r="AH72" s="285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  <c r="CK72" s="32"/>
      <c r="CL72" s="32"/>
      <c r="CM72" s="32"/>
      <c r="CN72" s="32"/>
      <c r="CO72" s="32"/>
      <c r="CP72" s="32"/>
      <c r="CQ72" s="32"/>
      <c r="CR72" s="32"/>
      <c r="CS72" s="32"/>
      <c r="CT72" s="32"/>
      <c r="CU72" s="32"/>
      <c r="CV72" s="32"/>
      <c r="CW72" s="32"/>
      <c r="CX72" s="32"/>
      <c r="CY72" s="32"/>
      <c r="CZ72" s="32"/>
      <c r="DA72" s="32"/>
    </row>
    <row r="73" spans="1:106">
      <c r="AA73" s="291"/>
      <c r="AB73" s="123"/>
      <c r="AC73" s="123"/>
      <c r="AD73" s="288"/>
      <c r="AF73" s="286"/>
      <c r="AH73" s="285"/>
    </row>
  </sheetData>
  <mergeCells count="80">
    <mergeCell ref="M8:P8"/>
    <mergeCell ref="M2:P2"/>
    <mergeCell ref="M6:P6"/>
    <mergeCell ref="M3:P3"/>
    <mergeCell ref="M4:P4"/>
    <mergeCell ref="M7:P7"/>
    <mergeCell ref="AL10:AO10"/>
    <mergeCell ref="W2:AA2"/>
    <mergeCell ref="W3:AA3"/>
    <mergeCell ref="W4:AA4"/>
    <mergeCell ref="W7:AA7"/>
    <mergeCell ref="W8:AA8"/>
    <mergeCell ref="W6:AA6"/>
    <mergeCell ref="AD10:AG10"/>
    <mergeCell ref="AH10:AK10"/>
    <mergeCell ref="C68:E68"/>
    <mergeCell ref="I68:K68"/>
    <mergeCell ref="I69:K69"/>
    <mergeCell ref="I70:K70"/>
    <mergeCell ref="I71:K71"/>
    <mergeCell ref="C55:E55"/>
    <mergeCell ref="I55:K55"/>
    <mergeCell ref="I56:K56"/>
    <mergeCell ref="I57:K57"/>
    <mergeCell ref="I58:K58"/>
    <mergeCell ref="I2:K2"/>
    <mergeCell ref="I3:K3"/>
    <mergeCell ref="I4:K4"/>
    <mergeCell ref="C32:E32"/>
    <mergeCell ref="I32:K32"/>
    <mergeCell ref="AA53:AB53"/>
    <mergeCell ref="AA44:AB44"/>
    <mergeCell ref="AA62:AB62"/>
    <mergeCell ref="AA51:AB51"/>
    <mergeCell ref="F10:H10"/>
    <mergeCell ref="I10:K10"/>
    <mergeCell ref="I33:K33"/>
    <mergeCell ref="I34:K34"/>
    <mergeCell ref="I35:K35"/>
    <mergeCell ref="T11:U11"/>
    <mergeCell ref="AA15:AB15"/>
    <mergeCell ref="AA16:AB16"/>
    <mergeCell ref="AA17:AB17"/>
    <mergeCell ref="AA11:AC11"/>
    <mergeCell ref="AA50:AB50"/>
    <mergeCell ref="AA42:AB42"/>
    <mergeCell ref="AA45:AB45"/>
    <mergeCell ref="AA48:AB48"/>
    <mergeCell ref="AA52:AB52"/>
    <mergeCell ref="AA49:AB49"/>
    <mergeCell ref="AA28:AB28"/>
    <mergeCell ref="AA43:AB43"/>
    <mergeCell ref="AA39:AB39"/>
    <mergeCell ref="AA41:AB41"/>
    <mergeCell ref="AA23:AB23"/>
    <mergeCell ref="AA20:AB20"/>
    <mergeCell ref="AA19:AB19"/>
    <mergeCell ref="AA21:AB21"/>
    <mergeCell ref="AA29:AB29"/>
    <mergeCell ref="AQ11:AU11"/>
    <mergeCell ref="AV11:AZ11"/>
    <mergeCell ref="BA11:BE11"/>
    <mergeCell ref="BG11:BK11"/>
    <mergeCell ref="AA22:AB22"/>
    <mergeCell ref="AA66:AB66"/>
    <mergeCell ref="CG11:CK11"/>
    <mergeCell ref="CM11:CQ11"/>
    <mergeCell ref="CR11:CV11"/>
    <mergeCell ref="CW11:DA11"/>
    <mergeCell ref="BL11:BP11"/>
    <mergeCell ref="BQ11:BU11"/>
    <mergeCell ref="BW11:CA11"/>
    <mergeCell ref="CB11:CF11"/>
    <mergeCell ref="AA47:AB47"/>
    <mergeCell ref="AA27:AB27"/>
    <mergeCell ref="AA24:AB24"/>
    <mergeCell ref="AA25:AB25"/>
    <mergeCell ref="AA26:AB26"/>
    <mergeCell ref="AA40:AB40"/>
    <mergeCell ref="AA46:AB46"/>
  </mergeCells>
  <conditionalFormatting sqref="K15:K29">
    <cfRule type="iconSet" priority="35">
      <iconSet>
        <cfvo type="percent" val="0"/>
        <cfvo type="percent" val="9"/>
        <cfvo type="percent" val="20"/>
      </iconSet>
    </cfRule>
  </conditionalFormatting>
  <conditionalFormatting sqref="K39:K53">
    <cfRule type="iconSet" priority="2">
      <iconSet>
        <cfvo type="percent" val="0"/>
        <cfvo type="percent" val="18"/>
        <cfvo type="percent" val="18"/>
      </iconSet>
    </cfRule>
  </conditionalFormatting>
  <conditionalFormatting sqref="K62:K66">
    <cfRule type="iconSet" priority="1">
      <iconSet>
        <cfvo type="percent" val="0"/>
        <cfvo type="percent" val="18"/>
        <cfvo type="percent" val="18"/>
      </iconSet>
    </cfRule>
  </conditionalFormatting>
  <dataValidations count="8">
    <dataValidation type="list" allowBlank="1" showInputMessage="1" showErrorMessage="1" sqref="D15:D29 D39 D62:D66 D41:D53">
      <formula1>Origine</formula1>
    </dataValidation>
    <dataValidation type="list" showInputMessage="1" showErrorMessage="1" sqref="Y15:Z27">
      <formula1>Risque</formula1>
    </dataValidation>
    <dataValidation type="list" allowBlank="1" showInputMessage="1" showErrorMessage="1" sqref="X15:X27 U15:U29 U39 U62:U63 U41:U53">
      <formula1>Reconduction</formula1>
    </dataValidation>
    <dataValidation type="list" allowBlank="1" showInputMessage="1" showErrorMessage="1" sqref="E15:E29 E39 E62:E63 E41:E53">
      <formula1>Statut</formula1>
    </dataValidation>
    <dataValidation type="list" allowBlank="1" showInputMessage="1" showErrorMessage="1" sqref="T15:T29 T39 T62:T63 T41:T53">
      <formula1>OuiNon</formula1>
    </dataValidation>
    <dataValidation type="list" allowBlank="1" showInputMessage="1" showErrorMessage="1" sqref="AH15:AH29 AD15:AD29 AL15:AL29 AL39 AH39 AD39 AD62:AD63 AD41:AD53 AH62:AH63 AH41:AH53 AL62:AL63 AL41:AL53">
      <formula1>civilité</formula1>
    </dataValidation>
    <dataValidation type="list" errorStyle="warning" showInputMessage="1" showErrorMessage="1" promptTitle="Niveau risque" prompt="Saisir le niveau de risque_x000a_Lettres MAJUSCULES" sqref="Y28:Z29 Y39:Z39 Y62:Z62 Y41:Z53">
      <formula1>Risque</formula1>
    </dataValidation>
    <dataValidation type="list" allowBlank="1" showInputMessage="1" showErrorMessage="1" sqref="Y63:Z63">
      <formula1>Risque</formula1>
    </dataValidation>
  </dataValidations>
  <pageMargins left="0.19685039370078741" right="0.19685039370078741" top="0.55118110236220474" bottom="0.55118110236220474" header="0.11811023622047245" footer="0.11811023622047245"/>
  <pageSetup paperSize="8" scale="68" orientation="landscape" r:id="rId1"/>
  <colBreaks count="1" manualBreakCount="1">
    <brk id="29" max="1048575" man="1"/>
  </colBreaks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7030A0"/>
  </sheetPr>
  <dimension ref="A1:DN77"/>
  <sheetViews>
    <sheetView showGridLines="0" zoomScale="80" zoomScaleNormal="80" workbookViewId="0">
      <pane xSplit="3" ySplit="12" topLeftCell="I13" activePane="bottomRight" state="frozen"/>
      <selection pane="topRight" activeCell="D1" sqref="D1"/>
      <selection pane="bottomLeft" activeCell="A13" sqref="A13"/>
      <selection pane="bottomRight" activeCell="W11" sqref="W11"/>
    </sheetView>
  </sheetViews>
  <sheetFormatPr baseColWidth="10" defaultColWidth="11.42578125" defaultRowHeight="16.5" outlineLevelRow="1" outlineLevelCol="1"/>
  <cols>
    <col min="1" max="2" width="3.140625" style="67" bestFit="1" customWidth="1"/>
    <col min="3" max="3" width="40.7109375" style="32" customWidth="1"/>
    <col min="4" max="4" width="5.7109375" style="31" customWidth="1"/>
    <col min="5" max="5" width="5.7109375" style="32" customWidth="1"/>
    <col min="6" max="6" width="12.7109375" style="32" customWidth="1"/>
    <col min="7" max="7" width="7.7109375" style="32" customWidth="1"/>
    <col min="8" max="8" width="10.7109375" style="32" customWidth="1"/>
    <col min="9" max="11" width="9.7109375" style="32" customWidth="1"/>
    <col min="12" max="12" width="0.5703125" style="123" customWidth="1"/>
    <col min="13" max="14" width="11.7109375" style="32" customWidth="1"/>
    <col min="15" max="15" width="0.5703125" style="123" customWidth="1"/>
    <col min="16" max="16" width="11.42578125" style="123"/>
    <col min="17" max="17" width="0.5703125" style="123" customWidth="1"/>
    <col min="18" max="18" width="11.42578125" style="31"/>
    <col min="19" max="19" width="0.5703125" style="123" customWidth="1"/>
    <col min="20" max="20" width="5.7109375" style="213" customWidth="1"/>
    <col min="21" max="21" width="11.7109375" style="32" customWidth="1"/>
    <col min="22" max="22" width="0.5703125" style="123" customWidth="1"/>
    <col min="23" max="23" width="12.7109375" style="32" customWidth="1"/>
    <col min="24" max="24" width="0.5703125" style="123" customWidth="1"/>
    <col min="25" max="25" width="11.7109375" style="32" customWidth="1"/>
    <col min="26" max="26" width="0.5703125" style="123" customWidth="1"/>
    <col min="27" max="27" width="9.7109375" style="32" customWidth="1"/>
    <col min="28" max="28" width="0.85546875" style="32" customWidth="1"/>
    <col min="29" max="29" width="14.7109375" style="32" customWidth="1"/>
    <col min="30" max="30" width="0.5703125" style="123" customWidth="1"/>
    <col min="31" max="31" width="5.7109375" style="123" customWidth="1"/>
    <col min="32" max="32" width="15.7109375" style="123" customWidth="1"/>
    <col min="33" max="33" width="20.7109375" style="123" customWidth="1"/>
    <col min="34" max="34" width="25.7109375" style="123" customWidth="1"/>
    <col min="35" max="35" width="5.7109375" style="123" customWidth="1"/>
    <col min="36" max="36" width="15.7109375" style="123" customWidth="1"/>
    <col min="37" max="37" width="20.7109375" style="123" customWidth="1"/>
    <col min="38" max="38" width="25.7109375" style="123" customWidth="1"/>
    <col min="39" max="39" width="5.7109375" style="123" customWidth="1"/>
    <col min="40" max="40" width="15.7109375" style="365" customWidth="1"/>
    <col min="41" max="41" width="11.7109375" style="31" customWidth="1"/>
    <col min="42" max="42" width="20.7109375" style="365" customWidth="1"/>
    <col min="43" max="43" width="5.7109375" style="460" customWidth="1"/>
    <col min="44" max="44" width="28.7109375" style="285" hidden="1" customWidth="1" outlineLevel="1"/>
    <col min="45" max="46" width="11.7109375" style="285" hidden="1" customWidth="1" outlineLevel="1"/>
    <col min="47" max="47" width="15.7109375" style="285" hidden="1" customWidth="1" outlineLevel="1"/>
    <col min="48" max="48" width="55.7109375" style="285" hidden="1" customWidth="1" outlineLevel="1"/>
    <col min="49" max="49" width="28.7109375" style="285" hidden="1" customWidth="1" outlineLevel="1"/>
    <col min="50" max="51" width="11.7109375" style="285" hidden="1" customWidth="1" outlineLevel="1"/>
    <col min="52" max="52" width="15.7109375" style="285" hidden="1" customWidth="1" outlineLevel="1"/>
    <col min="53" max="53" width="55.7109375" style="285" hidden="1" customWidth="1" outlineLevel="1"/>
    <col min="54" max="54" width="28.7109375" style="285" hidden="1" customWidth="1" outlineLevel="1"/>
    <col min="55" max="56" width="11.7109375" style="285" hidden="1" customWidth="1" outlineLevel="1"/>
    <col min="57" max="57" width="15.7109375" style="285" hidden="1" customWidth="1" outlineLevel="1"/>
    <col min="58" max="58" width="55.7109375" style="285" hidden="1" customWidth="1" outlineLevel="1"/>
    <col min="59" max="59" width="28.7109375" style="285" hidden="1" customWidth="1" outlineLevel="1"/>
    <col min="60" max="61" width="11.7109375" style="285" hidden="1" customWidth="1" outlineLevel="1"/>
    <col min="62" max="62" width="15.7109375" style="285" hidden="1" customWidth="1" outlineLevel="1"/>
    <col min="63" max="63" width="55.7109375" style="285" hidden="1" customWidth="1" outlineLevel="1"/>
    <col min="64" max="64" width="28.7109375" style="285" hidden="1" customWidth="1" outlineLevel="1"/>
    <col min="65" max="66" width="11.7109375" style="285" hidden="1" customWidth="1" outlineLevel="1"/>
    <col min="67" max="67" width="15.7109375" style="285" hidden="1" customWidth="1" outlineLevel="1"/>
    <col min="68" max="68" width="55.7109375" style="285" hidden="1" customWidth="1" outlineLevel="1"/>
    <col min="69" max="69" width="28.7109375" style="285" hidden="1" customWidth="1" outlineLevel="1"/>
    <col min="70" max="71" width="11.7109375" style="285" hidden="1" customWidth="1" outlineLevel="1"/>
    <col min="72" max="72" width="15.7109375" style="285" hidden="1" customWidth="1" outlineLevel="1"/>
    <col min="73" max="73" width="55.7109375" style="285" hidden="1" customWidth="1" outlineLevel="1"/>
    <col min="74" max="74" width="28.7109375" style="285" hidden="1" customWidth="1" outlineLevel="1"/>
    <col min="75" max="76" width="11.7109375" style="285" hidden="1" customWidth="1" outlineLevel="1"/>
    <col min="77" max="77" width="15.7109375" style="285" hidden="1" customWidth="1" outlineLevel="1"/>
    <col min="78" max="78" width="55.7109375" style="285" hidden="1" customWidth="1" outlineLevel="1"/>
    <col min="79" max="79" width="28.7109375" style="285" hidden="1" customWidth="1" outlineLevel="1"/>
    <col min="80" max="81" width="11.7109375" style="285" hidden="1" customWidth="1" outlineLevel="1"/>
    <col min="82" max="82" width="15.7109375" style="285" hidden="1" customWidth="1" outlineLevel="1"/>
    <col min="83" max="83" width="55.7109375" style="285" hidden="1" customWidth="1" outlineLevel="1"/>
    <col min="84" max="84" width="28.7109375" style="285" hidden="1" customWidth="1" outlineLevel="1" collapsed="1"/>
    <col min="85" max="86" width="11.7109375" style="285" hidden="1" customWidth="1" outlineLevel="1"/>
    <col min="87" max="87" width="15.7109375" style="285" hidden="1" customWidth="1" outlineLevel="1"/>
    <col min="88" max="88" width="55.7109375" style="285" hidden="1" customWidth="1" outlineLevel="1"/>
    <col min="89" max="89" width="28.7109375" style="285" hidden="1" customWidth="1" outlineLevel="1"/>
    <col min="90" max="91" width="11.7109375" style="285" hidden="1" customWidth="1" outlineLevel="1"/>
    <col min="92" max="92" width="15.7109375" style="285" hidden="1" customWidth="1" outlineLevel="1"/>
    <col min="93" max="93" width="55.7109375" style="285" hidden="1" customWidth="1" outlineLevel="1"/>
    <col min="94" max="94" width="28.7109375" style="285" hidden="1" customWidth="1" outlineLevel="1"/>
    <col min="95" max="96" width="11.7109375" style="285" hidden="1" customWidth="1" outlineLevel="1"/>
    <col min="97" max="97" width="15.7109375" style="285" hidden="1" customWidth="1" outlineLevel="1"/>
    <col min="98" max="98" width="55.7109375" style="285" hidden="1" customWidth="1" outlineLevel="1"/>
    <col min="99" max="99" width="28.7109375" style="285" customWidth="1" collapsed="1"/>
    <col min="100" max="101" width="11.7109375" style="285" customWidth="1"/>
    <col min="102" max="102" width="15.7109375" style="285" customWidth="1"/>
    <col min="103" max="103" width="55.7109375" style="285" customWidth="1"/>
    <col min="104" max="104" width="28.7109375" style="285" customWidth="1"/>
    <col min="105" max="106" width="11.7109375" style="285" customWidth="1"/>
    <col min="107" max="107" width="15.7109375" style="285" customWidth="1"/>
    <col min="108" max="108" width="55.7109375" style="285" customWidth="1"/>
    <col min="109" max="109" width="28.7109375" style="285" customWidth="1"/>
    <col min="110" max="111" width="11.7109375" style="285" customWidth="1"/>
    <col min="112" max="112" width="15.7109375" style="285" customWidth="1"/>
    <col min="113" max="113" width="55.7109375" style="285" customWidth="1"/>
    <col min="114" max="114" width="28.7109375" style="285" customWidth="1"/>
    <col min="115" max="116" width="11.7109375" style="285" customWidth="1"/>
    <col min="117" max="117" width="15.7109375" style="285" customWidth="1"/>
    <col min="118" max="118" width="55.7109375" style="285" customWidth="1"/>
    <col min="119" max="16384" width="11.42578125" style="32"/>
  </cols>
  <sheetData>
    <row r="1" spans="1:118" ht="16.5" customHeight="1" outlineLevel="1">
      <c r="C1" s="41" t="s">
        <v>191</v>
      </c>
      <c r="D1" s="48"/>
      <c r="E1" s="48"/>
      <c r="F1" s="22">
        <f ca="1">TODAY()</f>
        <v>43137</v>
      </c>
      <c r="G1" s="31"/>
      <c r="I1" s="123"/>
      <c r="J1" s="31"/>
      <c r="L1" s="32"/>
      <c r="M1" s="31"/>
      <c r="N1" s="31"/>
      <c r="O1" s="32"/>
      <c r="Q1" s="32"/>
      <c r="S1" s="32"/>
      <c r="T1" s="340"/>
      <c r="U1" s="177"/>
      <c r="V1" s="32"/>
      <c r="W1" s="177"/>
      <c r="X1" s="32"/>
      <c r="Y1" s="123"/>
      <c r="Z1" s="32"/>
      <c r="AA1" s="123"/>
      <c r="AB1" s="123"/>
      <c r="AC1" s="154"/>
      <c r="AD1" s="32"/>
      <c r="AE1" s="32"/>
      <c r="AF1" s="151"/>
      <c r="AG1" s="32"/>
      <c r="AH1" s="32"/>
      <c r="AI1" s="32"/>
      <c r="AJ1" s="32"/>
      <c r="AK1" s="32"/>
      <c r="AL1" s="32"/>
      <c r="AM1" s="32"/>
      <c r="AN1" s="32"/>
      <c r="AO1" s="32"/>
      <c r="AP1" s="32"/>
      <c r="AQ1" s="184"/>
      <c r="AR1" s="32"/>
      <c r="AS1" s="32"/>
      <c r="AT1" s="32"/>
      <c r="AU1" s="32"/>
      <c r="AV1" s="32"/>
      <c r="AW1" s="32"/>
      <c r="AX1" s="32"/>
      <c r="AY1" s="32"/>
      <c r="AZ1" s="32"/>
      <c r="BA1" s="32"/>
      <c r="BB1" s="32"/>
      <c r="BC1" s="32"/>
      <c r="BD1" s="32"/>
      <c r="BE1" s="32"/>
      <c r="BF1" s="32"/>
      <c r="BG1" s="32"/>
      <c r="BH1" s="32"/>
      <c r="BI1" s="32"/>
      <c r="BJ1" s="32"/>
      <c r="BK1" s="32"/>
      <c r="BL1" s="32"/>
      <c r="BM1" s="32"/>
      <c r="BN1" s="32"/>
      <c r="BO1" s="32"/>
      <c r="BP1" s="32"/>
      <c r="BQ1" s="32"/>
      <c r="BR1" s="32"/>
      <c r="BS1" s="32"/>
      <c r="BT1" s="32"/>
      <c r="BU1" s="32"/>
      <c r="BV1" s="32"/>
      <c r="BW1" s="32"/>
      <c r="BX1" s="32"/>
      <c r="BY1" s="32"/>
      <c r="BZ1" s="32"/>
      <c r="CA1" s="32"/>
      <c r="CB1" s="32"/>
      <c r="CC1" s="32"/>
      <c r="CD1" s="32"/>
      <c r="CE1" s="32"/>
      <c r="CF1" s="32"/>
      <c r="CG1" s="32"/>
      <c r="CH1" s="32"/>
      <c r="CI1" s="32"/>
      <c r="CJ1" s="32"/>
      <c r="CK1" s="32"/>
      <c r="CL1" s="32"/>
      <c r="CM1" s="32"/>
      <c r="CN1" s="32"/>
      <c r="CO1" s="32"/>
      <c r="CP1" s="32"/>
      <c r="CQ1" s="32"/>
      <c r="CR1" s="32"/>
      <c r="CS1" s="32"/>
      <c r="CT1" s="32"/>
      <c r="CU1" s="32"/>
      <c r="CV1" s="32"/>
      <c r="CW1" s="32"/>
      <c r="CX1" s="32"/>
      <c r="CY1" s="32"/>
      <c r="CZ1" s="32"/>
      <c r="DA1" s="32"/>
      <c r="DB1" s="32"/>
      <c r="DC1" s="32"/>
      <c r="DD1" s="32"/>
      <c r="DE1" s="32"/>
      <c r="DF1" s="32"/>
      <c r="DG1" s="32"/>
      <c r="DH1" s="32"/>
      <c r="DI1" s="32"/>
      <c r="DJ1" s="32"/>
      <c r="DK1" s="32"/>
      <c r="DL1" s="32"/>
      <c r="DM1" s="32"/>
      <c r="DN1" s="32"/>
    </row>
    <row r="2" spans="1:118" ht="15" customHeight="1" outlineLevel="1">
      <c r="C2" s="111" t="s">
        <v>188</v>
      </c>
      <c r="D2" s="49"/>
      <c r="E2" s="49"/>
      <c r="F2" s="341">
        <v>648954</v>
      </c>
      <c r="G2" s="97" t="s">
        <v>20</v>
      </c>
      <c r="H2" s="96">
        <f>SUMIF(E15:E25,"Perdu",F15:F25)+SUMIF(E35:E66,"Perdu",F35:F66)+SUMIF(E62:E66,"Perdu",F62:F66)</f>
        <v>160023</v>
      </c>
      <c r="I2" s="659" t="s">
        <v>37</v>
      </c>
      <c r="J2" s="660"/>
      <c r="K2" s="660"/>
      <c r="L2" s="191"/>
      <c r="M2" s="577" t="s">
        <v>48</v>
      </c>
      <c r="N2" s="578"/>
      <c r="O2" s="578"/>
      <c r="P2" s="578"/>
      <c r="Q2" s="578"/>
      <c r="R2" s="656">
        <f>SUMIFS($F$15:$F$25,$D$15:$D$25,"dcn",$E$15:$E$25,"")+SUMIFS($F$35:$F$53,$D$35:$D$53,"dcn",$E$35:$E$53,"")+SUMIFS($F$62:$F$66,$D$62:$D$66,"DCn",$E$62:$E$66,"")</f>
        <v>53159.4</v>
      </c>
      <c r="S2" s="656"/>
      <c r="T2" s="325"/>
      <c r="U2" s="324">
        <f>SUMIFS($F$15:$F$25,$D$15:$D$25,"di",$E$15:$E$25,"")+SUMIFS($F$35:$F$53,$D$35:$D$53,"di",$E$35:$E$53,"")+SUMIFS(F62:F66,D62:D66,"di",E62:E66,"")</f>
        <v>355660</v>
      </c>
      <c r="V2" s="32"/>
      <c r="W2" s="568" t="s">
        <v>108</v>
      </c>
      <c r="X2" s="569"/>
      <c r="Y2" s="569"/>
      <c r="Z2" s="569"/>
      <c r="AA2" s="569"/>
      <c r="AB2" s="569"/>
      <c r="AC2" s="336"/>
      <c r="AD2" s="336"/>
      <c r="AE2" s="111"/>
      <c r="AF2" s="163"/>
      <c r="AG2" s="32"/>
      <c r="AH2" s="32"/>
      <c r="AI2" s="32"/>
      <c r="AJ2" s="32"/>
      <c r="AK2" s="32"/>
      <c r="AL2" s="32"/>
      <c r="AM2" s="32"/>
      <c r="AN2" s="32"/>
      <c r="AO2" s="32"/>
      <c r="AP2" s="32"/>
      <c r="AQ2" s="184"/>
      <c r="AR2" s="32"/>
      <c r="AS2" s="32"/>
      <c r="AT2" s="32"/>
      <c r="AU2" s="32"/>
      <c r="AV2" s="32"/>
      <c r="AW2" s="32"/>
      <c r="AX2" s="32"/>
      <c r="AY2" s="32"/>
      <c r="AZ2" s="32"/>
      <c r="BA2" s="32"/>
      <c r="BB2" s="32"/>
      <c r="BC2" s="32"/>
      <c r="BD2" s="32"/>
      <c r="BE2" s="32"/>
      <c r="BF2" s="32"/>
      <c r="BG2" s="32"/>
      <c r="BH2" s="32"/>
      <c r="BI2" s="32"/>
      <c r="BJ2" s="32"/>
      <c r="BK2" s="32"/>
      <c r="BL2" s="32"/>
      <c r="BM2" s="32"/>
      <c r="BN2" s="32"/>
      <c r="BO2" s="32"/>
      <c r="BP2" s="32"/>
      <c r="BQ2" s="32"/>
      <c r="BR2" s="32"/>
      <c r="BS2" s="32"/>
      <c r="BT2" s="32"/>
      <c r="BU2" s="32"/>
      <c r="BV2" s="32"/>
      <c r="BW2" s="32"/>
      <c r="BX2" s="32"/>
      <c r="BY2" s="32"/>
      <c r="BZ2" s="32"/>
      <c r="CA2" s="32"/>
      <c r="CB2" s="32"/>
      <c r="CC2" s="32"/>
      <c r="CD2" s="32"/>
      <c r="CE2" s="32"/>
      <c r="CF2" s="32"/>
      <c r="CG2" s="32"/>
      <c r="CH2" s="32"/>
      <c r="CI2" s="32"/>
      <c r="CJ2" s="32"/>
      <c r="CK2" s="32"/>
      <c r="CL2" s="32"/>
      <c r="CM2" s="32"/>
      <c r="CN2" s="32"/>
      <c r="CO2" s="32"/>
      <c r="CP2" s="32"/>
      <c r="CQ2" s="32"/>
      <c r="CR2" s="32"/>
      <c r="CS2" s="32"/>
      <c r="CT2" s="32"/>
      <c r="CU2" s="32"/>
      <c r="CV2" s="32"/>
      <c r="CW2" s="32"/>
      <c r="CX2" s="32"/>
      <c r="CY2" s="32"/>
      <c r="CZ2" s="32"/>
      <c r="DA2" s="32"/>
      <c r="DB2" s="32"/>
      <c r="DC2" s="32"/>
      <c r="DD2" s="32"/>
      <c r="DE2" s="32"/>
      <c r="DF2" s="32"/>
      <c r="DG2" s="32"/>
      <c r="DH2" s="32"/>
      <c r="DI2" s="32"/>
      <c r="DJ2" s="32"/>
      <c r="DK2" s="32"/>
      <c r="DL2" s="32"/>
      <c r="DM2" s="32"/>
      <c r="DN2" s="32"/>
    </row>
    <row r="3" spans="1:118" ht="15" customHeight="1" outlineLevel="1">
      <c r="C3" s="111" t="s">
        <v>19</v>
      </c>
      <c r="D3" s="42"/>
      <c r="E3" s="42"/>
      <c r="F3" s="342">
        <v>109</v>
      </c>
      <c r="G3" s="43"/>
      <c r="H3" s="343">
        <f>COUNTA($E$15:$E$25)+COUNTA(E35:E66)+COUNTA(E62:E66)</f>
        <v>8</v>
      </c>
      <c r="I3" s="661" t="s">
        <v>40</v>
      </c>
      <c r="J3" s="662"/>
      <c r="K3" s="662"/>
      <c r="L3" s="334"/>
      <c r="M3" s="574" t="s">
        <v>40</v>
      </c>
      <c r="N3" s="574"/>
      <c r="O3" s="574"/>
      <c r="P3" s="574"/>
      <c r="Q3" s="574"/>
      <c r="R3" s="575">
        <f>COUNTIFS($D$15:$D$25,"DCN",E15:E25,"")+COUNTIFS($D$35:$D$53,"DCN",E35:E53,"")+COUNTIFS($D$62:$D$66,"DCN",E62:E66,"")</f>
        <v>6</v>
      </c>
      <c r="S3" s="575"/>
      <c r="T3" s="326"/>
      <c r="U3" s="196">
        <f>COUNTIFS($D$15:$D$25,"DI",E15:E25,"")+COUNTIFS($D$35:$D$53,"DI",E35:E53,"")+COUNTIFS($D$62:$D$66,"DI",E62:E66,"")</f>
        <v>15</v>
      </c>
      <c r="W3" s="638" t="s">
        <v>40</v>
      </c>
      <c r="X3" s="639"/>
      <c r="Y3" s="639"/>
      <c r="Z3" s="639"/>
      <c r="AA3" s="639"/>
      <c r="AB3" s="639"/>
      <c r="AC3" s="344"/>
      <c r="AD3" s="29"/>
      <c r="AE3" s="29"/>
      <c r="AF3" s="170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184"/>
      <c r="AR3" s="32"/>
      <c r="AS3" s="32"/>
      <c r="AT3" s="32"/>
      <c r="AU3" s="32"/>
      <c r="AV3" s="32"/>
      <c r="AW3" s="32"/>
      <c r="AX3" s="32"/>
      <c r="AY3" s="32"/>
      <c r="AZ3" s="32"/>
      <c r="BA3" s="32"/>
      <c r="BB3" s="32"/>
      <c r="BC3" s="32"/>
      <c r="BD3" s="32"/>
      <c r="BE3" s="32"/>
      <c r="BF3" s="32"/>
      <c r="BG3" s="32"/>
      <c r="BH3" s="32"/>
      <c r="BI3" s="32"/>
      <c r="BJ3" s="32"/>
      <c r="BK3" s="32"/>
      <c r="BL3" s="32"/>
      <c r="BM3" s="32"/>
      <c r="BN3" s="32"/>
      <c r="BO3" s="32"/>
      <c r="BP3" s="32"/>
      <c r="BQ3" s="32"/>
      <c r="BR3" s="32"/>
      <c r="BS3" s="32"/>
      <c r="BT3" s="32"/>
      <c r="BU3" s="32"/>
      <c r="BV3" s="32"/>
      <c r="BW3" s="32"/>
      <c r="BX3" s="32"/>
      <c r="BY3" s="32"/>
      <c r="BZ3" s="32"/>
      <c r="CA3" s="32"/>
      <c r="CB3" s="32"/>
      <c r="CC3" s="32"/>
      <c r="CD3" s="32"/>
      <c r="CE3" s="32"/>
      <c r="CF3" s="32"/>
      <c r="CG3" s="32"/>
      <c r="CH3" s="32"/>
      <c r="CI3" s="32"/>
      <c r="CJ3" s="32"/>
      <c r="CK3" s="32"/>
      <c r="CL3" s="32"/>
      <c r="CM3" s="32"/>
      <c r="CN3" s="32"/>
      <c r="CO3" s="32"/>
      <c r="CP3" s="32"/>
      <c r="CQ3" s="32"/>
      <c r="CR3" s="32"/>
      <c r="CS3" s="32"/>
      <c r="CT3" s="32"/>
      <c r="CU3" s="32"/>
      <c r="CV3" s="32"/>
      <c r="CW3" s="32"/>
      <c r="CX3" s="32"/>
      <c r="CY3" s="32"/>
      <c r="CZ3" s="32"/>
      <c r="DA3" s="32"/>
      <c r="DB3" s="32"/>
      <c r="DC3" s="32"/>
      <c r="DD3" s="32"/>
      <c r="DE3" s="32"/>
      <c r="DF3" s="32"/>
      <c r="DG3" s="32"/>
      <c r="DH3" s="32"/>
      <c r="DI3" s="32"/>
      <c r="DJ3" s="32"/>
      <c r="DK3" s="32"/>
      <c r="DL3" s="32"/>
      <c r="DM3" s="32"/>
      <c r="DN3" s="32"/>
    </row>
    <row r="4" spans="1:118" ht="15" customHeight="1" outlineLevel="1">
      <c r="C4" s="111" t="s">
        <v>35</v>
      </c>
      <c r="D4" s="42"/>
      <c r="E4" s="42"/>
      <c r="F4" s="345">
        <f>COUNTA($C$15:$C$25)/$F$3</f>
        <v>0.10091743119266056</v>
      </c>
      <c r="G4" s="43"/>
      <c r="H4" s="346">
        <f>$H$2/$F$2</f>
        <v>0.24658604461949538</v>
      </c>
      <c r="I4" s="661" t="s">
        <v>41</v>
      </c>
      <c r="J4" s="662"/>
      <c r="K4" s="662"/>
      <c r="L4" s="334"/>
      <c r="M4" s="574" t="s">
        <v>111</v>
      </c>
      <c r="N4" s="574"/>
      <c r="O4" s="574"/>
      <c r="P4" s="574"/>
      <c r="Q4" s="574"/>
      <c r="R4" s="335">
        <f>$R$2/$F$2</f>
        <v>8.191551327212715E-2</v>
      </c>
      <c r="S4" s="335"/>
      <c r="T4" s="151"/>
      <c r="U4" s="195">
        <f>$U$2/$F$2</f>
        <v>0.54805117157764649</v>
      </c>
      <c r="V4" s="29" t="s">
        <v>111</v>
      </c>
      <c r="W4" s="638" t="s">
        <v>111</v>
      </c>
      <c r="X4" s="639"/>
      <c r="Y4" s="639"/>
      <c r="Z4" s="639"/>
      <c r="AA4" s="639"/>
      <c r="AB4" s="639"/>
      <c r="AC4" s="344"/>
      <c r="AD4" s="29"/>
      <c r="AE4" s="29"/>
      <c r="AF4" s="164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184"/>
      <c r="AR4" s="32"/>
      <c r="AS4" s="32"/>
      <c r="AT4" s="32"/>
      <c r="AU4" s="32"/>
      <c r="AV4" s="32"/>
      <c r="AW4" s="32"/>
      <c r="AX4" s="32"/>
      <c r="AY4" s="32"/>
      <c r="AZ4" s="32"/>
      <c r="BA4" s="32"/>
      <c r="BB4" s="32"/>
      <c r="BC4" s="32"/>
      <c r="BD4" s="32"/>
      <c r="BE4" s="32"/>
      <c r="BF4" s="32"/>
      <c r="BG4" s="32"/>
      <c r="BH4" s="32"/>
      <c r="BI4" s="32"/>
      <c r="BJ4" s="32"/>
      <c r="BK4" s="32"/>
      <c r="BL4" s="32"/>
      <c r="BM4" s="32"/>
      <c r="BN4" s="32"/>
      <c r="BO4" s="32"/>
      <c r="BP4" s="32"/>
      <c r="BQ4" s="32"/>
      <c r="BR4" s="32"/>
      <c r="BS4" s="32"/>
      <c r="BT4" s="32"/>
      <c r="BU4" s="32"/>
      <c r="BV4" s="32"/>
      <c r="BW4" s="32"/>
      <c r="BX4" s="32"/>
      <c r="BY4" s="32"/>
      <c r="BZ4" s="32"/>
      <c r="CA4" s="32"/>
      <c r="CB4" s="32"/>
      <c r="CC4" s="32"/>
      <c r="CD4" s="32"/>
      <c r="CE4" s="32"/>
      <c r="CF4" s="32"/>
      <c r="CG4" s="32"/>
      <c r="CH4" s="32"/>
      <c r="CI4" s="32"/>
      <c r="CJ4" s="32"/>
      <c r="CK4" s="32"/>
      <c r="CL4" s="32"/>
      <c r="CM4" s="32"/>
      <c r="CN4" s="32"/>
      <c r="CO4" s="32"/>
      <c r="CP4" s="32"/>
      <c r="CQ4" s="32"/>
      <c r="CR4" s="32"/>
      <c r="CS4" s="32"/>
      <c r="CT4" s="32"/>
      <c r="CU4" s="32"/>
      <c r="CV4" s="32"/>
      <c r="CW4" s="32"/>
      <c r="CX4" s="32"/>
      <c r="CY4" s="32"/>
      <c r="CZ4" s="32"/>
      <c r="DA4" s="32"/>
      <c r="DB4" s="32"/>
      <c r="DC4" s="32"/>
      <c r="DD4" s="32"/>
      <c r="DE4" s="32"/>
      <c r="DF4" s="32"/>
      <c r="DG4" s="32"/>
      <c r="DH4" s="32"/>
      <c r="DI4" s="32"/>
      <c r="DJ4" s="32"/>
      <c r="DK4" s="32"/>
      <c r="DL4" s="32"/>
      <c r="DM4" s="32"/>
      <c r="DN4" s="32"/>
    </row>
    <row r="5" spans="1:118" ht="5.25" customHeight="1" outlineLevel="1">
      <c r="A5" s="69"/>
      <c r="B5" s="69"/>
      <c r="C5" s="50"/>
      <c r="D5" s="50"/>
      <c r="E5" s="50"/>
      <c r="G5" s="31"/>
      <c r="L5" s="124"/>
      <c r="M5" s="296"/>
      <c r="N5" s="297"/>
      <c r="O5" s="124"/>
      <c r="P5" s="297"/>
      <c r="Q5" s="124"/>
      <c r="R5" s="32"/>
      <c r="S5" s="124"/>
      <c r="T5" s="151"/>
      <c r="U5" s="31"/>
      <c r="V5" s="124"/>
      <c r="X5" s="124"/>
      <c r="Z5" s="124"/>
      <c r="AC5" s="151"/>
      <c r="AD5" s="124"/>
      <c r="AE5" s="44"/>
      <c r="AF5" s="165"/>
      <c r="AG5" s="44"/>
      <c r="AH5" s="44"/>
      <c r="AI5" s="44"/>
      <c r="AJ5" s="44"/>
      <c r="AK5" s="44"/>
      <c r="AL5" s="44"/>
      <c r="AM5" s="44"/>
      <c r="AN5" s="44"/>
      <c r="AO5" s="44"/>
      <c r="AP5" s="44"/>
      <c r="AQ5" s="184"/>
      <c r="AR5" s="32"/>
      <c r="AS5" s="32"/>
      <c r="AT5" s="32"/>
      <c r="AU5" s="32"/>
      <c r="AV5" s="32"/>
      <c r="AW5" s="32"/>
      <c r="AX5" s="32"/>
      <c r="AY5" s="32"/>
      <c r="AZ5" s="32"/>
      <c r="BA5" s="32"/>
      <c r="BB5" s="32"/>
      <c r="BC5" s="32"/>
      <c r="BD5" s="32"/>
      <c r="BE5" s="32"/>
      <c r="BF5" s="32"/>
      <c r="BG5" s="32"/>
      <c r="BH5" s="32"/>
      <c r="BI5" s="32"/>
      <c r="BJ5" s="32"/>
      <c r="BK5" s="32"/>
      <c r="BL5" s="32"/>
      <c r="BM5" s="32"/>
      <c r="BN5" s="32"/>
      <c r="BO5" s="32"/>
      <c r="BP5" s="32"/>
      <c r="BQ5" s="32"/>
      <c r="BR5" s="32"/>
      <c r="BS5" s="32"/>
      <c r="BT5" s="32"/>
      <c r="BU5" s="32"/>
      <c r="BV5" s="32"/>
      <c r="BW5" s="32"/>
      <c r="BX5" s="32"/>
      <c r="BY5" s="32"/>
      <c r="BZ5" s="32"/>
      <c r="CA5" s="32"/>
      <c r="CB5" s="32"/>
      <c r="CC5" s="32"/>
      <c r="CD5" s="32"/>
      <c r="CE5" s="32"/>
      <c r="CF5" s="32"/>
      <c r="CG5" s="32"/>
      <c r="CH5" s="32"/>
      <c r="CI5" s="32"/>
      <c r="CJ5" s="32"/>
      <c r="CK5" s="32"/>
      <c r="CL5" s="32"/>
      <c r="CM5" s="32"/>
      <c r="CN5" s="32"/>
      <c r="CO5" s="32"/>
      <c r="CP5" s="32"/>
      <c r="CQ5" s="32"/>
      <c r="CR5" s="32"/>
      <c r="CS5" s="32"/>
      <c r="CT5" s="32"/>
      <c r="CU5" s="32"/>
      <c r="CV5" s="32"/>
      <c r="CW5" s="32"/>
      <c r="CX5" s="32"/>
      <c r="CY5" s="32"/>
      <c r="CZ5" s="32"/>
      <c r="DA5" s="32"/>
      <c r="DB5" s="32"/>
      <c r="DC5" s="32"/>
      <c r="DD5" s="32"/>
      <c r="DE5" s="32"/>
      <c r="DF5" s="32"/>
      <c r="DG5" s="32"/>
      <c r="DH5" s="32"/>
      <c r="DI5" s="32"/>
      <c r="DJ5" s="32"/>
      <c r="DK5" s="32"/>
      <c r="DL5" s="32"/>
      <c r="DM5" s="32"/>
      <c r="DN5" s="32"/>
    </row>
    <row r="6" spans="1:118" ht="15" customHeight="1" outlineLevel="1">
      <c r="A6" s="69"/>
      <c r="B6" s="69"/>
      <c r="C6" s="50"/>
      <c r="D6" s="50"/>
      <c r="E6" s="50"/>
      <c r="G6" s="31"/>
      <c r="L6" s="124"/>
      <c r="M6" s="571" t="s">
        <v>107</v>
      </c>
      <c r="N6" s="572"/>
      <c r="O6" s="572"/>
      <c r="P6" s="572"/>
      <c r="Q6" s="573"/>
      <c r="R6" s="657">
        <f>SUMIFS($F$15:$F$25,$D$15:$D$25,"AO",$E$15:$E$25,"")+SUMIFS($F$35:$F$53,$D$35:$D$53,"AO",$E$35:$E$53,"")+SUMIFS($F$62:$F$66,$D$62:$D$66,"AO",$E$62:$E$66,"")</f>
        <v>5926</v>
      </c>
      <c r="S6" s="658"/>
      <c r="T6" s="327"/>
      <c r="U6" s="324">
        <f>SUMIFS($F$15:$F$25,$D$15:$D$25,"REG",$E$15:$E$25,"")+SUMIFS($F$35:$F$53,$D$35:$D$53,"REG",$E$35:$E$53,"")+SUMIFS($F$62:$F$66,$D$62:$D$66,"REG",$E$62:$E$66,"")</f>
        <v>11089</v>
      </c>
      <c r="V6" s="197" t="s">
        <v>109</v>
      </c>
      <c r="W6" s="347"/>
      <c r="X6" s="197"/>
      <c r="Y6" s="347"/>
      <c r="Z6" s="197"/>
      <c r="AA6" s="347"/>
      <c r="AB6" s="347"/>
      <c r="AC6" s="212"/>
      <c r="AD6" s="197"/>
      <c r="AE6" s="165"/>
      <c r="AF6" s="44"/>
      <c r="AG6" s="44"/>
      <c r="AH6" s="44"/>
      <c r="AI6" s="44"/>
      <c r="AJ6" s="44"/>
      <c r="AK6" s="44"/>
      <c r="AL6" s="44"/>
      <c r="AM6" s="44"/>
      <c r="AN6" s="44"/>
      <c r="AO6" s="44"/>
      <c r="AP6" s="44"/>
      <c r="AQ6" s="184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  <c r="BO6" s="32"/>
      <c r="BP6" s="32"/>
      <c r="BQ6" s="32"/>
      <c r="BR6" s="32"/>
      <c r="BS6" s="32"/>
      <c r="BT6" s="32"/>
      <c r="BU6" s="32"/>
      <c r="BV6" s="32"/>
      <c r="BW6" s="32"/>
      <c r="BX6" s="32"/>
      <c r="BY6" s="32"/>
      <c r="BZ6" s="32"/>
      <c r="CA6" s="32"/>
      <c r="CB6" s="32"/>
      <c r="CC6" s="32"/>
      <c r="CD6" s="32"/>
      <c r="CE6" s="32"/>
      <c r="CF6" s="32"/>
      <c r="CG6" s="32"/>
      <c r="CH6" s="32"/>
      <c r="CI6" s="32"/>
      <c r="CJ6" s="32"/>
      <c r="CK6" s="32"/>
      <c r="CL6" s="32"/>
      <c r="CM6" s="32"/>
      <c r="CN6" s="32"/>
      <c r="CO6" s="32"/>
      <c r="CP6" s="32"/>
      <c r="CQ6" s="32"/>
      <c r="CR6" s="32"/>
      <c r="CS6" s="32"/>
      <c r="CT6" s="32"/>
      <c r="CU6" s="32"/>
      <c r="CV6" s="32"/>
      <c r="CW6" s="32"/>
      <c r="CX6" s="32"/>
      <c r="CY6" s="32"/>
      <c r="CZ6" s="32"/>
      <c r="DA6" s="32"/>
      <c r="DB6" s="32"/>
      <c r="DC6" s="32"/>
      <c r="DD6" s="32"/>
      <c r="DE6" s="32"/>
      <c r="DF6" s="32"/>
      <c r="DG6" s="32"/>
      <c r="DH6" s="32"/>
      <c r="DI6" s="32"/>
      <c r="DJ6" s="32"/>
      <c r="DK6" s="32"/>
      <c r="DL6" s="32"/>
      <c r="DM6" s="32"/>
      <c r="DN6" s="32"/>
    </row>
    <row r="7" spans="1:118" ht="15" customHeight="1" outlineLevel="1">
      <c r="A7" s="69"/>
      <c r="B7" s="69"/>
      <c r="C7" s="50"/>
      <c r="D7" s="50"/>
      <c r="E7" s="50"/>
      <c r="G7" s="31"/>
      <c r="L7" s="124"/>
      <c r="M7" s="574" t="s">
        <v>40</v>
      </c>
      <c r="N7" s="574"/>
      <c r="O7" s="574"/>
      <c r="P7" s="574"/>
      <c r="Q7" s="574"/>
      <c r="R7" s="575">
        <f>COUNTIFS($D$15:$D$25,"AO",$E$15:$E$25,"")+COUNTIFS($D$35:$D$53,"AO",$E$35:$E$53,"")+COUNTIFS($D$62:$D$66,"AO",$E$62:$E$66,"")</f>
        <v>3</v>
      </c>
      <c r="S7" s="575"/>
      <c r="T7" s="328"/>
      <c r="U7" s="196">
        <f>COUNTIFS($D$15:$D$25,"REG",$E$15:$E$25,"")+COUNTIFS($D$35:$D$53,"REG",$E$35:$E$53,"")+COUNTIFS($D$62:$D$66,"REG",$E$62:$E$66,"")</f>
        <v>4</v>
      </c>
      <c r="V7" s="124"/>
      <c r="W7" s="638" t="s">
        <v>40</v>
      </c>
      <c r="X7" s="639"/>
      <c r="Y7" s="639"/>
      <c r="Z7" s="639"/>
      <c r="AA7" s="639"/>
      <c r="AB7" s="639"/>
      <c r="AC7" s="344"/>
      <c r="AD7" s="124"/>
      <c r="AE7" s="44"/>
      <c r="AF7" s="44"/>
      <c r="AG7" s="44"/>
      <c r="AH7" s="44"/>
      <c r="AI7" s="44"/>
      <c r="AJ7" s="44"/>
      <c r="AK7" s="44"/>
      <c r="AL7" s="44"/>
      <c r="AM7" s="44"/>
      <c r="AN7" s="44"/>
      <c r="AO7" s="44"/>
      <c r="AP7" s="44"/>
      <c r="AQ7" s="184"/>
      <c r="AR7" s="32"/>
      <c r="AS7" s="32"/>
      <c r="AT7" s="32"/>
      <c r="AU7" s="32"/>
      <c r="AV7" s="32"/>
      <c r="AW7" s="32"/>
      <c r="AX7" s="32"/>
      <c r="AY7" s="32"/>
      <c r="AZ7" s="32"/>
      <c r="BA7" s="32"/>
      <c r="BB7" s="32"/>
      <c r="BC7" s="32"/>
      <c r="BD7" s="32"/>
      <c r="BE7" s="32"/>
      <c r="BF7" s="32"/>
      <c r="BG7" s="32"/>
      <c r="BH7" s="32"/>
      <c r="BI7" s="32"/>
      <c r="BJ7" s="32"/>
      <c r="BK7" s="32"/>
      <c r="BL7" s="32"/>
      <c r="BM7" s="32"/>
      <c r="BN7" s="32"/>
      <c r="BO7" s="32"/>
      <c r="BP7" s="32"/>
      <c r="BQ7" s="32"/>
      <c r="BR7" s="32"/>
      <c r="BS7" s="32"/>
      <c r="BT7" s="32"/>
      <c r="BU7" s="32"/>
      <c r="BV7" s="32"/>
      <c r="BW7" s="32"/>
      <c r="BX7" s="32"/>
      <c r="BY7" s="32"/>
      <c r="BZ7" s="32"/>
      <c r="CA7" s="32"/>
      <c r="CB7" s="32"/>
      <c r="CC7" s="32"/>
      <c r="CD7" s="32"/>
      <c r="CE7" s="32"/>
      <c r="CF7" s="32"/>
      <c r="CG7" s="32"/>
      <c r="CH7" s="32"/>
      <c r="CI7" s="32"/>
      <c r="CJ7" s="32"/>
      <c r="CK7" s="32"/>
      <c r="CL7" s="32"/>
      <c r="CM7" s="32"/>
      <c r="CN7" s="32"/>
      <c r="CO7" s="32"/>
      <c r="CP7" s="32"/>
      <c r="CQ7" s="32"/>
      <c r="CR7" s="32"/>
      <c r="CS7" s="32"/>
      <c r="CT7" s="32"/>
      <c r="CU7" s="32"/>
      <c r="CV7" s="32"/>
      <c r="CW7" s="32"/>
      <c r="CX7" s="32"/>
      <c r="CY7" s="32"/>
      <c r="CZ7" s="32"/>
      <c r="DA7" s="32"/>
      <c r="DB7" s="32"/>
      <c r="DC7" s="32"/>
      <c r="DD7" s="32"/>
      <c r="DE7" s="32"/>
      <c r="DF7" s="32"/>
      <c r="DG7" s="32"/>
      <c r="DH7" s="32"/>
      <c r="DI7" s="32"/>
      <c r="DJ7" s="32"/>
      <c r="DK7" s="32"/>
      <c r="DL7" s="32"/>
      <c r="DM7" s="32"/>
      <c r="DN7" s="32"/>
    </row>
    <row r="8" spans="1:118" ht="15" customHeight="1" outlineLevel="1">
      <c r="A8" s="69"/>
      <c r="B8" s="69"/>
      <c r="C8" s="50"/>
      <c r="D8" s="50"/>
      <c r="E8" s="50"/>
      <c r="G8" s="31"/>
      <c r="L8" s="124"/>
      <c r="M8" s="574" t="s">
        <v>111</v>
      </c>
      <c r="N8" s="574"/>
      <c r="O8" s="574"/>
      <c r="P8" s="574"/>
      <c r="Q8" s="574"/>
      <c r="R8" s="576">
        <f>$R$6/$F$2</f>
        <v>9.1316179575131676E-3</v>
      </c>
      <c r="S8" s="576"/>
      <c r="T8" s="348"/>
      <c r="U8" s="195">
        <f>$U$6/$F$2</f>
        <v>1.7087497727111628E-2</v>
      </c>
      <c r="V8" s="124"/>
      <c r="W8" s="638" t="s">
        <v>111</v>
      </c>
      <c r="X8" s="639"/>
      <c r="Y8" s="639"/>
      <c r="Z8" s="639"/>
      <c r="AA8" s="639"/>
      <c r="AB8" s="639"/>
      <c r="AC8" s="26"/>
      <c r="AD8" s="124"/>
      <c r="AE8" s="44"/>
      <c r="AF8" s="44"/>
      <c r="AG8" s="44"/>
      <c r="AH8" s="44"/>
      <c r="AI8" s="44"/>
      <c r="AJ8" s="44"/>
      <c r="AK8" s="44"/>
      <c r="AL8" s="44"/>
      <c r="AM8" s="44"/>
      <c r="AN8" s="44"/>
      <c r="AO8" s="44"/>
      <c r="AP8" s="44"/>
      <c r="AQ8" s="184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32"/>
      <c r="BC8" s="32"/>
      <c r="BD8" s="32"/>
      <c r="BE8" s="32"/>
      <c r="BF8" s="32"/>
      <c r="BG8" s="32"/>
      <c r="BH8" s="32"/>
      <c r="BI8" s="32"/>
      <c r="BJ8" s="32"/>
      <c r="BK8" s="32"/>
      <c r="BL8" s="32"/>
      <c r="BM8" s="32"/>
      <c r="BN8" s="32"/>
      <c r="BO8" s="32"/>
      <c r="BP8" s="32"/>
      <c r="BQ8" s="32"/>
      <c r="BR8" s="32"/>
      <c r="BS8" s="32"/>
      <c r="BT8" s="32"/>
      <c r="BU8" s="32"/>
      <c r="BV8" s="32"/>
      <c r="BW8" s="32"/>
      <c r="BX8" s="32"/>
      <c r="BY8" s="32"/>
      <c r="BZ8" s="32"/>
      <c r="CA8" s="32"/>
      <c r="CB8" s="32"/>
      <c r="CC8" s="32"/>
      <c r="CD8" s="32"/>
      <c r="CE8" s="32"/>
      <c r="CF8" s="32"/>
      <c r="CG8" s="32"/>
      <c r="CH8" s="32"/>
      <c r="CI8" s="32"/>
      <c r="CJ8" s="32"/>
      <c r="CK8" s="32"/>
      <c r="CL8" s="32"/>
      <c r="CM8" s="32"/>
      <c r="CN8" s="32"/>
      <c r="CO8" s="32"/>
      <c r="CP8" s="32"/>
      <c r="CQ8" s="32"/>
      <c r="CR8" s="32"/>
      <c r="CS8" s="32"/>
      <c r="CT8" s="32"/>
      <c r="CU8" s="32"/>
      <c r="CV8" s="32"/>
      <c r="CW8" s="32"/>
      <c r="CX8" s="32"/>
      <c r="CY8" s="32"/>
      <c r="CZ8" s="32"/>
      <c r="DA8" s="32"/>
      <c r="DB8" s="32"/>
      <c r="DC8" s="32"/>
      <c r="DD8" s="32"/>
      <c r="DE8" s="32"/>
      <c r="DF8" s="32"/>
      <c r="DG8" s="32"/>
      <c r="DH8" s="32"/>
      <c r="DI8" s="32"/>
      <c r="DJ8" s="32"/>
      <c r="DK8" s="32"/>
      <c r="DL8" s="32"/>
      <c r="DM8" s="32"/>
      <c r="DN8" s="32"/>
    </row>
    <row r="9" spans="1:118" ht="12.75" customHeight="1">
      <c r="A9" s="69"/>
      <c r="B9" s="69"/>
      <c r="C9" s="50"/>
      <c r="D9" s="50"/>
      <c r="E9" s="50"/>
      <c r="G9" s="31"/>
      <c r="L9" s="124"/>
      <c r="M9" s="31"/>
      <c r="N9" s="31"/>
      <c r="O9" s="124"/>
      <c r="P9" s="32"/>
      <c r="Q9" s="124"/>
      <c r="R9" s="32"/>
      <c r="S9" s="124"/>
      <c r="T9" s="154"/>
      <c r="U9" s="123"/>
      <c r="V9" s="124"/>
      <c r="W9" s="123"/>
      <c r="X9" s="124"/>
      <c r="Y9" s="31"/>
      <c r="Z9" s="124"/>
      <c r="AA9" s="31"/>
      <c r="AB9" s="31"/>
      <c r="AC9" s="31"/>
      <c r="AD9" s="124"/>
      <c r="AE9" s="44"/>
      <c r="AF9" s="44"/>
      <c r="AG9" s="44"/>
      <c r="AH9" s="44"/>
      <c r="AI9" s="44"/>
      <c r="AJ9" s="44"/>
      <c r="AK9" s="44"/>
      <c r="AL9" s="44"/>
      <c r="AM9" s="44"/>
      <c r="AN9" s="44"/>
      <c r="AO9" s="44"/>
      <c r="AP9" s="44"/>
      <c r="AQ9" s="184"/>
      <c r="AR9" s="32"/>
      <c r="AS9" s="32"/>
      <c r="AT9" s="32"/>
      <c r="AU9" s="32"/>
      <c r="AV9" s="32"/>
      <c r="AW9" s="32"/>
      <c r="AX9" s="32"/>
      <c r="AY9" s="32"/>
      <c r="AZ9" s="32"/>
      <c r="BA9" s="32"/>
      <c r="BB9" s="32"/>
      <c r="BC9" s="32"/>
      <c r="BD9" s="32"/>
      <c r="BE9" s="32"/>
      <c r="BF9" s="32"/>
      <c r="BG9" s="32"/>
      <c r="BH9" s="32"/>
      <c r="BI9" s="32"/>
      <c r="BJ9" s="32"/>
      <c r="BK9" s="32"/>
      <c r="BL9" s="32"/>
      <c r="BM9" s="32"/>
      <c r="BN9" s="32"/>
      <c r="BO9" s="32"/>
      <c r="BP9" s="32"/>
      <c r="BQ9" s="32"/>
      <c r="BR9" s="32"/>
      <c r="BS9" s="32"/>
      <c r="BT9" s="32"/>
      <c r="BU9" s="32"/>
      <c r="BV9" s="32"/>
      <c r="BW9" s="32"/>
      <c r="BX9" s="32"/>
      <c r="BY9" s="32"/>
      <c r="BZ9" s="32"/>
      <c r="CA9" s="32"/>
      <c r="CB9" s="32"/>
      <c r="CC9" s="32"/>
      <c r="CD9" s="32"/>
      <c r="CE9" s="32"/>
      <c r="CF9" s="32"/>
      <c r="CG9" s="32"/>
      <c r="CH9" s="32"/>
      <c r="CI9" s="32"/>
      <c r="CJ9" s="32"/>
      <c r="CK9" s="32"/>
      <c r="CL9" s="32"/>
      <c r="CM9" s="32"/>
      <c r="CN9" s="32"/>
      <c r="CO9" s="32"/>
      <c r="CP9" s="32"/>
      <c r="CQ9" s="32"/>
      <c r="CR9" s="32"/>
      <c r="CS9" s="32"/>
      <c r="CT9" s="32"/>
      <c r="CU9" s="32"/>
      <c r="CV9" s="32"/>
      <c r="CW9" s="32"/>
      <c r="CX9" s="32"/>
      <c r="CY9" s="32"/>
      <c r="CZ9" s="32"/>
      <c r="DA9" s="32"/>
      <c r="DB9" s="32"/>
      <c r="DC9" s="32"/>
      <c r="DD9" s="32"/>
      <c r="DE9" s="32"/>
      <c r="DF9" s="32"/>
      <c r="DG9" s="32"/>
      <c r="DH9" s="32"/>
      <c r="DI9" s="32"/>
      <c r="DJ9" s="32"/>
      <c r="DK9" s="32"/>
      <c r="DL9" s="32"/>
      <c r="DM9" s="32"/>
      <c r="DN9" s="32"/>
    </row>
    <row r="10" spans="1:118" ht="15" customHeight="1" thickBot="1">
      <c r="E10" s="31"/>
      <c r="F10" s="595" t="s">
        <v>32</v>
      </c>
      <c r="G10" s="596"/>
      <c r="H10" s="596"/>
      <c r="I10" s="597">
        <v>43008</v>
      </c>
      <c r="J10" s="597"/>
      <c r="K10" s="597"/>
      <c r="M10" s="45"/>
      <c r="N10" s="45"/>
      <c r="P10" s="45"/>
      <c r="R10" s="45"/>
      <c r="T10" s="178"/>
      <c r="U10" s="178"/>
      <c r="W10" s="372"/>
      <c r="Y10" s="52"/>
      <c r="AA10" s="31"/>
      <c r="AB10" s="31"/>
      <c r="AC10" s="31"/>
      <c r="AE10" s="637" t="s">
        <v>62</v>
      </c>
      <c r="AF10" s="637"/>
      <c r="AG10" s="637"/>
      <c r="AH10" s="637"/>
      <c r="AI10" s="637" t="s">
        <v>61</v>
      </c>
      <c r="AJ10" s="637"/>
      <c r="AK10" s="637"/>
      <c r="AL10" s="637"/>
      <c r="AM10" s="637" t="s">
        <v>88</v>
      </c>
      <c r="AN10" s="637"/>
      <c r="AO10" s="637"/>
      <c r="AP10" s="637"/>
      <c r="AQ10" s="184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  <c r="BH10" s="32"/>
      <c r="BI10" s="32"/>
      <c r="BJ10" s="32"/>
      <c r="BK10" s="32"/>
      <c r="BL10" s="32"/>
      <c r="BM10" s="32"/>
      <c r="BN10" s="32"/>
      <c r="BO10" s="32"/>
      <c r="BP10" s="32"/>
      <c r="BQ10" s="32"/>
      <c r="BR10" s="32"/>
      <c r="BS10" s="32"/>
      <c r="BT10" s="32"/>
      <c r="BU10" s="32"/>
      <c r="BV10" s="32"/>
      <c r="BW10" s="32"/>
      <c r="BX10" s="32"/>
      <c r="BY10" s="32"/>
      <c r="BZ10" s="32"/>
      <c r="CA10" s="32"/>
      <c r="CB10" s="32"/>
      <c r="CC10" s="32"/>
      <c r="CD10" s="32"/>
      <c r="CE10" s="32"/>
      <c r="CF10" s="32"/>
      <c r="CG10" s="32"/>
      <c r="CH10" s="32"/>
      <c r="CI10" s="32"/>
      <c r="CJ10" s="32"/>
      <c r="CK10" s="32"/>
      <c r="CL10" s="32"/>
      <c r="CM10" s="32"/>
      <c r="CN10" s="32"/>
      <c r="CO10" s="32"/>
      <c r="CP10" s="32"/>
      <c r="CQ10" s="32"/>
      <c r="CR10" s="32"/>
      <c r="CS10" s="32"/>
      <c r="CT10" s="32"/>
      <c r="CU10" s="32"/>
      <c r="CV10" s="32"/>
      <c r="CW10" s="32"/>
      <c r="CX10" s="32"/>
      <c r="CY10" s="32"/>
      <c r="CZ10" s="32"/>
      <c r="DA10" s="32"/>
      <c r="DB10" s="32"/>
      <c r="DC10" s="32"/>
      <c r="DD10" s="32"/>
      <c r="DE10" s="32"/>
      <c r="DF10" s="32"/>
      <c r="DG10" s="32"/>
      <c r="DH10" s="32"/>
      <c r="DI10" s="32"/>
      <c r="DJ10" s="32"/>
      <c r="DK10" s="32"/>
      <c r="DL10" s="32"/>
      <c r="DM10" s="32"/>
      <c r="DN10" s="32"/>
    </row>
    <row r="11" spans="1:118" ht="36" customHeight="1" thickBot="1">
      <c r="C11" s="51" t="s">
        <v>192</v>
      </c>
      <c r="D11" s="166" t="s">
        <v>39</v>
      </c>
      <c r="E11" s="166" t="s">
        <v>38</v>
      </c>
      <c r="F11" s="47" t="s">
        <v>0</v>
      </c>
      <c r="G11" s="46" t="s">
        <v>33</v>
      </c>
      <c r="H11" s="47" t="s">
        <v>1</v>
      </c>
      <c r="I11" s="47" t="s">
        <v>2</v>
      </c>
      <c r="J11" s="47" t="s">
        <v>3</v>
      </c>
      <c r="K11" s="114" t="s">
        <v>4</v>
      </c>
      <c r="L11" s="125"/>
      <c r="M11" s="116" t="s">
        <v>28</v>
      </c>
      <c r="N11" s="116" t="s">
        <v>34</v>
      </c>
      <c r="O11" s="317"/>
      <c r="P11" s="128" t="s">
        <v>112</v>
      </c>
      <c r="Q11" s="317"/>
      <c r="R11" s="276" t="s">
        <v>31</v>
      </c>
      <c r="S11" s="317"/>
      <c r="T11" s="580" t="s">
        <v>113</v>
      </c>
      <c r="U11" s="581"/>
      <c r="V11" s="317"/>
      <c r="W11" s="373" t="s">
        <v>118</v>
      </c>
      <c r="X11" s="317"/>
      <c r="Y11" s="116" t="s">
        <v>6</v>
      </c>
      <c r="Z11" s="317"/>
      <c r="AA11" s="608" t="s">
        <v>119</v>
      </c>
      <c r="AB11" s="609"/>
      <c r="AC11" s="610"/>
      <c r="AD11" s="317"/>
      <c r="AE11" s="117" t="s">
        <v>42</v>
      </c>
      <c r="AF11" s="118" t="s">
        <v>44</v>
      </c>
      <c r="AG11" s="118" t="s">
        <v>90</v>
      </c>
      <c r="AH11" s="118" t="s">
        <v>64</v>
      </c>
      <c r="AI11" s="119" t="s">
        <v>42</v>
      </c>
      <c r="AJ11" s="120" t="s">
        <v>44</v>
      </c>
      <c r="AK11" s="120" t="s">
        <v>90</v>
      </c>
      <c r="AL11" s="120" t="s">
        <v>64</v>
      </c>
      <c r="AM11" s="121" t="s">
        <v>42</v>
      </c>
      <c r="AN11" s="122" t="s">
        <v>44</v>
      </c>
      <c r="AO11" s="122" t="s">
        <v>90</v>
      </c>
      <c r="AP11" s="122" t="s">
        <v>64</v>
      </c>
      <c r="AQ11" s="184"/>
      <c r="AR11" s="584">
        <v>42401</v>
      </c>
      <c r="AS11" s="585"/>
      <c r="AT11" s="585"/>
      <c r="AU11" s="585"/>
      <c r="AV11" s="586"/>
      <c r="AW11" s="584">
        <v>42430</v>
      </c>
      <c r="AX11" s="585"/>
      <c r="AY11" s="585"/>
      <c r="AZ11" s="585"/>
      <c r="BA11" s="586"/>
      <c r="BB11" s="584">
        <v>42461</v>
      </c>
      <c r="BC11" s="585"/>
      <c r="BD11" s="585"/>
      <c r="BE11" s="585"/>
      <c r="BF11" s="586"/>
      <c r="BG11" s="584">
        <v>42491</v>
      </c>
      <c r="BH11" s="585"/>
      <c r="BI11" s="585"/>
      <c r="BJ11" s="585"/>
      <c r="BK11" s="586"/>
      <c r="BL11" s="584">
        <v>42522</v>
      </c>
      <c r="BM11" s="585"/>
      <c r="BN11" s="585"/>
      <c r="BO11" s="585"/>
      <c r="BP11" s="586"/>
      <c r="BQ11" s="584">
        <v>42552</v>
      </c>
      <c r="BR11" s="585"/>
      <c r="BS11" s="585"/>
      <c r="BT11" s="585"/>
      <c r="BU11" s="586"/>
      <c r="BV11" s="584">
        <v>42583</v>
      </c>
      <c r="BW11" s="585"/>
      <c r="BX11" s="585"/>
      <c r="BY11" s="585"/>
      <c r="BZ11" s="586"/>
      <c r="CA11" s="584">
        <v>42614</v>
      </c>
      <c r="CB11" s="585"/>
      <c r="CC11" s="585"/>
      <c r="CD11" s="585"/>
      <c r="CE11" s="586"/>
      <c r="CF11" s="584">
        <v>42644</v>
      </c>
      <c r="CG11" s="585"/>
      <c r="CH11" s="585"/>
      <c r="CI11" s="585"/>
      <c r="CJ11" s="586"/>
      <c r="CK11" s="584">
        <v>42675</v>
      </c>
      <c r="CL11" s="585"/>
      <c r="CM11" s="585"/>
      <c r="CN11" s="585"/>
      <c r="CO11" s="586"/>
      <c r="CP11" s="584">
        <v>42705</v>
      </c>
      <c r="CQ11" s="585"/>
      <c r="CR11" s="585"/>
      <c r="CS11" s="585"/>
      <c r="CT11" s="586"/>
      <c r="CU11" s="584">
        <v>42736</v>
      </c>
      <c r="CV11" s="585"/>
      <c r="CW11" s="585"/>
      <c r="CX11" s="585"/>
      <c r="CY11" s="586"/>
      <c r="CZ11" s="584">
        <v>42767</v>
      </c>
      <c r="DA11" s="585"/>
      <c r="DB11" s="585"/>
      <c r="DC11" s="585"/>
      <c r="DD11" s="586"/>
      <c r="DE11" s="584">
        <v>42795</v>
      </c>
      <c r="DF11" s="585"/>
      <c r="DG11" s="585"/>
      <c r="DH11" s="585"/>
      <c r="DI11" s="586"/>
      <c r="DJ11" s="584">
        <v>42826</v>
      </c>
      <c r="DK11" s="585"/>
      <c r="DL11" s="585"/>
      <c r="DM11" s="585"/>
      <c r="DN11" s="586"/>
    </row>
    <row r="12" spans="1:118" ht="5.25" customHeight="1">
      <c r="C12" s="41"/>
      <c r="D12" s="48"/>
      <c r="E12" s="48"/>
      <c r="F12" s="22"/>
      <c r="G12" s="31"/>
      <c r="M12" s="31"/>
      <c r="P12" s="31"/>
      <c r="R12" s="32"/>
      <c r="T12" s="123"/>
      <c r="U12" s="123"/>
      <c r="W12" s="123"/>
      <c r="Y12" s="31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184"/>
      <c r="AR12" s="427"/>
      <c r="AS12" s="427"/>
      <c r="AT12" s="427"/>
      <c r="AU12" s="427"/>
      <c r="AV12" s="427"/>
      <c r="AW12" s="427"/>
      <c r="AX12" s="427"/>
      <c r="AY12" s="427"/>
      <c r="AZ12" s="427"/>
      <c r="BA12" s="427"/>
      <c r="BB12" s="427"/>
      <c r="BC12" s="427"/>
      <c r="BD12" s="427"/>
      <c r="BE12" s="427"/>
      <c r="BF12" s="427"/>
      <c r="BG12" s="427"/>
      <c r="BH12" s="427"/>
      <c r="BI12" s="427"/>
      <c r="BJ12" s="427"/>
      <c r="BK12" s="427"/>
      <c r="BL12" s="427"/>
      <c r="BM12" s="427"/>
      <c r="BN12" s="427"/>
      <c r="BO12" s="427"/>
      <c r="BP12" s="427"/>
      <c r="BQ12" s="427"/>
      <c r="BR12" s="427"/>
      <c r="BS12" s="427"/>
      <c r="BT12" s="427"/>
      <c r="BU12" s="427"/>
      <c r="BV12" s="427"/>
      <c r="BW12" s="427"/>
      <c r="BX12" s="427"/>
      <c r="BY12" s="427"/>
      <c r="BZ12" s="427"/>
      <c r="CA12" s="427"/>
      <c r="CB12" s="427"/>
      <c r="CC12" s="427"/>
      <c r="CD12" s="427"/>
      <c r="CE12" s="427"/>
      <c r="CF12" s="427"/>
      <c r="CG12" s="427"/>
      <c r="CH12" s="427"/>
      <c r="CI12" s="427"/>
      <c r="CJ12" s="427"/>
      <c r="CK12" s="427"/>
      <c r="CL12" s="427"/>
      <c r="CM12" s="427"/>
      <c r="CN12" s="427"/>
      <c r="CO12" s="427"/>
      <c r="CP12" s="427"/>
      <c r="CQ12" s="427"/>
      <c r="CR12" s="427"/>
      <c r="CS12" s="427"/>
      <c r="CT12" s="427"/>
      <c r="CU12" s="427"/>
      <c r="CV12" s="427"/>
      <c r="CW12" s="427"/>
      <c r="CX12" s="427"/>
      <c r="CY12" s="427"/>
      <c r="CZ12" s="427"/>
      <c r="DA12" s="427"/>
      <c r="DB12" s="427"/>
      <c r="DC12" s="427"/>
      <c r="DD12" s="427"/>
      <c r="DE12" s="427"/>
      <c r="DF12" s="427"/>
      <c r="DG12" s="427"/>
      <c r="DH12" s="427"/>
      <c r="DI12" s="427"/>
      <c r="DJ12" s="427"/>
      <c r="DK12" s="427"/>
      <c r="DL12" s="427"/>
      <c r="DM12" s="427"/>
      <c r="DN12" s="427"/>
    </row>
    <row r="13" spans="1:118" s="29" customFormat="1" ht="18" outlineLevel="1">
      <c r="A13" s="68"/>
      <c r="B13" s="68"/>
      <c r="C13" s="53"/>
      <c r="D13" s="54"/>
      <c r="E13" s="138"/>
      <c r="F13" s="112">
        <f>SUM($F$15:$F$25)</f>
        <v>502466</v>
      </c>
      <c r="G13" s="113">
        <f>$F$13/$F$2</f>
        <v>0.77427059545052501</v>
      </c>
      <c r="H13" s="55"/>
      <c r="J13" s="57"/>
      <c r="K13" s="58"/>
      <c r="L13" s="53"/>
      <c r="M13" s="55"/>
      <c r="N13" s="115"/>
      <c r="O13" s="318"/>
      <c r="P13" s="33"/>
      <c r="Q13" s="318"/>
      <c r="R13" s="58"/>
      <c r="S13" s="318"/>
      <c r="T13" s="188" t="s">
        <v>114</v>
      </c>
      <c r="U13" s="187" t="s">
        <v>60</v>
      </c>
      <c r="V13" s="318"/>
      <c r="W13" s="189"/>
      <c r="X13" s="318"/>
      <c r="Y13" s="33"/>
      <c r="Z13" s="318"/>
      <c r="AA13" s="61"/>
      <c r="AB13" s="61"/>
      <c r="AC13" s="61"/>
      <c r="AD13" s="318"/>
      <c r="AE13" s="61"/>
      <c r="AF13" s="61"/>
      <c r="AG13" s="25"/>
      <c r="AH13" s="25"/>
      <c r="AI13" s="61"/>
      <c r="AJ13" s="61"/>
      <c r="AK13" s="25"/>
      <c r="AL13" s="25"/>
      <c r="AM13" s="61"/>
      <c r="AN13" s="61"/>
      <c r="AO13" s="25"/>
      <c r="AP13" s="25"/>
      <c r="AQ13" s="26"/>
      <c r="AR13" s="386" t="s">
        <v>5</v>
      </c>
      <c r="AS13" s="387" t="s">
        <v>184</v>
      </c>
      <c r="AT13" s="387" t="s">
        <v>7</v>
      </c>
      <c r="AU13" s="387" t="s">
        <v>8</v>
      </c>
      <c r="AV13" s="388" t="s">
        <v>9</v>
      </c>
      <c r="AW13" s="386" t="s">
        <v>5</v>
      </c>
      <c r="AX13" s="387" t="s">
        <v>184</v>
      </c>
      <c r="AY13" s="387" t="s">
        <v>7</v>
      </c>
      <c r="AZ13" s="387" t="s">
        <v>8</v>
      </c>
      <c r="BA13" s="388" t="s">
        <v>9</v>
      </c>
      <c r="BB13" s="386" t="s">
        <v>5</v>
      </c>
      <c r="BC13" s="387" t="s">
        <v>184</v>
      </c>
      <c r="BD13" s="387" t="s">
        <v>7</v>
      </c>
      <c r="BE13" s="387" t="s">
        <v>8</v>
      </c>
      <c r="BF13" s="388" t="s">
        <v>9</v>
      </c>
      <c r="BG13" s="386" t="s">
        <v>5</v>
      </c>
      <c r="BH13" s="387" t="s">
        <v>184</v>
      </c>
      <c r="BI13" s="387" t="s">
        <v>7</v>
      </c>
      <c r="BJ13" s="387" t="s">
        <v>8</v>
      </c>
      <c r="BK13" s="388" t="s">
        <v>9</v>
      </c>
      <c r="BL13" s="386" t="s">
        <v>5</v>
      </c>
      <c r="BM13" s="387" t="s">
        <v>184</v>
      </c>
      <c r="BN13" s="387" t="s">
        <v>7</v>
      </c>
      <c r="BO13" s="387" t="s">
        <v>8</v>
      </c>
      <c r="BP13" s="388" t="s">
        <v>9</v>
      </c>
      <c r="BQ13" s="386" t="s">
        <v>5</v>
      </c>
      <c r="BR13" s="387" t="s">
        <v>184</v>
      </c>
      <c r="BS13" s="387" t="s">
        <v>7</v>
      </c>
      <c r="BT13" s="387" t="s">
        <v>8</v>
      </c>
      <c r="BU13" s="388" t="s">
        <v>9</v>
      </c>
      <c r="BV13" s="386" t="s">
        <v>5</v>
      </c>
      <c r="BW13" s="387" t="s">
        <v>184</v>
      </c>
      <c r="BX13" s="387" t="s">
        <v>7</v>
      </c>
      <c r="BY13" s="387" t="s">
        <v>8</v>
      </c>
      <c r="BZ13" s="388" t="s">
        <v>9</v>
      </c>
      <c r="CA13" s="386" t="s">
        <v>5</v>
      </c>
      <c r="CB13" s="387" t="s">
        <v>184</v>
      </c>
      <c r="CC13" s="387" t="s">
        <v>7</v>
      </c>
      <c r="CD13" s="387" t="s">
        <v>8</v>
      </c>
      <c r="CE13" s="388" t="s">
        <v>9</v>
      </c>
      <c r="CF13" s="386" t="s">
        <v>5</v>
      </c>
      <c r="CG13" s="387" t="s">
        <v>184</v>
      </c>
      <c r="CH13" s="387" t="s">
        <v>7</v>
      </c>
      <c r="CI13" s="387" t="s">
        <v>8</v>
      </c>
      <c r="CJ13" s="388" t="s">
        <v>9</v>
      </c>
      <c r="CK13" s="386" t="s">
        <v>5</v>
      </c>
      <c r="CL13" s="387" t="s">
        <v>184</v>
      </c>
      <c r="CM13" s="387" t="s">
        <v>7</v>
      </c>
      <c r="CN13" s="387" t="s">
        <v>8</v>
      </c>
      <c r="CO13" s="388" t="s">
        <v>9</v>
      </c>
      <c r="CP13" s="386" t="s">
        <v>5</v>
      </c>
      <c r="CQ13" s="387" t="s">
        <v>184</v>
      </c>
      <c r="CR13" s="387" t="s">
        <v>7</v>
      </c>
      <c r="CS13" s="387" t="s">
        <v>8</v>
      </c>
      <c r="CT13" s="388" t="s">
        <v>9</v>
      </c>
      <c r="CU13" s="386" t="s">
        <v>5</v>
      </c>
      <c r="CV13" s="387" t="s">
        <v>184</v>
      </c>
      <c r="CW13" s="387" t="s">
        <v>7</v>
      </c>
      <c r="CX13" s="387" t="s">
        <v>8</v>
      </c>
      <c r="CY13" s="388" t="s">
        <v>9</v>
      </c>
      <c r="CZ13" s="386" t="s">
        <v>5</v>
      </c>
      <c r="DA13" s="387" t="s">
        <v>184</v>
      </c>
      <c r="DB13" s="387" t="s">
        <v>7</v>
      </c>
      <c r="DC13" s="387" t="s">
        <v>8</v>
      </c>
      <c r="DD13" s="388" t="s">
        <v>9</v>
      </c>
      <c r="DE13" s="386" t="s">
        <v>5</v>
      </c>
      <c r="DF13" s="387" t="s">
        <v>184</v>
      </c>
      <c r="DG13" s="387" t="s">
        <v>7</v>
      </c>
      <c r="DH13" s="387" t="s">
        <v>8</v>
      </c>
      <c r="DI13" s="388" t="s">
        <v>9</v>
      </c>
      <c r="DJ13" s="386" t="s">
        <v>5</v>
      </c>
      <c r="DK13" s="387" t="s">
        <v>184</v>
      </c>
      <c r="DL13" s="387" t="s">
        <v>7</v>
      </c>
      <c r="DM13" s="387" t="s">
        <v>8</v>
      </c>
      <c r="DN13" s="388" t="s">
        <v>9</v>
      </c>
    </row>
    <row r="14" spans="1:118" s="350" customFormat="1" ht="5.25" customHeight="1" thickBot="1">
      <c r="A14" s="349"/>
      <c r="B14" s="349"/>
      <c r="D14" s="351"/>
      <c r="E14" s="351"/>
      <c r="F14" s="352"/>
      <c r="G14" s="352"/>
      <c r="H14" s="352"/>
      <c r="I14" s="352"/>
      <c r="J14" s="352"/>
      <c r="K14" s="352"/>
      <c r="L14" s="352"/>
      <c r="M14" s="353"/>
      <c r="N14" s="353"/>
      <c r="O14" s="319"/>
      <c r="P14" s="353"/>
      <c r="Q14" s="319"/>
      <c r="R14" s="354"/>
      <c r="S14" s="319"/>
      <c r="T14" s="353"/>
      <c r="U14" s="353"/>
      <c r="V14" s="319"/>
      <c r="W14" s="319"/>
      <c r="X14" s="319"/>
      <c r="Y14" s="353"/>
      <c r="Z14" s="319"/>
      <c r="AA14" s="355"/>
      <c r="AB14" s="355"/>
      <c r="AC14" s="355"/>
      <c r="AD14" s="319"/>
      <c r="AE14" s="353"/>
      <c r="AF14" s="353"/>
      <c r="AG14" s="353"/>
      <c r="AH14" s="353"/>
      <c r="AI14" s="353"/>
      <c r="AJ14" s="353"/>
      <c r="AK14" s="353"/>
      <c r="AL14" s="353"/>
      <c r="AM14" s="352"/>
      <c r="AN14" s="356"/>
      <c r="AO14" s="353"/>
      <c r="AP14" s="356"/>
      <c r="AQ14" s="356"/>
      <c r="AR14" s="32"/>
      <c r="AS14" s="32"/>
      <c r="AT14" s="32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  <c r="BG14" s="32"/>
      <c r="BH14" s="32"/>
      <c r="BI14" s="32"/>
      <c r="BJ14" s="32"/>
      <c r="BK14" s="32"/>
      <c r="BL14" s="32"/>
      <c r="BM14" s="32"/>
      <c r="BN14" s="32"/>
      <c r="BO14" s="32"/>
      <c r="BP14" s="32"/>
      <c r="BQ14" s="32"/>
      <c r="BR14" s="32"/>
      <c r="BS14" s="32"/>
      <c r="BT14" s="32"/>
      <c r="BU14" s="32"/>
      <c r="BV14" s="32"/>
      <c r="BW14" s="32"/>
      <c r="BX14" s="32"/>
      <c r="BY14" s="32"/>
      <c r="BZ14" s="32"/>
      <c r="CA14" s="32"/>
      <c r="CB14" s="32"/>
      <c r="CC14" s="32"/>
      <c r="CD14" s="32"/>
      <c r="CE14" s="32"/>
      <c r="CF14" s="32"/>
      <c r="CG14" s="32"/>
      <c r="CH14" s="32"/>
      <c r="CI14" s="32"/>
      <c r="CJ14" s="32"/>
      <c r="CK14" s="32"/>
      <c r="CL14" s="32"/>
      <c r="CM14" s="32"/>
      <c r="CN14" s="32"/>
      <c r="CO14" s="32"/>
      <c r="CP14" s="32"/>
      <c r="CQ14" s="32"/>
      <c r="CR14" s="32"/>
      <c r="CS14" s="32"/>
      <c r="CT14" s="32"/>
      <c r="CU14" s="32"/>
      <c r="CV14" s="32"/>
      <c r="CW14" s="32"/>
      <c r="CX14" s="32"/>
      <c r="CY14" s="32"/>
      <c r="CZ14" s="32"/>
      <c r="DA14" s="32"/>
      <c r="DB14" s="32"/>
      <c r="DC14" s="32"/>
      <c r="DD14" s="32"/>
      <c r="DE14" s="32"/>
      <c r="DF14" s="32"/>
      <c r="DG14" s="32"/>
      <c r="DH14" s="32"/>
      <c r="DI14" s="32"/>
      <c r="DJ14" s="32"/>
      <c r="DK14" s="32"/>
      <c r="DL14" s="32"/>
      <c r="DM14" s="32"/>
      <c r="DN14" s="32"/>
    </row>
    <row r="15" spans="1:118" s="29" customFormat="1" ht="18" customHeight="1">
      <c r="A15" s="67">
        <v>1</v>
      </c>
      <c r="B15" s="67">
        <v>1</v>
      </c>
      <c r="C15" s="3" t="s">
        <v>229</v>
      </c>
      <c r="D15" s="17" t="s">
        <v>89</v>
      </c>
      <c r="E15" s="549"/>
      <c r="F15" s="305">
        <v>144076</v>
      </c>
      <c r="G15" s="306">
        <f>F15/$F$2</f>
        <v>0.22201265420969746</v>
      </c>
      <c r="H15" s="305"/>
      <c r="I15" s="305"/>
      <c r="J15" s="307"/>
      <c r="K15" s="135">
        <f>J15/F15</f>
        <v>0</v>
      </c>
      <c r="L15" s="357"/>
      <c r="M15" s="320">
        <v>31868</v>
      </c>
      <c r="N15" s="330">
        <f t="shared" ref="N15:N25" ca="1" si="0">($F$1-M15)/30.33/12</f>
        <v>30.962193647653592</v>
      </c>
      <c r="P15" s="8">
        <v>42369</v>
      </c>
      <c r="R15" s="358">
        <f ca="1">(W15-$F$1)/30.33</f>
        <v>2.7365644576327068</v>
      </c>
      <c r="T15" s="9" t="s">
        <v>116</v>
      </c>
      <c r="U15" s="132">
        <v>28</v>
      </c>
      <c r="W15" s="368">
        <f>IF(OR(T15="",T15="N"),P15,EDATE(P15,U15))</f>
        <v>43220</v>
      </c>
      <c r="Y15" s="9" t="s">
        <v>58</v>
      </c>
      <c r="AA15" s="634"/>
      <c r="AB15" s="635"/>
      <c r="AC15" s="636"/>
      <c r="AE15" s="9"/>
      <c r="AF15" s="9"/>
      <c r="AG15" s="9"/>
      <c r="AH15" s="9"/>
      <c r="AI15" s="9"/>
      <c r="AJ15" s="9"/>
      <c r="AK15" s="9"/>
      <c r="AL15" s="9"/>
      <c r="AM15" s="9"/>
      <c r="AN15" s="298"/>
      <c r="AO15" s="302"/>
      <c r="AP15" s="298"/>
      <c r="AQ15" s="457"/>
      <c r="AR15" s="392"/>
      <c r="AS15" s="393"/>
      <c r="AT15" s="428"/>
      <c r="AU15" s="393"/>
      <c r="AV15" s="394"/>
      <c r="AW15" s="392"/>
      <c r="AX15" s="393"/>
      <c r="AY15" s="428"/>
      <c r="AZ15" s="393"/>
      <c r="BA15" s="394"/>
      <c r="BB15" s="392"/>
      <c r="BC15" s="393"/>
      <c r="BD15" s="428"/>
      <c r="BE15" s="393"/>
      <c r="BF15" s="394"/>
      <c r="BG15" s="392"/>
      <c r="BH15" s="393"/>
      <c r="BI15" s="428"/>
      <c r="BJ15" s="393"/>
      <c r="BK15" s="394"/>
      <c r="BL15" s="392"/>
      <c r="BM15" s="393"/>
      <c r="BN15" s="428"/>
      <c r="BO15" s="393"/>
      <c r="BP15" s="394"/>
      <c r="BQ15" s="392"/>
      <c r="BR15" s="393"/>
      <c r="BS15" s="428"/>
      <c r="BT15" s="393"/>
      <c r="BU15" s="394"/>
      <c r="BV15" s="392"/>
      <c r="BW15" s="393"/>
      <c r="BX15" s="428"/>
      <c r="BY15" s="393"/>
      <c r="BZ15" s="394"/>
      <c r="CA15" s="392"/>
      <c r="CB15" s="393"/>
      <c r="CC15" s="428"/>
      <c r="CD15" s="393"/>
      <c r="CE15" s="394"/>
      <c r="CF15" s="392"/>
      <c r="CG15" s="393"/>
      <c r="CH15" s="428"/>
      <c r="CI15" s="393"/>
      <c r="CJ15" s="394"/>
      <c r="CK15" s="392"/>
      <c r="CL15" s="393"/>
      <c r="CM15" s="428"/>
      <c r="CN15" s="393"/>
      <c r="CO15" s="394"/>
      <c r="CP15" s="392"/>
      <c r="CQ15" s="393"/>
      <c r="CR15" s="428"/>
      <c r="CS15" s="393"/>
      <c r="CT15" s="394"/>
      <c r="CU15" s="392"/>
      <c r="CV15" s="393"/>
      <c r="CW15" s="428"/>
      <c r="CX15" s="393"/>
      <c r="CY15" s="394"/>
      <c r="CZ15" s="392"/>
      <c r="DA15" s="393"/>
      <c r="DB15" s="428"/>
      <c r="DC15" s="393"/>
      <c r="DD15" s="394"/>
      <c r="DE15" s="392"/>
      <c r="DF15" s="393"/>
      <c r="DG15" s="393"/>
      <c r="DH15" s="393"/>
      <c r="DI15" s="394"/>
      <c r="DJ15" s="392"/>
      <c r="DK15" s="393"/>
      <c r="DL15" s="393"/>
      <c r="DM15" s="393"/>
      <c r="DN15" s="394"/>
    </row>
    <row r="16" spans="1:118" s="29" customFormat="1" ht="18" customHeight="1">
      <c r="A16" s="67">
        <v>2</v>
      </c>
      <c r="B16" s="67">
        <v>2</v>
      </c>
      <c r="C16" s="4" t="s">
        <v>228</v>
      </c>
      <c r="D16" s="19" t="s">
        <v>54</v>
      </c>
      <c r="E16" s="551" t="s">
        <v>36</v>
      </c>
      <c r="F16" s="313">
        <v>85264</v>
      </c>
      <c r="G16" s="309">
        <f>F16/$F$2</f>
        <v>0.13138681632288268</v>
      </c>
      <c r="H16" s="311"/>
      <c r="I16" s="311"/>
      <c r="J16" s="312"/>
      <c r="K16" s="136"/>
      <c r="L16" s="357"/>
      <c r="M16" s="321">
        <v>41032</v>
      </c>
      <c r="N16" s="331">
        <f t="shared" ref="N16:N21" ca="1" si="1">($F$1-M16)/30.33/12</f>
        <v>5.7836025936916151</v>
      </c>
      <c r="P16" s="7">
        <v>43343</v>
      </c>
      <c r="R16" s="359">
        <f ca="1">(W16-$F$1)/30.33</f>
        <v>6.7919551599076824</v>
      </c>
      <c r="T16" s="385" t="s">
        <v>117</v>
      </c>
      <c r="U16" s="133"/>
      <c r="W16" s="369">
        <f>IF(OR(T16="",T16="N"),P16,EDATE(P16,U16))</f>
        <v>43343</v>
      </c>
      <c r="Y16" s="5"/>
      <c r="AA16" s="628"/>
      <c r="AB16" s="629"/>
      <c r="AC16" s="630"/>
      <c r="AE16" s="6"/>
      <c r="AF16" s="6"/>
      <c r="AG16" s="6"/>
      <c r="AH16" s="5"/>
      <c r="AI16" s="6"/>
      <c r="AJ16" s="6"/>
      <c r="AK16" s="6"/>
      <c r="AL16" s="6"/>
      <c r="AM16" s="6"/>
      <c r="AN16" s="299"/>
      <c r="AO16" s="303"/>
      <c r="AP16" s="299"/>
      <c r="AQ16" s="457"/>
      <c r="AR16" s="413"/>
      <c r="AS16" s="408"/>
      <c r="AT16" s="416"/>
      <c r="AU16" s="408"/>
      <c r="AV16" s="414"/>
      <c r="AW16" s="413"/>
      <c r="AX16" s="408"/>
      <c r="AY16" s="416"/>
      <c r="AZ16" s="408"/>
      <c r="BA16" s="414"/>
      <c r="BB16" s="413"/>
      <c r="BC16" s="408"/>
      <c r="BD16" s="416"/>
      <c r="BE16" s="408"/>
      <c r="BF16" s="414"/>
      <c r="BG16" s="413"/>
      <c r="BH16" s="408"/>
      <c r="BI16" s="416"/>
      <c r="BJ16" s="408"/>
      <c r="BK16" s="414"/>
      <c r="BL16" s="413"/>
      <c r="BM16" s="408"/>
      <c r="BN16" s="416"/>
      <c r="BO16" s="408"/>
      <c r="BP16" s="414"/>
      <c r="BQ16" s="413"/>
      <c r="BR16" s="408"/>
      <c r="BS16" s="416"/>
      <c r="BT16" s="408"/>
      <c r="BU16" s="414"/>
      <c r="BV16" s="413"/>
      <c r="BW16" s="408"/>
      <c r="BX16" s="416"/>
      <c r="BY16" s="408"/>
      <c r="BZ16" s="414"/>
      <c r="CA16" s="413"/>
      <c r="CB16" s="408"/>
      <c r="CC16" s="416"/>
      <c r="CD16" s="408"/>
      <c r="CE16" s="414"/>
      <c r="CF16" s="413"/>
      <c r="CG16" s="408"/>
      <c r="CH16" s="416"/>
      <c r="CI16" s="408"/>
      <c r="CJ16" s="414"/>
      <c r="CK16" s="413"/>
      <c r="CL16" s="408"/>
      <c r="CM16" s="416"/>
      <c r="CN16" s="408"/>
      <c r="CO16" s="414"/>
      <c r="CP16" s="413"/>
      <c r="CQ16" s="408"/>
      <c r="CR16" s="416"/>
      <c r="CS16" s="408"/>
      <c r="CT16" s="414"/>
      <c r="CU16" s="413"/>
      <c r="CV16" s="408"/>
      <c r="CW16" s="416"/>
      <c r="CX16" s="408"/>
      <c r="CY16" s="414"/>
      <c r="CZ16" s="413"/>
      <c r="DA16" s="408"/>
      <c r="DB16" s="416"/>
      <c r="DC16" s="408"/>
      <c r="DD16" s="414"/>
      <c r="DE16" s="413"/>
      <c r="DF16" s="408"/>
      <c r="DG16" s="408"/>
      <c r="DH16" s="408"/>
      <c r="DI16" s="414"/>
      <c r="DJ16" s="413"/>
      <c r="DK16" s="408"/>
      <c r="DL16" s="408"/>
      <c r="DM16" s="408"/>
      <c r="DN16" s="414"/>
    </row>
    <row r="17" spans="1:118" s="29" customFormat="1" ht="18" customHeight="1">
      <c r="A17" s="67">
        <v>3</v>
      </c>
      <c r="B17" s="67">
        <v>3</v>
      </c>
      <c r="C17" s="4" t="s">
        <v>230</v>
      </c>
      <c r="D17" s="19" t="s">
        <v>89</v>
      </c>
      <c r="E17" s="551"/>
      <c r="F17" s="313">
        <v>118705</v>
      </c>
      <c r="G17" s="309">
        <f>F17/$F$2</f>
        <v>0.18291743328494778</v>
      </c>
      <c r="H17" s="311"/>
      <c r="I17" s="311"/>
      <c r="J17" s="312"/>
      <c r="K17" s="136">
        <f>J17/F17</f>
        <v>0</v>
      </c>
      <c r="L17" s="357"/>
      <c r="M17" s="321">
        <v>40725</v>
      </c>
      <c r="N17" s="331">
        <f t="shared" ca="1" si="1"/>
        <v>6.627101879327399</v>
      </c>
      <c r="P17" s="7">
        <v>43343</v>
      </c>
      <c r="R17" s="359">
        <f ca="1">(W17-$F$1)/30.33</f>
        <v>6.7919551599076824</v>
      </c>
      <c r="T17" s="385" t="s">
        <v>117</v>
      </c>
      <c r="U17" s="133"/>
      <c r="W17" s="369">
        <f>IF(OR(T17="",T17="N"),P17,EDATE(P17,U17))</f>
        <v>43343</v>
      </c>
      <c r="Y17" s="5" t="s">
        <v>21</v>
      </c>
      <c r="AA17" s="628"/>
      <c r="AB17" s="629"/>
      <c r="AC17" s="630"/>
      <c r="AE17" s="6"/>
      <c r="AF17" s="6"/>
      <c r="AG17" s="6"/>
      <c r="AH17" s="5"/>
      <c r="AI17" s="6"/>
      <c r="AJ17" s="6"/>
      <c r="AK17" s="6"/>
      <c r="AL17" s="6"/>
      <c r="AM17" s="6"/>
      <c r="AN17" s="299"/>
      <c r="AO17" s="303"/>
      <c r="AP17" s="299"/>
      <c r="AQ17" s="457"/>
      <c r="AR17" s="413"/>
      <c r="AS17" s="408"/>
      <c r="AT17" s="416"/>
      <c r="AU17" s="408"/>
      <c r="AV17" s="414"/>
      <c r="AW17" s="413"/>
      <c r="AX17" s="408"/>
      <c r="AY17" s="416"/>
      <c r="AZ17" s="408"/>
      <c r="BA17" s="414"/>
      <c r="BB17" s="413"/>
      <c r="BC17" s="408"/>
      <c r="BD17" s="416"/>
      <c r="BE17" s="408"/>
      <c r="BF17" s="414"/>
      <c r="BG17" s="413"/>
      <c r="BH17" s="408"/>
      <c r="BI17" s="416"/>
      <c r="BJ17" s="408"/>
      <c r="BK17" s="414"/>
      <c r="BL17" s="413"/>
      <c r="BM17" s="408"/>
      <c r="BN17" s="416"/>
      <c r="BO17" s="408"/>
      <c r="BP17" s="414"/>
      <c r="BQ17" s="413"/>
      <c r="BR17" s="408"/>
      <c r="BS17" s="416"/>
      <c r="BT17" s="408"/>
      <c r="BU17" s="414"/>
      <c r="BV17" s="413"/>
      <c r="BW17" s="408"/>
      <c r="BX17" s="416"/>
      <c r="BY17" s="408"/>
      <c r="BZ17" s="414"/>
      <c r="CA17" s="413"/>
      <c r="CB17" s="408"/>
      <c r="CC17" s="416"/>
      <c r="CD17" s="408"/>
      <c r="CE17" s="414"/>
      <c r="CF17" s="413"/>
      <c r="CG17" s="408"/>
      <c r="CH17" s="416"/>
      <c r="CI17" s="408"/>
      <c r="CJ17" s="414"/>
      <c r="CK17" s="413"/>
      <c r="CL17" s="408"/>
      <c r="CM17" s="416"/>
      <c r="CN17" s="408"/>
      <c r="CO17" s="414"/>
      <c r="CP17" s="413"/>
      <c r="CQ17" s="408"/>
      <c r="CR17" s="416"/>
      <c r="CS17" s="408"/>
      <c r="CT17" s="414"/>
      <c r="CU17" s="413"/>
      <c r="CV17" s="408"/>
      <c r="CW17" s="416"/>
      <c r="CX17" s="408"/>
      <c r="CY17" s="414"/>
      <c r="CZ17" s="413"/>
      <c r="DA17" s="408"/>
      <c r="DB17" s="416"/>
      <c r="DC17" s="408"/>
      <c r="DD17" s="414"/>
      <c r="DE17" s="413"/>
      <c r="DF17" s="408"/>
      <c r="DG17" s="408"/>
      <c r="DH17" s="408"/>
      <c r="DI17" s="414"/>
      <c r="DJ17" s="413"/>
      <c r="DK17" s="408"/>
      <c r="DL17" s="408"/>
      <c r="DM17" s="408"/>
      <c r="DN17" s="414"/>
    </row>
    <row r="18" spans="1:118" s="29" customFormat="1" ht="18" customHeight="1">
      <c r="A18" s="67">
        <v>4</v>
      </c>
      <c r="B18" s="67">
        <v>4</v>
      </c>
      <c r="C18" s="1" t="s">
        <v>231</v>
      </c>
      <c r="D18" s="18" t="s">
        <v>30</v>
      </c>
      <c r="E18" s="552"/>
      <c r="F18" s="313">
        <v>33135</v>
      </c>
      <c r="G18" s="309">
        <f>F18/$F$2</f>
        <v>5.1059088933884375E-2</v>
      </c>
      <c r="H18" s="311"/>
      <c r="I18" s="311"/>
      <c r="J18" s="312"/>
      <c r="K18" s="136">
        <f>J18/F18</f>
        <v>0</v>
      </c>
      <c r="L18" s="357"/>
      <c r="M18" s="321">
        <v>42522</v>
      </c>
      <c r="N18" s="331">
        <f t="shared" ca="1" si="1"/>
        <v>1.6897461259479065</v>
      </c>
      <c r="P18" s="7">
        <v>43616</v>
      </c>
      <c r="R18" s="359">
        <f ca="1">(W18-$F$1)/30.33</f>
        <v>15.792944279591165</v>
      </c>
      <c r="T18" s="385" t="s">
        <v>117</v>
      </c>
      <c r="U18" s="133"/>
      <c r="W18" s="369">
        <f>IF(OR(T18="",T18="N"),P18,EDATE(P18,U18))</f>
        <v>43616</v>
      </c>
      <c r="Y18" s="5" t="s">
        <v>21</v>
      </c>
      <c r="AA18" s="628"/>
      <c r="AB18" s="629"/>
      <c r="AC18" s="630"/>
      <c r="AE18" s="6"/>
      <c r="AF18" s="6"/>
      <c r="AG18" s="6"/>
      <c r="AH18" s="5"/>
      <c r="AI18" s="6"/>
      <c r="AJ18" s="6"/>
      <c r="AK18" s="6"/>
      <c r="AL18" s="6"/>
      <c r="AM18" s="6"/>
      <c r="AN18" s="66"/>
      <c r="AO18" s="5"/>
      <c r="AP18" s="66"/>
      <c r="AQ18" s="458"/>
      <c r="AR18" s="398"/>
      <c r="AS18" s="399"/>
      <c r="AT18" s="429"/>
      <c r="AU18" s="399"/>
      <c r="AV18" s="401"/>
      <c r="AW18" s="398"/>
      <c r="AX18" s="399"/>
      <c r="AY18" s="429"/>
      <c r="AZ18" s="399"/>
      <c r="BA18" s="401"/>
      <c r="BB18" s="398"/>
      <c r="BC18" s="399"/>
      <c r="BD18" s="429"/>
      <c r="BE18" s="399"/>
      <c r="BF18" s="401"/>
      <c r="BG18" s="398"/>
      <c r="BH18" s="399"/>
      <c r="BI18" s="429"/>
      <c r="BJ18" s="399"/>
      <c r="BK18" s="401"/>
      <c r="BL18" s="398"/>
      <c r="BM18" s="399"/>
      <c r="BN18" s="429"/>
      <c r="BO18" s="399"/>
      <c r="BP18" s="401"/>
      <c r="BQ18" s="398"/>
      <c r="BR18" s="399"/>
      <c r="BS18" s="429"/>
      <c r="BT18" s="399"/>
      <c r="BU18" s="401"/>
      <c r="BV18" s="398"/>
      <c r="BW18" s="399"/>
      <c r="BX18" s="429"/>
      <c r="BY18" s="399"/>
      <c r="BZ18" s="401"/>
      <c r="CA18" s="398"/>
      <c r="CB18" s="399"/>
      <c r="CC18" s="429"/>
      <c r="CD18" s="399"/>
      <c r="CE18" s="401"/>
      <c r="CF18" s="398"/>
      <c r="CG18" s="399"/>
      <c r="CH18" s="429"/>
      <c r="CI18" s="399"/>
      <c r="CJ18" s="401"/>
      <c r="CK18" s="398"/>
      <c r="CL18" s="399"/>
      <c r="CM18" s="429"/>
      <c r="CN18" s="399"/>
      <c r="CO18" s="401"/>
      <c r="CP18" s="398"/>
      <c r="CQ18" s="399"/>
      <c r="CR18" s="429"/>
      <c r="CS18" s="399"/>
      <c r="CT18" s="401"/>
      <c r="CU18" s="398"/>
      <c r="CV18" s="399"/>
      <c r="CW18" s="429"/>
      <c r="CX18" s="399"/>
      <c r="CY18" s="401"/>
      <c r="CZ18" s="398"/>
      <c r="DA18" s="399"/>
      <c r="DB18" s="429"/>
      <c r="DC18" s="399"/>
      <c r="DD18" s="401"/>
      <c r="DE18" s="398"/>
      <c r="DF18" s="399"/>
      <c r="DG18" s="399"/>
      <c r="DH18" s="399"/>
      <c r="DI18" s="401"/>
      <c r="DJ18" s="398"/>
      <c r="DK18" s="399"/>
      <c r="DL18" s="399"/>
      <c r="DM18" s="399"/>
      <c r="DN18" s="401"/>
    </row>
    <row r="19" spans="1:118" s="29" customFormat="1" ht="18" customHeight="1">
      <c r="A19" s="67">
        <v>5</v>
      </c>
      <c r="B19" s="67">
        <v>5</v>
      </c>
      <c r="C19" s="4" t="s">
        <v>232</v>
      </c>
      <c r="D19" s="19" t="s">
        <v>89</v>
      </c>
      <c r="E19" s="551"/>
      <c r="F19" s="313">
        <v>26239</v>
      </c>
      <c r="G19" s="309">
        <f t="shared" ref="G19:G25" si="2">F19/$F$2</f>
        <v>4.0432757945863651E-2</v>
      </c>
      <c r="H19" s="311"/>
      <c r="I19" s="311"/>
      <c r="J19" s="312"/>
      <c r="K19" s="136">
        <f>J19/F19</f>
        <v>0</v>
      </c>
      <c r="L19" s="357"/>
      <c r="M19" s="321">
        <v>36312</v>
      </c>
      <c r="N19" s="331">
        <f t="shared" ca="1" si="1"/>
        <v>18.752060666007257</v>
      </c>
      <c r="P19" s="7">
        <v>42855</v>
      </c>
      <c r="R19" s="359">
        <f t="shared" ref="R19:R25" ca="1" si="3">(W19-$F$1)/30.33</f>
        <v>1.714474118034949</v>
      </c>
      <c r="T19" s="385" t="s">
        <v>116</v>
      </c>
      <c r="U19" s="133">
        <v>11</v>
      </c>
      <c r="W19" s="369">
        <f t="shared" ref="W19:W25" si="4">IF(OR(T19="",T19="N"),P19,EDATE(P19,U19))</f>
        <v>43189</v>
      </c>
      <c r="Y19" s="5" t="s">
        <v>14</v>
      </c>
      <c r="AA19" s="628"/>
      <c r="AB19" s="629"/>
      <c r="AC19" s="630"/>
      <c r="AE19" s="6"/>
      <c r="AF19" s="6"/>
      <c r="AG19" s="6"/>
      <c r="AH19" s="5"/>
      <c r="AI19" s="6"/>
      <c r="AJ19" s="6"/>
      <c r="AK19" s="6"/>
      <c r="AL19" s="6"/>
      <c r="AM19" s="6"/>
      <c r="AN19" s="299"/>
      <c r="AO19" s="303"/>
      <c r="AP19" s="299"/>
      <c r="AQ19" s="457"/>
      <c r="AR19" s="413"/>
      <c r="AS19" s="408"/>
      <c r="AT19" s="416"/>
      <c r="AU19" s="408"/>
      <c r="AV19" s="414"/>
      <c r="AW19" s="413"/>
      <c r="AX19" s="408"/>
      <c r="AY19" s="416"/>
      <c r="AZ19" s="408"/>
      <c r="BA19" s="414"/>
      <c r="BB19" s="413"/>
      <c r="BC19" s="408"/>
      <c r="BD19" s="416"/>
      <c r="BE19" s="408"/>
      <c r="BF19" s="414"/>
      <c r="BG19" s="413"/>
      <c r="BH19" s="408"/>
      <c r="BI19" s="416"/>
      <c r="BJ19" s="408"/>
      <c r="BK19" s="414"/>
      <c r="BL19" s="413"/>
      <c r="BM19" s="408"/>
      <c r="BN19" s="416"/>
      <c r="BO19" s="408"/>
      <c r="BP19" s="414"/>
      <c r="BQ19" s="413"/>
      <c r="BR19" s="408"/>
      <c r="BS19" s="416"/>
      <c r="BT19" s="408"/>
      <c r="BU19" s="414"/>
      <c r="BV19" s="413"/>
      <c r="BW19" s="408"/>
      <c r="BX19" s="416"/>
      <c r="BY19" s="408"/>
      <c r="BZ19" s="414"/>
      <c r="CA19" s="413"/>
      <c r="CB19" s="408"/>
      <c r="CC19" s="416"/>
      <c r="CD19" s="408"/>
      <c r="CE19" s="414"/>
      <c r="CF19" s="413"/>
      <c r="CG19" s="408"/>
      <c r="CH19" s="416"/>
      <c r="CI19" s="408"/>
      <c r="CJ19" s="414"/>
      <c r="CK19" s="413"/>
      <c r="CL19" s="408"/>
      <c r="CM19" s="416"/>
      <c r="CN19" s="408"/>
      <c r="CO19" s="414"/>
      <c r="CP19" s="413"/>
      <c r="CQ19" s="408"/>
      <c r="CR19" s="416"/>
      <c r="CS19" s="408"/>
      <c r="CT19" s="414"/>
      <c r="CU19" s="413"/>
      <c r="CV19" s="408"/>
      <c r="CW19" s="416"/>
      <c r="CX19" s="408"/>
      <c r="CY19" s="414"/>
      <c r="CZ19" s="413"/>
      <c r="DA19" s="408"/>
      <c r="DB19" s="416"/>
      <c r="DC19" s="408"/>
      <c r="DD19" s="414"/>
      <c r="DE19" s="413"/>
      <c r="DF19" s="408"/>
      <c r="DG19" s="408"/>
      <c r="DH19" s="408"/>
      <c r="DI19" s="414"/>
      <c r="DJ19" s="413"/>
      <c r="DK19" s="408"/>
      <c r="DL19" s="408"/>
      <c r="DM19" s="408"/>
      <c r="DN19" s="414"/>
    </row>
    <row r="20" spans="1:118" s="29" customFormat="1" ht="18" customHeight="1">
      <c r="A20" s="67">
        <v>6</v>
      </c>
      <c r="B20" s="67">
        <v>6</v>
      </c>
      <c r="C20" s="1" t="s">
        <v>187</v>
      </c>
      <c r="D20" s="18" t="s">
        <v>89</v>
      </c>
      <c r="E20" s="552" t="s">
        <v>36</v>
      </c>
      <c r="F20" s="311">
        <v>21324</v>
      </c>
      <c r="G20" s="309">
        <f t="shared" si="2"/>
        <v>3.2859031610869185E-2</v>
      </c>
      <c r="H20" s="311"/>
      <c r="I20" s="311"/>
      <c r="J20" s="312"/>
      <c r="K20" s="136">
        <f t="shared" ref="K20:K25" si="5">J20/F20</f>
        <v>0</v>
      </c>
      <c r="L20" s="357"/>
      <c r="M20" s="322">
        <v>39569</v>
      </c>
      <c r="N20" s="331">
        <f t="shared" ca="1" si="1"/>
        <v>9.8032750851741959</v>
      </c>
      <c r="P20" s="10">
        <v>42490</v>
      </c>
      <c r="R20" s="359">
        <f ca="1">(W20-$F$1)/30.33</f>
        <v>2.7365644576327068</v>
      </c>
      <c r="T20" s="11" t="s">
        <v>116</v>
      </c>
      <c r="U20" s="133">
        <v>24</v>
      </c>
      <c r="W20" s="369">
        <f t="shared" si="4"/>
        <v>43220</v>
      </c>
      <c r="Y20" s="11" t="s">
        <v>14</v>
      </c>
      <c r="AA20" s="628"/>
      <c r="AB20" s="629"/>
      <c r="AC20" s="630"/>
      <c r="AE20" s="11"/>
      <c r="AF20" s="11"/>
      <c r="AG20" s="11"/>
      <c r="AH20" s="11"/>
      <c r="AI20" s="11"/>
      <c r="AJ20" s="11"/>
      <c r="AK20" s="11"/>
      <c r="AL20" s="11"/>
      <c r="AM20" s="11"/>
      <c r="AN20" s="299"/>
      <c r="AO20" s="303"/>
      <c r="AP20" s="299"/>
      <c r="AQ20" s="457"/>
      <c r="AR20" s="398"/>
      <c r="AS20" s="399"/>
      <c r="AT20" s="429"/>
      <c r="AU20" s="399"/>
      <c r="AV20" s="401"/>
      <c r="AW20" s="398"/>
      <c r="AX20" s="399"/>
      <c r="AY20" s="429"/>
      <c r="AZ20" s="399"/>
      <c r="BA20" s="401"/>
      <c r="BB20" s="398"/>
      <c r="BC20" s="399"/>
      <c r="BD20" s="429"/>
      <c r="BE20" s="399"/>
      <c r="BF20" s="401"/>
      <c r="BG20" s="398"/>
      <c r="BH20" s="399"/>
      <c r="BI20" s="429"/>
      <c r="BJ20" s="399"/>
      <c r="BK20" s="401"/>
      <c r="BL20" s="398"/>
      <c r="BM20" s="399"/>
      <c r="BN20" s="429"/>
      <c r="BO20" s="399"/>
      <c r="BP20" s="401"/>
      <c r="BQ20" s="398"/>
      <c r="BR20" s="399"/>
      <c r="BS20" s="429"/>
      <c r="BT20" s="399"/>
      <c r="BU20" s="401"/>
      <c r="BV20" s="398"/>
      <c r="BW20" s="399"/>
      <c r="BX20" s="429"/>
      <c r="BY20" s="399"/>
      <c r="BZ20" s="401"/>
      <c r="CA20" s="398"/>
      <c r="CB20" s="399"/>
      <c r="CC20" s="429"/>
      <c r="CD20" s="399"/>
      <c r="CE20" s="401"/>
      <c r="CF20" s="398"/>
      <c r="CG20" s="399"/>
      <c r="CH20" s="429"/>
      <c r="CI20" s="399"/>
      <c r="CJ20" s="401"/>
      <c r="CK20" s="398"/>
      <c r="CL20" s="399"/>
      <c r="CM20" s="429"/>
      <c r="CN20" s="399"/>
      <c r="CO20" s="401"/>
      <c r="CP20" s="398"/>
      <c r="CQ20" s="399"/>
      <c r="CR20" s="429"/>
      <c r="CS20" s="399"/>
      <c r="CT20" s="401"/>
      <c r="CU20" s="398"/>
      <c r="CV20" s="399"/>
      <c r="CW20" s="429"/>
      <c r="CX20" s="399"/>
      <c r="CY20" s="401"/>
      <c r="CZ20" s="398"/>
      <c r="DA20" s="399"/>
      <c r="DB20" s="429"/>
      <c r="DC20" s="399"/>
      <c r="DD20" s="401"/>
      <c r="DE20" s="398"/>
      <c r="DF20" s="399"/>
      <c r="DG20" s="399"/>
      <c r="DH20" s="399"/>
      <c r="DI20" s="401"/>
      <c r="DJ20" s="398"/>
      <c r="DK20" s="399"/>
      <c r="DL20" s="399"/>
      <c r="DM20" s="399"/>
      <c r="DN20" s="401"/>
    </row>
    <row r="21" spans="1:118" s="29" customFormat="1" ht="18" customHeight="1">
      <c r="A21" s="67">
        <v>7</v>
      </c>
      <c r="B21" s="67">
        <v>7</v>
      </c>
      <c r="C21" s="1" t="s">
        <v>257</v>
      </c>
      <c r="D21" s="18" t="s">
        <v>30</v>
      </c>
      <c r="E21" s="552" t="s">
        <v>36</v>
      </c>
      <c r="F21" s="311">
        <v>19090</v>
      </c>
      <c r="G21" s="309">
        <f>F21/$F$2</f>
        <v>2.9416568816896114E-2</v>
      </c>
      <c r="H21" s="311"/>
      <c r="I21" s="311"/>
      <c r="J21" s="312"/>
      <c r="K21" s="136">
        <f>J21/F21</f>
        <v>0</v>
      </c>
      <c r="L21" s="357"/>
      <c r="M21" s="321">
        <v>42278</v>
      </c>
      <c r="N21" s="331">
        <f t="shared" ca="1" si="1"/>
        <v>2.3601494669743928</v>
      </c>
      <c r="P21" s="7">
        <v>43281</v>
      </c>
      <c r="R21" s="359">
        <f ca="1">(W21-$F$1)/30.33</f>
        <v>4.7477744807121667</v>
      </c>
      <c r="T21" s="385" t="s">
        <v>117</v>
      </c>
      <c r="U21" s="133"/>
      <c r="W21" s="369">
        <f>IF(OR(T21="",T21="N"),P21,EDATE(P21,U21))</f>
        <v>43281</v>
      </c>
      <c r="Y21" s="5" t="s">
        <v>57</v>
      </c>
      <c r="AA21" s="628"/>
      <c r="AB21" s="629"/>
      <c r="AC21" s="630"/>
      <c r="AE21" s="6"/>
      <c r="AF21" s="6"/>
      <c r="AG21" s="6"/>
      <c r="AH21" s="5"/>
      <c r="AI21" s="6"/>
      <c r="AJ21" s="6"/>
      <c r="AK21" s="6"/>
      <c r="AL21" s="6"/>
      <c r="AM21" s="6"/>
      <c r="AN21" s="66"/>
      <c r="AO21" s="5"/>
      <c r="AP21" s="66"/>
      <c r="AQ21" s="458"/>
      <c r="AR21" s="398"/>
      <c r="AS21" s="399"/>
      <c r="AT21" s="429"/>
      <c r="AU21" s="399"/>
      <c r="AV21" s="401"/>
      <c r="AW21" s="398"/>
      <c r="AX21" s="399"/>
      <c r="AY21" s="429"/>
      <c r="AZ21" s="399"/>
      <c r="BA21" s="401"/>
      <c r="BB21" s="398"/>
      <c r="BC21" s="399"/>
      <c r="BD21" s="429"/>
      <c r="BE21" s="399"/>
      <c r="BF21" s="401"/>
      <c r="BG21" s="398"/>
      <c r="BH21" s="399"/>
      <c r="BI21" s="429"/>
      <c r="BJ21" s="399"/>
      <c r="BK21" s="401"/>
      <c r="BL21" s="398"/>
      <c r="BM21" s="399"/>
      <c r="BN21" s="429"/>
      <c r="BO21" s="399"/>
      <c r="BP21" s="401"/>
      <c r="BQ21" s="398"/>
      <c r="BR21" s="399"/>
      <c r="BS21" s="429"/>
      <c r="BT21" s="399"/>
      <c r="BU21" s="401"/>
      <c r="BV21" s="398"/>
      <c r="BW21" s="399"/>
      <c r="BX21" s="429"/>
      <c r="BY21" s="399"/>
      <c r="BZ21" s="401"/>
      <c r="CA21" s="398"/>
      <c r="CB21" s="399"/>
      <c r="CC21" s="429"/>
      <c r="CD21" s="399"/>
      <c r="CE21" s="401"/>
      <c r="CF21" s="398"/>
      <c r="CG21" s="399"/>
      <c r="CH21" s="429"/>
      <c r="CI21" s="399"/>
      <c r="CJ21" s="401"/>
      <c r="CK21" s="398"/>
      <c r="CL21" s="399"/>
      <c r="CM21" s="429"/>
      <c r="CN21" s="399"/>
      <c r="CO21" s="401"/>
      <c r="CP21" s="398"/>
      <c r="CQ21" s="399"/>
      <c r="CR21" s="429"/>
      <c r="CS21" s="399"/>
      <c r="CT21" s="401"/>
      <c r="CU21" s="398"/>
      <c r="CV21" s="399"/>
      <c r="CW21" s="429"/>
      <c r="CX21" s="399"/>
      <c r="CY21" s="401"/>
      <c r="CZ21" s="398"/>
      <c r="DA21" s="399"/>
      <c r="DB21" s="429"/>
      <c r="DC21" s="399"/>
      <c r="DD21" s="401"/>
      <c r="DE21" s="398"/>
      <c r="DF21" s="399"/>
      <c r="DG21" s="399"/>
      <c r="DH21" s="399"/>
      <c r="DI21" s="401"/>
      <c r="DJ21" s="398"/>
      <c r="DK21" s="399"/>
      <c r="DL21" s="399"/>
      <c r="DM21" s="399"/>
      <c r="DN21" s="401"/>
    </row>
    <row r="22" spans="1:118" s="29" customFormat="1" ht="18" customHeight="1">
      <c r="A22" s="67">
        <v>8</v>
      </c>
      <c r="B22" s="67">
        <v>8</v>
      </c>
      <c r="C22" s="1" t="s">
        <v>233</v>
      </c>
      <c r="D22" s="18" t="s">
        <v>89</v>
      </c>
      <c r="E22" s="552"/>
      <c r="F22" s="311">
        <v>16881</v>
      </c>
      <c r="G22" s="309">
        <f t="shared" si="2"/>
        <v>2.6012629554637155E-2</v>
      </c>
      <c r="H22" s="311"/>
      <c r="I22" s="311"/>
      <c r="J22" s="312"/>
      <c r="K22" s="136">
        <f t="shared" si="5"/>
        <v>0</v>
      </c>
      <c r="L22" s="357"/>
      <c r="M22" s="321">
        <v>41275</v>
      </c>
      <c r="N22" s="331">
        <f t="shared" ca="1" si="0"/>
        <v>5.1159468073414667</v>
      </c>
      <c r="P22" s="10">
        <v>43465</v>
      </c>
      <c r="R22" s="359">
        <f t="shared" ca="1" si="3"/>
        <v>10.814375206066602</v>
      </c>
      <c r="T22" s="11" t="s">
        <v>117</v>
      </c>
      <c r="U22" s="133"/>
      <c r="W22" s="369">
        <f t="shared" si="4"/>
        <v>43465</v>
      </c>
      <c r="Y22" s="11" t="s">
        <v>21</v>
      </c>
      <c r="AA22" s="628"/>
      <c r="AB22" s="629"/>
      <c r="AC22" s="630"/>
      <c r="AE22" s="11"/>
      <c r="AF22" s="11"/>
      <c r="AG22" s="11"/>
      <c r="AH22" s="11"/>
      <c r="AI22" s="11"/>
      <c r="AJ22" s="11"/>
      <c r="AK22" s="11"/>
      <c r="AL22" s="11"/>
      <c r="AM22" s="11"/>
      <c r="AN22" s="299"/>
      <c r="AO22" s="303"/>
      <c r="AP22" s="299"/>
      <c r="AQ22" s="457"/>
      <c r="AR22" s="405"/>
      <c r="AS22" s="402"/>
      <c r="AT22" s="409"/>
      <c r="AU22" s="402"/>
      <c r="AV22" s="403"/>
      <c r="AW22" s="405"/>
      <c r="AX22" s="402"/>
      <c r="AY22" s="409"/>
      <c r="AZ22" s="402"/>
      <c r="BA22" s="403"/>
      <c r="BB22" s="405"/>
      <c r="BC22" s="402"/>
      <c r="BD22" s="409"/>
      <c r="BE22" s="402"/>
      <c r="BF22" s="403"/>
      <c r="BG22" s="405"/>
      <c r="BH22" s="402"/>
      <c r="BI22" s="409"/>
      <c r="BJ22" s="402"/>
      <c r="BK22" s="403"/>
      <c r="BL22" s="405"/>
      <c r="BM22" s="402"/>
      <c r="BN22" s="409"/>
      <c r="BO22" s="402"/>
      <c r="BP22" s="403"/>
      <c r="BQ22" s="405"/>
      <c r="BR22" s="402"/>
      <c r="BS22" s="409"/>
      <c r="BT22" s="402"/>
      <c r="BU22" s="403"/>
      <c r="BV22" s="405"/>
      <c r="BW22" s="402"/>
      <c r="BX22" s="409"/>
      <c r="BY22" s="402"/>
      <c r="BZ22" s="403"/>
      <c r="CA22" s="405"/>
      <c r="CB22" s="402"/>
      <c r="CC22" s="409"/>
      <c r="CD22" s="402"/>
      <c r="CE22" s="403"/>
      <c r="CF22" s="405"/>
      <c r="CG22" s="402"/>
      <c r="CH22" s="409"/>
      <c r="CI22" s="402"/>
      <c r="CJ22" s="403"/>
      <c r="CK22" s="405"/>
      <c r="CL22" s="402"/>
      <c r="CM22" s="409"/>
      <c r="CN22" s="402"/>
      <c r="CO22" s="403"/>
      <c r="CP22" s="405"/>
      <c r="CQ22" s="402"/>
      <c r="CR22" s="409"/>
      <c r="CS22" s="402"/>
      <c r="CT22" s="403"/>
      <c r="CU22" s="405"/>
      <c r="CV22" s="402"/>
      <c r="CW22" s="409"/>
      <c r="CX22" s="402"/>
      <c r="CY22" s="403"/>
      <c r="CZ22" s="405"/>
      <c r="DA22" s="402"/>
      <c r="DB22" s="409"/>
      <c r="DC22" s="402"/>
      <c r="DD22" s="403"/>
      <c r="DE22" s="405"/>
      <c r="DF22" s="402"/>
      <c r="DG22" s="409"/>
      <c r="DH22" s="402"/>
      <c r="DI22" s="403"/>
      <c r="DJ22" s="405"/>
      <c r="DK22" s="402"/>
      <c r="DL22" s="409"/>
      <c r="DM22" s="402"/>
      <c r="DN22" s="403"/>
    </row>
    <row r="23" spans="1:118" s="29" customFormat="1" ht="18" customHeight="1">
      <c r="A23" s="67">
        <v>9</v>
      </c>
      <c r="B23" s="67">
        <v>9</v>
      </c>
      <c r="C23" s="1" t="s">
        <v>234</v>
      </c>
      <c r="D23" s="18" t="s">
        <v>89</v>
      </c>
      <c r="E23" s="552"/>
      <c r="F23" s="311">
        <v>13170</v>
      </c>
      <c r="G23" s="309">
        <f t="shared" si="2"/>
        <v>2.0294196506994332E-2</v>
      </c>
      <c r="H23" s="311"/>
      <c r="I23" s="311"/>
      <c r="J23" s="312"/>
      <c r="K23" s="136">
        <f t="shared" si="5"/>
        <v>0</v>
      </c>
      <c r="L23" s="357"/>
      <c r="M23" s="321">
        <v>35801</v>
      </c>
      <c r="N23" s="331">
        <f t="shared" ca="1" si="0"/>
        <v>20.156061105616001</v>
      </c>
      <c r="P23" s="10">
        <v>43554</v>
      </c>
      <c r="R23" s="359">
        <f t="shared" ca="1" si="3"/>
        <v>13.748763600395648</v>
      </c>
      <c r="T23" s="11" t="s">
        <v>117</v>
      </c>
      <c r="U23" s="133"/>
      <c r="W23" s="369">
        <f t="shared" si="4"/>
        <v>43554</v>
      </c>
      <c r="Y23" s="11" t="s">
        <v>14</v>
      </c>
      <c r="AA23" s="628"/>
      <c r="AB23" s="629"/>
      <c r="AC23" s="630"/>
      <c r="AE23" s="11"/>
      <c r="AF23" s="11"/>
      <c r="AG23" s="11"/>
      <c r="AH23" s="11"/>
      <c r="AI23" s="11"/>
      <c r="AJ23" s="11"/>
      <c r="AK23" s="11"/>
      <c r="AL23" s="11"/>
      <c r="AM23" s="11"/>
      <c r="AN23" s="66"/>
      <c r="AO23" s="5"/>
      <c r="AP23" s="66"/>
      <c r="AQ23" s="458"/>
      <c r="AR23" s="405"/>
      <c r="AS23" s="402"/>
      <c r="AT23" s="409"/>
      <c r="AU23" s="402"/>
      <c r="AV23" s="403"/>
      <c r="AW23" s="405"/>
      <c r="AX23" s="402"/>
      <c r="AY23" s="409"/>
      <c r="AZ23" s="402"/>
      <c r="BA23" s="403"/>
      <c r="BB23" s="405"/>
      <c r="BC23" s="402"/>
      <c r="BD23" s="409"/>
      <c r="BE23" s="402"/>
      <c r="BF23" s="403"/>
      <c r="BG23" s="405"/>
      <c r="BH23" s="402"/>
      <c r="BI23" s="409"/>
      <c r="BJ23" s="402"/>
      <c r="BK23" s="403"/>
      <c r="BL23" s="405"/>
      <c r="BM23" s="402"/>
      <c r="BN23" s="409"/>
      <c r="BO23" s="402"/>
      <c r="BP23" s="403"/>
      <c r="BQ23" s="405"/>
      <c r="BR23" s="402"/>
      <c r="BS23" s="409"/>
      <c r="BT23" s="402"/>
      <c r="BU23" s="403"/>
      <c r="BV23" s="405"/>
      <c r="BW23" s="402"/>
      <c r="BX23" s="409"/>
      <c r="BY23" s="402"/>
      <c r="BZ23" s="403"/>
      <c r="CA23" s="405"/>
      <c r="CB23" s="402"/>
      <c r="CC23" s="409"/>
      <c r="CD23" s="402"/>
      <c r="CE23" s="403"/>
      <c r="CF23" s="405"/>
      <c r="CG23" s="402"/>
      <c r="CH23" s="409"/>
      <c r="CI23" s="402"/>
      <c r="CJ23" s="403"/>
      <c r="CK23" s="405"/>
      <c r="CL23" s="402"/>
      <c r="CM23" s="409"/>
      <c r="CN23" s="402"/>
      <c r="CO23" s="403"/>
      <c r="CP23" s="405"/>
      <c r="CQ23" s="402"/>
      <c r="CR23" s="409"/>
      <c r="CS23" s="402"/>
      <c r="CT23" s="403"/>
      <c r="CU23" s="405"/>
      <c r="CV23" s="402"/>
      <c r="CW23" s="409"/>
      <c r="CX23" s="402"/>
      <c r="CY23" s="403"/>
      <c r="CZ23" s="405"/>
      <c r="DA23" s="402"/>
      <c r="DB23" s="409"/>
      <c r="DC23" s="402"/>
      <c r="DD23" s="403"/>
      <c r="DE23" s="405"/>
      <c r="DF23" s="402"/>
      <c r="DG23" s="402"/>
      <c r="DH23" s="402"/>
      <c r="DI23" s="403"/>
      <c r="DJ23" s="405"/>
      <c r="DK23" s="402"/>
      <c r="DL23" s="402"/>
      <c r="DM23" s="402"/>
      <c r="DN23" s="403"/>
    </row>
    <row r="24" spans="1:118" s="29" customFormat="1" ht="18" customHeight="1">
      <c r="A24" s="67">
        <v>10</v>
      </c>
      <c r="B24" s="67">
        <v>10</v>
      </c>
      <c r="C24" s="4" t="s">
        <v>235</v>
      </c>
      <c r="D24" s="19" t="s">
        <v>89</v>
      </c>
      <c r="E24" s="551" t="s">
        <v>36</v>
      </c>
      <c r="F24" s="313">
        <v>12920</v>
      </c>
      <c r="G24" s="309">
        <f t="shared" si="2"/>
        <v>1.9908961189853209E-2</v>
      </c>
      <c r="H24" s="311"/>
      <c r="I24" s="311"/>
      <c r="J24" s="312"/>
      <c r="K24" s="136">
        <f t="shared" si="5"/>
        <v>0</v>
      </c>
      <c r="L24" s="357"/>
      <c r="M24" s="321">
        <v>41821</v>
      </c>
      <c r="N24" s="331">
        <f t="shared" ca="1" si="0"/>
        <v>3.615781954060886</v>
      </c>
      <c r="P24" s="7">
        <v>43100</v>
      </c>
      <c r="R24" s="359">
        <f t="shared" ca="1" si="3"/>
        <v>-1.2199142762940984</v>
      </c>
      <c r="T24" s="385" t="s">
        <v>116</v>
      </c>
      <c r="U24" s="133"/>
      <c r="W24" s="369">
        <f t="shared" si="4"/>
        <v>43100</v>
      </c>
      <c r="Y24" s="5" t="s">
        <v>21</v>
      </c>
      <c r="AA24" s="628"/>
      <c r="AB24" s="629"/>
      <c r="AC24" s="630"/>
      <c r="AE24" s="6"/>
      <c r="AF24" s="6"/>
      <c r="AG24" s="6"/>
      <c r="AH24" s="5"/>
      <c r="AI24" s="6"/>
      <c r="AJ24" s="6"/>
      <c r="AK24" s="6"/>
      <c r="AL24" s="6"/>
      <c r="AM24" s="6"/>
      <c r="AN24" s="299"/>
      <c r="AO24" s="303"/>
      <c r="AP24" s="299"/>
      <c r="AQ24" s="457"/>
      <c r="AR24" s="405"/>
      <c r="AS24" s="402"/>
      <c r="AT24" s="409"/>
      <c r="AU24" s="402"/>
      <c r="AV24" s="403"/>
      <c r="AW24" s="405"/>
      <c r="AX24" s="402"/>
      <c r="AY24" s="409"/>
      <c r="AZ24" s="402"/>
      <c r="BA24" s="403"/>
      <c r="BB24" s="405"/>
      <c r="BC24" s="402"/>
      <c r="BD24" s="409"/>
      <c r="BE24" s="402"/>
      <c r="BF24" s="403"/>
      <c r="BG24" s="405"/>
      <c r="BH24" s="402"/>
      <c r="BI24" s="409"/>
      <c r="BJ24" s="402"/>
      <c r="BK24" s="403"/>
      <c r="BL24" s="405"/>
      <c r="BM24" s="402"/>
      <c r="BN24" s="409"/>
      <c r="BO24" s="402"/>
      <c r="BP24" s="403"/>
      <c r="BQ24" s="405"/>
      <c r="BR24" s="402"/>
      <c r="BS24" s="409"/>
      <c r="BT24" s="402"/>
      <c r="BU24" s="403"/>
      <c r="BV24" s="405"/>
      <c r="BW24" s="402"/>
      <c r="BX24" s="409"/>
      <c r="BY24" s="402"/>
      <c r="BZ24" s="403"/>
      <c r="CA24" s="405"/>
      <c r="CB24" s="402"/>
      <c r="CC24" s="409"/>
      <c r="CD24" s="402"/>
      <c r="CE24" s="403"/>
      <c r="CF24" s="405"/>
      <c r="CG24" s="402"/>
      <c r="CH24" s="409"/>
      <c r="CI24" s="402"/>
      <c r="CJ24" s="403"/>
      <c r="CK24" s="405"/>
      <c r="CL24" s="402"/>
      <c r="CM24" s="409"/>
      <c r="CN24" s="402"/>
      <c r="CO24" s="403"/>
      <c r="CP24" s="405"/>
      <c r="CQ24" s="402"/>
      <c r="CR24" s="409"/>
      <c r="CS24" s="402"/>
      <c r="CT24" s="403"/>
      <c r="CU24" s="405"/>
      <c r="CV24" s="402"/>
      <c r="CW24" s="409"/>
      <c r="CX24" s="402"/>
      <c r="CY24" s="403"/>
      <c r="CZ24" s="405"/>
      <c r="DA24" s="402"/>
      <c r="DB24" s="409"/>
      <c r="DC24" s="402"/>
      <c r="DD24" s="403"/>
      <c r="DE24" s="405"/>
      <c r="DF24" s="402"/>
      <c r="DG24" s="402"/>
      <c r="DH24" s="402"/>
      <c r="DI24" s="403"/>
      <c r="DJ24" s="405"/>
      <c r="DK24" s="402"/>
      <c r="DL24" s="402"/>
      <c r="DM24" s="402"/>
      <c r="DN24" s="403"/>
    </row>
    <row r="25" spans="1:118" s="29" customFormat="1" ht="18" customHeight="1" thickBot="1">
      <c r="A25" s="67">
        <v>11</v>
      </c>
      <c r="B25" s="67">
        <v>11</v>
      </c>
      <c r="C25" s="2" t="s">
        <v>236</v>
      </c>
      <c r="D25" s="20" t="s">
        <v>30</v>
      </c>
      <c r="E25" s="550" t="s">
        <v>36</v>
      </c>
      <c r="F25" s="314">
        <v>11662</v>
      </c>
      <c r="G25" s="315">
        <f t="shared" si="2"/>
        <v>1.797045707399908E-2</v>
      </c>
      <c r="H25" s="314"/>
      <c r="I25" s="314"/>
      <c r="J25" s="316"/>
      <c r="K25" s="137">
        <f t="shared" si="5"/>
        <v>0</v>
      </c>
      <c r="L25" s="357"/>
      <c r="M25" s="323">
        <v>41275</v>
      </c>
      <c r="N25" s="332">
        <f t="shared" ca="1" si="0"/>
        <v>5.1159468073414667</v>
      </c>
      <c r="P25" s="12">
        <v>43038</v>
      </c>
      <c r="R25" s="360">
        <f t="shared" ca="1" si="3"/>
        <v>2.7365644576327068</v>
      </c>
      <c r="T25" s="13" t="s">
        <v>116</v>
      </c>
      <c r="U25" s="134">
        <v>6</v>
      </c>
      <c r="W25" s="370">
        <f t="shared" si="4"/>
        <v>43220</v>
      </c>
      <c r="Y25" s="13" t="s">
        <v>57</v>
      </c>
      <c r="AA25" s="631"/>
      <c r="AB25" s="632"/>
      <c r="AC25" s="633"/>
      <c r="AE25" s="13"/>
      <c r="AF25" s="13"/>
      <c r="AG25" s="13"/>
      <c r="AH25" s="13"/>
      <c r="AI25" s="13"/>
      <c r="AJ25" s="13"/>
      <c r="AK25" s="13"/>
      <c r="AL25" s="13"/>
      <c r="AM25" s="13"/>
      <c r="AN25" s="300"/>
      <c r="AO25" s="304"/>
      <c r="AP25" s="300"/>
      <c r="AQ25" s="457"/>
      <c r="AR25" s="420"/>
      <c r="AS25" s="421"/>
      <c r="AT25" s="422"/>
      <c r="AU25" s="421"/>
      <c r="AV25" s="423"/>
      <c r="AW25" s="420"/>
      <c r="AX25" s="421"/>
      <c r="AY25" s="422"/>
      <c r="AZ25" s="421"/>
      <c r="BA25" s="423"/>
      <c r="BB25" s="420"/>
      <c r="BC25" s="421"/>
      <c r="BD25" s="422"/>
      <c r="BE25" s="421"/>
      <c r="BF25" s="423"/>
      <c r="BG25" s="420"/>
      <c r="BH25" s="421"/>
      <c r="BI25" s="422"/>
      <c r="BJ25" s="421"/>
      <c r="BK25" s="423"/>
      <c r="BL25" s="420"/>
      <c r="BM25" s="421"/>
      <c r="BN25" s="422"/>
      <c r="BO25" s="421"/>
      <c r="BP25" s="423"/>
      <c r="BQ25" s="420"/>
      <c r="BR25" s="421"/>
      <c r="BS25" s="422"/>
      <c r="BT25" s="421"/>
      <c r="BU25" s="423"/>
      <c r="BV25" s="420"/>
      <c r="BW25" s="421"/>
      <c r="BX25" s="422"/>
      <c r="BY25" s="421"/>
      <c r="BZ25" s="423"/>
      <c r="CA25" s="420"/>
      <c r="CB25" s="421"/>
      <c r="CC25" s="422"/>
      <c r="CD25" s="421"/>
      <c r="CE25" s="423"/>
      <c r="CF25" s="420"/>
      <c r="CG25" s="421"/>
      <c r="CH25" s="422"/>
      <c r="CI25" s="421"/>
      <c r="CJ25" s="423"/>
      <c r="CK25" s="420"/>
      <c r="CL25" s="421"/>
      <c r="CM25" s="422"/>
      <c r="CN25" s="421"/>
      <c r="CO25" s="423"/>
      <c r="CP25" s="420"/>
      <c r="CQ25" s="421"/>
      <c r="CR25" s="422"/>
      <c r="CS25" s="421"/>
      <c r="CT25" s="423"/>
      <c r="CU25" s="420"/>
      <c r="CV25" s="421"/>
      <c r="CW25" s="422"/>
      <c r="CX25" s="421"/>
      <c r="CY25" s="423"/>
      <c r="CZ25" s="420"/>
      <c r="DA25" s="421"/>
      <c r="DB25" s="422"/>
      <c r="DC25" s="421"/>
      <c r="DD25" s="423"/>
      <c r="DE25" s="420"/>
      <c r="DF25" s="421"/>
      <c r="DG25" s="422"/>
      <c r="DH25" s="421"/>
      <c r="DI25" s="423"/>
      <c r="DJ25" s="420"/>
      <c r="DK25" s="421"/>
      <c r="DL25" s="422"/>
      <c r="DM25" s="421"/>
      <c r="DN25" s="423"/>
    </row>
    <row r="27" spans="1:118" s="176" customFormat="1" ht="4.5" customHeight="1" outlineLevel="1">
      <c r="A27" s="216"/>
      <c r="B27" s="216"/>
      <c r="C27" s="217"/>
      <c r="D27" s="218"/>
      <c r="E27" s="218"/>
      <c r="F27" s="219"/>
      <c r="G27" s="220"/>
      <c r="H27" s="219"/>
      <c r="I27" s="219"/>
      <c r="J27" s="221"/>
      <c r="K27" s="175"/>
      <c r="L27" s="24"/>
      <c r="M27" s="179"/>
      <c r="N27" s="179"/>
      <c r="O27" s="179"/>
      <c r="P27" s="175"/>
      <c r="Q27" s="179"/>
      <c r="R27" s="175"/>
      <c r="S27" s="179"/>
      <c r="T27" s="175"/>
      <c r="U27" s="175"/>
      <c r="V27" s="179"/>
      <c r="W27" s="175"/>
      <c r="X27" s="179"/>
      <c r="Y27" s="23"/>
      <c r="Z27" s="179"/>
      <c r="AA27" s="24"/>
      <c r="AB27" s="24"/>
      <c r="AC27" s="24"/>
      <c r="AD27" s="24"/>
      <c r="AF27" s="24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</row>
    <row r="28" spans="1:118" outlineLevel="1">
      <c r="C28" s="654" t="s">
        <v>97</v>
      </c>
      <c r="D28" s="655"/>
      <c r="E28" s="655"/>
      <c r="F28" s="150">
        <f>SUMIF($E$15:$E$25,"",$F$15:$F$25)</f>
        <v>352206</v>
      </c>
      <c r="G28" s="140">
        <f>$F$28/$F$2</f>
        <v>0.54272876043602469</v>
      </c>
      <c r="H28" s="30"/>
      <c r="I28" s="651" t="s">
        <v>103</v>
      </c>
      <c r="J28" s="652"/>
      <c r="K28" s="653"/>
      <c r="L28" s="27"/>
      <c r="M28" s="144">
        <f>SUMIF($D$15:$D$25,"DCN",$F$15:$F$25)</f>
        <v>63887</v>
      </c>
      <c r="N28" s="145">
        <f>$M$28/$F$2</f>
        <v>9.8446114824779565E-2</v>
      </c>
      <c r="O28" s="180"/>
      <c r="P28" s="32"/>
      <c r="Q28" s="180"/>
      <c r="R28" s="32"/>
      <c r="S28" s="180"/>
      <c r="T28" s="123"/>
      <c r="U28" s="123"/>
      <c r="V28" s="180"/>
      <c r="W28" s="123"/>
      <c r="X28" s="180"/>
      <c r="Y28" s="156"/>
      <c r="Z28" s="180"/>
      <c r="AA28" s="158"/>
      <c r="AB28" s="158"/>
      <c r="AC28" s="158"/>
      <c r="AD28" s="156"/>
      <c r="AE28" s="32"/>
      <c r="AF28" s="126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184"/>
      <c r="AR28" s="32"/>
      <c r="AS28" s="32"/>
      <c r="AT28" s="32"/>
      <c r="AU28" s="32"/>
      <c r="AV28" s="32"/>
      <c r="AW28" s="32"/>
      <c r="AX28" s="32"/>
      <c r="AY28" s="32"/>
      <c r="AZ28" s="32"/>
      <c r="BA28" s="32"/>
      <c r="BB28" s="32"/>
      <c r="BC28" s="32"/>
      <c r="BD28" s="32"/>
      <c r="BE28" s="32"/>
      <c r="BF28" s="32"/>
      <c r="BG28" s="32"/>
      <c r="BH28" s="32"/>
      <c r="BI28" s="32"/>
      <c r="BJ28" s="32"/>
      <c r="BK28" s="32"/>
      <c r="BL28" s="32"/>
      <c r="BM28" s="32"/>
      <c r="BN28" s="32"/>
      <c r="BO28" s="32"/>
      <c r="BP28" s="32"/>
      <c r="BQ28" s="32"/>
      <c r="BR28" s="32"/>
      <c r="BS28" s="32"/>
      <c r="BT28" s="32"/>
      <c r="BU28" s="32"/>
      <c r="BV28" s="32"/>
      <c r="BW28" s="32"/>
      <c r="BX28" s="32"/>
      <c r="BY28" s="32"/>
      <c r="BZ28" s="32"/>
      <c r="CA28" s="32"/>
      <c r="CB28" s="32"/>
      <c r="CC28" s="32"/>
      <c r="CD28" s="32"/>
      <c r="CE28" s="32"/>
      <c r="CF28" s="32"/>
      <c r="CG28" s="32"/>
      <c r="CH28" s="32"/>
      <c r="CI28" s="32"/>
      <c r="CJ28" s="32"/>
      <c r="CK28" s="32"/>
      <c r="CL28" s="32"/>
      <c r="CM28" s="32"/>
      <c r="CN28" s="32"/>
      <c r="CO28" s="32"/>
      <c r="CP28" s="32"/>
      <c r="CQ28" s="32"/>
      <c r="CR28" s="32"/>
      <c r="CS28" s="32"/>
      <c r="CT28" s="32"/>
      <c r="CU28" s="32"/>
      <c r="CV28" s="32"/>
      <c r="CW28" s="32"/>
      <c r="CX28" s="32"/>
      <c r="CY28" s="32"/>
      <c r="CZ28" s="32"/>
      <c r="DA28" s="32"/>
      <c r="DB28" s="32"/>
      <c r="DC28" s="32"/>
      <c r="DD28" s="32"/>
      <c r="DE28" s="32"/>
      <c r="DF28" s="32"/>
      <c r="DG28" s="32"/>
      <c r="DH28" s="32"/>
      <c r="DI28" s="32"/>
      <c r="DJ28" s="32"/>
      <c r="DK28" s="32"/>
      <c r="DL28" s="32"/>
      <c r="DM28" s="32"/>
      <c r="DN28" s="32"/>
    </row>
    <row r="29" spans="1:118" outlineLevel="1">
      <c r="C29" s="152"/>
      <c r="D29" s="153"/>
      <c r="E29" s="153"/>
      <c r="F29" s="154"/>
      <c r="G29" s="151"/>
      <c r="H29" s="60"/>
      <c r="I29" s="640" t="s">
        <v>104</v>
      </c>
      <c r="J29" s="641"/>
      <c r="K29" s="642"/>
      <c r="L29" s="27"/>
      <c r="M29" s="146">
        <f>SUMIF($D$15:$D$25,"AO",$F$15:$F$25)</f>
        <v>85264</v>
      </c>
      <c r="N29" s="147">
        <f>$M$29/$F$2</f>
        <v>0.13138681632288268</v>
      </c>
      <c r="O29" s="180"/>
      <c r="P29" s="32"/>
      <c r="Q29" s="180"/>
      <c r="R29" s="32"/>
      <c r="S29" s="180"/>
      <c r="T29" s="123"/>
      <c r="U29" s="123"/>
      <c r="V29" s="180"/>
      <c r="W29" s="123"/>
      <c r="X29" s="180"/>
      <c r="Y29" s="171"/>
      <c r="Z29" s="180"/>
      <c r="AA29" s="161"/>
      <c r="AB29" s="161"/>
      <c r="AC29" s="161"/>
      <c r="AD29" s="160"/>
      <c r="AE29" s="32"/>
      <c r="AF29" s="127"/>
      <c r="AG29" s="34"/>
      <c r="AH29" s="34"/>
      <c r="AI29" s="34"/>
      <c r="AJ29" s="34"/>
      <c r="AK29" s="34"/>
      <c r="AL29" s="34"/>
      <c r="AM29" s="34"/>
      <c r="AN29" s="34"/>
      <c r="AO29" s="34"/>
      <c r="AP29" s="34"/>
      <c r="AQ29" s="214"/>
      <c r="AR29" s="32"/>
      <c r="AS29" s="32"/>
      <c r="AT29" s="32"/>
      <c r="AU29" s="32"/>
      <c r="AV29" s="32"/>
      <c r="AW29" s="32"/>
      <c r="AX29" s="32"/>
      <c r="AY29" s="32"/>
      <c r="AZ29" s="32"/>
      <c r="BA29" s="32"/>
      <c r="BB29" s="32"/>
      <c r="BC29" s="32"/>
      <c r="BD29" s="32"/>
      <c r="BE29" s="32"/>
      <c r="BF29" s="32"/>
      <c r="BG29" s="32"/>
      <c r="BH29" s="32"/>
      <c r="BI29" s="32"/>
      <c r="BJ29" s="32"/>
      <c r="BK29" s="32"/>
      <c r="BL29" s="32"/>
      <c r="BM29" s="32"/>
      <c r="BN29" s="32"/>
      <c r="BO29" s="32"/>
      <c r="BP29" s="32"/>
      <c r="BQ29" s="32"/>
      <c r="BR29" s="32"/>
      <c r="BS29" s="32"/>
      <c r="BT29" s="32"/>
      <c r="BU29" s="32"/>
      <c r="BV29" s="32"/>
      <c r="BW29" s="32"/>
      <c r="BX29" s="32"/>
      <c r="BY29" s="32"/>
      <c r="BZ29" s="32"/>
      <c r="CA29" s="32"/>
      <c r="CB29" s="32"/>
      <c r="CC29" s="32"/>
      <c r="CD29" s="32"/>
      <c r="CE29" s="32"/>
      <c r="CF29" s="32"/>
      <c r="CG29" s="32"/>
      <c r="CH29" s="32"/>
      <c r="CI29" s="32"/>
      <c r="CJ29" s="32"/>
      <c r="CK29" s="32"/>
      <c r="CL29" s="32"/>
      <c r="CM29" s="32"/>
      <c r="CN29" s="32"/>
      <c r="CO29" s="32"/>
      <c r="CP29" s="32"/>
      <c r="CQ29" s="32"/>
      <c r="CR29" s="32"/>
      <c r="CS29" s="32"/>
      <c r="CT29" s="32"/>
      <c r="CU29" s="32"/>
      <c r="CV29" s="32"/>
      <c r="CW29" s="32"/>
      <c r="CX29" s="32"/>
      <c r="CY29" s="32"/>
      <c r="CZ29" s="32"/>
      <c r="DA29" s="32"/>
      <c r="DB29" s="32"/>
      <c r="DC29" s="32"/>
      <c r="DD29" s="32"/>
      <c r="DE29" s="32"/>
      <c r="DF29" s="32"/>
      <c r="DG29" s="32"/>
      <c r="DH29" s="32"/>
      <c r="DI29" s="32"/>
      <c r="DJ29" s="32"/>
      <c r="DK29" s="32"/>
      <c r="DL29" s="32"/>
      <c r="DM29" s="32"/>
      <c r="DN29" s="32"/>
    </row>
    <row r="30" spans="1:118" outlineLevel="1">
      <c r="C30" s="152"/>
      <c r="D30" s="153"/>
      <c r="E30" s="153"/>
      <c r="F30" s="154"/>
      <c r="G30" s="151"/>
      <c r="H30" s="60"/>
      <c r="I30" s="643" t="s">
        <v>105</v>
      </c>
      <c r="J30" s="644"/>
      <c r="K30" s="645"/>
      <c r="L30" s="27"/>
      <c r="M30" s="148">
        <f>SUMIF($D$15:$D$25,"DI",$F$15:$F$25)</f>
        <v>353315</v>
      </c>
      <c r="N30" s="149">
        <f>$M$30/$F$2</f>
        <v>0.54443766430286278</v>
      </c>
      <c r="O30" s="180"/>
      <c r="P30" s="32"/>
      <c r="Q30" s="180"/>
      <c r="R30" s="32"/>
      <c r="S30" s="180"/>
      <c r="T30" s="123"/>
      <c r="U30" s="123"/>
      <c r="V30" s="180"/>
      <c r="W30" s="123"/>
      <c r="X30" s="180"/>
      <c r="Y30" s="162"/>
      <c r="Z30" s="180"/>
      <c r="AA30" s="162"/>
      <c r="AB30" s="162"/>
      <c r="AC30" s="162"/>
      <c r="AD30" s="162"/>
      <c r="AE30" s="32"/>
      <c r="AF30" s="127"/>
      <c r="AG30" s="34"/>
      <c r="AH30" s="34"/>
      <c r="AI30" s="34"/>
      <c r="AJ30" s="34"/>
      <c r="AK30" s="34"/>
      <c r="AL30" s="34"/>
      <c r="AM30" s="34"/>
      <c r="AN30" s="34"/>
      <c r="AO30" s="34"/>
      <c r="AP30" s="34"/>
      <c r="AQ30" s="214"/>
      <c r="AR30" s="32"/>
      <c r="AS30" s="32"/>
      <c r="AT30" s="32"/>
      <c r="AU30" s="32"/>
      <c r="AV30" s="32"/>
      <c r="AW30" s="32"/>
      <c r="AX30" s="32"/>
      <c r="AY30" s="32"/>
      <c r="AZ30" s="32"/>
      <c r="BA30" s="32"/>
      <c r="BB30" s="32"/>
      <c r="BC30" s="32"/>
      <c r="BD30" s="32"/>
      <c r="BE30" s="32"/>
      <c r="BF30" s="32"/>
      <c r="BG30" s="32"/>
      <c r="BH30" s="32"/>
      <c r="BI30" s="32"/>
      <c r="BJ30" s="32"/>
      <c r="BK30" s="32"/>
      <c r="BL30" s="32"/>
      <c r="BM30" s="32"/>
      <c r="BN30" s="32"/>
      <c r="BO30" s="32"/>
      <c r="BP30" s="32"/>
      <c r="BQ30" s="32"/>
      <c r="BR30" s="32"/>
      <c r="BS30" s="32"/>
      <c r="BT30" s="32"/>
      <c r="BU30" s="32"/>
      <c r="BV30" s="32"/>
      <c r="BW30" s="32"/>
      <c r="BX30" s="32"/>
      <c r="BY30" s="32"/>
      <c r="BZ30" s="32"/>
      <c r="CA30" s="32"/>
      <c r="CB30" s="32"/>
      <c r="CC30" s="32"/>
      <c r="CD30" s="32"/>
      <c r="CE30" s="32"/>
      <c r="CF30" s="32"/>
      <c r="CG30" s="32"/>
      <c r="CH30" s="32"/>
      <c r="CI30" s="32"/>
      <c r="CJ30" s="32"/>
      <c r="CK30" s="32"/>
      <c r="CL30" s="32"/>
      <c r="CM30" s="32"/>
      <c r="CN30" s="32"/>
      <c r="CO30" s="32"/>
      <c r="CP30" s="32"/>
      <c r="CQ30" s="32"/>
      <c r="CR30" s="32"/>
      <c r="CS30" s="32"/>
      <c r="CT30" s="32"/>
      <c r="CU30" s="32"/>
      <c r="CV30" s="32"/>
      <c r="CW30" s="32"/>
      <c r="CX30" s="32"/>
      <c r="CY30" s="32"/>
      <c r="CZ30" s="32"/>
      <c r="DA30" s="32"/>
      <c r="DB30" s="32"/>
      <c r="DC30" s="32"/>
      <c r="DD30" s="32"/>
      <c r="DE30" s="32"/>
      <c r="DF30" s="32"/>
      <c r="DG30" s="32"/>
      <c r="DH30" s="32"/>
      <c r="DI30" s="32"/>
      <c r="DJ30" s="32"/>
      <c r="DK30" s="32"/>
      <c r="DL30" s="32"/>
      <c r="DM30" s="32"/>
      <c r="DN30" s="32"/>
    </row>
    <row r="31" spans="1:118" outlineLevel="1">
      <c r="C31" s="152"/>
      <c r="D31" s="153"/>
      <c r="E31" s="153"/>
      <c r="F31" s="154"/>
      <c r="G31" s="151"/>
      <c r="H31" s="60"/>
      <c r="I31" s="646" t="s">
        <v>106</v>
      </c>
      <c r="J31" s="647"/>
      <c r="K31" s="648"/>
      <c r="L31" s="27"/>
      <c r="M31" s="337">
        <f>SUMIF($D$15:$D$25,"REG",$F$15:$F$25)</f>
        <v>0</v>
      </c>
      <c r="N31" s="338">
        <f>$M$31/$F$2</f>
        <v>0</v>
      </c>
      <c r="O31" s="180"/>
      <c r="P31" s="32"/>
      <c r="Q31" s="180"/>
      <c r="R31" s="32"/>
      <c r="S31" s="180"/>
      <c r="T31" s="123"/>
      <c r="U31" s="123"/>
      <c r="V31" s="180"/>
      <c r="W31" s="123"/>
      <c r="X31" s="180"/>
      <c r="Z31" s="180"/>
      <c r="AA31" s="162"/>
      <c r="AB31" s="162"/>
      <c r="AC31" s="162"/>
      <c r="AD31" s="162"/>
      <c r="AE31" s="32"/>
      <c r="AF31" s="127"/>
      <c r="AG31" s="34"/>
      <c r="AH31" s="34"/>
      <c r="AI31" s="34"/>
      <c r="AJ31" s="34"/>
      <c r="AK31" s="34"/>
      <c r="AL31" s="34"/>
      <c r="AM31" s="34"/>
      <c r="AN31" s="34"/>
      <c r="AO31" s="34"/>
      <c r="AP31" s="34"/>
      <c r="AQ31" s="214"/>
      <c r="AR31" s="32"/>
      <c r="AS31" s="32"/>
      <c r="AT31" s="32"/>
      <c r="AU31" s="32"/>
      <c r="AV31" s="32"/>
      <c r="AW31" s="32"/>
      <c r="AX31" s="32"/>
      <c r="AY31" s="32"/>
      <c r="AZ31" s="32"/>
      <c r="BA31" s="32"/>
      <c r="BB31" s="32"/>
      <c r="BC31" s="32"/>
      <c r="BD31" s="32"/>
      <c r="BE31" s="32"/>
      <c r="BF31" s="32"/>
      <c r="BG31" s="32"/>
      <c r="BH31" s="32"/>
      <c r="BI31" s="32"/>
      <c r="BJ31" s="32"/>
      <c r="BK31" s="32"/>
      <c r="BL31" s="32"/>
      <c r="BM31" s="32"/>
      <c r="BN31" s="32"/>
      <c r="BO31" s="32"/>
      <c r="BP31" s="32"/>
      <c r="BQ31" s="32"/>
      <c r="BR31" s="32"/>
      <c r="BS31" s="32"/>
      <c r="BT31" s="32"/>
      <c r="BU31" s="32"/>
      <c r="BV31" s="32"/>
      <c r="BW31" s="32"/>
      <c r="BX31" s="32"/>
      <c r="BY31" s="32"/>
      <c r="BZ31" s="32"/>
      <c r="CA31" s="32"/>
      <c r="CB31" s="32"/>
      <c r="CC31" s="32"/>
      <c r="CD31" s="32"/>
      <c r="CE31" s="32"/>
      <c r="CF31" s="32"/>
      <c r="CG31" s="32"/>
      <c r="CH31" s="32"/>
      <c r="CI31" s="32"/>
      <c r="CJ31" s="32"/>
      <c r="CK31" s="32"/>
      <c r="CL31" s="32"/>
      <c r="CM31" s="32"/>
      <c r="CN31" s="32"/>
      <c r="CO31" s="32"/>
      <c r="CP31" s="32"/>
      <c r="CQ31" s="32"/>
      <c r="CR31" s="32"/>
      <c r="CS31" s="32"/>
      <c r="CT31" s="32"/>
      <c r="CU31" s="32"/>
      <c r="CV31" s="32"/>
      <c r="CW31" s="32"/>
      <c r="CX31" s="32"/>
      <c r="CY31" s="32"/>
      <c r="CZ31" s="32"/>
      <c r="DA31" s="32"/>
      <c r="DB31" s="32"/>
      <c r="DC31" s="32"/>
      <c r="DD31" s="32"/>
      <c r="DE31" s="32"/>
      <c r="DF31" s="32"/>
      <c r="DG31" s="32"/>
      <c r="DH31" s="32"/>
      <c r="DI31" s="32"/>
      <c r="DJ31" s="32"/>
      <c r="DK31" s="32"/>
      <c r="DL31" s="32"/>
      <c r="DM31" s="32"/>
      <c r="DN31" s="32"/>
    </row>
    <row r="32" spans="1:118" ht="14.25" customHeight="1">
      <c r="B32" s="68"/>
      <c r="C32" s="35"/>
      <c r="D32" s="62"/>
      <c r="E32" s="62"/>
      <c r="F32" s="37"/>
      <c r="G32" s="63"/>
      <c r="H32" s="37"/>
      <c r="I32" s="36"/>
      <c r="J32" s="64"/>
      <c r="K32" s="65"/>
      <c r="M32" s="40"/>
      <c r="N32" s="40"/>
      <c r="O32" s="181"/>
      <c r="P32" s="39"/>
      <c r="Q32" s="181"/>
      <c r="R32" s="39"/>
      <c r="S32" s="181"/>
      <c r="T32" s="183"/>
      <c r="U32" s="183"/>
      <c r="V32" s="181"/>
      <c r="W32" s="183"/>
      <c r="X32" s="181"/>
      <c r="Y32" s="31"/>
      <c r="Z32" s="181"/>
      <c r="AE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184"/>
      <c r="AR32" s="32"/>
      <c r="AS32" s="32"/>
      <c r="AT32" s="32"/>
      <c r="AU32" s="32"/>
      <c r="AV32" s="32"/>
      <c r="AW32" s="32"/>
      <c r="AX32" s="32"/>
      <c r="AY32" s="32"/>
      <c r="AZ32" s="32"/>
      <c r="BA32" s="32"/>
      <c r="BB32" s="32"/>
      <c r="BC32" s="32"/>
      <c r="BD32" s="32"/>
      <c r="BE32" s="32"/>
      <c r="BF32" s="32"/>
      <c r="BG32" s="32"/>
      <c r="BH32" s="32"/>
      <c r="BI32" s="32"/>
      <c r="BJ32" s="32"/>
      <c r="BK32" s="32"/>
      <c r="BL32" s="32"/>
      <c r="BM32" s="32"/>
      <c r="BN32" s="32"/>
      <c r="BO32" s="32"/>
      <c r="BP32" s="32"/>
      <c r="BQ32" s="32"/>
      <c r="BR32" s="32"/>
      <c r="BS32" s="32"/>
      <c r="BT32" s="32"/>
      <c r="BU32" s="32"/>
      <c r="BV32" s="32"/>
      <c r="BW32" s="32"/>
      <c r="BX32" s="32"/>
      <c r="BY32" s="32"/>
      <c r="BZ32" s="32"/>
      <c r="CA32" s="32"/>
      <c r="CB32" s="32"/>
      <c r="CC32" s="32"/>
      <c r="CD32" s="32"/>
      <c r="CE32" s="32"/>
      <c r="CF32" s="32"/>
      <c r="CG32" s="32"/>
      <c r="CH32" s="32"/>
      <c r="CI32" s="32"/>
      <c r="CJ32" s="32"/>
      <c r="CK32" s="32"/>
      <c r="CL32" s="32"/>
      <c r="CM32" s="32"/>
      <c r="CN32" s="32"/>
      <c r="CO32" s="32"/>
      <c r="CP32" s="32"/>
      <c r="CQ32" s="32"/>
      <c r="CR32" s="32"/>
      <c r="CS32" s="32"/>
      <c r="CT32" s="32"/>
      <c r="CU32" s="32"/>
      <c r="CV32" s="32"/>
      <c r="CW32" s="32"/>
      <c r="CX32" s="32"/>
      <c r="CY32" s="32"/>
      <c r="CZ32" s="32"/>
      <c r="DA32" s="32"/>
      <c r="DB32" s="32"/>
      <c r="DC32" s="32"/>
      <c r="DD32" s="32"/>
      <c r="DE32" s="32"/>
      <c r="DF32" s="32"/>
      <c r="DG32" s="32"/>
      <c r="DH32" s="32"/>
      <c r="DI32" s="32"/>
      <c r="DJ32" s="32"/>
      <c r="DK32" s="32"/>
      <c r="DL32" s="32"/>
      <c r="DM32" s="32"/>
      <c r="DN32" s="32"/>
    </row>
    <row r="33" spans="1:118" s="29" customFormat="1" ht="18" outlineLevel="1">
      <c r="A33" s="68"/>
      <c r="B33" s="68"/>
      <c r="C33" s="53"/>
      <c r="D33" s="54"/>
      <c r="E33" s="138" t="s">
        <v>91</v>
      </c>
      <c r="F33" s="112">
        <f>SUM(F35:F66)</f>
        <v>509225.80000000005</v>
      </c>
      <c r="G33" s="113">
        <f>F33/F$2</f>
        <v>0.7846870502377673</v>
      </c>
      <c r="H33" s="55"/>
      <c r="J33" s="57"/>
      <c r="K33" s="58"/>
      <c r="L33" s="53"/>
      <c r="M33" s="55"/>
      <c r="N33" s="55"/>
      <c r="O33" s="55"/>
      <c r="P33" s="115"/>
      <c r="Q33" s="55"/>
      <c r="R33" s="58"/>
      <c r="S33" s="55"/>
      <c r="T33" s="58"/>
      <c r="U33" s="58"/>
      <c r="V33" s="55"/>
      <c r="W33" s="58"/>
      <c r="X33" s="55"/>
      <c r="Y33" s="33"/>
      <c r="Z33" s="55"/>
      <c r="AA33" s="61"/>
      <c r="AB33" s="61"/>
      <c r="AC33" s="61"/>
      <c r="AD33" s="53"/>
      <c r="AF33" s="53"/>
      <c r="AG33" s="61"/>
      <c r="AH33" s="61"/>
      <c r="AI33" s="25"/>
      <c r="AJ33" s="25"/>
      <c r="AK33" s="61"/>
      <c r="AL33" s="61"/>
      <c r="AM33" s="25"/>
      <c r="AN33" s="25"/>
      <c r="AO33" s="61"/>
      <c r="AP33" s="61"/>
      <c r="AQ33" s="25"/>
      <c r="AR33" s="386" t="s">
        <v>5</v>
      </c>
      <c r="AS33" s="387" t="s">
        <v>184</v>
      </c>
      <c r="AT33" s="387" t="s">
        <v>7</v>
      </c>
      <c r="AU33" s="387" t="s">
        <v>8</v>
      </c>
      <c r="AV33" s="388" t="s">
        <v>9</v>
      </c>
      <c r="AW33" s="386" t="s">
        <v>5</v>
      </c>
      <c r="AX33" s="387" t="s">
        <v>184</v>
      </c>
      <c r="AY33" s="387" t="s">
        <v>7</v>
      </c>
      <c r="AZ33" s="387" t="s">
        <v>8</v>
      </c>
      <c r="BA33" s="388" t="s">
        <v>9</v>
      </c>
      <c r="BB33" s="386" t="s">
        <v>5</v>
      </c>
      <c r="BC33" s="387" t="s">
        <v>184</v>
      </c>
      <c r="BD33" s="387" t="s">
        <v>7</v>
      </c>
      <c r="BE33" s="387" t="s">
        <v>8</v>
      </c>
      <c r="BF33" s="388" t="s">
        <v>9</v>
      </c>
      <c r="BG33" s="386" t="s">
        <v>5</v>
      </c>
      <c r="BH33" s="387" t="s">
        <v>184</v>
      </c>
      <c r="BI33" s="387" t="s">
        <v>7</v>
      </c>
      <c r="BJ33" s="387" t="s">
        <v>8</v>
      </c>
      <c r="BK33" s="388" t="s">
        <v>9</v>
      </c>
      <c r="BL33" s="386" t="s">
        <v>5</v>
      </c>
      <c r="BM33" s="387" t="s">
        <v>184</v>
      </c>
      <c r="BN33" s="387" t="s">
        <v>7</v>
      </c>
      <c r="BO33" s="387" t="s">
        <v>8</v>
      </c>
      <c r="BP33" s="388" t="s">
        <v>9</v>
      </c>
      <c r="BQ33" s="386" t="s">
        <v>5</v>
      </c>
      <c r="BR33" s="387" t="s">
        <v>184</v>
      </c>
      <c r="BS33" s="387" t="s">
        <v>7</v>
      </c>
      <c r="BT33" s="387" t="s">
        <v>8</v>
      </c>
      <c r="BU33" s="388" t="s">
        <v>9</v>
      </c>
      <c r="BV33" s="386" t="s">
        <v>5</v>
      </c>
      <c r="BW33" s="387" t="s">
        <v>184</v>
      </c>
      <c r="BX33" s="387" t="s">
        <v>7</v>
      </c>
      <c r="BY33" s="387" t="s">
        <v>8</v>
      </c>
      <c r="BZ33" s="388" t="s">
        <v>9</v>
      </c>
      <c r="CA33" s="386" t="s">
        <v>5</v>
      </c>
      <c r="CB33" s="387" t="s">
        <v>184</v>
      </c>
      <c r="CC33" s="387" t="s">
        <v>7</v>
      </c>
      <c r="CD33" s="387" t="s">
        <v>8</v>
      </c>
      <c r="CE33" s="388" t="s">
        <v>9</v>
      </c>
      <c r="CF33" s="386" t="s">
        <v>5</v>
      </c>
      <c r="CG33" s="387" t="s">
        <v>184</v>
      </c>
      <c r="CH33" s="387" t="s">
        <v>7</v>
      </c>
      <c r="CI33" s="387" t="s">
        <v>8</v>
      </c>
      <c r="CJ33" s="388" t="s">
        <v>9</v>
      </c>
      <c r="CK33" s="386" t="s">
        <v>5</v>
      </c>
      <c r="CL33" s="387" t="s">
        <v>184</v>
      </c>
      <c r="CM33" s="387" t="s">
        <v>7</v>
      </c>
      <c r="CN33" s="387" t="s">
        <v>8</v>
      </c>
      <c r="CO33" s="388" t="s">
        <v>9</v>
      </c>
      <c r="CP33" s="386" t="s">
        <v>5</v>
      </c>
      <c r="CQ33" s="387" t="s">
        <v>184</v>
      </c>
      <c r="CR33" s="387" t="s">
        <v>7</v>
      </c>
      <c r="CS33" s="387" t="s">
        <v>8</v>
      </c>
      <c r="CT33" s="388" t="s">
        <v>9</v>
      </c>
      <c r="CU33" s="386" t="s">
        <v>5</v>
      </c>
      <c r="CV33" s="387" t="s">
        <v>184</v>
      </c>
      <c r="CW33" s="387" t="s">
        <v>7</v>
      </c>
      <c r="CX33" s="387" t="s">
        <v>8</v>
      </c>
      <c r="CY33" s="388" t="s">
        <v>9</v>
      </c>
      <c r="CZ33" s="386" t="s">
        <v>5</v>
      </c>
      <c r="DA33" s="387" t="s">
        <v>184</v>
      </c>
      <c r="DB33" s="387" t="s">
        <v>7</v>
      </c>
      <c r="DC33" s="387" t="s">
        <v>8</v>
      </c>
      <c r="DD33" s="388" t="s">
        <v>9</v>
      </c>
      <c r="DE33" s="386" t="s">
        <v>5</v>
      </c>
      <c r="DF33" s="387" t="s">
        <v>184</v>
      </c>
      <c r="DG33" s="387" t="s">
        <v>7</v>
      </c>
      <c r="DH33" s="387" t="s">
        <v>8</v>
      </c>
      <c r="DI33" s="388" t="s">
        <v>9</v>
      </c>
      <c r="DJ33" s="386" t="s">
        <v>5</v>
      </c>
      <c r="DK33" s="387" t="s">
        <v>184</v>
      </c>
      <c r="DL33" s="387" t="s">
        <v>7</v>
      </c>
      <c r="DM33" s="387" t="s">
        <v>8</v>
      </c>
      <c r="DN33" s="388" t="s">
        <v>9</v>
      </c>
    </row>
    <row r="34" spans="1:118" s="29" customFormat="1" ht="4.5" customHeight="1" outlineLevel="1" thickBot="1">
      <c r="A34" s="68"/>
      <c r="B34" s="68"/>
      <c r="C34" s="53"/>
      <c r="D34" s="54"/>
      <c r="E34" s="54"/>
      <c r="F34" s="55"/>
      <c r="G34" s="56"/>
      <c r="H34" s="55"/>
      <c r="I34" s="55"/>
      <c r="J34" s="57"/>
      <c r="K34" s="58"/>
      <c r="L34" s="53"/>
      <c r="M34" s="59"/>
      <c r="N34" s="59"/>
      <c r="O34" s="59"/>
      <c r="P34" s="58"/>
      <c r="Q34" s="59"/>
      <c r="R34" s="58"/>
      <c r="S34" s="59"/>
      <c r="T34" s="58"/>
      <c r="U34" s="58"/>
      <c r="V34" s="59"/>
      <c r="W34" s="58"/>
      <c r="X34" s="59"/>
      <c r="Y34" s="33"/>
      <c r="Z34" s="59"/>
      <c r="AA34" s="61"/>
      <c r="AB34" s="61"/>
      <c r="AC34" s="61"/>
      <c r="AD34" s="53"/>
      <c r="AF34" s="53"/>
      <c r="AG34" s="61"/>
      <c r="AH34" s="61"/>
      <c r="AK34" s="61"/>
      <c r="AL34" s="61"/>
      <c r="AO34" s="61"/>
      <c r="AP34" s="61"/>
      <c r="AQ34" s="26"/>
    </row>
    <row r="35" spans="1:118" s="29" customFormat="1" ht="18" customHeight="1">
      <c r="A35" s="67">
        <v>12</v>
      </c>
      <c r="B35" s="67">
        <v>1</v>
      </c>
      <c r="C35" s="3" t="s">
        <v>256</v>
      </c>
      <c r="D35" s="17" t="s">
        <v>30</v>
      </c>
      <c r="E35" s="549"/>
      <c r="F35" s="305">
        <v>9085</v>
      </c>
      <c r="G35" s="306">
        <f t="shared" ref="G35:G49" si="6">F35/$F$2</f>
        <v>1.3999451424908391E-2</v>
      </c>
      <c r="H35" s="305"/>
      <c r="I35" s="305"/>
      <c r="J35" s="307"/>
      <c r="K35" s="135">
        <f t="shared" ref="K35:K45" si="7">J35/F35</f>
        <v>0</v>
      </c>
      <c r="L35" s="357"/>
      <c r="M35" s="320">
        <v>40330</v>
      </c>
      <c r="N35" s="330">
        <f t="shared" ref="N35:N45" ca="1" si="8">($F$1-M35)/30.33/12</f>
        <v>7.7123859764809319</v>
      </c>
      <c r="P35" s="8">
        <v>42946</v>
      </c>
      <c r="R35" s="358">
        <f ca="1">(W35-$F$1)/30.33</f>
        <v>5.7368941641938678</v>
      </c>
      <c r="T35" s="9" t="s">
        <v>116</v>
      </c>
      <c r="U35" s="132">
        <v>12</v>
      </c>
      <c r="W35" s="368">
        <f>IF(OR(T35="",T35="N"),P35,EDATE(P35,U35))</f>
        <v>43311</v>
      </c>
      <c r="Y35" s="9" t="s">
        <v>57</v>
      </c>
      <c r="AA35" s="634"/>
      <c r="AB35" s="635"/>
      <c r="AC35" s="636"/>
      <c r="AE35" s="9"/>
      <c r="AF35" s="9"/>
      <c r="AG35" s="9"/>
      <c r="AH35" s="9"/>
      <c r="AI35" s="9"/>
      <c r="AJ35" s="9"/>
      <c r="AK35" s="9"/>
      <c r="AL35" s="9"/>
      <c r="AM35" s="9"/>
      <c r="AN35" s="298"/>
      <c r="AO35" s="302"/>
      <c r="AP35" s="298"/>
      <c r="AQ35" s="457"/>
      <c r="AR35" s="392"/>
      <c r="AS35" s="393"/>
      <c r="AT35" s="428"/>
      <c r="AU35" s="393"/>
      <c r="AV35" s="394"/>
      <c r="AW35" s="392"/>
      <c r="AX35" s="393"/>
      <c r="AY35" s="428"/>
      <c r="AZ35" s="393"/>
      <c r="BA35" s="394"/>
      <c r="BB35" s="392"/>
      <c r="BC35" s="393"/>
      <c r="BD35" s="428"/>
      <c r="BE35" s="393"/>
      <c r="BF35" s="394"/>
      <c r="BG35" s="392"/>
      <c r="BH35" s="393"/>
      <c r="BI35" s="428"/>
      <c r="BJ35" s="393"/>
      <c r="BK35" s="394"/>
      <c r="BL35" s="392"/>
      <c r="BM35" s="393"/>
      <c r="BN35" s="428"/>
      <c r="BO35" s="393"/>
      <c r="BP35" s="394"/>
      <c r="BQ35" s="392"/>
      <c r="BR35" s="393"/>
      <c r="BS35" s="428"/>
      <c r="BT35" s="393"/>
      <c r="BU35" s="394"/>
      <c r="BV35" s="392"/>
      <c r="BW35" s="393"/>
      <c r="BX35" s="428"/>
      <c r="BY35" s="393"/>
      <c r="BZ35" s="394"/>
      <c r="CA35" s="392"/>
      <c r="CB35" s="393"/>
      <c r="CC35" s="428"/>
      <c r="CD35" s="393"/>
      <c r="CE35" s="394"/>
      <c r="CF35" s="392"/>
      <c r="CG35" s="393"/>
      <c r="CH35" s="428"/>
      <c r="CI35" s="393"/>
      <c r="CJ35" s="394"/>
      <c r="CK35" s="392"/>
      <c r="CL35" s="393"/>
      <c r="CM35" s="428"/>
      <c r="CN35" s="393"/>
      <c r="CO35" s="394"/>
      <c r="CP35" s="392"/>
      <c r="CQ35" s="393"/>
      <c r="CR35" s="428"/>
      <c r="CS35" s="393"/>
      <c r="CT35" s="394"/>
      <c r="CU35" s="392"/>
      <c r="CV35" s="393"/>
      <c r="CW35" s="428"/>
      <c r="CX35" s="393"/>
      <c r="CY35" s="394"/>
      <c r="CZ35" s="392"/>
      <c r="DA35" s="393"/>
      <c r="DB35" s="428"/>
      <c r="DC35" s="393"/>
      <c r="DD35" s="394"/>
      <c r="DE35" s="392"/>
      <c r="DF35" s="393"/>
      <c r="DG35" s="393"/>
      <c r="DH35" s="393"/>
      <c r="DI35" s="394"/>
      <c r="DJ35" s="392"/>
      <c r="DK35" s="393"/>
      <c r="DL35" s="393"/>
      <c r="DM35" s="393"/>
      <c r="DN35" s="394"/>
    </row>
    <row r="36" spans="1:118" ht="18" customHeight="1">
      <c r="A36" s="67">
        <v>13</v>
      </c>
      <c r="B36" s="67">
        <v>2</v>
      </c>
      <c r="C36" s="1" t="s">
        <v>255</v>
      </c>
      <c r="D36" s="21" t="s">
        <v>89</v>
      </c>
      <c r="E36" s="502"/>
      <c r="F36" s="311">
        <v>8636</v>
      </c>
      <c r="G36" s="309">
        <f t="shared" si="6"/>
        <v>1.3307568795322935E-2</v>
      </c>
      <c r="H36" s="311"/>
      <c r="I36" s="311"/>
      <c r="J36" s="312"/>
      <c r="K36" s="136">
        <f t="shared" si="7"/>
        <v>0</v>
      </c>
      <c r="L36" s="222"/>
      <c r="M36" s="322">
        <v>39965</v>
      </c>
      <c r="N36" s="331">
        <f t="shared" ca="1" si="8"/>
        <v>8.7152434333443249</v>
      </c>
      <c r="O36" s="32"/>
      <c r="P36" s="10">
        <v>42369</v>
      </c>
      <c r="Q36" s="32"/>
      <c r="R36" s="359">
        <f ca="1">(W36-$F$1)/30.33</f>
        <v>-1.2199142762940984</v>
      </c>
      <c r="S36" s="32"/>
      <c r="T36" s="11" t="s">
        <v>116</v>
      </c>
      <c r="U36" s="133">
        <v>24</v>
      </c>
      <c r="V36" s="32"/>
      <c r="W36" s="369">
        <f>IF(OR(T36="",T36="N"),P36,EDATE(P36,U36))</f>
        <v>43100</v>
      </c>
      <c r="X36" s="32"/>
      <c r="Y36" s="215" t="s">
        <v>57</v>
      </c>
      <c r="Z36" s="32"/>
      <c r="AA36" s="628"/>
      <c r="AB36" s="629"/>
      <c r="AC36" s="630"/>
      <c r="AD36" s="32"/>
      <c r="AE36" s="15"/>
      <c r="AF36" s="15"/>
      <c r="AG36" s="14"/>
      <c r="AH36" s="14"/>
      <c r="AI36" s="15"/>
      <c r="AJ36" s="15"/>
      <c r="AK36" s="14"/>
      <c r="AL36" s="14"/>
      <c r="AM36" s="15"/>
      <c r="AN36" s="301"/>
      <c r="AO36" s="215"/>
      <c r="AP36" s="301"/>
      <c r="AQ36" s="459"/>
      <c r="AR36" s="405"/>
      <c r="AS36" s="402"/>
      <c r="AT36" s="402"/>
      <c r="AU36" s="402"/>
      <c r="AV36" s="403"/>
      <c r="AW36" s="405"/>
      <c r="AX36" s="402"/>
      <c r="AY36" s="402"/>
      <c r="AZ36" s="402"/>
      <c r="BA36" s="403"/>
      <c r="BB36" s="405"/>
      <c r="BC36" s="402"/>
      <c r="BD36" s="402"/>
      <c r="BE36" s="402"/>
      <c r="BF36" s="403"/>
      <c r="BG36" s="405"/>
      <c r="BH36" s="402"/>
      <c r="BI36" s="402"/>
      <c r="BJ36" s="402"/>
      <c r="BK36" s="403"/>
      <c r="BL36" s="405"/>
      <c r="BM36" s="402"/>
      <c r="BN36" s="402"/>
      <c r="BO36" s="402"/>
      <c r="BP36" s="403"/>
      <c r="BQ36" s="405"/>
      <c r="BR36" s="402"/>
      <c r="BS36" s="402"/>
      <c r="BT36" s="402"/>
      <c r="BU36" s="403"/>
      <c r="BV36" s="405"/>
      <c r="BW36" s="402"/>
      <c r="BX36" s="402"/>
      <c r="BY36" s="402"/>
      <c r="BZ36" s="403"/>
      <c r="CA36" s="405"/>
      <c r="CB36" s="402"/>
      <c r="CC36" s="402"/>
      <c r="CD36" s="402"/>
      <c r="CE36" s="403"/>
      <c r="CF36" s="405"/>
      <c r="CG36" s="402"/>
      <c r="CH36" s="402"/>
      <c r="CI36" s="402"/>
      <c r="CJ36" s="403"/>
      <c r="CK36" s="405"/>
      <c r="CL36" s="402"/>
      <c r="CM36" s="402"/>
      <c r="CN36" s="402"/>
      <c r="CO36" s="403"/>
      <c r="CP36" s="405"/>
      <c r="CQ36" s="402"/>
      <c r="CR36" s="402"/>
      <c r="CS36" s="402"/>
      <c r="CT36" s="403"/>
      <c r="CU36" s="405"/>
      <c r="CV36" s="402"/>
      <c r="CW36" s="402"/>
      <c r="CX36" s="402"/>
      <c r="CY36" s="403"/>
      <c r="CZ36" s="405"/>
      <c r="DA36" s="402"/>
      <c r="DB36" s="402"/>
      <c r="DC36" s="402"/>
      <c r="DD36" s="403"/>
      <c r="DE36" s="405"/>
      <c r="DF36" s="402"/>
      <c r="DG36" s="402"/>
      <c r="DH36" s="402"/>
      <c r="DI36" s="403"/>
      <c r="DJ36" s="405"/>
      <c r="DK36" s="402"/>
      <c r="DL36" s="402"/>
      <c r="DM36" s="402"/>
      <c r="DN36" s="403"/>
    </row>
    <row r="37" spans="1:118" ht="18" customHeight="1">
      <c r="A37" s="67">
        <v>14</v>
      </c>
      <c r="B37" s="67">
        <v>3</v>
      </c>
      <c r="C37" s="1" t="s">
        <v>254</v>
      </c>
      <c r="D37" s="505" t="s">
        <v>89</v>
      </c>
      <c r="E37" s="502"/>
      <c r="F37" s="311">
        <v>8213</v>
      </c>
      <c r="G37" s="309">
        <f t="shared" si="6"/>
        <v>1.2655750638720155E-2</v>
      </c>
      <c r="H37" s="311"/>
      <c r="I37" s="311"/>
      <c r="J37" s="312"/>
      <c r="K37" s="136">
        <f t="shared" si="7"/>
        <v>0</v>
      </c>
      <c r="L37" s="222"/>
      <c r="M37" s="322"/>
      <c r="N37" s="331">
        <f t="shared" ca="1" si="8"/>
        <v>118.52126607319487</v>
      </c>
      <c r="O37" s="32"/>
      <c r="P37" s="7"/>
      <c r="Q37" s="32"/>
      <c r="R37" s="359">
        <f t="shared" ref="R37:R53" ca="1" si="9">(W37-$F$1)/30.33</f>
        <v>-1422.2551928783384</v>
      </c>
      <c r="S37" s="32"/>
      <c r="T37" s="385"/>
      <c r="U37" s="133"/>
      <c r="V37" s="32"/>
      <c r="W37" s="369"/>
      <c r="X37" s="32"/>
      <c r="Y37" s="215"/>
      <c r="Z37" s="32"/>
      <c r="AA37" s="628"/>
      <c r="AB37" s="629"/>
      <c r="AC37" s="630"/>
      <c r="AD37" s="32"/>
      <c r="AE37" s="15"/>
      <c r="AF37" s="15"/>
      <c r="AG37" s="14"/>
      <c r="AH37" s="14"/>
      <c r="AI37" s="15"/>
      <c r="AJ37" s="15"/>
      <c r="AK37" s="14"/>
      <c r="AL37" s="14"/>
      <c r="AM37" s="15"/>
      <c r="AN37" s="301"/>
      <c r="AO37" s="215"/>
      <c r="AP37" s="301"/>
      <c r="AQ37" s="459"/>
      <c r="AR37" s="405"/>
      <c r="AS37" s="402"/>
      <c r="AT37" s="402"/>
      <c r="AU37" s="402"/>
      <c r="AV37" s="403"/>
      <c r="AW37" s="405"/>
      <c r="AX37" s="402"/>
      <c r="AY37" s="402"/>
      <c r="AZ37" s="402"/>
      <c r="BA37" s="403"/>
      <c r="BB37" s="405"/>
      <c r="BC37" s="402"/>
      <c r="BD37" s="402"/>
      <c r="BE37" s="402"/>
      <c r="BF37" s="403"/>
      <c r="BG37" s="405"/>
      <c r="BH37" s="402"/>
      <c r="BI37" s="402"/>
      <c r="BJ37" s="402"/>
      <c r="BK37" s="403"/>
      <c r="BL37" s="405"/>
      <c r="BM37" s="402"/>
      <c r="BN37" s="402"/>
      <c r="BO37" s="402"/>
      <c r="BP37" s="403"/>
      <c r="BQ37" s="405"/>
      <c r="BR37" s="402"/>
      <c r="BS37" s="402"/>
      <c r="BT37" s="402"/>
      <c r="BU37" s="403"/>
      <c r="BV37" s="405"/>
      <c r="BW37" s="402"/>
      <c r="BX37" s="402"/>
      <c r="BY37" s="402"/>
      <c r="BZ37" s="403"/>
      <c r="CA37" s="405"/>
      <c r="CB37" s="402"/>
      <c r="CC37" s="402"/>
      <c r="CD37" s="402"/>
      <c r="CE37" s="403"/>
      <c r="CF37" s="405"/>
      <c r="CG37" s="402"/>
      <c r="CH37" s="402"/>
      <c r="CI37" s="402"/>
      <c r="CJ37" s="403"/>
      <c r="CK37" s="405"/>
      <c r="CL37" s="402"/>
      <c r="CM37" s="402"/>
      <c r="CN37" s="402"/>
      <c r="CO37" s="403"/>
      <c r="CP37" s="405"/>
      <c r="CQ37" s="402"/>
      <c r="CR37" s="402"/>
      <c r="CS37" s="402"/>
      <c r="CT37" s="403"/>
      <c r="CU37" s="405"/>
      <c r="CV37" s="402"/>
      <c r="CW37" s="402"/>
      <c r="CX37" s="402"/>
      <c r="CY37" s="403"/>
      <c r="CZ37" s="405"/>
      <c r="DA37" s="402"/>
      <c r="DB37" s="402"/>
      <c r="DC37" s="402"/>
      <c r="DD37" s="403"/>
      <c r="DE37" s="405"/>
      <c r="DF37" s="402"/>
      <c r="DG37" s="402"/>
      <c r="DH37" s="402"/>
      <c r="DI37" s="403"/>
      <c r="DJ37" s="405"/>
      <c r="DK37" s="402"/>
      <c r="DL37" s="402"/>
      <c r="DM37" s="402"/>
      <c r="DN37" s="403"/>
    </row>
    <row r="38" spans="1:118" ht="18" customHeight="1">
      <c r="A38" s="67">
        <v>15</v>
      </c>
      <c r="B38" s="67">
        <v>4</v>
      </c>
      <c r="C38" s="1" t="s">
        <v>253</v>
      </c>
      <c r="D38" s="21" t="s">
        <v>30</v>
      </c>
      <c r="E38" s="502" t="s">
        <v>36</v>
      </c>
      <c r="F38" s="311">
        <v>6062</v>
      </c>
      <c r="G38" s="309">
        <f t="shared" si="6"/>
        <v>9.3411859700379372E-3</v>
      </c>
      <c r="H38" s="311"/>
      <c r="I38" s="311"/>
      <c r="J38" s="312"/>
      <c r="K38" s="136">
        <f t="shared" si="7"/>
        <v>0</v>
      </c>
      <c r="L38" s="222"/>
      <c r="M38" s="367">
        <v>41275</v>
      </c>
      <c r="N38" s="331">
        <f t="shared" ca="1" si="8"/>
        <v>5.1159468073414667</v>
      </c>
      <c r="O38" s="32"/>
      <c r="P38" s="10">
        <v>42916</v>
      </c>
      <c r="Q38" s="32"/>
      <c r="R38" s="359">
        <f t="shared" ca="1" si="9"/>
        <v>4.7477744807121667</v>
      </c>
      <c r="S38" s="32"/>
      <c r="T38" s="11" t="s">
        <v>116</v>
      </c>
      <c r="U38" s="133">
        <v>12</v>
      </c>
      <c r="V38" s="32"/>
      <c r="W38" s="369">
        <f>IF(OR(T38="",T38="N"),P38,EDATE(P38,U38))</f>
        <v>43281</v>
      </c>
      <c r="X38" s="32"/>
      <c r="Y38" s="215" t="s">
        <v>57</v>
      </c>
      <c r="Z38" s="32"/>
      <c r="AA38" s="628"/>
      <c r="AB38" s="629"/>
      <c r="AC38" s="630"/>
      <c r="AD38" s="32"/>
      <c r="AE38" s="15"/>
      <c r="AF38" s="15"/>
      <c r="AG38" s="14"/>
      <c r="AH38" s="14"/>
      <c r="AI38" s="15"/>
      <c r="AJ38" s="15"/>
      <c r="AK38" s="14"/>
      <c r="AL38" s="14"/>
      <c r="AM38" s="15"/>
      <c r="AN38" s="301"/>
      <c r="AO38" s="215"/>
      <c r="AP38" s="301"/>
      <c r="AQ38" s="459"/>
      <c r="AR38" s="405"/>
      <c r="AS38" s="402"/>
      <c r="AT38" s="402"/>
      <c r="AU38" s="402"/>
      <c r="AV38" s="403"/>
      <c r="AW38" s="405"/>
      <c r="AX38" s="402"/>
      <c r="AY38" s="402"/>
      <c r="AZ38" s="402"/>
      <c r="BA38" s="403"/>
      <c r="BB38" s="405"/>
      <c r="BC38" s="402"/>
      <c r="BD38" s="402"/>
      <c r="BE38" s="402"/>
      <c r="BF38" s="403"/>
      <c r="BG38" s="405"/>
      <c r="BH38" s="402"/>
      <c r="BI38" s="402"/>
      <c r="BJ38" s="402"/>
      <c r="BK38" s="403"/>
      <c r="BL38" s="405"/>
      <c r="BM38" s="402"/>
      <c r="BN38" s="402"/>
      <c r="BO38" s="402"/>
      <c r="BP38" s="403"/>
      <c r="BQ38" s="405"/>
      <c r="BR38" s="402"/>
      <c r="BS38" s="402"/>
      <c r="BT38" s="402"/>
      <c r="BU38" s="403"/>
      <c r="BV38" s="405"/>
      <c r="BW38" s="402"/>
      <c r="BX38" s="402"/>
      <c r="BY38" s="402"/>
      <c r="BZ38" s="403"/>
      <c r="CA38" s="405"/>
      <c r="CB38" s="402"/>
      <c r="CC38" s="402"/>
      <c r="CD38" s="402"/>
      <c r="CE38" s="403"/>
      <c r="CF38" s="405"/>
      <c r="CG38" s="402"/>
      <c r="CH38" s="402"/>
      <c r="CI38" s="402"/>
      <c r="CJ38" s="403"/>
      <c r="CK38" s="405"/>
      <c r="CL38" s="402"/>
      <c r="CM38" s="402"/>
      <c r="CN38" s="402"/>
      <c r="CO38" s="403"/>
      <c r="CP38" s="405"/>
      <c r="CQ38" s="402"/>
      <c r="CR38" s="402"/>
      <c r="CS38" s="402"/>
      <c r="CT38" s="403"/>
      <c r="CU38" s="405"/>
      <c r="CV38" s="402"/>
      <c r="CW38" s="402"/>
      <c r="CX38" s="402"/>
      <c r="CY38" s="403"/>
      <c r="CZ38" s="405"/>
      <c r="DA38" s="402"/>
      <c r="DB38" s="402"/>
      <c r="DC38" s="402"/>
      <c r="DD38" s="403"/>
      <c r="DE38" s="405"/>
      <c r="DF38" s="402"/>
      <c r="DG38" s="402"/>
      <c r="DH38" s="402"/>
      <c r="DI38" s="403"/>
      <c r="DJ38" s="405"/>
      <c r="DK38" s="402"/>
      <c r="DL38" s="402"/>
      <c r="DM38" s="402"/>
      <c r="DN38" s="403"/>
    </row>
    <row r="39" spans="1:118" ht="18" customHeight="1">
      <c r="A39" s="67">
        <v>16</v>
      </c>
      <c r="B39" s="67">
        <v>5</v>
      </c>
      <c r="C39" s="1" t="s">
        <v>137</v>
      </c>
      <c r="D39" s="21" t="s">
        <v>30</v>
      </c>
      <c r="E39" s="502"/>
      <c r="F39" s="311">
        <v>5165</v>
      </c>
      <c r="G39" s="309">
        <f t="shared" si="6"/>
        <v>7.9589616521355908E-3</v>
      </c>
      <c r="H39" s="311"/>
      <c r="I39" s="311"/>
      <c r="J39" s="312"/>
      <c r="K39" s="136">
        <f t="shared" si="7"/>
        <v>0</v>
      </c>
      <c r="L39" s="222"/>
      <c r="M39" s="367">
        <v>40989</v>
      </c>
      <c r="N39" s="331">
        <f t="shared" ca="1" si="8"/>
        <v>5.9017474447741511</v>
      </c>
      <c r="O39" s="32"/>
      <c r="P39" s="7">
        <v>42825</v>
      </c>
      <c r="Q39" s="32"/>
      <c r="R39" s="359">
        <f t="shared" ca="1" si="9"/>
        <v>1.7474447741510057</v>
      </c>
      <c r="S39" s="32"/>
      <c r="T39" s="385" t="s">
        <v>116</v>
      </c>
      <c r="U39" s="133">
        <v>12</v>
      </c>
      <c r="V39" s="32"/>
      <c r="W39" s="369">
        <f>IF(OR(T39="",T39="N"),P39,EDATE(P39,U39))</f>
        <v>43190</v>
      </c>
      <c r="X39" s="32"/>
      <c r="Y39" s="215" t="s">
        <v>21</v>
      </c>
      <c r="Z39" s="32"/>
      <c r="AA39" s="628"/>
      <c r="AB39" s="629"/>
      <c r="AC39" s="630"/>
      <c r="AD39" s="32"/>
      <c r="AE39" s="15"/>
      <c r="AF39" s="15"/>
      <c r="AG39" s="14"/>
      <c r="AH39" s="14"/>
      <c r="AI39" s="15"/>
      <c r="AJ39" s="15"/>
      <c r="AK39" s="14"/>
      <c r="AL39" s="14"/>
      <c r="AM39" s="15"/>
      <c r="AN39" s="301"/>
      <c r="AO39" s="215"/>
      <c r="AP39" s="301"/>
      <c r="AQ39" s="459"/>
      <c r="AR39" s="405"/>
      <c r="AS39" s="402"/>
      <c r="AT39" s="409"/>
      <c r="AU39" s="402"/>
      <c r="AV39" s="403"/>
      <c r="AW39" s="405"/>
      <c r="AX39" s="402"/>
      <c r="AY39" s="409"/>
      <c r="AZ39" s="402"/>
      <c r="BA39" s="403"/>
      <c r="BB39" s="405"/>
      <c r="BC39" s="402"/>
      <c r="BD39" s="409"/>
      <c r="BE39" s="402"/>
      <c r="BF39" s="403"/>
      <c r="BG39" s="405"/>
      <c r="BH39" s="402"/>
      <c r="BI39" s="409"/>
      <c r="BJ39" s="402"/>
      <c r="BK39" s="403"/>
      <c r="BL39" s="405"/>
      <c r="BM39" s="402"/>
      <c r="BN39" s="409"/>
      <c r="BO39" s="402"/>
      <c r="BP39" s="403"/>
      <c r="BQ39" s="405"/>
      <c r="BR39" s="402"/>
      <c r="BS39" s="409"/>
      <c r="BT39" s="402"/>
      <c r="BU39" s="403"/>
      <c r="BV39" s="405"/>
      <c r="BW39" s="402"/>
      <c r="BX39" s="409"/>
      <c r="BY39" s="402"/>
      <c r="BZ39" s="403"/>
      <c r="CA39" s="405"/>
      <c r="CB39" s="402"/>
      <c r="CC39" s="409"/>
      <c r="CD39" s="402"/>
      <c r="CE39" s="403"/>
      <c r="CF39" s="405"/>
      <c r="CG39" s="402"/>
      <c r="CH39" s="409"/>
      <c r="CI39" s="402"/>
      <c r="CJ39" s="403"/>
      <c r="CK39" s="405"/>
      <c r="CL39" s="402"/>
      <c r="CM39" s="409"/>
      <c r="CN39" s="402"/>
      <c r="CO39" s="403"/>
      <c r="CP39" s="405"/>
      <c r="CQ39" s="402"/>
      <c r="CR39" s="409"/>
      <c r="CS39" s="402"/>
      <c r="CT39" s="403"/>
      <c r="CU39" s="405"/>
      <c r="CV39" s="402"/>
      <c r="CW39" s="409"/>
      <c r="CX39" s="402"/>
      <c r="CY39" s="403"/>
      <c r="CZ39" s="405"/>
      <c r="DA39" s="402"/>
      <c r="DB39" s="409"/>
      <c r="DC39" s="402"/>
      <c r="DD39" s="403"/>
      <c r="DE39" s="405"/>
      <c r="DF39" s="402"/>
      <c r="DG39" s="409"/>
      <c r="DH39" s="402"/>
      <c r="DI39" s="403"/>
      <c r="DJ39" s="405"/>
      <c r="DK39" s="402"/>
      <c r="DL39" s="409"/>
      <c r="DM39" s="402"/>
      <c r="DN39" s="403"/>
    </row>
    <row r="40" spans="1:118" ht="18" customHeight="1">
      <c r="A40" s="67">
        <v>17</v>
      </c>
      <c r="B40" s="67">
        <v>6</v>
      </c>
      <c r="C40" s="1" t="s">
        <v>252</v>
      </c>
      <c r="D40" s="21" t="s">
        <v>89</v>
      </c>
      <c r="E40" s="502"/>
      <c r="F40" s="311">
        <v>4933</v>
      </c>
      <c r="G40" s="309">
        <f t="shared" si="6"/>
        <v>7.6014632778286292E-3</v>
      </c>
      <c r="H40" s="311"/>
      <c r="I40" s="311"/>
      <c r="J40" s="312"/>
      <c r="K40" s="136">
        <f t="shared" si="7"/>
        <v>0</v>
      </c>
      <c r="L40" s="222"/>
      <c r="M40" s="367">
        <v>38777</v>
      </c>
      <c r="N40" s="331">
        <f t="shared" ca="1" si="8"/>
        <v>11.979338388833938</v>
      </c>
      <c r="O40" s="32"/>
      <c r="P40" s="7">
        <v>42979</v>
      </c>
      <c r="Q40" s="32"/>
      <c r="R40" s="359">
        <f t="shared" ca="1" si="9"/>
        <v>0.75832509066930431</v>
      </c>
      <c r="S40" s="32"/>
      <c r="T40" s="385" t="s">
        <v>116</v>
      </c>
      <c r="U40" s="133">
        <v>6</v>
      </c>
      <c r="V40" s="32"/>
      <c r="W40" s="369">
        <f t="shared" ref="W40" si="10">IF(OR(T40="",T40="N"),P40,EDATE(P40,U40))</f>
        <v>43160</v>
      </c>
      <c r="X40" s="32"/>
      <c r="Y40" s="215" t="s">
        <v>21</v>
      </c>
      <c r="Z40" s="32"/>
      <c r="AA40" s="628"/>
      <c r="AB40" s="629"/>
      <c r="AC40" s="630"/>
      <c r="AD40" s="32"/>
      <c r="AE40" s="14"/>
      <c r="AF40" s="14"/>
      <c r="AG40" s="14"/>
      <c r="AH40" s="14"/>
      <c r="AI40" s="14"/>
      <c r="AJ40" s="14"/>
      <c r="AK40" s="14"/>
      <c r="AL40" s="14"/>
      <c r="AM40" s="14"/>
      <c r="AN40" s="301"/>
      <c r="AO40" s="215"/>
      <c r="AP40" s="301"/>
      <c r="AQ40" s="459"/>
      <c r="AR40" s="405"/>
      <c r="AS40" s="402"/>
      <c r="AT40" s="402"/>
      <c r="AU40" s="402"/>
      <c r="AV40" s="403"/>
      <c r="AW40" s="405"/>
      <c r="AX40" s="402"/>
      <c r="AY40" s="402"/>
      <c r="AZ40" s="402"/>
      <c r="BA40" s="403"/>
      <c r="BB40" s="405"/>
      <c r="BC40" s="402"/>
      <c r="BD40" s="402"/>
      <c r="BE40" s="402"/>
      <c r="BF40" s="403"/>
      <c r="BG40" s="405"/>
      <c r="BH40" s="402"/>
      <c r="BI40" s="402"/>
      <c r="BJ40" s="402"/>
      <c r="BK40" s="403"/>
      <c r="BL40" s="405"/>
      <c r="BM40" s="402"/>
      <c r="BN40" s="402"/>
      <c r="BO40" s="402"/>
      <c r="BP40" s="403"/>
      <c r="BQ40" s="405"/>
      <c r="BR40" s="402"/>
      <c r="BS40" s="402"/>
      <c r="BT40" s="402"/>
      <c r="BU40" s="403"/>
      <c r="BV40" s="405"/>
      <c r="BW40" s="402"/>
      <c r="BX40" s="402"/>
      <c r="BY40" s="402"/>
      <c r="BZ40" s="403"/>
      <c r="CA40" s="405"/>
      <c r="CB40" s="402"/>
      <c r="CC40" s="402"/>
      <c r="CD40" s="402"/>
      <c r="CE40" s="403"/>
      <c r="CF40" s="405"/>
      <c r="CG40" s="402"/>
      <c r="CH40" s="402"/>
      <c r="CI40" s="402"/>
      <c r="CJ40" s="403"/>
      <c r="CK40" s="405"/>
      <c r="CL40" s="402"/>
      <c r="CM40" s="402"/>
      <c r="CN40" s="402"/>
      <c r="CO40" s="403"/>
      <c r="CP40" s="405"/>
      <c r="CQ40" s="402"/>
      <c r="CR40" s="402"/>
      <c r="CS40" s="402"/>
      <c r="CT40" s="403"/>
      <c r="CU40" s="405"/>
      <c r="CV40" s="402"/>
      <c r="CW40" s="402"/>
      <c r="CX40" s="402"/>
      <c r="CY40" s="403"/>
      <c r="CZ40" s="405"/>
      <c r="DA40" s="402"/>
      <c r="DB40" s="402"/>
      <c r="DC40" s="402"/>
      <c r="DD40" s="403"/>
      <c r="DE40" s="405"/>
      <c r="DF40" s="402"/>
      <c r="DG40" s="402"/>
      <c r="DH40" s="402"/>
      <c r="DI40" s="403"/>
      <c r="DJ40" s="405"/>
      <c r="DK40" s="402"/>
      <c r="DL40" s="402"/>
      <c r="DM40" s="402"/>
      <c r="DN40" s="403"/>
    </row>
    <row r="41" spans="1:118" ht="18" customHeight="1">
      <c r="A41" s="67">
        <v>18</v>
      </c>
      <c r="B41" s="67">
        <v>7</v>
      </c>
      <c r="C41" s="1" t="s">
        <v>251</v>
      </c>
      <c r="D41" s="21" t="s">
        <v>89</v>
      </c>
      <c r="E41" s="502"/>
      <c r="F41" s="311">
        <v>3991</v>
      </c>
      <c r="G41" s="309">
        <f t="shared" si="6"/>
        <v>6.149896602840879E-3</v>
      </c>
      <c r="H41" s="311"/>
      <c r="I41" s="311"/>
      <c r="J41" s="312"/>
      <c r="K41" s="136">
        <f t="shared" si="7"/>
        <v>0</v>
      </c>
      <c r="L41" s="222"/>
      <c r="M41" s="322">
        <v>38018</v>
      </c>
      <c r="N41" s="331">
        <f t="shared" ca="1" si="8"/>
        <v>14.064732388174527</v>
      </c>
      <c r="O41" s="32"/>
      <c r="P41" s="7">
        <v>43131</v>
      </c>
      <c r="Q41" s="32"/>
      <c r="R41" s="359">
        <f t="shared" ca="1" si="9"/>
        <v>3.7586547972304651</v>
      </c>
      <c r="S41" s="32"/>
      <c r="T41" s="385" t="s">
        <v>116</v>
      </c>
      <c r="U41" s="133">
        <v>4</v>
      </c>
      <c r="V41" s="32"/>
      <c r="W41" s="369">
        <f t="shared" ref="W41:W47" si="11">IF(OR(T41="",T41="N"),P41,EDATE(P41,U41))</f>
        <v>43251</v>
      </c>
      <c r="X41" s="32"/>
      <c r="Y41" s="215" t="s">
        <v>57</v>
      </c>
      <c r="Z41" s="32"/>
      <c r="AA41" s="628"/>
      <c r="AB41" s="629"/>
      <c r="AC41" s="630"/>
      <c r="AD41" s="32"/>
      <c r="AE41" s="15"/>
      <c r="AF41" s="15"/>
      <c r="AG41" s="14"/>
      <c r="AH41" s="14"/>
      <c r="AI41" s="15"/>
      <c r="AJ41" s="15"/>
      <c r="AK41" s="14"/>
      <c r="AL41" s="14"/>
      <c r="AM41" s="15"/>
      <c r="AN41" s="301"/>
      <c r="AO41" s="215"/>
      <c r="AP41" s="301"/>
      <c r="AQ41" s="459"/>
      <c r="AR41" s="405"/>
      <c r="AS41" s="402"/>
      <c r="AT41" s="402"/>
      <c r="AU41" s="402"/>
      <c r="AV41" s="403"/>
      <c r="AW41" s="405"/>
      <c r="AX41" s="402"/>
      <c r="AY41" s="402"/>
      <c r="AZ41" s="402"/>
      <c r="BA41" s="403"/>
      <c r="BB41" s="405"/>
      <c r="BC41" s="402"/>
      <c r="BD41" s="402"/>
      <c r="BE41" s="402"/>
      <c r="BF41" s="403"/>
      <c r="BG41" s="405"/>
      <c r="BH41" s="402"/>
      <c r="BI41" s="402"/>
      <c r="BJ41" s="402"/>
      <c r="BK41" s="403"/>
      <c r="BL41" s="405"/>
      <c r="BM41" s="402"/>
      <c r="BN41" s="402"/>
      <c r="BO41" s="402"/>
      <c r="BP41" s="403"/>
      <c r="BQ41" s="405"/>
      <c r="BR41" s="402"/>
      <c r="BS41" s="402"/>
      <c r="BT41" s="402"/>
      <c r="BU41" s="403"/>
      <c r="BV41" s="405"/>
      <c r="BW41" s="402"/>
      <c r="BX41" s="402"/>
      <c r="BY41" s="402"/>
      <c r="BZ41" s="403"/>
      <c r="CA41" s="405"/>
      <c r="CB41" s="402"/>
      <c r="CC41" s="402"/>
      <c r="CD41" s="402"/>
      <c r="CE41" s="403"/>
      <c r="CF41" s="405"/>
      <c r="CG41" s="402"/>
      <c r="CH41" s="402"/>
      <c r="CI41" s="402"/>
      <c r="CJ41" s="403"/>
      <c r="CK41" s="405"/>
      <c r="CL41" s="402"/>
      <c r="CM41" s="402"/>
      <c r="CN41" s="402"/>
      <c r="CO41" s="403"/>
      <c r="CP41" s="405"/>
      <c r="CQ41" s="402"/>
      <c r="CR41" s="402"/>
      <c r="CS41" s="402"/>
      <c r="CT41" s="403"/>
      <c r="CU41" s="405"/>
      <c r="CV41" s="402"/>
      <c r="CW41" s="402"/>
      <c r="CX41" s="402"/>
      <c r="CY41" s="403"/>
      <c r="CZ41" s="405"/>
      <c r="DA41" s="402"/>
      <c r="DB41" s="402"/>
      <c r="DC41" s="402"/>
      <c r="DD41" s="403"/>
      <c r="DE41" s="405"/>
      <c r="DF41" s="402"/>
      <c r="DG41" s="402"/>
      <c r="DH41" s="402"/>
      <c r="DI41" s="403"/>
      <c r="DJ41" s="405"/>
      <c r="DK41" s="402"/>
      <c r="DL41" s="402"/>
      <c r="DM41" s="402"/>
      <c r="DN41" s="403"/>
    </row>
    <row r="42" spans="1:118" ht="18" customHeight="1">
      <c r="A42" s="67">
        <v>19</v>
      </c>
      <c r="B42" s="67">
        <v>8</v>
      </c>
      <c r="C42" s="1" t="s">
        <v>17</v>
      </c>
      <c r="D42" s="21" t="s">
        <v>53</v>
      </c>
      <c r="E42" s="502"/>
      <c r="F42" s="311">
        <v>3738</v>
      </c>
      <c r="G42" s="309">
        <f t="shared" si="6"/>
        <v>5.7600384618940632E-3</v>
      </c>
      <c r="H42" s="311"/>
      <c r="I42" s="311"/>
      <c r="J42" s="312"/>
      <c r="K42" s="136">
        <f t="shared" si="7"/>
        <v>0</v>
      </c>
      <c r="L42" s="222"/>
      <c r="M42" s="367">
        <v>40179</v>
      </c>
      <c r="N42" s="331">
        <f t="shared" ca="1" si="8"/>
        <v>8.1272667326079802</v>
      </c>
      <c r="O42" s="32"/>
      <c r="P42" s="7">
        <v>43862</v>
      </c>
      <c r="Q42" s="32"/>
      <c r="R42" s="359">
        <f t="shared" ca="1" si="9"/>
        <v>23.903725684141115</v>
      </c>
      <c r="S42" s="32"/>
      <c r="T42" s="385" t="s">
        <v>117</v>
      </c>
      <c r="U42" s="133"/>
      <c r="V42" s="32"/>
      <c r="W42" s="369">
        <f t="shared" si="11"/>
        <v>43862</v>
      </c>
      <c r="X42" s="32"/>
      <c r="Y42" s="215" t="s">
        <v>14</v>
      </c>
      <c r="Z42" s="32"/>
      <c r="AA42" s="628"/>
      <c r="AB42" s="629"/>
      <c r="AC42" s="630"/>
      <c r="AD42" s="32"/>
      <c r="AE42" s="14"/>
      <c r="AF42" s="14"/>
      <c r="AG42" s="14"/>
      <c r="AH42" s="14"/>
      <c r="AI42" s="14"/>
      <c r="AJ42" s="14"/>
      <c r="AK42" s="14"/>
      <c r="AL42" s="14"/>
      <c r="AM42" s="14"/>
      <c r="AN42" s="301"/>
      <c r="AO42" s="215"/>
      <c r="AP42" s="301"/>
      <c r="AQ42" s="459"/>
      <c r="AR42" s="405"/>
      <c r="AS42" s="402"/>
      <c r="AT42" s="402"/>
      <c r="AU42" s="402"/>
      <c r="AV42" s="403"/>
      <c r="AW42" s="405"/>
      <c r="AX42" s="402"/>
      <c r="AY42" s="402"/>
      <c r="AZ42" s="402"/>
      <c r="BA42" s="403"/>
      <c r="BB42" s="405"/>
      <c r="BC42" s="402"/>
      <c r="BD42" s="402"/>
      <c r="BE42" s="402"/>
      <c r="BF42" s="403"/>
      <c r="BG42" s="405"/>
      <c r="BH42" s="402"/>
      <c r="BI42" s="402"/>
      <c r="BJ42" s="402"/>
      <c r="BK42" s="403"/>
      <c r="BL42" s="405"/>
      <c r="BM42" s="402"/>
      <c r="BN42" s="402"/>
      <c r="BO42" s="402"/>
      <c r="BP42" s="403"/>
      <c r="BQ42" s="405"/>
      <c r="BR42" s="402"/>
      <c r="BS42" s="402"/>
      <c r="BT42" s="402"/>
      <c r="BU42" s="403"/>
      <c r="BV42" s="405"/>
      <c r="BW42" s="402"/>
      <c r="BX42" s="402"/>
      <c r="BY42" s="402"/>
      <c r="BZ42" s="403"/>
      <c r="CA42" s="405"/>
      <c r="CB42" s="402"/>
      <c r="CC42" s="402"/>
      <c r="CD42" s="402"/>
      <c r="CE42" s="403"/>
      <c r="CF42" s="405"/>
      <c r="CG42" s="402"/>
      <c r="CH42" s="402"/>
      <c r="CI42" s="402"/>
      <c r="CJ42" s="403"/>
      <c r="CK42" s="405"/>
      <c r="CL42" s="402"/>
      <c r="CM42" s="402"/>
      <c r="CN42" s="402"/>
      <c r="CO42" s="403"/>
      <c r="CP42" s="405"/>
      <c r="CQ42" s="402"/>
      <c r="CR42" s="402"/>
      <c r="CS42" s="402"/>
      <c r="CT42" s="403"/>
      <c r="CU42" s="405"/>
      <c r="CV42" s="402"/>
      <c r="CW42" s="402"/>
      <c r="CX42" s="402"/>
      <c r="CY42" s="403"/>
      <c r="CZ42" s="405"/>
      <c r="DA42" s="402"/>
      <c r="DB42" s="402"/>
      <c r="DC42" s="402"/>
      <c r="DD42" s="403"/>
      <c r="DE42" s="405"/>
      <c r="DF42" s="402"/>
      <c r="DG42" s="402"/>
      <c r="DH42" s="402"/>
      <c r="DI42" s="403"/>
      <c r="DJ42" s="405"/>
      <c r="DK42" s="402"/>
      <c r="DL42" s="402"/>
      <c r="DM42" s="402"/>
      <c r="DN42" s="403"/>
    </row>
    <row r="43" spans="1:118" ht="18" customHeight="1">
      <c r="A43" s="67">
        <v>20</v>
      </c>
      <c r="B43" s="67">
        <v>9</v>
      </c>
      <c r="C43" s="1" t="s">
        <v>246</v>
      </c>
      <c r="D43" s="21" t="s">
        <v>54</v>
      </c>
      <c r="E43" s="502" t="s">
        <v>36</v>
      </c>
      <c r="F43" s="311">
        <v>3701</v>
      </c>
      <c r="G43" s="309">
        <f t="shared" si="6"/>
        <v>5.7030236349571769E-3</v>
      </c>
      <c r="H43" s="311"/>
      <c r="I43" s="311"/>
      <c r="J43" s="312"/>
      <c r="K43" s="136">
        <f t="shared" si="7"/>
        <v>0</v>
      </c>
      <c r="L43" s="222"/>
      <c r="M43" s="367">
        <v>41306</v>
      </c>
      <c r="N43" s="331">
        <f t="shared" ca="1" si="8"/>
        <v>5.0307726123749861</v>
      </c>
      <c r="O43" s="32"/>
      <c r="P43" s="7">
        <v>42735</v>
      </c>
      <c r="Q43" s="32"/>
      <c r="R43" s="359">
        <f t="shared" ca="1" si="9"/>
        <v>2.7365644576327068</v>
      </c>
      <c r="S43" s="32"/>
      <c r="T43" s="385" t="s">
        <v>116</v>
      </c>
      <c r="U43" s="133">
        <v>16</v>
      </c>
      <c r="V43" s="32"/>
      <c r="W43" s="369">
        <f t="shared" si="11"/>
        <v>43220</v>
      </c>
      <c r="X43" s="32"/>
      <c r="Y43" s="215" t="s">
        <v>57</v>
      </c>
      <c r="Z43" s="32"/>
      <c r="AA43" s="628"/>
      <c r="AB43" s="629"/>
      <c r="AC43" s="630"/>
      <c r="AD43" s="32"/>
      <c r="AE43" s="14"/>
      <c r="AF43" s="14"/>
      <c r="AG43" s="14"/>
      <c r="AH43" s="14"/>
      <c r="AI43" s="14"/>
      <c r="AJ43" s="14"/>
      <c r="AK43" s="14"/>
      <c r="AL43" s="14"/>
      <c r="AM43" s="14"/>
      <c r="AN43" s="301"/>
      <c r="AO43" s="215"/>
      <c r="AP43" s="301"/>
      <c r="AQ43" s="459"/>
      <c r="AR43" s="405"/>
      <c r="AS43" s="402"/>
      <c r="AT43" s="402"/>
      <c r="AU43" s="402"/>
      <c r="AV43" s="403"/>
      <c r="AW43" s="405"/>
      <c r="AX43" s="402"/>
      <c r="AY43" s="402"/>
      <c r="AZ43" s="402"/>
      <c r="BA43" s="403"/>
      <c r="BB43" s="405"/>
      <c r="BC43" s="402"/>
      <c r="BD43" s="402"/>
      <c r="BE43" s="402"/>
      <c r="BF43" s="403"/>
      <c r="BG43" s="405"/>
      <c r="BH43" s="402"/>
      <c r="BI43" s="402"/>
      <c r="BJ43" s="402"/>
      <c r="BK43" s="403"/>
      <c r="BL43" s="405"/>
      <c r="BM43" s="402"/>
      <c r="BN43" s="402"/>
      <c r="BO43" s="402"/>
      <c r="BP43" s="403"/>
      <c r="BQ43" s="405"/>
      <c r="BR43" s="402"/>
      <c r="BS43" s="402"/>
      <c r="BT43" s="402"/>
      <c r="BU43" s="403"/>
      <c r="BV43" s="405"/>
      <c r="BW43" s="402"/>
      <c r="BX43" s="402"/>
      <c r="BY43" s="402"/>
      <c r="BZ43" s="403"/>
      <c r="CA43" s="405"/>
      <c r="CB43" s="402"/>
      <c r="CC43" s="402"/>
      <c r="CD43" s="402"/>
      <c r="CE43" s="403"/>
      <c r="CF43" s="405"/>
      <c r="CG43" s="402"/>
      <c r="CH43" s="402"/>
      <c r="CI43" s="402"/>
      <c r="CJ43" s="403"/>
      <c r="CK43" s="405"/>
      <c r="CL43" s="402"/>
      <c r="CM43" s="402"/>
      <c r="CN43" s="402"/>
      <c r="CO43" s="403"/>
      <c r="CP43" s="405"/>
      <c r="CQ43" s="402"/>
      <c r="CR43" s="402"/>
      <c r="CS43" s="402"/>
      <c r="CT43" s="403"/>
      <c r="CU43" s="405"/>
      <c r="CV43" s="402"/>
      <c r="CW43" s="402"/>
      <c r="CX43" s="402"/>
      <c r="CY43" s="403"/>
      <c r="CZ43" s="405"/>
      <c r="DA43" s="402"/>
      <c r="DB43" s="402"/>
      <c r="DC43" s="402"/>
      <c r="DD43" s="403"/>
      <c r="DE43" s="405"/>
      <c r="DF43" s="402"/>
      <c r="DG43" s="402"/>
      <c r="DH43" s="402"/>
      <c r="DI43" s="403"/>
      <c r="DJ43" s="405"/>
      <c r="DK43" s="402"/>
      <c r="DL43" s="402"/>
      <c r="DM43" s="402"/>
      <c r="DN43" s="403"/>
    </row>
    <row r="44" spans="1:118" ht="18" customHeight="1">
      <c r="A44" s="67">
        <v>21</v>
      </c>
      <c r="B44" s="67">
        <v>10</v>
      </c>
      <c r="C44" s="1" t="s">
        <v>247</v>
      </c>
      <c r="D44" s="505" t="s">
        <v>53</v>
      </c>
      <c r="E44" s="552"/>
      <c r="F44" s="311">
        <v>3293</v>
      </c>
      <c r="G44" s="309">
        <f t="shared" si="6"/>
        <v>5.0743195973828653E-3</v>
      </c>
      <c r="H44" s="311"/>
      <c r="I44" s="311"/>
      <c r="J44" s="312"/>
      <c r="K44" s="136">
        <f t="shared" si="7"/>
        <v>0</v>
      </c>
      <c r="L44" s="222"/>
      <c r="M44" s="366">
        <v>39204</v>
      </c>
      <c r="N44" s="331">
        <f t="shared" ca="1" si="8"/>
        <v>10.806132542037588</v>
      </c>
      <c r="O44" s="32"/>
      <c r="P44" s="7">
        <v>42886</v>
      </c>
      <c r="Q44" s="32"/>
      <c r="R44" s="359">
        <f t="shared" ca="1" si="9"/>
        <v>3.7586547972304651</v>
      </c>
      <c r="S44" s="32"/>
      <c r="T44" s="385" t="s">
        <v>116</v>
      </c>
      <c r="U44" s="133">
        <v>12</v>
      </c>
      <c r="V44" s="32"/>
      <c r="W44" s="369">
        <f t="shared" si="11"/>
        <v>43251</v>
      </c>
      <c r="X44" s="32"/>
      <c r="Y44" s="215" t="s">
        <v>21</v>
      </c>
      <c r="Z44" s="32"/>
      <c r="AA44" s="628"/>
      <c r="AB44" s="629"/>
      <c r="AC44" s="630"/>
      <c r="AD44" s="32"/>
      <c r="AE44" s="14"/>
      <c r="AF44" s="14"/>
      <c r="AG44" s="14"/>
      <c r="AH44" s="14"/>
      <c r="AI44" s="14"/>
      <c r="AJ44" s="14"/>
      <c r="AK44" s="14"/>
      <c r="AL44" s="14"/>
      <c r="AM44" s="14"/>
      <c r="AN44" s="301"/>
      <c r="AO44" s="215"/>
      <c r="AP44" s="301"/>
      <c r="AQ44" s="459"/>
      <c r="AR44" s="448"/>
      <c r="AS44" s="448"/>
      <c r="AT44" s="448"/>
      <c r="AU44" s="448"/>
      <c r="AV44" s="448"/>
      <c r="AW44" s="448"/>
      <c r="AX44" s="448"/>
      <c r="AY44" s="448"/>
      <c r="AZ44" s="448"/>
      <c r="BA44" s="448"/>
      <c r="BB44" s="448"/>
      <c r="BC44" s="448"/>
      <c r="BD44" s="448"/>
      <c r="BE44" s="448"/>
      <c r="BF44" s="448"/>
      <c r="BG44" s="448"/>
      <c r="BH44" s="448"/>
      <c r="BI44" s="448"/>
      <c r="BJ44" s="448"/>
      <c r="BK44" s="448"/>
      <c r="BL44" s="448"/>
      <c r="BM44" s="448"/>
      <c r="BN44" s="448"/>
      <c r="BO44" s="448"/>
      <c r="BP44" s="448"/>
      <c r="BQ44" s="448"/>
      <c r="BR44" s="448"/>
      <c r="BS44" s="448"/>
      <c r="BT44" s="448"/>
      <c r="BU44" s="448"/>
      <c r="BV44" s="448"/>
      <c r="BW44" s="448"/>
      <c r="BX44" s="448"/>
      <c r="BY44" s="448"/>
      <c r="BZ44" s="448"/>
      <c r="CA44" s="448"/>
      <c r="CB44" s="448"/>
      <c r="CC44" s="448"/>
      <c r="CD44" s="448"/>
      <c r="CE44" s="448"/>
      <c r="CF44" s="448"/>
      <c r="CG44" s="448"/>
      <c r="CH44" s="448"/>
      <c r="CI44" s="448"/>
      <c r="CJ44" s="448"/>
      <c r="CK44" s="448"/>
      <c r="CL44" s="448"/>
      <c r="CM44" s="448"/>
      <c r="CN44" s="448"/>
      <c r="CO44" s="448"/>
      <c r="CP44" s="448"/>
      <c r="CQ44" s="448"/>
      <c r="CR44" s="448"/>
      <c r="CS44" s="448"/>
      <c r="CT44" s="461"/>
      <c r="CU44" s="463"/>
      <c r="CV44" s="433"/>
      <c r="CW44" s="433"/>
      <c r="CX44" s="433"/>
      <c r="CY44" s="444"/>
      <c r="CZ44" s="463"/>
      <c r="DA44" s="433"/>
      <c r="DB44" s="433"/>
      <c r="DC44" s="433"/>
      <c r="DD44" s="444"/>
      <c r="DE44" s="463"/>
      <c r="DF44" s="433"/>
      <c r="DG44" s="433"/>
      <c r="DH44" s="433"/>
      <c r="DI44" s="444"/>
      <c r="DJ44" s="463"/>
      <c r="DK44" s="433"/>
      <c r="DL44" s="433"/>
      <c r="DM44" s="433"/>
      <c r="DN44" s="444"/>
    </row>
    <row r="45" spans="1:118" ht="18" customHeight="1">
      <c r="A45" s="67">
        <v>22</v>
      </c>
      <c r="B45" s="67">
        <v>1</v>
      </c>
      <c r="C45" s="1" t="s">
        <v>248</v>
      </c>
      <c r="D45" s="505" t="s">
        <v>89</v>
      </c>
      <c r="E45" s="552"/>
      <c r="F45" s="311">
        <v>2281</v>
      </c>
      <c r="G45" s="309">
        <f t="shared" si="6"/>
        <v>3.5148870335956015E-3</v>
      </c>
      <c r="H45" s="311"/>
      <c r="I45" s="311"/>
      <c r="J45" s="312"/>
      <c r="K45" s="136">
        <f t="shared" si="7"/>
        <v>0</v>
      </c>
      <c r="L45" s="222"/>
      <c r="M45" s="366">
        <v>41201</v>
      </c>
      <c r="N45" s="331">
        <f t="shared" ca="1" si="8"/>
        <v>5.3192658533904824</v>
      </c>
      <c r="O45" s="32"/>
      <c r="P45" s="7">
        <v>43009</v>
      </c>
      <c r="Q45" s="32"/>
      <c r="R45" s="359">
        <f t="shared" ca="1" si="9"/>
        <v>7.8140454995054407</v>
      </c>
      <c r="S45" s="32"/>
      <c r="T45" s="385" t="s">
        <v>116</v>
      </c>
      <c r="U45" s="133">
        <v>12</v>
      </c>
      <c r="V45" s="32"/>
      <c r="W45" s="369">
        <f t="shared" si="11"/>
        <v>43374</v>
      </c>
      <c r="X45" s="32"/>
      <c r="Y45" s="215" t="s">
        <v>21</v>
      </c>
      <c r="Z45" s="32"/>
      <c r="AA45" s="628"/>
      <c r="AB45" s="629"/>
      <c r="AC45" s="630"/>
      <c r="AD45" s="32"/>
      <c r="AE45" s="14"/>
      <c r="AF45" s="14"/>
      <c r="AG45" s="14"/>
      <c r="AH45" s="14"/>
      <c r="AI45" s="14"/>
      <c r="AJ45" s="14"/>
      <c r="AK45" s="14"/>
      <c r="AL45" s="14"/>
      <c r="AM45" s="14"/>
      <c r="AN45" s="301"/>
      <c r="AO45" s="215"/>
      <c r="AP45" s="301"/>
      <c r="AQ45" s="459"/>
      <c r="AR45" s="448"/>
      <c r="AS45" s="448"/>
      <c r="AT45" s="448"/>
      <c r="AU45" s="448"/>
      <c r="AV45" s="448"/>
      <c r="AW45" s="448"/>
      <c r="AX45" s="448"/>
      <c r="AY45" s="448"/>
      <c r="AZ45" s="448"/>
      <c r="BA45" s="448"/>
      <c r="BB45" s="448"/>
      <c r="BC45" s="448"/>
      <c r="BD45" s="448"/>
      <c r="BE45" s="448"/>
      <c r="BF45" s="448"/>
      <c r="BG45" s="448"/>
      <c r="BH45" s="448"/>
      <c r="BI45" s="448"/>
      <c r="BJ45" s="448"/>
      <c r="BK45" s="448"/>
      <c r="BL45" s="448"/>
      <c r="BM45" s="448"/>
      <c r="BN45" s="448"/>
      <c r="BO45" s="448"/>
      <c r="BP45" s="448"/>
      <c r="BQ45" s="448"/>
      <c r="BR45" s="448"/>
      <c r="BS45" s="448"/>
      <c r="BT45" s="448"/>
      <c r="BU45" s="448"/>
      <c r="BV45" s="448"/>
      <c r="BW45" s="448"/>
      <c r="BX45" s="448"/>
      <c r="BY45" s="448"/>
      <c r="BZ45" s="448"/>
      <c r="CA45" s="448"/>
      <c r="CB45" s="448"/>
      <c r="CC45" s="448"/>
      <c r="CD45" s="448"/>
      <c r="CE45" s="448"/>
      <c r="CF45" s="448"/>
      <c r="CG45" s="448"/>
      <c r="CH45" s="448"/>
      <c r="CI45" s="448"/>
      <c r="CJ45" s="448"/>
      <c r="CK45" s="448"/>
      <c r="CL45" s="448"/>
      <c r="CM45" s="448"/>
      <c r="CN45" s="448"/>
      <c r="CO45" s="448"/>
      <c r="CP45" s="448"/>
      <c r="CQ45" s="448"/>
      <c r="CR45" s="448"/>
      <c r="CS45" s="448"/>
      <c r="CT45" s="461"/>
      <c r="CU45" s="463"/>
      <c r="CV45" s="433"/>
      <c r="CW45" s="433"/>
      <c r="CX45" s="433"/>
      <c r="CY45" s="444"/>
      <c r="CZ45" s="463"/>
      <c r="DA45" s="433"/>
      <c r="DB45" s="433"/>
      <c r="DC45" s="433"/>
      <c r="DD45" s="444"/>
      <c r="DE45" s="463"/>
      <c r="DF45" s="433"/>
      <c r="DG45" s="433"/>
      <c r="DH45" s="433"/>
      <c r="DI45" s="444"/>
      <c r="DJ45" s="463"/>
      <c r="DK45" s="433"/>
      <c r="DL45" s="433"/>
      <c r="DM45" s="433"/>
      <c r="DN45" s="444"/>
    </row>
    <row r="46" spans="1:118" ht="18" customHeight="1">
      <c r="A46" s="67">
        <v>23</v>
      </c>
      <c r="B46" s="67">
        <v>2</v>
      </c>
      <c r="C46" s="16" t="s">
        <v>136</v>
      </c>
      <c r="D46" s="526" t="s">
        <v>30</v>
      </c>
      <c r="E46" s="553"/>
      <c r="F46" s="308">
        <v>2238</v>
      </c>
      <c r="G46" s="309">
        <f t="shared" si="6"/>
        <v>3.4486265590473286E-3</v>
      </c>
      <c r="H46" s="308"/>
      <c r="I46" s="308"/>
      <c r="J46" s="310"/>
      <c r="K46" s="136">
        <f t="shared" ref="K46:K53" si="12">J46/F46</f>
        <v>0</v>
      </c>
      <c r="L46" s="222"/>
      <c r="M46" s="530"/>
      <c r="N46" s="331">
        <f t="shared" ref="N46:N53" ca="1" si="13">($F$1-M46)/30.33/12</f>
        <v>118.52126607319487</v>
      </c>
      <c r="O46" s="32"/>
      <c r="P46" s="527">
        <v>42795</v>
      </c>
      <c r="Q46" s="32"/>
      <c r="R46" s="359">
        <f t="shared" ca="1" si="9"/>
        <v>0.75832509066930431</v>
      </c>
      <c r="S46" s="32"/>
      <c r="T46" s="528" t="s">
        <v>116</v>
      </c>
      <c r="U46" s="514">
        <v>12</v>
      </c>
      <c r="V46" s="32"/>
      <c r="W46" s="369">
        <f t="shared" si="11"/>
        <v>43160</v>
      </c>
      <c r="X46" s="32"/>
      <c r="Y46" s="529"/>
      <c r="Z46" s="32"/>
      <c r="AA46" s="628"/>
      <c r="AB46" s="629"/>
      <c r="AC46" s="630"/>
      <c r="AD46" s="32"/>
      <c r="AE46" s="531"/>
      <c r="AF46" s="531"/>
      <c r="AG46" s="531"/>
      <c r="AH46" s="531"/>
      <c r="AI46" s="531"/>
      <c r="AJ46" s="531"/>
      <c r="AK46" s="531"/>
      <c r="AL46" s="531"/>
      <c r="AM46" s="531"/>
      <c r="AN46" s="532"/>
      <c r="AO46" s="529"/>
      <c r="AP46" s="532"/>
      <c r="AQ46" s="459"/>
      <c r="AR46" s="448"/>
      <c r="AS46" s="448"/>
      <c r="AT46" s="448"/>
      <c r="AU46" s="448"/>
      <c r="AV46" s="448"/>
      <c r="AW46" s="448"/>
      <c r="AX46" s="448"/>
      <c r="AY46" s="448"/>
      <c r="AZ46" s="448"/>
      <c r="BA46" s="448"/>
      <c r="BB46" s="448"/>
      <c r="BC46" s="448"/>
      <c r="BD46" s="448"/>
      <c r="BE46" s="448"/>
      <c r="BF46" s="448"/>
      <c r="BG46" s="448"/>
      <c r="BH46" s="448"/>
      <c r="BI46" s="448"/>
      <c r="BJ46" s="448"/>
      <c r="BK46" s="448"/>
      <c r="BL46" s="448"/>
      <c r="BM46" s="448"/>
      <c r="BN46" s="448"/>
      <c r="BO46" s="448"/>
      <c r="BP46" s="448"/>
      <c r="BQ46" s="448"/>
      <c r="BR46" s="448"/>
      <c r="BS46" s="448"/>
      <c r="BT46" s="448"/>
      <c r="BU46" s="448"/>
      <c r="BV46" s="448"/>
      <c r="BW46" s="448"/>
      <c r="BX46" s="448"/>
      <c r="BY46" s="448"/>
      <c r="BZ46" s="448"/>
      <c r="CA46" s="448"/>
      <c r="CB46" s="448"/>
      <c r="CC46" s="448"/>
      <c r="CD46" s="448"/>
      <c r="CE46" s="448"/>
      <c r="CF46" s="448"/>
      <c r="CG46" s="448"/>
      <c r="CH46" s="448"/>
      <c r="CI46" s="448"/>
      <c r="CJ46" s="448"/>
      <c r="CK46" s="448"/>
      <c r="CL46" s="448"/>
      <c r="CM46" s="448"/>
      <c r="CN46" s="448"/>
      <c r="CO46" s="448"/>
      <c r="CP46" s="448"/>
      <c r="CQ46" s="448"/>
      <c r="CR46" s="448"/>
      <c r="CS46" s="448"/>
      <c r="CT46" s="461"/>
      <c r="CU46" s="533"/>
      <c r="CV46" s="339"/>
      <c r="CW46" s="339"/>
      <c r="CX46" s="339"/>
      <c r="CY46" s="534"/>
      <c r="CZ46" s="533"/>
      <c r="DA46" s="339"/>
      <c r="DB46" s="339"/>
      <c r="DC46" s="339"/>
      <c r="DD46" s="534"/>
      <c r="DE46" s="533"/>
      <c r="DF46" s="339"/>
      <c r="DG46" s="339"/>
      <c r="DH46" s="339"/>
      <c r="DI46" s="534"/>
      <c r="DJ46" s="533"/>
      <c r="DK46" s="339"/>
      <c r="DL46" s="339"/>
      <c r="DM46" s="339"/>
      <c r="DN46" s="534"/>
    </row>
    <row r="47" spans="1:118" ht="18" customHeight="1">
      <c r="A47" s="67">
        <v>24</v>
      </c>
      <c r="B47" s="67">
        <v>3</v>
      </c>
      <c r="C47" s="1" t="s">
        <v>249</v>
      </c>
      <c r="D47" s="21" t="s">
        <v>53</v>
      </c>
      <c r="E47" s="552"/>
      <c r="F47" s="311">
        <v>2154</v>
      </c>
      <c r="G47" s="309">
        <f t="shared" si="6"/>
        <v>3.3191874924879115E-3</v>
      </c>
      <c r="H47" s="311"/>
      <c r="I47" s="311"/>
      <c r="J47" s="312"/>
      <c r="K47" s="136">
        <f t="shared" si="12"/>
        <v>0</v>
      </c>
      <c r="L47" s="222"/>
      <c r="M47" s="366">
        <v>36557</v>
      </c>
      <c r="N47" s="331">
        <f t="shared" ca="1" si="13"/>
        <v>18.078909770304431</v>
      </c>
      <c r="O47" s="32"/>
      <c r="P47" s="7">
        <v>43131</v>
      </c>
      <c r="Q47" s="32"/>
      <c r="R47" s="359">
        <f t="shared" ca="1" si="9"/>
        <v>-0.19782393669634027</v>
      </c>
      <c r="S47" s="32"/>
      <c r="T47" s="385" t="s">
        <v>116</v>
      </c>
      <c r="U47" s="133"/>
      <c r="V47" s="32"/>
      <c r="W47" s="369">
        <f t="shared" si="11"/>
        <v>43131</v>
      </c>
      <c r="X47" s="32"/>
      <c r="Y47" s="215" t="s">
        <v>21</v>
      </c>
      <c r="Z47" s="32"/>
      <c r="AA47" s="628"/>
      <c r="AB47" s="629"/>
      <c r="AC47" s="630"/>
      <c r="AD47" s="32"/>
      <c r="AE47" s="14"/>
      <c r="AF47" s="14"/>
      <c r="AG47" s="14"/>
      <c r="AH47" s="14"/>
      <c r="AI47" s="14"/>
      <c r="AJ47" s="14"/>
      <c r="AK47" s="14"/>
      <c r="AL47" s="14"/>
      <c r="AM47" s="14"/>
      <c r="AN47" s="301"/>
      <c r="AO47" s="215"/>
      <c r="AP47" s="301"/>
      <c r="AQ47" s="459"/>
      <c r="AR47" s="448"/>
      <c r="AS47" s="448"/>
      <c r="AT47" s="448"/>
      <c r="AU47" s="448"/>
      <c r="AV47" s="448"/>
      <c r="AW47" s="448"/>
      <c r="AX47" s="448"/>
      <c r="AY47" s="448"/>
      <c r="AZ47" s="448"/>
      <c r="BA47" s="448"/>
      <c r="BB47" s="448"/>
      <c r="BC47" s="448"/>
      <c r="BD47" s="448"/>
      <c r="BE47" s="448"/>
      <c r="BF47" s="448"/>
      <c r="BG47" s="448"/>
      <c r="BH47" s="448"/>
      <c r="BI47" s="448"/>
      <c r="BJ47" s="448"/>
      <c r="BK47" s="448"/>
      <c r="BL47" s="448"/>
      <c r="BM47" s="448"/>
      <c r="BN47" s="448"/>
      <c r="BO47" s="448"/>
      <c r="BP47" s="448"/>
      <c r="BQ47" s="448"/>
      <c r="BR47" s="448"/>
      <c r="BS47" s="448"/>
      <c r="BT47" s="448"/>
      <c r="BU47" s="448"/>
      <c r="BV47" s="448"/>
      <c r="BW47" s="448"/>
      <c r="BX47" s="448"/>
      <c r="BY47" s="448"/>
      <c r="BZ47" s="448"/>
      <c r="CA47" s="448"/>
      <c r="CB47" s="448"/>
      <c r="CC47" s="448"/>
      <c r="CD47" s="448"/>
      <c r="CE47" s="448"/>
      <c r="CF47" s="448"/>
      <c r="CG47" s="448"/>
      <c r="CH47" s="448"/>
      <c r="CI47" s="448"/>
      <c r="CJ47" s="448"/>
      <c r="CK47" s="448"/>
      <c r="CL47" s="448"/>
      <c r="CM47" s="448"/>
      <c r="CN47" s="448"/>
      <c r="CO47" s="448"/>
      <c r="CP47" s="448"/>
      <c r="CQ47" s="448"/>
      <c r="CR47" s="448"/>
      <c r="CS47" s="448"/>
      <c r="CT47" s="461"/>
      <c r="CU47" s="463"/>
      <c r="CV47" s="433"/>
      <c r="CW47" s="433"/>
      <c r="CX47" s="433"/>
      <c r="CY47" s="444"/>
      <c r="CZ47" s="463"/>
      <c r="DA47" s="433"/>
      <c r="DB47" s="433"/>
      <c r="DC47" s="433"/>
      <c r="DD47" s="444"/>
      <c r="DE47" s="463"/>
      <c r="DF47" s="433"/>
      <c r="DG47" s="433"/>
      <c r="DH47" s="433"/>
      <c r="DI47" s="444"/>
      <c r="DJ47" s="463"/>
      <c r="DK47" s="433"/>
      <c r="DL47" s="433"/>
      <c r="DM47" s="433"/>
      <c r="DN47" s="444"/>
    </row>
    <row r="48" spans="1:118" ht="18" customHeight="1">
      <c r="A48" s="67">
        <v>25</v>
      </c>
      <c r="B48" s="67">
        <v>4</v>
      </c>
      <c r="C48" s="1" t="s">
        <v>250</v>
      </c>
      <c r="D48" s="505" t="s">
        <v>54</v>
      </c>
      <c r="E48" s="552"/>
      <c r="F48" s="311">
        <v>2104</v>
      </c>
      <c r="G48" s="309">
        <f t="shared" si="6"/>
        <v>3.2421404290596868E-3</v>
      </c>
      <c r="H48" s="311"/>
      <c r="I48" s="311"/>
      <c r="J48" s="312"/>
      <c r="K48" s="136">
        <f t="shared" si="12"/>
        <v>0</v>
      </c>
      <c r="L48" s="222"/>
      <c r="M48" s="366">
        <v>41821</v>
      </c>
      <c r="N48" s="331">
        <f t="shared" ca="1" si="13"/>
        <v>3.615781954060886</v>
      </c>
      <c r="O48" s="32"/>
      <c r="P48" s="7">
        <v>43281</v>
      </c>
      <c r="Q48" s="32"/>
      <c r="R48" s="359">
        <f t="shared" ca="1" si="9"/>
        <v>4.7477744807121667</v>
      </c>
      <c r="S48" s="32"/>
      <c r="T48" s="385"/>
      <c r="U48" s="133"/>
      <c r="V48" s="32"/>
      <c r="W48" s="369">
        <f t="shared" ref="W48:W49" si="14">IF(OR(T48="",T48="N"),P48,EDATE(P48,U48))</f>
        <v>43281</v>
      </c>
      <c r="X48" s="32"/>
      <c r="Y48" s="215"/>
      <c r="Z48" s="32"/>
      <c r="AA48" s="628"/>
      <c r="AB48" s="629"/>
      <c r="AC48" s="630"/>
      <c r="AD48" s="32"/>
      <c r="AE48" s="14"/>
      <c r="AF48" s="14"/>
      <c r="AG48" s="14"/>
      <c r="AH48" s="14"/>
      <c r="AI48" s="14"/>
      <c r="AJ48" s="14"/>
      <c r="AK48" s="14"/>
      <c r="AL48" s="14"/>
      <c r="AM48" s="14"/>
      <c r="AN48" s="301"/>
      <c r="AO48" s="215"/>
      <c r="AP48" s="301"/>
      <c r="AQ48" s="459"/>
      <c r="AR48" s="448"/>
      <c r="AS48" s="448"/>
      <c r="AT48" s="448"/>
      <c r="AU48" s="448"/>
      <c r="AV48" s="448"/>
      <c r="AW48" s="448"/>
      <c r="AX48" s="448"/>
      <c r="AY48" s="448"/>
      <c r="AZ48" s="448"/>
      <c r="BA48" s="448"/>
      <c r="BB48" s="448"/>
      <c r="BC48" s="448"/>
      <c r="BD48" s="448"/>
      <c r="BE48" s="448"/>
      <c r="BF48" s="448"/>
      <c r="BG48" s="448"/>
      <c r="BH48" s="448"/>
      <c r="BI48" s="448"/>
      <c r="BJ48" s="448"/>
      <c r="BK48" s="448"/>
      <c r="BL48" s="448"/>
      <c r="BM48" s="448"/>
      <c r="BN48" s="448"/>
      <c r="BO48" s="448"/>
      <c r="BP48" s="448"/>
      <c r="BQ48" s="448"/>
      <c r="BR48" s="448"/>
      <c r="BS48" s="448"/>
      <c r="BT48" s="448"/>
      <c r="BU48" s="448"/>
      <c r="BV48" s="448"/>
      <c r="BW48" s="448"/>
      <c r="BX48" s="448"/>
      <c r="BY48" s="448"/>
      <c r="BZ48" s="448"/>
      <c r="CA48" s="448"/>
      <c r="CB48" s="448"/>
      <c r="CC48" s="448"/>
      <c r="CD48" s="448"/>
      <c r="CE48" s="448"/>
      <c r="CF48" s="448"/>
      <c r="CG48" s="448"/>
      <c r="CH48" s="448"/>
      <c r="CI48" s="448"/>
      <c r="CJ48" s="448"/>
      <c r="CK48" s="448"/>
      <c r="CL48" s="448"/>
      <c r="CM48" s="448"/>
      <c r="CN48" s="448"/>
      <c r="CO48" s="448"/>
      <c r="CP48" s="448"/>
      <c r="CQ48" s="448"/>
      <c r="CR48" s="448"/>
      <c r="CS48" s="448"/>
      <c r="CT48" s="461"/>
      <c r="CU48" s="463"/>
      <c r="CV48" s="433"/>
      <c r="CW48" s="433"/>
      <c r="CX48" s="433"/>
      <c r="CY48" s="444"/>
      <c r="CZ48" s="463"/>
      <c r="DA48" s="433"/>
      <c r="DB48" s="433"/>
      <c r="DC48" s="433"/>
      <c r="DD48" s="444"/>
      <c r="DE48" s="463"/>
      <c r="DF48" s="433"/>
      <c r="DG48" s="433"/>
      <c r="DH48" s="433"/>
      <c r="DI48" s="444"/>
      <c r="DJ48" s="463"/>
      <c r="DK48" s="433"/>
      <c r="DL48" s="433"/>
      <c r="DM48" s="433"/>
      <c r="DN48" s="444"/>
    </row>
    <row r="49" spans="1:118" ht="18" customHeight="1">
      <c r="A49" s="67">
        <v>26</v>
      </c>
      <c r="B49" s="67">
        <v>5</v>
      </c>
      <c r="C49" s="1" t="s">
        <v>245</v>
      </c>
      <c r="D49" s="505" t="s">
        <v>54</v>
      </c>
      <c r="E49" s="552"/>
      <c r="F49" s="311">
        <v>2084</v>
      </c>
      <c r="G49" s="309">
        <f t="shared" si="6"/>
        <v>3.2113216036883971E-3</v>
      </c>
      <c r="H49" s="311"/>
      <c r="I49" s="311"/>
      <c r="J49" s="312"/>
      <c r="K49" s="136">
        <f t="shared" si="12"/>
        <v>0</v>
      </c>
      <c r="L49" s="222"/>
      <c r="M49" s="366"/>
      <c r="N49" s="331">
        <f t="shared" ca="1" si="13"/>
        <v>118.52126607319487</v>
      </c>
      <c r="O49" s="32"/>
      <c r="P49" s="7">
        <v>43190</v>
      </c>
      <c r="Q49" s="32"/>
      <c r="R49" s="359">
        <f t="shared" ca="1" si="9"/>
        <v>1.7474447741510057</v>
      </c>
      <c r="S49" s="32"/>
      <c r="T49" s="385"/>
      <c r="U49" s="133"/>
      <c r="V49" s="32"/>
      <c r="W49" s="369">
        <f t="shared" si="14"/>
        <v>43190</v>
      </c>
      <c r="X49" s="32"/>
      <c r="Y49" s="215"/>
      <c r="Z49" s="32"/>
      <c r="AA49" s="628"/>
      <c r="AB49" s="629"/>
      <c r="AC49" s="630"/>
      <c r="AD49" s="32"/>
      <c r="AE49" s="14"/>
      <c r="AF49" s="14"/>
      <c r="AG49" s="14"/>
      <c r="AH49" s="14"/>
      <c r="AI49" s="14"/>
      <c r="AJ49" s="14"/>
      <c r="AK49" s="14"/>
      <c r="AL49" s="14"/>
      <c r="AM49" s="14"/>
      <c r="AN49" s="301"/>
      <c r="AO49" s="215"/>
      <c r="AP49" s="301"/>
      <c r="AQ49" s="459"/>
      <c r="AR49" s="448"/>
      <c r="AS49" s="448"/>
      <c r="AT49" s="448"/>
      <c r="AU49" s="448"/>
      <c r="AV49" s="448"/>
      <c r="AW49" s="448"/>
      <c r="AX49" s="448"/>
      <c r="AY49" s="448"/>
      <c r="AZ49" s="448"/>
      <c r="BA49" s="448"/>
      <c r="BB49" s="448"/>
      <c r="BC49" s="448"/>
      <c r="BD49" s="448"/>
      <c r="BE49" s="448"/>
      <c r="BF49" s="448"/>
      <c r="BG49" s="448"/>
      <c r="BH49" s="448"/>
      <c r="BI49" s="448"/>
      <c r="BJ49" s="448"/>
      <c r="BK49" s="448"/>
      <c r="BL49" s="448"/>
      <c r="BM49" s="448"/>
      <c r="BN49" s="448"/>
      <c r="BO49" s="448"/>
      <c r="BP49" s="448"/>
      <c r="BQ49" s="448"/>
      <c r="BR49" s="448"/>
      <c r="BS49" s="448"/>
      <c r="BT49" s="448"/>
      <c r="BU49" s="448"/>
      <c r="BV49" s="448"/>
      <c r="BW49" s="448"/>
      <c r="BX49" s="448"/>
      <c r="BY49" s="448"/>
      <c r="BZ49" s="448"/>
      <c r="CA49" s="448"/>
      <c r="CB49" s="448"/>
      <c r="CC49" s="448"/>
      <c r="CD49" s="448"/>
      <c r="CE49" s="448"/>
      <c r="CF49" s="448"/>
      <c r="CG49" s="448"/>
      <c r="CH49" s="448"/>
      <c r="CI49" s="448"/>
      <c r="CJ49" s="448"/>
      <c r="CK49" s="448"/>
      <c r="CL49" s="448"/>
      <c r="CM49" s="448"/>
      <c r="CN49" s="448"/>
      <c r="CO49" s="448"/>
      <c r="CP49" s="448"/>
      <c r="CQ49" s="448"/>
      <c r="CR49" s="448"/>
      <c r="CS49" s="448"/>
      <c r="CT49" s="461"/>
      <c r="CU49" s="463"/>
      <c r="CV49" s="433"/>
      <c r="CW49" s="433"/>
      <c r="CX49" s="433"/>
      <c r="CY49" s="444"/>
      <c r="CZ49" s="463"/>
      <c r="DA49" s="433"/>
      <c r="DB49" s="433"/>
      <c r="DC49" s="433"/>
      <c r="DD49" s="444"/>
      <c r="DE49" s="463"/>
      <c r="DF49" s="433"/>
      <c r="DG49" s="433"/>
      <c r="DH49" s="433"/>
      <c r="DI49" s="444"/>
      <c r="DJ49" s="463"/>
      <c r="DK49" s="433"/>
      <c r="DL49" s="433"/>
      <c r="DM49" s="433"/>
      <c r="DN49" s="444"/>
    </row>
    <row r="50" spans="1:118" ht="18" customHeight="1">
      <c r="A50" s="67">
        <v>27</v>
      </c>
      <c r="B50" s="67">
        <v>6</v>
      </c>
      <c r="C50" s="1" t="s">
        <v>16</v>
      </c>
      <c r="D50" s="21" t="s">
        <v>30</v>
      </c>
      <c r="E50" s="552"/>
      <c r="F50" s="311">
        <v>2005.4</v>
      </c>
      <c r="G50" s="309">
        <f t="shared" ref="G50" si="15">F50/$F$2</f>
        <v>3.0902036199792282E-3</v>
      </c>
      <c r="H50" s="311"/>
      <c r="I50" s="311"/>
      <c r="J50" s="312"/>
      <c r="K50" s="136">
        <f t="shared" si="12"/>
        <v>0</v>
      </c>
      <c r="L50" s="222"/>
      <c r="M50" s="366">
        <v>41518</v>
      </c>
      <c r="N50" s="331">
        <f t="shared" ca="1" si="13"/>
        <v>4.4482910209913182</v>
      </c>
      <c r="O50" s="32"/>
      <c r="P50" s="7">
        <v>42978</v>
      </c>
      <c r="Q50" s="32"/>
      <c r="R50" s="359">
        <f t="shared" ca="1" si="9"/>
        <v>-5.2423343224530168</v>
      </c>
      <c r="S50" s="32"/>
      <c r="T50" s="385" t="s">
        <v>117</v>
      </c>
      <c r="U50" s="133"/>
      <c r="V50" s="32"/>
      <c r="W50" s="369">
        <f>IF(OR(T50="",T50="N"),P50,EDATE(P50,U50))</f>
        <v>42978</v>
      </c>
      <c r="X50" s="32"/>
      <c r="Y50" s="215" t="s">
        <v>14</v>
      </c>
      <c r="Z50" s="32"/>
      <c r="AA50" s="628"/>
      <c r="AB50" s="629"/>
      <c r="AC50" s="630"/>
      <c r="AD50" s="32"/>
      <c r="AE50" s="14"/>
      <c r="AF50" s="14"/>
      <c r="AG50" s="14"/>
      <c r="AH50" s="14"/>
      <c r="AI50" s="14"/>
      <c r="AJ50" s="14"/>
      <c r="AK50" s="14"/>
      <c r="AL50" s="14"/>
      <c r="AM50" s="14"/>
      <c r="AN50" s="301"/>
      <c r="AO50" s="215"/>
      <c r="AP50" s="301"/>
      <c r="AQ50" s="459"/>
      <c r="AR50" s="433"/>
      <c r="AS50" s="433"/>
      <c r="AT50" s="443"/>
      <c r="AU50" s="433"/>
      <c r="AV50" s="433"/>
      <c r="AW50" s="433"/>
      <c r="AX50" s="433"/>
      <c r="AY50" s="443"/>
      <c r="AZ50" s="433"/>
      <c r="BA50" s="433"/>
      <c r="BB50" s="433"/>
      <c r="BC50" s="433"/>
      <c r="BD50" s="443"/>
      <c r="BE50" s="433"/>
      <c r="BF50" s="433"/>
      <c r="BG50" s="433"/>
      <c r="BH50" s="433"/>
      <c r="BI50" s="443"/>
      <c r="BJ50" s="433"/>
      <c r="BK50" s="433"/>
      <c r="BL50" s="433"/>
      <c r="BM50" s="433"/>
      <c r="BN50" s="443"/>
      <c r="BO50" s="433"/>
      <c r="BP50" s="433"/>
      <c r="BQ50" s="433"/>
      <c r="BR50" s="433"/>
      <c r="BS50" s="443"/>
      <c r="BT50" s="433"/>
      <c r="BU50" s="433"/>
      <c r="BV50" s="433"/>
      <c r="BW50" s="433"/>
      <c r="BX50" s="443"/>
      <c r="BY50" s="433"/>
      <c r="BZ50" s="433"/>
      <c r="CA50" s="433"/>
      <c r="CB50" s="433"/>
      <c r="CC50" s="443"/>
      <c r="CD50" s="433"/>
      <c r="CE50" s="433"/>
      <c r="CF50" s="433"/>
      <c r="CG50" s="433"/>
      <c r="CH50" s="443"/>
      <c r="CI50" s="433"/>
      <c r="CJ50" s="433"/>
      <c r="CK50" s="433"/>
      <c r="CL50" s="433"/>
      <c r="CM50" s="443"/>
      <c r="CN50" s="433"/>
      <c r="CO50" s="433"/>
      <c r="CP50" s="433"/>
      <c r="CQ50" s="433"/>
      <c r="CR50" s="443"/>
      <c r="CS50" s="433"/>
      <c r="CT50" s="462"/>
      <c r="CU50" s="463"/>
      <c r="CV50" s="433"/>
      <c r="CW50" s="433"/>
      <c r="CX50" s="433"/>
      <c r="CY50" s="444"/>
      <c r="CZ50" s="463"/>
      <c r="DA50" s="433"/>
      <c r="DB50" s="433"/>
      <c r="DC50" s="433"/>
      <c r="DD50" s="444"/>
      <c r="DE50" s="463"/>
      <c r="DF50" s="433"/>
      <c r="DG50" s="433"/>
      <c r="DH50" s="433"/>
      <c r="DI50" s="444"/>
      <c r="DJ50" s="463"/>
      <c r="DK50" s="433"/>
      <c r="DL50" s="433"/>
      <c r="DM50" s="433"/>
      <c r="DN50" s="444"/>
    </row>
    <row r="51" spans="1:118" ht="18" customHeight="1">
      <c r="A51" s="67">
        <v>28</v>
      </c>
      <c r="B51" s="67">
        <v>7</v>
      </c>
      <c r="C51" s="1" t="s">
        <v>244</v>
      </c>
      <c r="D51" s="21" t="s">
        <v>53</v>
      </c>
      <c r="E51" s="502"/>
      <c r="F51" s="311">
        <v>1904</v>
      </c>
      <c r="G51" s="309">
        <f>F51/$F$2</f>
        <v>2.9339521753467888E-3</v>
      </c>
      <c r="H51" s="311"/>
      <c r="I51" s="311"/>
      <c r="J51" s="312"/>
      <c r="K51" s="136">
        <f t="shared" si="12"/>
        <v>0</v>
      </c>
      <c r="L51" s="222"/>
      <c r="M51" s="367">
        <v>41760</v>
      </c>
      <c r="N51" s="331">
        <f t="shared" ca="1" si="13"/>
        <v>3.7833827893175074</v>
      </c>
      <c r="O51" s="32"/>
      <c r="P51" s="7">
        <v>43100</v>
      </c>
      <c r="Q51" s="32"/>
      <c r="R51" s="359">
        <f t="shared" ca="1" si="9"/>
        <v>-1.2199142762940984</v>
      </c>
      <c r="S51" s="32"/>
      <c r="T51" s="385" t="s">
        <v>116</v>
      </c>
      <c r="U51" s="133"/>
      <c r="V51" s="32"/>
      <c r="W51" s="369">
        <f>IF(OR(T51="",T51="N"),P51,EDATE(P51,U51))</f>
        <v>43100</v>
      </c>
      <c r="X51" s="32"/>
      <c r="Y51" s="215" t="s">
        <v>57</v>
      </c>
      <c r="Z51" s="32"/>
      <c r="AA51" s="628"/>
      <c r="AB51" s="629"/>
      <c r="AC51" s="630"/>
      <c r="AD51" s="32"/>
      <c r="AE51" s="14"/>
      <c r="AF51" s="14"/>
      <c r="AG51" s="14"/>
      <c r="AH51" s="14"/>
      <c r="AI51" s="14"/>
      <c r="AJ51" s="14"/>
      <c r="AK51" s="14"/>
      <c r="AL51" s="14"/>
      <c r="AM51" s="14"/>
      <c r="AN51" s="301"/>
      <c r="AO51" s="215"/>
      <c r="AP51" s="301"/>
      <c r="AQ51" s="459"/>
      <c r="AR51" s="405"/>
      <c r="AS51" s="402"/>
      <c r="AT51" s="409"/>
      <c r="AU51" s="402"/>
      <c r="AV51" s="403"/>
      <c r="AW51" s="405"/>
      <c r="AX51" s="402"/>
      <c r="AY51" s="409"/>
      <c r="AZ51" s="402"/>
      <c r="BA51" s="403"/>
      <c r="BB51" s="405"/>
      <c r="BC51" s="402"/>
      <c r="BD51" s="409"/>
      <c r="BE51" s="402"/>
      <c r="BF51" s="403"/>
      <c r="BG51" s="405"/>
      <c r="BH51" s="402"/>
      <c r="BI51" s="409"/>
      <c r="BJ51" s="402"/>
      <c r="BK51" s="403"/>
      <c r="BL51" s="405"/>
      <c r="BM51" s="402"/>
      <c r="BN51" s="409"/>
      <c r="BO51" s="402"/>
      <c r="BP51" s="403"/>
      <c r="BQ51" s="405"/>
      <c r="BR51" s="402"/>
      <c r="BS51" s="409"/>
      <c r="BT51" s="402"/>
      <c r="BU51" s="403"/>
      <c r="BV51" s="405"/>
      <c r="BW51" s="402"/>
      <c r="BX51" s="409"/>
      <c r="BY51" s="402"/>
      <c r="BZ51" s="403"/>
      <c r="CA51" s="405"/>
      <c r="CB51" s="402"/>
      <c r="CC51" s="409"/>
      <c r="CD51" s="402"/>
      <c r="CE51" s="403"/>
      <c r="CF51" s="405"/>
      <c r="CG51" s="402"/>
      <c r="CH51" s="409"/>
      <c r="CI51" s="402"/>
      <c r="CJ51" s="403"/>
      <c r="CK51" s="405"/>
      <c r="CL51" s="402"/>
      <c r="CM51" s="409"/>
      <c r="CN51" s="402"/>
      <c r="CO51" s="403"/>
      <c r="CP51" s="405"/>
      <c r="CQ51" s="402"/>
      <c r="CR51" s="409"/>
      <c r="CS51" s="402"/>
      <c r="CT51" s="403"/>
      <c r="CU51" s="405"/>
      <c r="CV51" s="402"/>
      <c r="CW51" s="409"/>
      <c r="CX51" s="402"/>
      <c r="CY51" s="403"/>
      <c r="CZ51" s="405"/>
      <c r="DA51" s="402"/>
      <c r="DB51" s="409"/>
      <c r="DC51" s="402"/>
      <c r="DD51" s="403"/>
      <c r="DE51" s="405"/>
      <c r="DF51" s="402"/>
      <c r="DG51" s="409"/>
      <c r="DH51" s="402"/>
      <c r="DI51" s="403"/>
      <c r="DJ51" s="405"/>
      <c r="DK51" s="402"/>
      <c r="DL51" s="409"/>
      <c r="DM51" s="402"/>
      <c r="DN51" s="403"/>
    </row>
    <row r="52" spans="1:118" ht="18" customHeight="1">
      <c r="A52" s="67">
        <v>29</v>
      </c>
      <c r="B52" s="67">
        <v>8</v>
      </c>
      <c r="C52" s="535" t="s">
        <v>243</v>
      </c>
      <c r="D52" s="536" t="s">
        <v>89</v>
      </c>
      <c r="E52" s="554"/>
      <c r="F52" s="537">
        <v>1869</v>
      </c>
      <c r="G52" s="309">
        <f t="shared" ref="G52:G53" si="16">F52/$F$2</f>
        <v>2.8800192309470316E-3</v>
      </c>
      <c r="H52" s="537"/>
      <c r="I52" s="537"/>
      <c r="J52" s="538"/>
      <c r="K52" s="136">
        <f t="shared" si="12"/>
        <v>0</v>
      </c>
      <c r="L52" s="222"/>
      <c r="M52" s="539">
        <v>40688</v>
      </c>
      <c r="N52" s="331">
        <f t="shared" ca="1" si="13"/>
        <v>6.7287614023519069</v>
      </c>
      <c r="O52" s="32"/>
      <c r="P52" s="540">
        <v>42855</v>
      </c>
      <c r="Q52" s="32"/>
      <c r="R52" s="359">
        <f t="shared" ca="1" si="9"/>
        <v>-8.3086053412462917</v>
      </c>
      <c r="S52" s="32"/>
      <c r="T52" s="541" t="s">
        <v>116</v>
      </c>
      <c r="U52" s="506">
        <v>1</v>
      </c>
      <c r="V52" s="32"/>
      <c r="W52" s="542">
        <f>IF(OR(T52="",T52="N"),P52,EDATE(P52,U52))</f>
        <v>42885</v>
      </c>
      <c r="X52" s="32"/>
      <c r="Y52" s="543" t="s">
        <v>21</v>
      </c>
      <c r="Z52" s="32"/>
      <c r="AA52" s="628"/>
      <c r="AB52" s="629"/>
      <c r="AC52" s="630"/>
      <c r="AD52" s="32"/>
      <c r="AE52" s="544"/>
      <c r="AF52" s="544"/>
      <c r="AG52" s="544"/>
      <c r="AH52" s="544"/>
      <c r="AI52" s="544"/>
      <c r="AJ52" s="544"/>
      <c r="AK52" s="544"/>
      <c r="AL52" s="544"/>
      <c r="AM52" s="544"/>
      <c r="AN52" s="545"/>
      <c r="AO52" s="546"/>
      <c r="AP52" s="545"/>
      <c r="AQ52" s="459"/>
      <c r="AR52" s="521"/>
      <c r="AS52" s="521"/>
      <c r="AT52" s="522"/>
      <c r="AU52" s="521"/>
      <c r="AV52" s="521"/>
      <c r="AW52" s="521"/>
      <c r="AX52" s="521"/>
      <c r="AY52" s="522"/>
      <c r="AZ52" s="521"/>
      <c r="BA52" s="521"/>
      <c r="BB52" s="521"/>
      <c r="BC52" s="521"/>
      <c r="BD52" s="522"/>
      <c r="BE52" s="521"/>
      <c r="BF52" s="521"/>
      <c r="BG52" s="521"/>
      <c r="BH52" s="521"/>
      <c r="BI52" s="522"/>
      <c r="BJ52" s="521"/>
      <c r="BK52" s="521"/>
      <c r="BL52" s="521"/>
      <c r="BM52" s="521"/>
      <c r="BN52" s="522"/>
      <c r="BO52" s="521"/>
      <c r="BP52" s="521"/>
      <c r="BQ52" s="521"/>
      <c r="BR52" s="521"/>
      <c r="BS52" s="522"/>
      <c r="BT52" s="521"/>
      <c r="BU52" s="521"/>
      <c r="BV52" s="521"/>
      <c r="BW52" s="521"/>
      <c r="BX52" s="522"/>
      <c r="BY52" s="521"/>
      <c r="BZ52" s="521"/>
      <c r="CA52" s="521"/>
      <c r="CB52" s="521"/>
      <c r="CC52" s="522"/>
      <c r="CD52" s="521"/>
      <c r="CE52" s="521"/>
      <c r="CF52" s="521"/>
      <c r="CG52" s="521"/>
      <c r="CH52" s="522"/>
      <c r="CI52" s="521"/>
      <c r="CJ52" s="521"/>
      <c r="CK52" s="521"/>
      <c r="CL52" s="521"/>
      <c r="CM52" s="522"/>
      <c r="CN52" s="521"/>
      <c r="CO52" s="521"/>
      <c r="CP52" s="521"/>
      <c r="CQ52" s="521"/>
      <c r="CR52" s="522"/>
      <c r="CS52" s="521"/>
      <c r="CT52" s="547"/>
      <c r="CU52" s="548"/>
      <c r="CV52" s="521"/>
      <c r="CW52" s="522"/>
      <c r="CX52" s="521"/>
      <c r="CY52" s="523"/>
      <c r="CZ52" s="548"/>
      <c r="DA52" s="521"/>
      <c r="DB52" s="522"/>
      <c r="DC52" s="521"/>
      <c r="DD52" s="523"/>
      <c r="DE52" s="548"/>
      <c r="DF52" s="521"/>
      <c r="DG52" s="522"/>
      <c r="DH52" s="521"/>
      <c r="DI52" s="523"/>
      <c r="DJ52" s="548"/>
      <c r="DK52" s="521"/>
      <c r="DL52" s="522"/>
      <c r="DM52" s="521"/>
      <c r="DN52" s="523"/>
    </row>
    <row r="53" spans="1:118" s="29" customFormat="1" ht="18" customHeight="1" thickBot="1">
      <c r="A53" s="67">
        <v>30</v>
      </c>
      <c r="B53" s="67">
        <v>9</v>
      </c>
      <c r="C53" s="2" t="s">
        <v>242</v>
      </c>
      <c r="D53" s="20" t="s">
        <v>89</v>
      </c>
      <c r="E53" s="550"/>
      <c r="F53" s="314">
        <v>1864</v>
      </c>
      <c r="G53" s="315">
        <f t="shared" si="16"/>
        <v>2.8723145246042094E-3</v>
      </c>
      <c r="H53" s="314"/>
      <c r="I53" s="314"/>
      <c r="J53" s="316"/>
      <c r="K53" s="137">
        <f t="shared" si="12"/>
        <v>0</v>
      </c>
      <c r="L53" s="357"/>
      <c r="M53" s="323"/>
      <c r="N53" s="332">
        <f t="shared" ca="1" si="13"/>
        <v>118.52126607319487</v>
      </c>
      <c r="P53" s="12">
        <v>42916</v>
      </c>
      <c r="R53" s="360">
        <f t="shared" ca="1" si="9"/>
        <v>4.7477744807121667</v>
      </c>
      <c r="T53" s="13" t="s">
        <v>116</v>
      </c>
      <c r="U53" s="134">
        <v>12</v>
      </c>
      <c r="W53" s="370">
        <f t="shared" ref="W53" si="17">IF(OR(T53="",T53="N"),P53,EDATE(P53,U53))</f>
        <v>43281</v>
      </c>
      <c r="Y53" s="13"/>
      <c r="AA53" s="631"/>
      <c r="AB53" s="632"/>
      <c r="AC53" s="633"/>
      <c r="AE53" s="13"/>
      <c r="AF53" s="13"/>
      <c r="AG53" s="13"/>
      <c r="AH53" s="13"/>
      <c r="AI53" s="13"/>
      <c r="AJ53" s="13"/>
      <c r="AK53" s="13"/>
      <c r="AL53" s="13"/>
      <c r="AM53" s="13"/>
      <c r="AN53" s="300"/>
      <c r="AO53" s="304"/>
      <c r="AP53" s="300"/>
      <c r="AQ53" s="457"/>
      <c r="AR53" s="420"/>
      <c r="AS53" s="421"/>
      <c r="AT53" s="422"/>
      <c r="AU53" s="421"/>
      <c r="AV53" s="423"/>
      <c r="AW53" s="420"/>
      <c r="AX53" s="421"/>
      <c r="AY53" s="422"/>
      <c r="AZ53" s="421"/>
      <c r="BA53" s="423"/>
      <c r="BB53" s="420"/>
      <c r="BC53" s="421"/>
      <c r="BD53" s="422"/>
      <c r="BE53" s="421"/>
      <c r="BF53" s="423"/>
      <c r="BG53" s="420"/>
      <c r="BH53" s="421"/>
      <c r="BI53" s="422"/>
      <c r="BJ53" s="421"/>
      <c r="BK53" s="423"/>
      <c r="BL53" s="420"/>
      <c r="BM53" s="421"/>
      <c r="BN53" s="422"/>
      <c r="BO53" s="421"/>
      <c r="BP53" s="423"/>
      <c r="BQ53" s="420"/>
      <c r="BR53" s="421"/>
      <c r="BS53" s="422"/>
      <c r="BT53" s="421"/>
      <c r="BU53" s="423"/>
      <c r="BV53" s="420"/>
      <c r="BW53" s="421"/>
      <c r="BX53" s="422"/>
      <c r="BY53" s="421"/>
      <c r="BZ53" s="423"/>
      <c r="CA53" s="420"/>
      <c r="CB53" s="421"/>
      <c r="CC53" s="422"/>
      <c r="CD53" s="421"/>
      <c r="CE53" s="423"/>
      <c r="CF53" s="420"/>
      <c r="CG53" s="421"/>
      <c r="CH53" s="422"/>
      <c r="CI53" s="421"/>
      <c r="CJ53" s="423"/>
      <c r="CK53" s="420"/>
      <c r="CL53" s="421"/>
      <c r="CM53" s="422"/>
      <c r="CN53" s="421"/>
      <c r="CO53" s="423"/>
      <c r="CP53" s="420"/>
      <c r="CQ53" s="421"/>
      <c r="CR53" s="422"/>
      <c r="CS53" s="421"/>
      <c r="CT53" s="423"/>
      <c r="CU53" s="420"/>
      <c r="CV53" s="421"/>
      <c r="CW53" s="422"/>
      <c r="CX53" s="421"/>
      <c r="CY53" s="423"/>
      <c r="CZ53" s="420"/>
      <c r="DA53" s="421"/>
      <c r="DB53" s="422"/>
      <c r="DC53" s="421"/>
      <c r="DD53" s="423"/>
      <c r="DE53" s="420"/>
      <c r="DF53" s="421"/>
      <c r="DG53" s="422"/>
      <c r="DH53" s="421"/>
      <c r="DI53" s="423"/>
      <c r="DJ53" s="420"/>
      <c r="DK53" s="421"/>
      <c r="DL53" s="422"/>
      <c r="DM53" s="421"/>
      <c r="DN53" s="423"/>
    </row>
    <row r="54" spans="1:118" s="176" customFormat="1" ht="4.5" customHeight="1" outlineLevel="1">
      <c r="A54" s="216"/>
      <c r="B54" s="216"/>
      <c r="C54" s="217"/>
      <c r="D54" s="218"/>
      <c r="E54" s="218"/>
      <c r="F54" s="219"/>
      <c r="G54" s="220"/>
      <c r="H54" s="219"/>
      <c r="I54" s="219"/>
      <c r="J54" s="221"/>
      <c r="K54" s="175"/>
      <c r="L54" s="24"/>
      <c r="M54" s="179"/>
      <c r="N54" s="179"/>
      <c r="O54" s="179"/>
      <c r="P54" s="175"/>
      <c r="Q54" s="179"/>
      <c r="R54" s="175"/>
      <c r="S54" s="179"/>
      <c r="T54" s="175"/>
      <c r="U54" s="175"/>
      <c r="V54" s="179"/>
      <c r="W54" s="175"/>
      <c r="X54" s="179"/>
      <c r="Y54" s="23"/>
      <c r="Z54" s="179"/>
      <c r="AA54" s="24"/>
      <c r="AB54" s="24"/>
      <c r="AC54" s="24"/>
      <c r="AD54" s="24"/>
      <c r="AF54" s="24"/>
      <c r="AG54" s="24"/>
      <c r="AH54" s="24"/>
      <c r="AI54" s="24"/>
      <c r="AJ54" s="24"/>
      <c r="AK54" s="24"/>
      <c r="AL54" s="24"/>
      <c r="AM54" s="24"/>
      <c r="AN54" s="24"/>
      <c r="AO54" s="24"/>
      <c r="AP54" s="24"/>
      <c r="AQ54" s="24"/>
      <c r="AR54" s="32"/>
      <c r="AS54" s="32"/>
      <c r="AT54" s="32"/>
      <c r="AU54" s="32"/>
      <c r="AV54" s="32"/>
      <c r="AW54" s="32"/>
      <c r="AX54" s="32"/>
      <c r="AY54" s="32"/>
      <c r="AZ54" s="32"/>
      <c r="BA54" s="32"/>
      <c r="BB54" s="32"/>
      <c r="BC54" s="32"/>
      <c r="BD54" s="32"/>
      <c r="BE54" s="32"/>
      <c r="BF54" s="32"/>
      <c r="BG54" s="32"/>
      <c r="BH54" s="32"/>
      <c r="BI54" s="32"/>
      <c r="BJ54" s="32"/>
      <c r="BK54" s="32"/>
      <c r="BL54" s="32"/>
      <c r="BM54" s="32"/>
      <c r="BN54" s="32"/>
      <c r="BO54" s="32"/>
      <c r="BP54" s="32"/>
      <c r="BQ54" s="32"/>
      <c r="BR54" s="32"/>
      <c r="BS54" s="32"/>
      <c r="BT54" s="32"/>
      <c r="BU54" s="32"/>
      <c r="BV54" s="32"/>
      <c r="BW54" s="32"/>
      <c r="BX54" s="32"/>
      <c r="BY54" s="32"/>
      <c r="BZ54" s="32"/>
      <c r="CA54" s="32"/>
      <c r="CB54" s="32"/>
      <c r="CC54" s="32"/>
      <c r="CD54" s="32"/>
      <c r="CE54" s="32"/>
      <c r="CF54" s="32"/>
      <c r="CG54" s="32"/>
      <c r="CH54" s="32"/>
      <c r="CI54" s="32"/>
      <c r="CJ54" s="32"/>
      <c r="CK54" s="32"/>
      <c r="CL54" s="32"/>
      <c r="CM54" s="32"/>
      <c r="CN54" s="32"/>
      <c r="CO54" s="32"/>
      <c r="CP54" s="32"/>
      <c r="CQ54" s="32"/>
      <c r="CR54" s="32"/>
      <c r="CS54" s="32"/>
      <c r="CT54" s="32"/>
      <c r="CU54" s="32"/>
      <c r="CV54" s="32"/>
      <c r="CW54" s="32"/>
      <c r="CX54" s="32"/>
      <c r="CY54" s="32"/>
      <c r="CZ54" s="32"/>
      <c r="DA54" s="32"/>
      <c r="DB54" s="32"/>
      <c r="DC54" s="32"/>
      <c r="DD54" s="32"/>
      <c r="DE54" s="32"/>
      <c r="DF54" s="32"/>
      <c r="DG54" s="32"/>
      <c r="DH54" s="32"/>
      <c r="DI54" s="32"/>
      <c r="DJ54" s="32"/>
      <c r="DK54" s="32"/>
      <c r="DL54" s="32"/>
      <c r="DM54" s="32"/>
      <c r="DN54" s="32"/>
    </row>
    <row r="55" spans="1:118" outlineLevel="1">
      <c r="C55" s="649" t="s">
        <v>93</v>
      </c>
      <c r="D55" s="650"/>
      <c r="E55" s="650"/>
      <c r="F55" s="139">
        <f>SUMIF($E$35:$E$53,"",$F$35:$F$53)+$F$28</f>
        <v>417763.4</v>
      </c>
      <c r="G55" s="140">
        <f>F55/$F$2</f>
        <v>0.64374886355581451</v>
      </c>
      <c r="H55" s="60"/>
      <c r="I55" s="651" t="s">
        <v>94</v>
      </c>
      <c r="J55" s="652"/>
      <c r="K55" s="653"/>
      <c r="L55" s="27"/>
      <c r="M55" s="144">
        <f>SUMIF($D$35:$D$53,"DCN",$F$35:$F$53)</f>
        <v>24555.4</v>
      </c>
      <c r="N55" s="145">
        <f>$M$55/$F$2</f>
        <v>3.7838429226108479E-2</v>
      </c>
      <c r="O55" s="180"/>
      <c r="P55" s="32"/>
      <c r="Q55" s="180"/>
      <c r="R55" s="32"/>
      <c r="S55" s="180"/>
      <c r="T55" s="123"/>
      <c r="U55" s="123"/>
      <c r="V55" s="180"/>
      <c r="W55" s="123"/>
      <c r="X55" s="180"/>
      <c r="Y55" s="31"/>
      <c r="Z55" s="180"/>
      <c r="AE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184"/>
      <c r="AR55" s="32"/>
      <c r="AS55" s="32"/>
      <c r="AT55" s="32"/>
      <c r="AU55" s="32"/>
      <c r="AV55" s="32"/>
      <c r="AW55" s="32"/>
      <c r="AX55" s="32"/>
      <c r="AY55" s="32"/>
      <c r="AZ55" s="32"/>
      <c r="BA55" s="32"/>
      <c r="BB55" s="32"/>
      <c r="BC55" s="32"/>
      <c r="BD55" s="32"/>
      <c r="BE55" s="32"/>
      <c r="BF55" s="32"/>
      <c r="BG55" s="32"/>
      <c r="BH55" s="32"/>
      <c r="BI55" s="32"/>
      <c r="BJ55" s="32"/>
      <c r="BK55" s="32"/>
      <c r="BL55" s="32"/>
      <c r="BM55" s="32"/>
      <c r="BN55" s="32"/>
      <c r="BO55" s="32"/>
      <c r="BP55" s="32"/>
      <c r="BQ55" s="32"/>
      <c r="BR55" s="32"/>
      <c r="BS55" s="32"/>
      <c r="BT55" s="32"/>
      <c r="BU55" s="32"/>
      <c r="BV55" s="32"/>
      <c r="BW55" s="32"/>
      <c r="BX55" s="32"/>
      <c r="BY55" s="32"/>
      <c r="BZ55" s="32"/>
      <c r="CA55" s="32"/>
      <c r="CB55" s="32"/>
      <c r="CC55" s="32"/>
      <c r="CD55" s="32"/>
      <c r="CE55" s="32"/>
      <c r="CF55" s="32"/>
      <c r="CG55" s="32"/>
      <c r="CH55" s="32"/>
      <c r="CI55" s="32"/>
      <c r="CJ55" s="32"/>
      <c r="CK55" s="32"/>
      <c r="CL55" s="32"/>
      <c r="CM55" s="32"/>
      <c r="CN55" s="32"/>
      <c r="CO55" s="32"/>
      <c r="CP55" s="32"/>
      <c r="CQ55" s="32"/>
      <c r="CR55" s="32"/>
      <c r="CS55" s="32"/>
      <c r="CT55" s="32"/>
      <c r="CU55" s="32"/>
      <c r="CV55" s="32"/>
      <c r="CW55" s="32"/>
      <c r="CX55" s="32"/>
      <c r="CY55" s="32"/>
      <c r="CZ55" s="32"/>
      <c r="DA55" s="32"/>
      <c r="DB55" s="32"/>
      <c r="DC55" s="32"/>
      <c r="DD55" s="32"/>
      <c r="DE55" s="32"/>
      <c r="DF55" s="32"/>
      <c r="DG55" s="32"/>
      <c r="DH55" s="32"/>
      <c r="DI55" s="32"/>
      <c r="DJ55" s="32"/>
      <c r="DK55" s="32"/>
      <c r="DL55" s="32"/>
      <c r="DM55" s="32"/>
      <c r="DN55" s="32"/>
    </row>
    <row r="56" spans="1:118" outlineLevel="1">
      <c r="C56" s="141"/>
      <c r="D56" s="141"/>
      <c r="E56" s="141"/>
      <c r="F56" s="142"/>
      <c r="G56" s="143"/>
      <c r="H56" s="60"/>
      <c r="I56" s="640" t="s">
        <v>95</v>
      </c>
      <c r="J56" s="641"/>
      <c r="K56" s="642"/>
      <c r="L56" s="27"/>
      <c r="M56" s="146">
        <f>SUMIF($D$35:$D$53,"AO",$F$35:$F$53)</f>
        <v>7889</v>
      </c>
      <c r="N56" s="147">
        <f>$M$56/$F$2</f>
        <v>1.2156485667705261E-2</v>
      </c>
      <c r="O56" s="180"/>
      <c r="P56" s="32"/>
      <c r="Q56" s="180"/>
      <c r="R56" s="32"/>
      <c r="S56" s="180"/>
      <c r="T56" s="123"/>
      <c r="U56" s="123"/>
      <c r="V56" s="180"/>
      <c r="W56" s="123"/>
      <c r="X56" s="180"/>
      <c r="Y56" s="31"/>
      <c r="Z56" s="180"/>
      <c r="AE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184"/>
      <c r="AR56" s="32"/>
      <c r="AS56" s="32"/>
      <c r="AT56" s="32"/>
      <c r="AU56" s="32"/>
      <c r="AV56" s="32"/>
      <c r="AW56" s="32"/>
      <c r="AX56" s="32"/>
      <c r="AY56" s="32"/>
      <c r="AZ56" s="32"/>
      <c r="BA56" s="32"/>
      <c r="BB56" s="32"/>
      <c r="BC56" s="32"/>
      <c r="BD56" s="32"/>
      <c r="BE56" s="32"/>
      <c r="BF56" s="32"/>
      <c r="BG56" s="32"/>
      <c r="BH56" s="32"/>
      <c r="BI56" s="32"/>
      <c r="BJ56" s="32"/>
      <c r="BK56" s="32"/>
      <c r="BL56" s="32"/>
      <c r="BM56" s="32"/>
      <c r="BN56" s="32"/>
      <c r="BO56" s="32"/>
      <c r="BP56" s="32"/>
      <c r="BQ56" s="32"/>
      <c r="BR56" s="32"/>
      <c r="BS56" s="32"/>
      <c r="BT56" s="32"/>
      <c r="BU56" s="32"/>
      <c r="BV56" s="32"/>
      <c r="BW56" s="32"/>
      <c r="BX56" s="32"/>
      <c r="BY56" s="32"/>
      <c r="BZ56" s="32"/>
      <c r="CA56" s="32"/>
      <c r="CB56" s="32"/>
      <c r="CC56" s="32"/>
      <c r="CD56" s="32"/>
      <c r="CE56" s="32"/>
      <c r="CF56" s="32"/>
      <c r="CG56" s="32"/>
      <c r="CH56" s="32"/>
      <c r="CI56" s="32"/>
      <c r="CJ56" s="32"/>
      <c r="CK56" s="32"/>
      <c r="CL56" s="32"/>
      <c r="CM56" s="32"/>
      <c r="CN56" s="32"/>
      <c r="CO56" s="32"/>
      <c r="CP56" s="32"/>
      <c r="CQ56" s="32"/>
      <c r="CR56" s="32"/>
      <c r="CS56" s="32"/>
      <c r="CT56" s="32"/>
      <c r="CU56" s="32"/>
      <c r="CV56" s="32"/>
      <c r="CW56" s="32"/>
      <c r="CX56" s="32"/>
      <c r="CY56" s="32"/>
      <c r="CZ56" s="32"/>
      <c r="DA56" s="32"/>
      <c r="DB56" s="32"/>
      <c r="DC56" s="32"/>
      <c r="DD56" s="32"/>
      <c r="DE56" s="32"/>
      <c r="DF56" s="32"/>
      <c r="DG56" s="32"/>
      <c r="DH56" s="32"/>
      <c r="DI56" s="32"/>
      <c r="DJ56" s="32"/>
      <c r="DK56" s="32"/>
      <c r="DL56" s="32"/>
      <c r="DM56" s="32"/>
      <c r="DN56" s="32"/>
    </row>
    <row r="57" spans="1:118" outlineLevel="1">
      <c r="C57" s="141"/>
      <c r="D57" s="141"/>
      <c r="E57" s="141"/>
      <c r="F57" s="142"/>
      <c r="G57" s="143"/>
      <c r="H57" s="60"/>
      <c r="I57" s="643" t="s">
        <v>96</v>
      </c>
      <c r="J57" s="644"/>
      <c r="K57" s="645"/>
      <c r="L57" s="27"/>
      <c r="M57" s="148">
        <f>SUMIF($D$35:$D$53,"DI",$F$35:$F$53)</f>
        <v>31787</v>
      </c>
      <c r="N57" s="149">
        <f>$M$57/$F$2</f>
        <v>4.8981900103859444E-2</v>
      </c>
      <c r="O57" s="180"/>
      <c r="P57" s="32"/>
      <c r="Q57" s="180"/>
      <c r="R57" s="32"/>
      <c r="S57" s="180"/>
      <c r="T57" s="123"/>
      <c r="U57" s="123"/>
      <c r="V57" s="180"/>
      <c r="W57" s="123"/>
      <c r="X57" s="180"/>
      <c r="Y57" s="31"/>
      <c r="Z57" s="180"/>
      <c r="AE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184"/>
      <c r="AR57" s="32"/>
      <c r="AS57" s="32"/>
      <c r="AT57" s="32"/>
      <c r="AU57" s="32"/>
      <c r="AV57" s="32"/>
      <c r="AW57" s="32"/>
      <c r="AX57" s="32"/>
      <c r="AY57" s="32"/>
      <c r="AZ57" s="3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/>
      <c r="BQ57" s="32"/>
      <c r="BR57" s="32"/>
      <c r="BS57" s="32"/>
      <c r="BT57" s="32"/>
      <c r="BU57" s="32"/>
      <c r="BV57" s="32"/>
      <c r="BW57" s="32"/>
      <c r="BX57" s="32"/>
      <c r="BY57" s="32"/>
      <c r="BZ57" s="32"/>
      <c r="CA57" s="32"/>
      <c r="CB57" s="32"/>
      <c r="CC57" s="32"/>
      <c r="CD57" s="32"/>
      <c r="CE57" s="32"/>
      <c r="CF57" s="32"/>
      <c r="CG57" s="32"/>
      <c r="CH57" s="32"/>
      <c r="CI57" s="32"/>
      <c r="CJ57" s="32"/>
      <c r="CK57" s="32"/>
      <c r="CL57" s="32"/>
      <c r="CM57" s="32"/>
      <c r="CN57" s="32"/>
      <c r="CO57" s="32"/>
      <c r="CP57" s="32"/>
      <c r="CQ57" s="32"/>
      <c r="CR57" s="32"/>
      <c r="CS57" s="32"/>
      <c r="CT57" s="32"/>
      <c r="CU57" s="32"/>
      <c r="CV57" s="32"/>
      <c r="CW57" s="32"/>
      <c r="CX57" s="32"/>
      <c r="CY57" s="32"/>
      <c r="CZ57" s="32"/>
      <c r="DA57" s="32"/>
      <c r="DB57" s="32"/>
      <c r="DC57" s="32"/>
      <c r="DD57" s="32"/>
      <c r="DE57" s="32"/>
      <c r="DF57" s="32"/>
      <c r="DG57" s="32"/>
      <c r="DH57" s="32"/>
      <c r="DI57" s="32"/>
      <c r="DJ57" s="32"/>
      <c r="DK57" s="32"/>
      <c r="DL57" s="32"/>
      <c r="DM57" s="32"/>
      <c r="DN57" s="32"/>
    </row>
    <row r="58" spans="1:118" outlineLevel="1">
      <c r="C58" s="141"/>
      <c r="D58" s="141"/>
      <c r="E58" s="141"/>
      <c r="F58" s="142"/>
      <c r="G58" s="143"/>
      <c r="H58" s="60"/>
      <c r="I58" s="646" t="s">
        <v>102</v>
      </c>
      <c r="J58" s="647"/>
      <c r="K58" s="648"/>
      <c r="L58" s="27"/>
      <c r="M58" s="337">
        <f>SUMIF($D$35:$D$53,"REG",$F$35:$F$53)</f>
        <v>11089</v>
      </c>
      <c r="N58" s="338">
        <f>$M$58/$F$2</f>
        <v>1.7087497727111628E-2</v>
      </c>
      <c r="O58" s="180"/>
      <c r="P58" s="32"/>
      <c r="Q58" s="180"/>
      <c r="R58" s="32"/>
      <c r="S58" s="180"/>
      <c r="T58" s="123"/>
      <c r="U58" s="123"/>
      <c r="V58" s="180"/>
      <c r="W58" s="123"/>
      <c r="X58" s="180"/>
      <c r="Y58" s="31"/>
      <c r="Z58" s="180"/>
      <c r="AE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184"/>
      <c r="AR58" s="32"/>
      <c r="AS58" s="32"/>
      <c r="AT58" s="32"/>
      <c r="AU58" s="32"/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  <c r="BU58" s="32"/>
      <c r="BV58" s="32"/>
      <c r="BW58" s="32"/>
      <c r="BX58" s="32"/>
      <c r="BY58" s="32"/>
      <c r="BZ58" s="32"/>
      <c r="CA58" s="32"/>
      <c r="CB58" s="32"/>
      <c r="CC58" s="32"/>
      <c r="CD58" s="32"/>
      <c r="CE58" s="32"/>
      <c r="CF58" s="32"/>
      <c r="CG58" s="32"/>
      <c r="CH58" s="32"/>
      <c r="CI58" s="32"/>
      <c r="CJ58" s="32"/>
      <c r="CK58" s="32"/>
      <c r="CL58" s="32"/>
      <c r="CM58" s="32"/>
      <c r="CN58" s="32"/>
      <c r="CO58" s="32"/>
      <c r="CP58" s="32"/>
      <c r="CQ58" s="32"/>
      <c r="CR58" s="32"/>
      <c r="CS58" s="32"/>
      <c r="CT58" s="32"/>
      <c r="CU58" s="32"/>
      <c r="CV58" s="32"/>
      <c r="CW58" s="32"/>
      <c r="CX58" s="32"/>
      <c r="CY58" s="32"/>
      <c r="CZ58" s="32"/>
      <c r="DA58" s="32"/>
      <c r="DB58" s="32"/>
      <c r="DC58" s="32"/>
      <c r="DD58" s="32"/>
      <c r="DE58" s="32"/>
      <c r="DF58" s="32"/>
      <c r="DG58" s="32"/>
      <c r="DH58" s="32"/>
      <c r="DI58" s="32"/>
      <c r="DJ58" s="32"/>
      <c r="DK58" s="32"/>
      <c r="DL58" s="32"/>
      <c r="DM58" s="32"/>
      <c r="DN58" s="32"/>
    </row>
    <row r="59" spans="1:118" ht="11.25" customHeight="1">
      <c r="B59" s="68"/>
      <c r="C59" s="35"/>
      <c r="D59" s="62"/>
      <c r="E59" s="62"/>
      <c r="F59" s="37"/>
      <c r="G59" s="63"/>
      <c r="H59" s="37"/>
      <c r="I59" s="36"/>
      <c r="J59" s="64"/>
      <c r="K59" s="65"/>
      <c r="M59" s="40"/>
      <c r="N59" s="40"/>
      <c r="O59" s="181"/>
      <c r="P59" s="39"/>
      <c r="Q59" s="181"/>
      <c r="R59" s="39"/>
      <c r="S59" s="181"/>
      <c r="T59" s="183"/>
      <c r="U59" s="183"/>
      <c r="V59" s="181"/>
      <c r="W59" s="183"/>
      <c r="X59" s="181"/>
      <c r="Y59" s="31"/>
      <c r="Z59" s="181"/>
      <c r="AE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184"/>
    </row>
    <row r="60" spans="1:118" s="29" customFormat="1" ht="18" outlineLevel="1">
      <c r="A60" s="68"/>
      <c r="B60" s="68"/>
      <c r="C60" s="53"/>
      <c r="D60" s="54"/>
      <c r="E60" s="138" t="s">
        <v>91</v>
      </c>
      <c r="F60" s="112">
        <f>SUM($F$62:$F$66)</f>
        <v>8071</v>
      </c>
      <c r="G60" s="113">
        <f>$F$60/$F$2</f>
        <v>1.2436936978583998E-2</v>
      </c>
      <c r="H60" s="55"/>
      <c r="J60" s="57"/>
      <c r="K60" s="58"/>
      <c r="L60" s="53"/>
      <c r="M60" s="55"/>
      <c r="N60" s="55"/>
      <c r="O60" s="55"/>
      <c r="P60" s="115"/>
      <c r="Q60" s="55"/>
      <c r="R60" s="58"/>
      <c r="S60" s="55"/>
      <c r="T60" s="58"/>
      <c r="U60" s="58"/>
      <c r="V60" s="55"/>
      <c r="W60" s="58"/>
      <c r="X60" s="55"/>
      <c r="Y60" s="33"/>
      <c r="Z60" s="55"/>
      <c r="AA60" s="61"/>
      <c r="AB60" s="61"/>
      <c r="AC60" s="61"/>
      <c r="AD60" s="53"/>
      <c r="AF60" s="53"/>
      <c r="AG60" s="61"/>
      <c r="AH60" s="61"/>
      <c r="AI60" s="25"/>
      <c r="AJ60" s="25"/>
      <c r="AK60" s="61"/>
      <c r="AL60" s="61"/>
      <c r="AM60" s="25"/>
      <c r="AN60" s="25"/>
      <c r="AO60" s="61"/>
      <c r="AP60" s="61"/>
      <c r="AQ60" s="25"/>
      <c r="AR60" s="386" t="s">
        <v>5</v>
      </c>
      <c r="AS60" s="387" t="s">
        <v>184</v>
      </c>
      <c r="AT60" s="387" t="s">
        <v>7</v>
      </c>
      <c r="AU60" s="387" t="s">
        <v>8</v>
      </c>
      <c r="AV60" s="388" t="s">
        <v>9</v>
      </c>
      <c r="AW60" s="386" t="s">
        <v>5</v>
      </c>
      <c r="AX60" s="387" t="s">
        <v>184</v>
      </c>
      <c r="AY60" s="387" t="s">
        <v>7</v>
      </c>
      <c r="AZ60" s="387" t="s">
        <v>8</v>
      </c>
      <c r="BA60" s="388" t="s">
        <v>9</v>
      </c>
      <c r="BB60" s="386" t="s">
        <v>5</v>
      </c>
      <c r="BC60" s="387" t="s">
        <v>184</v>
      </c>
      <c r="BD60" s="387" t="s">
        <v>7</v>
      </c>
      <c r="BE60" s="387" t="s">
        <v>8</v>
      </c>
      <c r="BF60" s="388" t="s">
        <v>9</v>
      </c>
      <c r="BG60" s="386" t="s">
        <v>5</v>
      </c>
      <c r="BH60" s="387" t="s">
        <v>184</v>
      </c>
      <c r="BI60" s="387" t="s">
        <v>7</v>
      </c>
      <c r="BJ60" s="387" t="s">
        <v>8</v>
      </c>
      <c r="BK60" s="388" t="s">
        <v>9</v>
      </c>
      <c r="BL60" s="386" t="s">
        <v>5</v>
      </c>
      <c r="BM60" s="387" t="s">
        <v>184</v>
      </c>
      <c r="BN60" s="387" t="s">
        <v>7</v>
      </c>
      <c r="BO60" s="387" t="s">
        <v>8</v>
      </c>
      <c r="BP60" s="388" t="s">
        <v>9</v>
      </c>
      <c r="BQ60" s="386" t="s">
        <v>5</v>
      </c>
      <c r="BR60" s="387" t="s">
        <v>184</v>
      </c>
      <c r="BS60" s="387" t="s">
        <v>7</v>
      </c>
      <c r="BT60" s="387" t="s">
        <v>8</v>
      </c>
      <c r="BU60" s="388" t="s">
        <v>9</v>
      </c>
      <c r="BV60" s="386" t="s">
        <v>5</v>
      </c>
      <c r="BW60" s="387" t="s">
        <v>184</v>
      </c>
      <c r="BX60" s="387" t="s">
        <v>7</v>
      </c>
      <c r="BY60" s="387" t="s">
        <v>8</v>
      </c>
      <c r="BZ60" s="388" t="s">
        <v>9</v>
      </c>
      <c r="CA60" s="386" t="s">
        <v>5</v>
      </c>
      <c r="CB60" s="387" t="s">
        <v>184</v>
      </c>
      <c r="CC60" s="387" t="s">
        <v>7</v>
      </c>
      <c r="CD60" s="387" t="s">
        <v>8</v>
      </c>
      <c r="CE60" s="388" t="s">
        <v>9</v>
      </c>
      <c r="CF60" s="386" t="s">
        <v>5</v>
      </c>
      <c r="CG60" s="387" t="s">
        <v>184</v>
      </c>
      <c r="CH60" s="387" t="s">
        <v>7</v>
      </c>
      <c r="CI60" s="387" t="s">
        <v>8</v>
      </c>
      <c r="CJ60" s="388" t="s">
        <v>9</v>
      </c>
      <c r="CK60" s="386" t="s">
        <v>5</v>
      </c>
      <c r="CL60" s="387" t="s">
        <v>184</v>
      </c>
      <c r="CM60" s="387" t="s">
        <v>7</v>
      </c>
      <c r="CN60" s="387" t="s">
        <v>8</v>
      </c>
      <c r="CO60" s="388" t="s">
        <v>9</v>
      </c>
      <c r="CP60" s="386" t="s">
        <v>5</v>
      </c>
      <c r="CQ60" s="387" t="s">
        <v>184</v>
      </c>
      <c r="CR60" s="387" t="s">
        <v>7</v>
      </c>
      <c r="CS60" s="387" t="s">
        <v>8</v>
      </c>
      <c r="CT60" s="388" t="s">
        <v>9</v>
      </c>
      <c r="CU60" s="386" t="s">
        <v>5</v>
      </c>
      <c r="CV60" s="387" t="s">
        <v>184</v>
      </c>
      <c r="CW60" s="387" t="s">
        <v>7</v>
      </c>
      <c r="CX60" s="387" t="s">
        <v>8</v>
      </c>
      <c r="CY60" s="388" t="s">
        <v>9</v>
      </c>
      <c r="CZ60" s="386" t="s">
        <v>5</v>
      </c>
      <c r="DA60" s="387" t="s">
        <v>184</v>
      </c>
      <c r="DB60" s="387" t="s">
        <v>7</v>
      </c>
      <c r="DC60" s="387" t="s">
        <v>8</v>
      </c>
      <c r="DD60" s="388" t="s">
        <v>9</v>
      </c>
      <c r="DE60" s="386" t="s">
        <v>5</v>
      </c>
      <c r="DF60" s="387" t="s">
        <v>184</v>
      </c>
      <c r="DG60" s="387" t="s">
        <v>7</v>
      </c>
      <c r="DH60" s="387" t="s">
        <v>8</v>
      </c>
      <c r="DI60" s="388" t="s">
        <v>9</v>
      </c>
      <c r="DJ60" s="386" t="s">
        <v>5</v>
      </c>
      <c r="DK60" s="387" t="s">
        <v>184</v>
      </c>
      <c r="DL60" s="387" t="s">
        <v>7</v>
      </c>
      <c r="DM60" s="387" t="s">
        <v>8</v>
      </c>
      <c r="DN60" s="388" t="s">
        <v>9</v>
      </c>
    </row>
    <row r="61" spans="1:118" s="176" customFormat="1" ht="4.5" customHeight="1" outlineLevel="1" thickBot="1">
      <c r="A61" s="216"/>
      <c r="B61" s="216"/>
      <c r="C61" s="217"/>
      <c r="D61" s="218"/>
      <c r="E61" s="218"/>
      <c r="F61" s="219"/>
      <c r="G61" s="220"/>
      <c r="H61" s="219"/>
      <c r="I61" s="219"/>
      <c r="J61" s="221"/>
      <c r="K61" s="175"/>
      <c r="L61" s="24"/>
      <c r="M61" s="179"/>
      <c r="N61" s="179"/>
      <c r="O61" s="179"/>
      <c r="P61" s="175"/>
      <c r="Q61" s="179"/>
      <c r="R61" s="175"/>
      <c r="S61" s="179"/>
      <c r="T61" s="175"/>
      <c r="U61" s="175"/>
      <c r="V61" s="179"/>
      <c r="W61" s="175"/>
      <c r="X61" s="179"/>
      <c r="Y61" s="23"/>
      <c r="Z61" s="179"/>
      <c r="AA61" s="24"/>
      <c r="AB61" s="24"/>
      <c r="AC61" s="24"/>
      <c r="AD61" s="24"/>
      <c r="AF61" s="24"/>
      <c r="AG61" s="24"/>
      <c r="AH61" s="24"/>
      <c r="AI61" s="24"/>
      <c r="AJ61" s="24"/>
      <c r="AK61" s="24"/>
      <c r="AL61" s="24"/>
      <c r="AM61" s="24"/>
      <c r="AN61" s="24"/>
      <c r="AO61" s="24"/>
      <c r="AP61" s="24"/>
      <c r="AQ61" s="24"/>
      <c r="AR61" s="29"/>
      <c r="AS61" s="29"/>
      <c r="AT61" s="29"/>
      <c r="AU61" s="29"/>
      <c r="AV61" s="29"/>
      <c r="AW61" s="29"/>
      <c r="AX61" s="29"/>
      <c r="AY61" s="29"/>
      <c r="AZ61" s="29"/>
      <c r="BA61" s="29"/>
      <c r="BB61" s="29"/>
      <c r="BC61" s="29"/>
      <c r="BD61" s="29"/>
      <c r="BE61" s="29"/>
      <c r="BF61" s="29"/>
      <c r="BG61" s="29"/>
      <c r="BH61" s="29"/>
      <c r="BI61" s="29"/>
      <c r="BJ61" s="29"/>
      <c r="BK61" s="29"/>
      <c r="BL61" s="29"/>
      <c r="BM61" s="29"/>
      <c r="BN61" s="29"/>
      <c r="BO61" s="29"/>
      <c r="BP61" s="29"/>
      <c r="BQ61" s="29"/>
      <c r="BR61" s="29"/>
      <c r="BS61" s="29"/>
      <c r="BT61" s="29"/>
      <c r="BU61" s="29"/>
      <c r="BV61" s="29"/>
      <c r="BW61" s="29"/>
      <c r="BX61" s="29"/>
      <c r="BY61" s="29"/>
      <c r="BZ61" s="29"/>
      <c r="CA61" s="29"/>
      <c r="CB61" s="29"/>
      <c r="CC61" s="29"/>
      <c r="CD61" s="29"/>
      <c r="CE61" s="29"/>
      <c r="CF61" s="29"/>
      <c r="CG61" s="29"/>
      <c r="CH61" s="29"/>
      <c r="CI61" s="29"/>
      <c r="CJ61" s="29"/>
      <c r="CK61" s="29"/>
      <c r="CL61" s="29"/>
      <c r="CM61" s="29"/>
      <c r="CN61" s="29"/>
      <c r="CO61" s="29"/>
      <c r="CP61" s="29"/>
      <c r="CQ61" s="29"/>
      <c r="CR61" s="29"/>
      <c r="CS61" s="29"/>
      <c r="CT61" s="29"/>
    </row>
    <row r="62" spans="1:118" s="29" customFormat="1" ht="18" customHeight="1">
      <c r="A62" s="67">
        <v>31</v>
      </c>
      <c r="B62" s="67">
        <v>1</v>
      </c>
      <c r="C62" s="3" t="s">
        <v>240</v>
      </c>
      <c r="D62" s="17" t="s">
        <v>89</v>
      </c>
      <c r="E62" s="549"/>
      <c r="F62" s="305">
        <v>1741</v>
      </c>
      <c r="G62" s="306">
        <f>F62/$F$2</f>
        <v>2.6827787485707768E-3</v>
      </c>
      <c r="H62" s="305"/>
      <c r="I62" s="305"/>
      <c r="J62" s="307"/>
      <c r="K62" s="135">
        <f>J62/F62</f>
        <v>0</v>
      </c>
      <c r="L62" s="357"/>
      <c r="M62" s="320"/>
      <c r="N62" s="330">
        <f ca="1">($F$1-M62)/30.33/12</f>
        <v>118.52126607319487</v>
      </c>
      <c r="P62" s="8">
        <v>42063</v>
      </c>
      <c r="R62" s="358">
        <f ca="1">(W62-$F$1)/30.33</f>
        <v>0.72535443455324766</v>
      </c>
      <c r="T62" s="9" t="s">
        <v>116</v>
      </c>
      <c r="U62" s="132">
        <v>36</v>
      </c>
      <c r="W62" s="368">
        <f>IF(OR(T62="",T62="N"),P62,EDATE(P62,U62))</f>
        <v>43159</v>
      </c>
      <c r="Y62" s="9"/>
      <c r="AA62" s="634"/>
      <c r="AB62" s="635"/>
      <c r="AC62" s="636"/>
      <c r="AE62" s="9"/>
      <c r="AF62" s="9"/>
      <c r="AG62" s="9"/>
      <c r="AH62" s="9"/>
      <c r="AI62" s="9"/>
      <c r="AJ62" s="9"/>
      <c r="AK62" s="9"/>
      <c r="AL62" s="9"/>
      <c r="AM62" s="9"/>
      <c r="AN62" s="298"/>
      <c r="AO62" s="302"/>
      <c r="AP62" s="298"/>
      <c r="AQ62" s="457"/>
      <c r="AR62" s="392"/>
      <c r="AS62" s="393"/>
      <c r="AT62" s="428"/>
      <c r="AU62" s="393"/>
      <c r="AV62" s="394"/>
      <c r="AW62" s="392"/>
      <c r="AX62" s="393"/>
      <c r="AY62" s="428"/>
      <c r="AZ62" s="393"/>
      <c r="BA62" s="394"/>
      <c r="BB62" s="392"/>
      <c r="BC62" s="393"/>
      <c r="BD62" s="428"/>
      <c r="BE62" s="393"/>
      <c r="BF62" s="394"/>
      <c r="BG62" s="392"/>
      <c r="BH62" s="393"/>
      <c r="BI62" s="428"/>
      <c r="BJ62" s="393"/>
      <c r="BK62" s="394"/>
      <c r="BL62" s="392"/>
      <c r="BM62" s="393"/>
      <c r="BN62" s="428"/>
      <c r="BO62" s="393"/>
      <c r="BP62" s="394"/>
      <c r="BQ62" s="392"/>
      <c r="BR62" s="393"/>
      <c r="BS62" s="428"/>
      <c r="BT62" s="393"/>
      <c r="BU62" s="394"/>
      <c r="BV62" s="392"/>
      <c r="BW62" s="393"/>
      <c r="BX62" s="428"/>
      <c r="BY62" s="393"/>
      <c r="BZ62" s="394"/>
      <c r="CA62" s="392"/>
      <c r="CB62" s="393"/>
      <c r="CC62" s="428"/>
      <c r="CD62" s="393"/>
      <c r="CE62" s="394"/>
      <c r="CF62" s="392"/>
      <c r="CG62" s="393"/>
      <c r="CH62" s="428"/>
      <c r="CI62" s="393"/>
      <c r="CJ62" s="394"/>
      <c r="CK62" s="392"/>
      <c r="CL62" s="393"/>
      <c r="CM62" s="428"/>
      <c r="CN62" s="393"/>
      <c r="CO62" s="394"/>
      <c r="CP62" s="392"/>
      <c r="CQ62" s="393"/>
      <c r="CR62" s="428"/>
      <c r="CS62" s="393"/>
      <c r="CT62" s="394"/>
      <c r="CU62" s="392"/>
      <c r="CV62" s="393"/>
      <c r="CW62" s="428"/>
      <c r="CX62" s="393"/>
      <c r="CY62" s="394"/>
      <c r="CZ62" s="392"/>
      <c r="DA62" s="393"/>
      <c r="DB62" s="428"/>
      <c r="DC62" s="393"/>
      <c r="DD62" s="394"/>
      <c r="DE62" s="392"/>
      <c r="DF62" s="393"/>
      <c r="DG62" s="393"/>
      <c r="DH62" s="393"/>
      <c r="DI62" s="394"/>
      <c r="DJ62" s="392"/>
      <c r="DK62" s="393"/>
      <c r="DL62" s="393"/>
      <c r="DM62" s="393"/>
      <c r="DN62" s="394"/>
    </row>
    <row r="63" spans="1:118" ht="18" customHeight="1">
      <c r="A63" s="67">
        <v>32</v>
      </c>
      <c r="B63" s="67">
        <v>11</v>
      </c>
      <c r="C63" s="535" t="s">
        <v>239</v>
      </c>
      <c r="D63" s="536" t="s">
        <v>54</v>
      </c>
      <c r="E63" s="554"/>
      <c r="F63" s="537">
        <v>1738</v>
      </c>
      <c r="G63" s="309">
        <f>F63/$F$2</f>
        <v>2.6781559247650833E-3</v>
      </c>
      <c r="H63" s="537"/>
      <c r="I63" s="537"/>
      <c r="J63" s="538"/>
      <c r="K63" s="136">
        <f>J63/F63</f>
        <v>0</v>
      </c>
      <c r="L63" s="222"/>
      <c r="M63" s="539"/>
      <c r="N63" s="331">
        <f ca="1">($F$1-M63)/30.33/12</f>
        <v>118.52126607319487</v>
      </c>
      <c r="O63" s="32"/>
      <c r="P63" s="540">
        <v>43100</v>
      </c>
      <c r="Q63" s="32"/>
      <c r="R63" s="359">
        <f ca="1">(W63-$F$1)/30.33</f>
        <v>22.848664688427302</v>
      </c>
      <c r="S63" s="32"/>
      <c r="T63" s="541" t="s">
        <v>116</v>
      </c>
      <c r="U63" s="506">
        <v>24</v>
      </c>
      <c r="V63" s="32"/>
      <c r="W63" s="542">
        <f>IF(OR(T63="",T63="N"),P63,EDATE(P63,U63))</f>
        <v>43830</v>
      </c>
      <c r="X63" s="32"/>
      <c r="Y63" s="543"/>
      <c r="Z63" s="32"/>
      <c r="AA63" s="628"/>
      <c r="AB63" s="629"/>
      <c r="AC63" s="630"/>
      <c r="AD63" s="32"/>
      <c r="AE63" s="544"/>
      <c r="AF63" s="544"/>
      <c r="AG63" s="544"/>
      <c r="AH63" s="544"/>
      <c r="AI63" s="544"/>
      <c r="AJ63" s="544"/>
      <c r="AK63" s="544"/>
      <c r="AL63" s="544"/>
      <c r="AM63" s="544"/>
      <c r="AN63" s="545"/>
      <c r="AO63" s="546"/>
      <c r="AP63" s="545"/>
      <c r="AQ63" s="459"/>
      <c r="AR63" s="521"/>
      <c r="AS63" s="521"/>
      <c r="AT63" s="522"/>
      <c r="AU63" s="521"/>
      <c r="AV63" s="521"/>
      <c r="AW63" s="521"/>
      <c r="AX63" s="521"/>
      <c r="AY63" s="522"/>
      <c r="AZ63" s="521"/>
      <c r="BA63" s="521"/>
      <c r="BB63" s="521"/>
      <c r="BC63" s="521"/>
      <c r="BD63" s="522"/>
      <c r="BE63" s="521"/>
      <c r="BF63" s="521"/>
      <c r="BG63" s="521"/>
      <c r="BH63" s="521"/>
      <c r="BI63" s="522"/>
      <c r="BJ63" s="521"/>
      <c r="BK63" s="521"/>
      <c r="BL63" s="521"/>
      <c r="BM63" s="521"/>
      <c r="BN63" s="522"/>
      <c r="BO63" s="521"/>
      <c r="BP63" s="521"/>
      <c r="BQ63" s="521"/>
      <c r="BR63" s="521"/>
      <c r="BS63" s="522"/>
      <c r="BT63" s="521"/>
      <c r="BU63" s="521"/>
      <c r="BV63" s="521"/>
      <c r="BW63" s="521"/>
      <c r="BX63" s="522"/>
      <c r="BY63" s="521"/>
      <c r="BZ63" s="521"/>
      <c r="CA63" s="521"/>
      <c r="CB63" s="521"/>
      <c r="CC63" s="522"/>
      <c r="CD63" s="521"/>
      <c r="CE63" s="521"/>
      <c r="CF63" s="521"/>
      <c r="CG63" s="521"/>
      <c r="CH63" s="522"/>
      <c r="CI63" s="521"/>
      <c r="CJ63" s="521"/>
      <c r="CK63" s="521"/>
      <c r="CL63" s="521"/>
      <c r="CM63" s="522"/>
      <c r="CN63" s="521"/>
      <c r="CO63" s="521"/>
      <c r="CP63" s="521"/>
      <c r="CQ63" s="521"/>
      <c r="CR63" s="522"/>
      <c r="CS63" s="521"/>
      <c r="CT63" s="547"/>
      <c r="CU63" s="548"/>
      <c r="CV63" s="521"/>
      <c r="CW63" s="522"/>
      <c r="CX63" s="521"/>
      <c r="CY63" s="523"/>
      <c r="CZ63" s="548"/>
      <c r="DA63" s="521"/>
      <c r="DB63" s="522"/>
      <c r="DC63" s="521"/>
      <c r="DD63" s="523"/>
      <c r="DE63" s="548"/>
      <c r="DF63" s="521"/>
      <c r="DG63" s="522"/>
      <c r="DH63" s="521"/>
      <c r="DI63" s="523"/>
      <c r="DJ63" s="548"/>
      <c r="DK63" s="521"/>
      <c r="DL63" s="522"/>
      <c r="DM63" s="521"/>
      <c r="DN63" s="523"/>
    </row>
    <row r="64" spans="1:118" ht="18" customHeight="1">
      <c r="A64" s="67">
        <v>33</v>
      </c>
      <c r="B64" s="67">
        <v>12</v>
      </c>
      <c r="C64" s="535" t="s">
        <v>238</v>
      </c>
      <c r="D64" s="536" t="s">
        <v>89</v>
      </c>
      <c r="E64" s="554"/>
      <c r="F64" s="537">
        <v>1569</v>
      </c>
      <c r="G64" s="309">
        <f>F64/$F$2</f>
        <v>2.4177368503776847E-3</v>
      </c>
      <c r="H64" s="537"/>
      <c r="I64" s="537"/>
      <c r="J64" s="538"/>
      <c r="K64" s="136">
        <f>J64/F64</f>
        <v>0</v>
      </c>
      <c r="L64" s="222"/>
      <c r="M64" s="539"/>
      <c r="N64" s="331">
        <f ca="1">($F$1-M64)/30.33/12</f>
        <v>118.52126607319487</v>
      </c>
      <c r="O64" s="32"/>
      <c r="P64" s="540">
        <v>42125</v>
      </c>
      <c r="Q64" s="32"/>
      <c r="R64" s="359">
        <f ca="1">(W64-$F$1)/30.33</f>
        <v>2.7695351137487636</v>
      </c>
      <c r="S64" s="32"/>
      <c r="T64" s="541" t="s">
        <v>116</v>
      </c>
      <c r="U64" s="506">
        <v>36</v>
      </c>
      <c r="V64" s="32"/>
      <c r="W64" s="542">
        <f>IF(OR(T64="",T64="N"),P64,EDATE(P64,U64))</f>
        <v>43221</v>
      </c>
      <c r="X64" s="32"/>
      <c r="Y64" s="543"/>
      <c r="Z64" s="32"/>
      <c r="AA64" s="628"/>
      <c r="AB64" s="629"/>
      <c r="AC64" s="630"/>
      <c r="AD64" s="32"/>
      <c r="AE64" s="544"/>
      <c r="AF64" s="544"/>
      <c r="AG64" s="544"/>
      <c r="AH64" s="544"/>
      <c r="AI64" s="544"/>
      <c r="AJ64" s="544"/>
      <c r="AK64" s="544"/>
      <c r="AL64" s="544"/>
      <c r="AM64" s="544"/>
      <c r="AN64" s="545"/>
      <c r="AO64" s="546"/>
      <c r="AP64" s="545"/>
      <c r="AQ64" s="459"/>
      <c r="AR64" s="521"/>
      <c r="AS64" s="521"/>
      <c r="AT64" s="522"/>
      <c r="AU64" s="521"/>
      <c r="AV64" s="521"/>
      <c r="AW64" s="521"/>
      <c r="AX64" s="521"/>
      <c r="AY64" s="522"/>
      <c r="AZ64" s="521"/>
      <c r="BA64" s="521"/>
      <c r="BB64" s="521"/>
      <c r="BC64" s="521"/>
      <c r="BD64" s="522"/>
      <c r="BE64" s="521"/>
      <c r="BF64" s="521"/>
      <c r="BG64" s="521"/>
      <c r="BH64" s="521"/>
      <c r="BI64" s="522"/>
      <c r="BJ64" s="521"/>
      <c r="BK64" s="521"/>
      <c r="BL64" s="521"/>
      <c r="BM64" s="521"/>
      <c r="BN64" s="522"/>
      <c r="BO64" s="521"/>
      <c r="BP64" s="521"/>
      <c r="BQ64" s="521"/>
      <c r="BR64" s="521"/>
      <c r="BS64" s="522"/>
      <c r="BT64" s="521"/>
      <c r="BU64" s="521"/>
      <c r="BV64" s="521"/>
      <c r="BW64" s="521"/>
      <c r="BX64" s="522"/>
      <c r="BY64" s="521"/>
      <c r="BZ64" s="521"/>
      <c r="CA64" s="521"/>
      <c r="CB64" s="521"/>
      <c r="CC64" s="522"/>
      <c r="CD64" s="521"/>
      <c r="CE64" s="521"/>
      <c r="CF64" s="521"/>
      <c r="CG64" s="521"/>
      <c r="CH64" s="522"/>
      <c r="CI64" s="521"/>
      <c r="CJ64" s="521"/>
      <c r="CK64" s="521"/>
      <c r="CL64" s="521"/>
      <c r="CM64" s="522"/>
      <c r="CN64" s="521"/>
      <c r="CO64" s="521"/>
      <c r="CP64" s="521"/>
      <c r="CQ64" s="521"/>
      <c r="CR64" s="522"/>
      <c r="CS64" s="521"/>
      <c r="CT64" s="547"/>
      <c r="CU64" s="548"/>
      <c r="CV64" s="521"/>
      <c r="CW64" s="522"/>
      <c r="CX64" s="521"/>
      <c r="CY64" s="523"/>
      <c r="CZ64" s="548"/>
      <c r="DA64" s="521"/>
      <c r="DB64" s="522"/>
      <c r="DC64" s="521"/>
      <c r="DD64" s="523"/>
      <c r="DE64" s="548"/>
      <c r="DF64" s="521"/>
      <c r="DG64" s="522"/>
      <c r="DH64" s="521"/>
      <c r="DI64" s="523"/>
      <c r="DJ64" s="548"/>
      <c r="DK64" s="521"/>
      <c r="DL64" s="522"/>
      <c r="DM64" s="521"/>
      <c r="DN64" s="523"/>
    </row>
    <row r="65" spans="1:118" ht="18" customHeight="1">
      <c r="A65" s="67">
        <v>34</v>
      </c>
      <c r="B65" s="67">
        <v>13</v>
      </c>
      <c r="C65" s="535" t="s">
        <v>241</v>
      </c>
      <c r="D65" s="536" t="s">
        <v>30</v>
      </c>
      <c r="E65" s="554"/>
      <c r="F65" s="537">
        <v>1531</v>
      </c>
      <c r="G65" s="309">
        <f>F65/$F$2</f>
        <v>2.359181082172234E-3</v>
      </c>
      <c r="H65" s="537"/>
      <c r="I65" s="537"/>
      <c r="J65" s="538"/>
      <c r="K65" s="136">
        <f>J65/F65</f>
        <v>0</v>
      </c>
      <c r="L65" s="222"/>
      <c r="M65" s="539"/>
      <c r="N65" s="331">
        <f ca="1">($F$1-M65)/30.33/12</f>
        <v>118.52126607319487</v>
      </c>
      <c r="O65" s="32"/>
      <c r="P65" s="540">
        <v>42400</v>
      </c>
      <c r="Q65" s="32"/>
      <c r="R65" s="359">
        <f ca="1">(W65-$F$1)/30.33</f>
        <v>-0.19782393669634027</v>
      </c>
      <c r="S65" s="32"/>
      <c r="T65" s="541" t="s">
        <v>116</v>
      </c>
      <c r="U65" s="506">
        <v>24</v>
      </c>
      <c r="V65" s="32"/>
      <c r="W65" s="542">
        <f>IF(OR(T65="",T65="N"),P65,EDATE(P65,U65))</f>
        <v>43131</v>
      </c>
      <c r="X65" s="32"/>
      <c r="Y65" s="543"/>
      <c r="Z65" s="32"/>
      <c r="AA65" s="628"/>
      <c r="AB65" s="629"/>
      <c r="AC65" s="630"/>
      <c r="AD65" s="32"/>
      <c r="AE65" s="544"/>
      <c r="AF65" s="544"/>
      <c r="AG65" s="544"/>
      <c r="AH65" s="544"/>
      <c r="AI65" s="544"/>
      <c r="AJ65" s="544"/>
      <c r="AK65" s="544"/>
      <c r="AL65" s="544"/>
      <c r="AM65" s="544"/>
      <c r="AN65" s="545"/>
      <c r="AO65" s="546"/>
      <c r="AP65" s="545"/>
      <c r="AQ65" s="459"/>
      <c r="AR65" s="521"/>
      <c r="AS65" s="521"/>
      <c r="AT65" s="522"/>
      <c r="AU65" s="521"/>
      <c r="AV65" s="521"/>
      <c r="AW65" s="521"/>
      <c r="AX65" s="521"/>
      <c r="AY65" s="522"/>
      <c r="AZ65" s="521"/>
      <c r="BA65" s="521"/>
      <c r="BB65" s="521"/>
      <c r="BC65" s="521"/>
      <c r="BD65" s="522"/>
      <c r="BE65" s="521"/>
      <c r="BF65" s="521"/>
      <c r="BG65" s="521"/>
      <c r="BH65" s="521"/>
      <c r="BI65" s="522"/>
      <c r="BJ65" s="521"/>
      <c r="BK65" s="521"/>
      <c r="BL65" s="521"/>
      <c r="BM65" s="521"/>
      <c r="BN65" s="522"/>
      <c r="BO65" s="521"/>
      <c r="BP65" s="521"/>
      <c r="BQ65" s="521"/>
      <c r="BR65" s="521"/>
      <c r="BS65" s="522"/>
      <c r="BT65" s="521"/>
      <c r="BU65" s="521"/>
      <c r="BV65" s="521"/>
      <c r="BW65" s="521"/>
      <c r="BX65" s="522"/>
      <c r="BY65" s="521"/>
      <c r="BZ65" s="521"/>
      <c r="CA65" s="521"/>
      <c r="CB65" s="521"/>
      <c r="CC65" s="522"/>
      <c r="CD65" s="521"/>
      <c r="CE65" s="521"/>
      <c r="CF65" s="521"/>
      <c r="CG65" s="521"/>
      <c r="CH65" s="522"/>
      <c r="CI65" s="521"/>
      <c r="CJ65" s="521"/>
      <c r="CK65" s="521"/>
      <c r="CL65" s="521"/>
      <c r="CM65" s="522"/>
      <c r="CN65" s="521"/>
      <c r="CO65" s="521"/>
      <c r="CP65" s="521"/>
      <c r="CQ65" s="521"/>
      <c r="CR65" s="522"/>
      <c r="CS65" s="521"/>
      <c r="CT65" s="547"/>
      <c r="CU65" s="548"/>
      <c r="CV65" s="521"/>
      <c r="CW65" s="522"/>
      <c r="CX65" s="521"/>
      <c r="CY65" s="523"/>
      <c r="CZ65" s="548"/>
      <c r="DA65" s="521"/>
      <c r="DB65" s="522"/>
      <c r="DC65" s="521"/>
      <c r="DD65" s="523"/>
      <c r="DE65" s="548"/>
      <c r="DF65" s="521"/>
      <c r="DG65" s="522"/>
      <c r="DH65" s="521"/>
      <c r="DI65" s="523"/>
      <c r="DJ65" s="548"/>
      <c r="DK65" s="521"/>
      <c r="DL65" s="522"/>
      <c r="DM65" s="521"/>
      <c r="DN65" s="523"/>
    </row>
    <row r="66" spans="1:118" s="29" customFormat="1" ht="18" customHeight="1" thickBot="1">
      <c r="A66" s="67">
        <v>35</v>
      </c>
      <c r="B66" s="67">
        <v>14</v>
      </c>
      <c r="C66" s="2" t="s">
        <v>237</v>
      </c>
      <c r="D66" s="20" t="s">
        <v>89</v>
      </c>
      <c r="E66" s="550"/>
      <c r="F66" s="314">
        <v>1492</v>
      </c>
      <c r="G66" s="315">
        <f>F66/$F$2</f>
        <v>2.2990843726982189E-3</v>
      </c>
      <c r="H66" s="314"/>
      <c r="I66" s="314"/>
      <c r="J66" s="316"/>
      <c r="K66" s="137">
        <f>J66/F66</f>
        <v>0</v>
      </c>
      <c r="L66" s="357"/>
      <c r="M66" s="323"/>
      <c r="N66" s="332">
        <f ca="1">($F$1-M66)/30.33/12</f>
        <v>118.52126607319487</v>
      </c>
      <c r="P66" s="12">
        <v>42582</v>
      </c>
      <c r="R66" s="360">
        <f ca="1">(W66-$F$1)/30.33</f>
        <v>5.7698648203099241</v>
      </c>
      <c r="T66" s="13" t="s">
        <v>116</v>
      </c>
      <c r="U66" s="134">
        <v>24</v>
      </c>
      <c r="W66" s="370">
        <f>IF(OR(T66="",T66="N"),P66,EDATE(P66,U66))</f>
        <v>43312</v>
      </c>
      <c r="Y66" s="13"/>
      <c r="AA66" s="631"/>
      <c r="AB66" s="632"/>
      <c r="AC66" s="633"/>
      <c r="AE66" s="13"/>
      <c r="AF66" s="13"/>
      <c r="AG66" s="13"/>
      <c r="AH66" s="13"/>
      <c r="AI66" s="13"/>
      <c r="AJ66" s="13"/>
      <c r="AK66" s="13"/>
      <c r="AL66" s="13"/>
      <c r="AM66" s="13"/>
      <c r="AN66" s="300"/>
      <c r="AO66" s="304"/>
      <c r="AP66" s="300"/>
      <c r="AQ66" s="457"/>
      <c r="AR66" s="420"/>
      <c r="AS66" s="421"/>
      <c r="AT66" s="422"/>
      <c r="AU66" s="421"/>
      <c r="AV66" s="423"/>
      <c r="AW66" s="420"/>
      <c r="AX66" s="421"/>
      <c r="AY66" s="422"/>
      <c r="AZ66" s="421"/>
      <c r="BA66" s="423"/>
      <c r="BB66" s="420"/>
      <c r="BC66" s="421"/>
      <c r="BD66" s="422"/>
      <c r="BE66" s="421"/>
      <c r="BF66" s="423"/>
      <c r="BG66" s="420"/>
      <c r="BH66" s="421"/>
      <c r="BI66" s="422"/>
      <c r="BJ66" s="421"/>
      <c r="BK66" s="423"/>
      <c r="BL66" s="420"/>
      <c r="BM66" s="421"/>
      <c r="BN66" s="422"/>
      <c r="BO66" s="421"/>
      <c r="BP66" s="423"/>
      <c r="BQ66" s="420"/>
      <c r="BR66" s="421"/>
      <c r="BS66" s="422"/>
      <c r="BT66" s="421"/>
      <c r="BU66" s="423"/>
      <c r="BV66" s="420"/>
      <c r="BW66" s="421"/>
      <c r="BX66" s="422"/>
      <c r="BY66" s="421"/>
      <c r="BZ66" s="423"/>
      <c r="CA66" s="420"/>
      <c r="CB66" s="421"/>
      <c r="CC66" s="422"/>
      <c r="CD66" s="421"/>
      <c r="CE66" s="423"/>
      <c r="CF66" s="420"/>
      <c r="CG66" s="421"/>
      <c r="CH66" s="422"/>
      <c r="CI66" s="421"/>
      <c r="CJ66" s="423"/>
      <c r="CK66" s="420"/>
      <c r="CL66" s="421"/>
      <c r="CM66" s="422"/>
      <c r="CN66" s="421"/>
      <c r="CO66" s="423"/>
      <c r="CP66" s="420"/>
      <c r="CQ66" s="421"/>
      <c r="CR66" s="422"/>
      <c r="CS66" s="421"/>
      <c r="CT66" s="423"/>
      <c r="CU66" s="420"/>
      <c r="CV66" s="421"/>
      <c r="CW66" s="422"/>
      <c r="CX66" s="421"/>
      <c r="CY66" s="423"/>
      <c r="CZ66" s="420"/>
      <c r="DA66" s="421"/>
      <c r="DB66" s="422"/>
      <c r="DC66" s="421"/>
      <c r="DD66" s="423"/>
      <c r="DE66" s="420"/>
      <c r="DF66" s="421"/>
      <c r="DG66" s="422"/>
      <c r="DH66" s="421"/>
      <c r="DI66" s="423"/>
      <c r="DJ66" s="420"/>
      <c r="DK66" s="421"/>
      <c r="DL66" s="422"/>
      <c r="DM66" s="421"/>
      <c r="DN66" s="423"/>
    </row>
    <row r="67" spans="1:118" s="176" customFormat="1" ht="4.5" customHeight="1" outlineLevel="1">
      <c r="A67" s="216"/>
      <c r="B67" s="216"/>
      <c r="C67" s="217"/>
      <c r="D67" s="218"/>
      <c r="E67" s="218"/>
      <c r="F67" s="219"/>
      <c r="G67" s="220"/>
      <c r="H67" s="219"/>
      <c r="I67" s="219"/>
      <c r="J67" s="221"/>
      <c r="K67" s="175"/>
      <c r="L67" s="24"/>
      <c r="M67" s="179"/>
      <c r="N67" s="179"/>
      <c r="O67" s="179"/>
      <c r="P67" s="175"/>
      <c r="Q67" s="175"/>
      <c r="R67" s="175"/>
      <c r="S67" s="175"/>
      <c r="T67" s="175"/>
      <c r="U67" s="175"/>
      <c r="V67" s="175"/>
      <c r="W67" s="175"/>
      <c r="X67" s="23"/>
      <c r="Y67" s="23"/>
      <c r="Z67" s="24"/>
      <c r="AA67" s="23"/>
      <c r="AB67" s="23"/>
      <c r="AC67" s="23"/>
      <c r="AD67" s="24"/>
      <c r="AE67" s="24"/>
      <c r="AF67" s="24"/>
      <c r="AG67" s="24"/>
      <c r="AH67" s="24"/>
      <c r="AI67" s="24"/>
      <c r="AJ67" s="24"/>
      <c r="AK67" s="24"/>
      <c r="AL67" s="24"/>
      <c r="AM67" s="24"/>
      <c r="AN67" s="24"/>
      <c r="AO67" s="24"/>
      <c r="AP67" s="24"/>
      <c r="AQ67" s="24"/>
      <c r="AR67" s="32"/>
      <c r="AS67" s="32"/>
      <c r="AT67" s="32"/>
      <c r="AU67" s="32"/>
      <c r="AV67" s="32"/>
      <c r="AW67" s="32"/>
      <c r="AX67" s="32"/>
      <c r="AY67" s="32"/>
      <c r="AZ67" s="3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2"/>
      <c r="BU67" s="32"/>
      <c r="BV67" s="32"/>
      <c r="BW67" s="32"/>
      <c r="BX67" s="32"/>
      <c r="BY67" s="32"/>
      <c r="BZ67" s="32"/>
      <c r="CA67" s="32"/>
      <c r="CB67" s="32"/>
      <c r="CC67" s="32"/>
      <c r="CD67" s="32"/>
      <c r="CE67" s="32"/>
      <c r="CF67" s="32"/>
      <c r="CG67" s="32"/>
      <c r="CH67" s="32"/>
      <c r="CI67" s="32"/>
      <c r="CJ67" s="32"/>
      <c r="CK67" s="32"/>
      <c r="CL67" s="32"/>
      <c r="CM67" s="32"/>
      <c r="CN67" s="32"/>
      <c r="CO67" s="32"/>
      <c r="CP67" s="32"/>
      <c r="CQ67" s="32"/>
      <c r="CR67" s="32"/>
      <c r="CS67" s="32"/>
      <c r="CT67" s="32"/>
      <c r="CU67" s="32"/>
      <c r="CV67" s="32"/>
      <c r="CW67" s="32"/>
      <c r="CX67" s="32"/>
      <c r="CY67" s="32"/>
      <c r="CZ67" s="32"/>
      <c r="DA67" s="32"/>
      <c r="DB67" s="32"/>
      <c r="DC67" s="32"/>
      <c r="DD67" s="32"/>
      <c r="DE67" s="32"/>
      <c r="DF67" s="32"/>
      <c r="DG67" s="32"/>
      <c r="DH67" s="32"/>
      <c r="DI67" s="32"/>
      <c r="DJ67" s="32"/>
      <c r="DK67" s="32"/>
      <c r="DL67" s="32"/>
      <c r="DM67" s="32"/>
      <c r="DN67" s="32"/>
    </row>
    <row r="68" spans="1:118" outlineLevel="1">
      <c r="C68" s="649" t="s">
        <v>92</v>
      </c>
      <c r="D68" s="650"/>
      <c r="E68" s="650"/>
      <c r="F68" s="139">
        <f>SUMIF($E$62:$E$66,"",$F$62:$F$66)+$F$55</f>
        <v>425834.4</v>
      </c>
      <c r="G68" s="140">
        <f>$F$47/$F$2</f>
        <v>3.3191874924879115E-3</v>
      </c>
      <c r="H68" s="30"/>
      <c r="I68" s="651" t="s">
        <v>98</v>
      </c>
      <c r="J68" s="652"/>
      <c r="K68" s="653"/>
      <c r="L68" s="27"/>
      <c r="M68" s="144">
        <f>SUMIF($D$62:$D$66,"DCN",$F$62:$F$66)</f>
        <v>1531</v>
      </c>
      <c r="N68" s="145">
        <f>$M$68/$F$2</f>
        <v>2.359181082172234E-3</v>
      </c>
      <c r="O68" s="180"/>
      <c r="P68" s="32"/>
      <c r="Q68" s="182"/>
      <c r="R68" s="30"/>
      <c r="S68" s="60"/>
      <c r="T68" s="60"/>
      <c r="U68" s="60"/>
      <c r="V68" s="60"/>
      <c r="W68" s="60"/>
      <c r="X68" s="31"/>
      <c r="Y68" s="31"/>
      <c r="AA68" s="31"/>
      <c r="AB68" s="31"/>
      <c r="AC68" s="31"/>
      <c r="AE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184"/>
      <c r="AR68" s="32"/>
      <c r="AS68" s="32"/>
      <c r="AT68" s="32"/>
      <c r="AU68" s="32"/>
      <c r="AV68" s="32"/>
      <c r="AW68" s="32"/>
      <c r="AX68" s="32"/>
      <c r="AY68" s="32"/>
      <c r="AZ68" s="32"/>
      <c r="BA68" s="32"/>
      <c r="BB68" s="32"/>
      <c r="BC68" s="32"/>
      <c r="BD68" s="32"/>
      <c r="BE68" s="32"/>
      <c r="BF68" s="32"/>
      <c r="BG68" s="32"/>
      <c r="BH68" s="32"/>
      <c r="BI68" s="32"/>
      <c r="BJ68" s="32"/>
      <c r="BK68" s="32"/>
      <c r="BL68" s="32"/>
      <c r="BM68" s="32"/>
      <c r="BN68" s="32"/>
      <c r="BO68" s="32"/>
      <c r="BP68" s="32"/>
      <c r="BQ68" s="32"/>
      <c r="BR68" s="32"/>
      <c r="BS68" s="32"/>
      <c r="BT68" s="32"/>
      <c r="BU68" s="32"/>
      <c r="BV68" s="32"/>
      <c r="BW68" s="32"/>
      <c r="BX68" s="32"/>
      <c r="BY68" s="32"/>
      <c r="BZ68" s="32"/>
      <c r="CA68" s="32"/>
      <c r="CB68" s="32"/>
      <c r="CC68" s="32"/>
      <c r="CD68" s="32"/>
      <c r="CE68" s="32"/>
      <c r="CF68" s="32"/>
      <c r="CG68" s="32"/>
      <c r="CH68" s="32"/>
      <c r="CI68" s="32"/>
      <c r="CJ68" s="32"/>
      <c r="CK68" s="32"/>
      <c r="CL68" s="32"/>
      <c r="CM68" s="32"/>
      <c r="CN68" s="32"/>
      <c r="CO68" s="32"/>
      <c r="CP68" s="32"/>
      <c r="CQ68" s="32"/>
      <c r="CR68" s="32"/>
      <c r="CS68" s="32"/>
      <c r="CT68" s="32"/>
      <c r="CU68" s="32"/>
      <c r="CV68" s="32"/>
      <c r="CW68" s="32"/>
      <c r="CX68" s="32"/>
      <c r="CY68" s="32"/>
      <c r="CZ68" s="32"/>
      <c r="DA68" s="32"/>
      <c r="DB68" s="32"/>
      <c r="DC68" s="32"/>
      <c r="DD68" s="32"/>
      <c r="DE68" s="32"/>
      <c r="DF68" s="32"/>
      <c r="DG68" s="32"/>
      <c r="DH68" s="32"/>
      <c r="DI68" s="32"/>
      <c r="DJ68" s="32"/>
      <c r="DK68" s="32"/>
      <c r="DL68" s="32"/>
      <c r="DM68" s="32"/>
      <c r="DN68" s="32"/>
    </row>
    <row r="69" spans="1:118" outlineLevel="1">
      <c r="E69" s="31"/>
      <c r="H69" s="30"/>
      <c r="I69" s="640" t="s">
        <v>99</v>
      </c>
      <c r="J69" s="641"/>
      <c r="K69" s="642"/>
      <c r="L69" s="27"/>
      <c r="M69" s="146">
        <f>SUMIF($D$62:$D$66,"AO",$F$62:$F$66)</f>
        <v>1738</v>
      </c>
      <c r="N69" s="147">
        <f>$M$69/$F$2</f>
        <v>2.6781559247650833E-3</v>
      </c>
      <c r="O69" s="180"/>
      <c r="P69" s="32"/>
      <c r="Q69" s="182"/>
      <c r="R69" s="30"/>
      <c r="S69" s="60"/>
      <c r="T69" s="60"/>
      <c r="U69" s="60"/>
      <c r="V69" s="60"/>
      <c r="W69" s="60"/>
      <c r="X69" s="31"/>
      <c r="Y69" s="31"/>
      <c r="AA69" s="31"/>
      <c r="AB69" s="31"/>
      <c r="AC69" s="31"/>
      <c r="AE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184"/>
      <c r="AR69" s="32"/>
      <c r="AS69" s="32"/>
      <c r="AT69" s="32"/>
      <c r="AU69" s="32"/>
      <c r="AV69" s="32"/>
      <c r="AW69" s="32"/>
      <c r="AX69" s="32"/>
      <c r="AY69" s="32"/>
      <c r="AZ69" s="3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2"/>
      <c r="BU69" s="32"/>
      <c r="BV69" s="32"/>
      <c r="BW69" s="32"/>
      <c r="BX69" s="32"/>
      <c r="BY69" s="32"/>
      <c r="BZ69" s="32"/>
      <c r="CA69" s="32"/>
      <c r="CB69" s="32"/>
      <c r="CC69" s="32"/>
      <c r="CD69" s="32"/>
      <c r="CE69" s="32"/>
      <c r="CF69" s="32"/>
      <c r="CG69" s="32"/>
      <c r="CH69" s="32"/>
      <c r="CI69" s="32"/>
      <c r="CJ69" s="32"/>
      <c r="CK69" s="32"/>
      <c r="CL69" s="32"/>
      <c r="CM69" s="32"/>
      <c r="CN69" s="32"/>
      <c r="CO69" s="32"/>
      <c r="CP69" s="32"/>
      <c r="CQ69" s="32"/>
      <c r="CR69" s="32"/>
      <c r="CS69" s="32"/>
      <c r="CT69" s="32"/>
      <c r="CU69" s="32"/>
      <c r="CV69" s="32"/>
      <c r="CW69" s="32"/>
      <c r="CX69" s="32"/>
      <c r="CY69" s="32"/>
      <c r="CZ69" s="32"/>
      <c r="DA69" s="32"/>
      <c r="DB69" s="32"/>
      <c r="DC69" s="32"/>
      <c r="DD69" s="32"/>
      <c r="DE69" s="32"/>
      <c r="DF69" s="32"/>
      <c r="DG69" s="32"/>
      <c r="DH69" s="32"/>
      <c r="DI69" s="32"/>
      <c r="DJ69" s="32"/>
      <c r="DK69" s="32"/>
      <c r="DL69" s="32"/>
      <c r="DM69" s="32"/>
      <c r="DN69" s="32"/>
    </row>
    <row r="70" spans="1:118" outlineLevel="1">
      <c r="E70" s="31"/>
      <c r="G70" s="31"/>
      <c r="H70" s="174"/>
      <c r="I70" s="643" t="s">
        <v>100</v>
      </c>
      <c r="J70" s="644"/>
      <c r="K70" s="645"/>
      <c r="L70" s="27"/>
      <c r="M70" s="148">
        <f>SUMIF($D$62:$D$66,"DI",$F$62:$F$66)</f>
        <v>4802</v>
      </c>
      <c r="N70" s="149">
        <f>$M$70/$F$2</f>
        <v>7.3995999716466804E-3</v>
      </c>
      <c r="O70" s="180"/>
      <c r="P70" s="32"/>
      <c r="Q70" s="182"/>
      <c r="R70" s="174"/>
      <c r="T70" s="123"/>
      <c r="U70" s="123"/>
      <c r="W70" s="123"/>
      <c r="X70" s="31"/>
      <c r="Y70" s="31"/>
      <c r="AA70" s="31"/>
      <c r="AB70" s="31"/>
      <c r="AC70" s="31"/>
      <c r="AE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184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  <c r="CK70" s="32"/>
      <c r="CL70" s="32"/>
      <c r="CM70" s="32"/>
      <c r="CN70" s="32"/>
      <c r="CO70" s="32"/>
      <c r="CP70" s="32"/>
      <c r="CQ70" s="32"/>
      <c r="CR70" s="32"/>
      <c r="CS70" s="32"/>
      <c r="CT70" s="32"/>
      <c r="CU70" s="32"/>
      <c r="CV70" s="32"/>
      <c r="CW70" s="32"/>
      <c r="CX70" s="32"/>
      <c r="CY70" s="32"/>
      <c r="CZ70" s="32"/>
      <c r="DA70" s="32"/>
      <c r="DB70" s="32"/>
      <c r="DC70" s="32"/>
      <c r="DD70" s="32"/>
      <c r="DE70" s="32"/>
      <c r="DF70" s="32"/>
      <c r="DG70" s="32"/>
      <c r="DH70" s="32"/>
      <c r="DI70" s="32"/>
      <c r="DJ70" s="32"/>
      <c r="DK70" s="32"/>
      <c r="DL70" s="32"/>
      <c r="DM70" s="32"/>
      <c r="DN70" s="32"/>
    </row>
    <row r="71" spans="1:118" outlineLevel="1">
      <c r="E71" s="31"/>
      <c r="G71" s="31"/>
      <c r="I71" s="646" t="s">
        <v>101</v>
      </c>
      <c r="J71" s="647"/>
      <c r="K71" s="648"/>
      <c r="L71" s="27"/>
      <c r="M71" s="337">
        <f>SUMIF($D$62:$D$66,"REG",$F$62:$F$66)</f>
        <v>0</v>
      </c>
      <c r="N71" s="338">
        <f>$M$71/$F$2</f>
        <v>0</v>
      </c>
      <c r="O71" s="180"/>
      <c r="P71" s="32"/>
      <c r="Q71" s="182"/>
      <c r="R71" s="32"/>
      <c r="T71" s="123"/>
      <c r="U71" s="123"/>
      <c r="W71" s="123"/>
      <c r="X71" s="31"/>
      <c r="Y71" s="31"/>
      <c r="AA71" s="31"/>
      <c r="AB71" s="31"/>
      <c r="AC71" s="31"/>
      <c r="AE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184"/>
    </row>
    <row r="72" spans="1:118" s="27" customFormat="1" ht="4.5" customHeight="1">
      <c r="A72" s="361"/>
      <c r="B72" s="361"/>
      <c r="C72" s="217"/>
      <c r="D72" s="218"/>
      <c r="E72" s="218"/>
      <c r="F72" s="219"/>
      <c r="G72" s="220"/>
      <c r="H72" s="219"/>
      <c r="I72" s="219"/>
      <c r="J72" s="221"/>
      <c r="K72" s="175"/>
      <c r="L72" s="175"/>
      <c r="M72" s="179"/>
      <c r="N72" s="175"/>
      <c r="O72" s="24"/>
      <c r="P72" s="23"/>
      <c r="Q72" s="24"/>
      <c r="R72" s="179"/>
      <c r="S72" s="24"/>
      <c r="T72" s="23"/>
      <c r="U72" s="23"/>
      <c r="V72" s="24"/>
      <c r="W72" s="24"/>
      <c r="X72" s="24"/>
      <c r="Y72" s="24"/>
      <c r="Z72" s="24"/>
      <c r="AA72" s="24"/>
      <c r="AB72" s="24"/>
      <c r="AC72" s="24"/>
      <c r="AD72" s="24"/>
      <c r="AE72" s="24"/>
      <c r="AF72" s="24"/>
      <c r="AG72" s="24"/>
      <c r="AH72" s="24"/>
      <c r="AI72" s="24"/>
      <c r="AJ72" s="24"/>
      <c r="AK72" s="24"/>
      <c r="AL72" s="24"/>
      <c r="AM72" s="175"/>
      <c r="AN72" s="28"/>
      <c r="AO72" s="362"/>
      <c r="AP72" s="28"/>
      <c r="AQ72" s="28"/>
      <c r="AR72" s="285"/>
      <c r="AS72" s="285"/>
      <c r="AT72" s="285"/>
      <c r="AU72" s="285"/>
      <c r="AV72" s="285"/>
      <c r="AW72" s="285"/>
      <c r="AX72" s="285"/>
      <c r="AY72" s="285"/>
      <c r="AZ72" s="285"/>
      <c r="BA72" s="285"/>
      <c r="BB72" s="285"/>
      <c r="BC72" s="285"/>
      <c r="BD72" s="285"/>
      <c r="BE72" s="285"/>
      <c r="BF72" s="285"/>
      <c r="BG72" s="285"/>
      <c r="BH72" s="285"/>
      <c r="BI72" s="285"/>
      <c r="BJ72" s="285"/>
      <c r="BK72" s="285"/>
      <c r="BL72" s="285"/>
      <c r="BM72" s="285"/>
      <c r="BN72" s="285"/>
      <c r="BO72" s="285"/>
      <c r="BP72" s="285"/>
      <c r="BQ72" s="285"/>
      <c r="BR72" s="285"/>
      <c r="BS72" s="285"/>
      <c r="BT72" s="285"/>
      <c r="BU72" s="285"/>
      <c r="BV72" s="285"/>
      <c r="BW72" s="285"/>
      <c r="BX72" s="285"/>
      <c r="BY72" s="285"/>
      <c r="BZ72" s="285"/>
      <c r="CA72" s="285"/>
      <c r="CB72" s="285"/>
      <c r="CC72" s="285"/>
      <c r="CD72" s="285"/>
      <c r="CE72" s="285"/>
      <c r="CF72" s="285"/>
      <c r="CG72" s="285"/>
      <c r="CH72" s="285"/>
      <c r="CI72" s="285"/>
      <c r="CJ72" s="285"/>
      <c r="CK72" s="285"/>
      <c r="CL72" s="285"/>
      <c r="CM72" s="285"/>
      <c r="CN72" s="285"/>
      <c r="CO72" s="285"/>
      <c r="CP72" s="285"/>
      <c r="CQ72" s="285"/>
      <c r="CR72" s="285"/>
      <c r="CS72" s="285"/>
      <c r="CT72" s="285"/>
      <c r="CU72" s="285"/>
      <c r="CV72" s="285"/>
      <c r="CW72" s="285"/>
      <c r="CX72" s="285"/>
      <c r="CY72" s="285"/>
      <c r="CZ72" s="285"/>
      <c r="DA72" s="285"/>
      <c r="DB72" s="285"/>
      <c r="DC72" s="285"/>
      <c r="DD72" s="285"/>
      <c r="DE72" s="285"/>
      <c r="DF72" s="285"/>
      <c r="DG72" s="285"/>
      <c r="DH72" s="285"/>
      <c r="DI72" s="285"/>
      <c r="DJ72" s="285"/>
      <c r="DK72" s="285"/>
      <c r="DL72" s="285"/>
      <c r="DM72" s="285"/>
      <c r="DN72" s="285"/>
    </row>
    <row r="73" spans="1:118" s="123" customFormat="1">
      <c r="A73" s="361"/>
      <c r="B73" s="361"/>
      <c r="D73" s="177"/>
      <c r="R73" s="177"/>
      <c r="T73" s="213"/>
      <c r="AN73" s="363"/>
      <c r="AO73" s="177"/>
      <c r="AP73" s="363"/>
      <c r="AQ73" s="363"/>
      <c r="AR73" s="285"/>
      <c r="AS73" s="285"/>
      <c r="AT73" s="285"/>
      <c r="AU73" s="285"/>
      <c r="AV73" s="285"/>
      <c r="AW73" s="285"/>
      <c r="AX73" s="285"/>
      <c r="AY73" s="285"/>
      <c r="AZ73" s="285"/>
      <c r="BA73" s="285"/>
      <c r="BB73" s="285"/>
      <c r="BC73" s="285"/>
      <c r="BD73" s="285"/>
      <c r="BE73" s="285"/>
      <c r="BF73" s="285"/>
      <c r="BG73" s="285"/>
      <c r="BH73" s="285"/>
      <c r="BI73" s="285"/>
      <c r="BJ73" s="285"/>
      <c r="BK73" s="285"/>
      <c r="BL73" s="285"/>
      <c r="BM73" s="285"/>
      <c r="BN73" s="285"/>
      <c r="BO73" s="285"/>
      <c r="BP73" s="285"/>
      <c r="BQ73" s="285"/>
      <c r="BR73" s="285"/>
      <c r="BS73" s="285"/>
      <c r="BT73" s="285"/>
      <c r="BU73" s="285"/>
      <c r="BV73" s="285"/>
      <c r="BW73" s="285"/>
      <c r="BX73" s="285"/>
      <c r="BY73" s="285"/>
      <c r="BZ73" s="285"/>
      <c r="CA73" s="285"/>
      <c r="CB73" s="285"/>
      <c r="CC73" s="285"/>
      <c r="CD73" s="285"/>
      <c r="CE73" s="285"/>
      <c r="CF73" s="285"/>
      <c r="CG73" s="285"/>
      <c r="CH73" s="285"/>
      <c r="CI73" s="285"/>
      <c r="CJ73" s="285"/>
      <c r="CK73" s="285"/>
      <c r="CL73" s="285"/>
      <c r="CM73" s="285"/>
      <c r="CN73" s="285"/>
      <c r="CO73" s="285"/>
      <c r="CP73" s="285"/>
      <c r="CQ73" s="285"/>
      <c r="CR73" s="285"/>
      <c r="CS73" s="285"/>
      <c r="CT73" s="285"/>
      <c r="CU73" s="285"/>
      <c r="CV73" s="285"/>
      <c r="CW73" s="285"/>
      <c r="CX73" s="285"/>
      <c r="CY73" s="285"/>
      <c r="CZ73" s="285"/>
      <c r="DA73" s="285"/>
      <c r="DB73" s="285"/>
      <c r="DC73" s="285"/>
      <c r="DD73" s="285"/>
      <c r="DE73" s="285"/>
      <c r="DF73" s="285"/>
      <c r="DG73" s="285"/>
      <c r="DH73" s="285"/>
      <c r="DI73" s="285"/>
      <c r="DJ73" s="285"/>
      <c r="DK73" s="285"/>
      <c r="DL73" s="285"/>
      <c r="DM73" s="285"/>
      <c r="DN73" s="285"/>
    </row>
    <row r="74" spans="1:118" s="123" customFormat="1">
      <c r="A74" s="361"/>
      <c r="B74" s="361"/>
      <c r="D74" s="177"/>
      <c r="R74" s="177"/>
      <c r="T74" s="213"/>
      <c r="AN74" s="363"/>
      <c r="AO74" s="177"/>
      <c r="AP74" s="363"/>
      <c r="AQ74" s="363"/>
      <c r="AR74" s="285"/>
      <c r="AS74" s="285"/>
      <c r="AT74" s="285"/>
      <c r="AU74" s="285"/>
      <c r="AV74" s="285"/>
      <c r="AW74" s="285"/>
      <c r="AX74" s="285"/>
      <c r="AY74" s="285"/>
      <c r="AZ74" s="285"/>
      <c r="BA74" s="285"/>
      <c r="BB74" s="285"/>
      <c r="BC74" s="285"/>
      <c r="BD74" s="285"/>
      <c r="BE74" s="285"/>
      <c r="BF74" s="285"/>
      <c r="BG74" s="285"/>
      <c r="BH74" s="285"/>
      <c r="BI74" s="285"/>
      <c r="BJ74" s="285"/>
      <c r="BK74" s="285"/>
      <c r="BL74" s="285"/>
      <c r="BM74" s="285"/>
      <c r="BN74" s="285"/>
      <c r="BO74" s="285"/>
      <c r="BP74" s="285"/>
      <c r="BQ74" s="285"/>
      <c r="BR74" s="285"/>
      <c r="BS74" s="285"/>
      <c r="BT74" s="285"/>
      <c r="BU74" s="285"/>
      <c r="BV74" s="285"/>
      <c r="BW74" s="285"/>
      <c r="BX74" s="285"/>
      <c r="BY74" s="285"/>
      <c r="BZ74" s="285"/>
      <c r="CA74" s="285"/>
      <c r="CB74" s="285"/>
      <c r="CC74" s="285"/>
      <c r="CD74" s="285"/>
      <c r="CE74" s="285"/>
      <c r="CF74" s="285"/>
      <c r="CG74" s="285"/>
      <c r="CH74" s="285"/>
      <c r="CI74" s="285"/>
      <c r="CJ74" s="285"/>
      <c r="CK74" s="285"/>
      <c r="CL74" s="285"/>
      <c r="CM74" s="285"/>
      <c r="CN74" s="285"/>
      <c r="CO74" s="285"/>
      <c r="CP74" s="285"/>
      <c r="CQ74" s="285"/>
      <c r="CR74" s="285"/>
      <c r="CS74" s="285"/>
      <c r="CT74" s="285"/>
      <c r="CU74" s="285"/>
      <c r="CV74" s="285"/>
      <c r="CW74" s="285"/>
      <c r="CX74" s="285"/>
      <c r="CY74" s="285"/>
      <c r="CZ74" s="285"/>
      <c r="DA74" s="285"/>
      <c r="DB74" s="285"/>
      <c r="DC74" s="285"/>
      <c r="DD74" s="285"/>
      <c r="DE74" s="285"/>
      <c r="DF74" s="285"/>
      <c r="DG74" s="285"/>
      <c r="DH74" s="285"/>
      <c r="DI74" s="285"/>
      <c r="DJ74" s="285"/>
      <c r="DK74" s="285"/>
      <c r="DL74" s="285"/>
      <c r="DM74" s="285"/>
      <c r="DN74" s="285"/>
    </row>
    <row r="75" spans="1:118" s="174" customFormat="1">
      <c r="A75" s="216"/>
      <c r="B75" s="216"/>
      <c r="D75" s="198"/>
      <c r="L75" s="123"/>
      <c r="O75" s="123"/>
      <c r="P75" s="123"/>
      <c r="Q75" s="123"/>
      <c r="R75" s="198"/>
      <c r="S75" s="123"/>
      <c r="T75" s="213"/>
      <c r="V75" s="123"/>
      <c r="X75" s="123"/>
      <c r="Z75" s="123"/>
      <c r="AD75" s="123"/>
      <c r="AE75" s="123"/>
      <c r="AF75" s="123"/>
      <c r="AG75" s="123"/>
      <c r="AH75" s="123"/>
      <c r="AI75" s="123"/>
      <c r="AJ75" s="123"/>
      <c r="AK75" s="123"/>
      <c r="AL75" s="123"/>
      <c r="AM75" s="123"/>
      <c r="AN75" s="364"/>
      <c r="AO75" s="198"/>
      <c r="AP75" s="364"/>
      <c r="AQ75" s="363"/>
      <c r="AR75" s="285"/>
      <c r="AS75" s="285"/>
      <c r="AT75" s="285"/>
      <c r="AU75" s="285"/>
      <c r="AV75" s="285"/>
      <c r="AW75" s="285"/>
      <c r="AX75" s="285"/>
      <c r="AY75" s="285"/>
      <c r="AZ75" s="285"/>
      <c r="BA75" s="285"/>
      <c r="BB75" s="285"/>
      <c r="BC75" s="285"/>
      <c r="BD75" s="285"/>
      <c r="BE75" s="285"/>
      <c r="BF75" s="285"/>
      <c r="BG75" s="285"/>
      <c r="BH75" s="285"/>
      <c r="BI75" s="285"/>
      <c r="BJ75" s="285"/>
      <c r="BK75" s="285"/>
      <c r="BL75" s="285"/>
      <c r="BM75" s="285"/>
      <c r="BN75" s="285"/>
      <c r="BO75" s="285"/>
      <c r="BP75" s="285"/>
      <c r="BQ75" s="285"/>
      <c r="BR75" s="285"/>
      <c r="BS75" s="285"/>
      <c r="BT75" s="285"/>
      <c r="BU75" s="285"/>
      <c r="BV75" s="285"/>
      <c r="BW75" s="285"/>
      <c r="BX75" s="285"/>
      <c r="BY75" s="285"/>
      <c r="BZ75" s="285"/>
      <c r="CA75" s="285"/>
      <c r="CB75" s="285"/>
      <c r="CC75" s="285"/>
      <c r="CD75" s="285"/>
      <c r="CE75" s="285"/>
      <c r="CF75" s="285"/>
      <c r="CG75" s="285"/>
      <c r="CH75" s="285"/>
      <c r="CI75" s="285"/>
      <c r="CJ75" s="285"/>
      <c r="CK75" s="285"/>
      <c r="CL75" s="285"/>
      <c r="CM75" s="285"/>
      <c r="CN75" s="285"/>
      <c r="CO75" s="285"/>
      <c r="CP75" s="285"/>
      <c r="CQ75" s="285"/>
      <c r="CR75" s="285"/>
      <c r="CS75" s="285"/>
      <c r="CT75" s="285"/>
      <c r="CU75" s="285"/>
      <c r="CV75" s="285"/>
      <c r="CW75" s="285"/>
      <c r="CX75" s="285"/>
      <c r="CY75" s="285"/>
      <c r="CZ75" s="285"/>
      <c r="DA75" s="285"/>
      <c r="DB75" s="285"/>
      <c r="DC75" s="285"/>
      <c r="DD75" s="285"/>
      <c r="DE75" s="285"/>
      <c r="DF75" s="285"/>
      <c r="DG75" s="285"/>
      <c r="DH75" s="285"/>
      <c r="DI75" s="285"/>
      <c r="DJ75" s="285"/>
      <c r="DK75" s="285"/>
      <c r="DL75" s="285"/>
      <c r="DM75" s="285"/>
      <c r="DN75" s="285"/>
    </row>
    <row r="76" spans="1:118" s="174" customFormat="1">
      <c r="A76" s="216"/>
      <c r="B76" s="216"/>
      <c r="D76" s="198"/>
      <c r="L76" s="123"/>
      <c r="O76" s="123"/>
      <c r="P76" s="123"/>
      <c r="Q76" s="123"/>
      <c r="R76" s="198"/>
      <c r="S76" s="123"/>
      <c r="T76" s="213"/>
      <c r="V76" s="123"/>
      <c r="X76" s="123"/>
      <c r="Z76" s="123"/>
      <c r="AD76" s="123"/>
      <c r="AE76" s="123"/>
      <c r="AF76" s="123"/>
      <c r="AG76" s="123"/>
      <c r="AH76" s="123"/>
      <c r="AI76" s="123"/>
      <c r="AJ76" s="123"/>
      <c r="AK76" s="123"/>
      <c r="AL76" s="123"/>
      <c r="AM76" s="123"/>
      <c r="AN76" s="364"/>
      <c r="AO76" s="198"/>
      <c r="AP76" s="364"/>
      <c r="AQ76" s="363"/>
      <c r="AR76" s="285"/>
      <c r="AS76" s="285"/>
      <c r="AT76" s="285"/>
      <c r="AU76" s="285"/>
      <c r="AV76" s="285"/>
      <c r="AW76" s="285"/>
      <c r="AX76" s="285"/>
      <c r="AY76" s="285"/>
      <c r="AZ76" s="285"/>
      <c r="BA76" s="285"/>
      <c r="BB76" s="285"/>
      <c r="BC76" s="285"/>
      <c r="BD76" s="285"/>
      <c r="BE76" s="285"/>
      <c r="BF76" s="285"/>
      <c r="BG76" s="285"/>
      <c r="BH76" s="285"/>
      <c r="BI76" s="285"/>
      <c r="BJ76" s="285"/>
      <c r="BK76" s="285"/>
      <c r="BL76" s="285"/>
      <c r="BM76" s="285"/>
      <c r="BN76" s="285"/>
      <c r="BO76" s="285"/>
      <c r="BP76" s="285"/>
      <c r="BQ76" s="285"/>
      <c r="BR76" s="285"/>
      <c r="BS76" s="285"/>
      <c r="BT76" s="285"/>
      <c r="BU76" s="285"/>
      <c r="BV76" s="285"/>
      <c r="BW76" s="285"/>
      <c r="BX76" s="285"/>
      <c r="BY76" s="285"/>
      <c r="BZ76" s="285"/>
      <c r="CA76" s="285"/>
      <c r="CB76" s="285"/>
      <c r="CC76" s="285"/>
      <c r="CD76" s="285"/>
      <c r="CE76" s="285"/>
      <c r="CF76" s="285"/>
      <c r="CG76" s="285"/>
      <c r="CH76" s="285"/>
      <c r="CI76" s="285"/>
      <c r="CJ76" s="285"/>
      <c r="CK76" s="285"/>
      <c r="CL76" s="285"/>
      <c r="CM76" s="285"/>
      <c r="CN76" s="285"/>
      <c r="CO76" s="285"/>
      <c r="CP76" s="285"/>
      <c r="CQ76" s="285"/>
      <c r="CR76" s="285"/>
      <c r="CS76" s="285"/>
      <c r="CT76" s="285"/>
      <c r="CU76" s="285"/>
      <c r="CV76" s="285"/>
      <c r="CW76" s="285"/>
      <c r="CX76" s="285"/>
      <c r="CY76" s="285"/>
      <c r="CZ76" s="285"/>
      <c r="DA76" s="285"/>
      <c r="DB76" s="285"/>
      <c r="DC76" s="285"/>
      <c r="DD76" s="285"/>
      <c r="DE76" s="285"/>
      <c r="DF76" s="285"/>
      <c r="DG76" s="285"/>
      <c r="DH76" s="285"/>
      <c r="DI76" s="285"/>
      <c r="DJ76" s="285"/>
      <c r="DK76" s="285"/>
      <c r="DL76" s="285"/>
      <c r="DM76" s="285"/>
      <c r="DN76" s="285"/>
    </row>
    <row r="77" spans="1:118" s="174" customFormat="1">
      <c r="A77" s="216"/>
      <c r="B77" s="216"/>
      <c r="D77" s="198"/>
      <c r="L77" s="123"/>
      <c r="O77" s="123"/>
      <c r="P77" s="123"/>
      <c r="Q77" s="123"/>
      <c r="R77" s="198"/>
      <c r="S77" s="123"/>
      <c r="T77" s="213"/>
      <c r="V77" s="123"/>
      <c r="X77" s="123"/>
      <c r="Z77" s="123"/>
      <c r="AD77" s="123"/>
      <c r="AE77" s="123"/>
      <c r="AF77" s="123"/>
      <c r="AG77" s="123"/>
      <c r="AH77" s="123"/>
      <c r="AI77" s="123"/>
      <c r="AJ77" s="123"/>
      <c r="AK77" s="123"/>
      <c r="AL77" s="123"/>
      <c r="AM77" s="123"/>
      <c r="AN77" s="364"/>
      <c r="AO77" s="198"/>
      <c r="AP77" s="364"/>
      <c r="AQ77" s="363"/>
      <c r="AR77" s="285"/>
      <c r="AS77" s="285"/>
      <c r="AT77" s="285"/>
      <c r="AU77" s="285"/>
      <c r="AV77" s="285"/>
      <c r="AW77" s="285"/>
      <c r="AX77" s="285"/>
      <c r="AY77" s="285"/>
      <c r="AZ77" s="285"/>
      <c r="BA77" s="285"/>
      <c r="BB77" s="285"/>
      <c r="BC77" s="285"/>
      <c r="BD77" s="285"/>
      <c r="BE77" s="285"/>
      <c r="BF77" s="285"/>
      <c r="BG77" s="285"/>
      <c r="BH77" s="285"/>
      <c r="BI77" s="285"/>
      <c r="BJ77" s="285"/>
      <c r="BK77" s="285"/>
      <c r="BL77" s="285"/>
      <c r="BM77" s="285"/>
      <c r="BN77" s="285"/>
      <c r="BO77" s="285"/>
      <c r="BP77" s="285"/>
      <c r="BQ77" s="285"/>
      <c r="BR77" s="285"/>
      <c r="BS77" s="285"/>
      <c r="BT77" s="285"/>
      <c r="BU77" s="285"/>
      <c r="BV77" s="285"/>
      <c r="BW77" s="285"/>
      <c r="BX77" s="285"/>
      <c r="BY77" s="285"/>
      <c r="BZ77" s="285"/>
      <c r="CA77" s="285"/>
      <c r="CB77" s="285"/>
      <c r="CC77" s="285"/>
      <c r="CD77" s="285"/>
      <c r="CE77" s="285"/>
      <c r="CF77" s="285"/>
      <c r="CG77" s="285"/>
      <c r="CH77" s="285"/>
      <c r="CI77" s="285"/>
      <c r="CJ77" s="285"/>
      <c r="CK77" s="285"/>
      <c r="CL77" s="285"/>
      <c r="CM77" s="285"/>
      <c r="CN77" s="285"/>
      <c r="CO77" s="285"/>
      <c r="CP77" s="285"/>
      <c r="CQ77" s="285"/>
      <c r="CR77" s="285"/>
      <c r="CS77" s="285"/>
      <c r="CT77" s="285"/>
      <c r="CU77" s="285"/>
      <c r="CV77" s="285"/>
      <c r="CW77" s="285"/>
      <c r="CX77" s="285"/>
      <c r="CY77" s="285"/>
      <c r="CZ77" s="285"/>
      <c r="DA77" s="285"/>
      <c r="DB77" s="285"/>
      <c r="DC77" s="285"/>
      <c r="DD77" s="285"/>
      <c r="DE77" s="285"/>
      <c r="DF77" s="285"/>
      <c r="DG77" s="285"/>
      <c r="DH77" s="285"/>
      <c r="DI77" s="285"/>
      <c r="DJ77" s="285"/>
      <c r="DK77" s="285"/>
      <c r="DL77" s="285"/>
      <c r="DM77" s="285"/>
      <c r="DN77" s="285"/>
    </row>
  </sheetData>
  <sheetProtection selectLockedCells="1"/>
  <mergeCells count="91">
    <mergeCell ref="AA25:AC25"/>
    <mergeCell ref="AA35:AC35"/>
    <mergeCell ref="AA18:AC18"/>
    <mergeCell ref="AA22:AC22"/>
    <mergeCell ref="AA21:AC21"/>
    <mergeCell ref="AA23:AC23"/>
    <mergeCell ref="AA24:AC24"/>
    <mergeCell ref="W2:AB2"/>
    <mergeCell ref="W3:AB3"/>
    <mergeCell ref="W4:AB4"/>
    <mergeCell ref="AA45:AC45"/>
    <mergeCell ref="AA47:AC47"/>
    <mergeCell ref="AA44:AC44"/>
    <mergeCell ref="AA40:AC40"/>
    <mergeCell ref="AA17:AC17"/>
    <mergeCell ref="AA15:AC15"/>
    <mergeCell ref="AA19:AC19"/>
    <mergeCell ref="AA20:AC20"/>
    <mergeCell ref="AA36:AC36"/>
    <mergeCell ref="AA46:AC46"/>
    <mergeCell ref="AA38:AC38"/>
    <mergeCell ref="AA39:AC39"/>
    <mergeCell ref="AA41:AC41"/>
    <mergeCell ref="F10:H10"/>
    <mergeCell ref="R3:S3"/>
    <mergeCell ref="R2:S2"/>
    <mergeCell ref="R6:S6"/>
    <mergeCell ref="M4:Q4"/>
    <mergeCell ref="M7:Q7"/>
    <mergeCell ref="I2:K2"/>
    <mergeCell ref="I3:K3"/>
    <mergeCell ref="I4:K4"/>
    <mergeCell ref="M3:Q3"/>
    <mergeCell ref="I10:K10"/>
    <mergeCell ref="M8:Q8"/>
    <mergeCell ref="M6:Q6"/>
    <mergeCell ref="M2:Q2"/>
    <mergeCell ref="R7:S7"/>
    <mergeCell ref="R8:S8"/>
    <mergeCell ref="C28:E28"/>
    <mergeCell ref="I28:K28"/>
    <mergeCell ref="I29:K29"/>
    <mergeCell ref="I30:K30"/>
    <mergeCell ref="I31:K31"/>
    <mergeCell ref="I69:K69"/>
    <mergeCell ref="I70:K70"/>
    <mergeCell ref="I71:K71"/>
    <mergeCell ref="C55:E55"/>
    <mergeCell ref="I56:K56"/>
    <mergeCell ref="I57:K57"/>
    <mergeCell ref="I55:K55"/>
    <mergeCell ref="I58:K58"/>
    <mergeCell ref="C68:E68"/>
    <mergeCell ref="I68:K68"/>
    <mergeCell ref="W7:AB7"/>
    <mergeCell ref="W8:AB8"/>
    <mergeCell ref="T11:U11"/>
    <mergeCell ref="AA11:AC11"/>
    <mergeCell ref="BQ11:BU11"/>
    <mergeCell ref="BV11:BZ11"/>
    <mergeCell ref="AA16:AC16"/>
    <mergeCell ref="AI10:AL10"/>
    <mergeCell ref="AM10:AP10"/>
    <mergeCell ref="AE10:AH10"/>
    <mergeCell ref="AR11:AV11"/>
    <mergeCell ref="AW11:BA11"/>
    <mergeCell ref="BB11:BF11"/>
    <mergeCell ref="BG11:BK11"/>
    <mergeCell ref="BL11:BP11"/>
    <mergeCell ref="DJ11:DN11"/>
    <mergeCell ref="CP11:CT11"/>
    <mergeCell ref="CK11:CO11"/>
    <mergeCell ref="CA11:CE11"/>
    <mergeCell ref="CF11:CJ11"/>
    <mergeCell ref="CU11:CY11"/>
    <mergeCell ref="CZ11:DD11"/>
    <mergeCell ref="DE11:DI11"/>
    <mergeCell ref="AA37:AC37"/>
    <mergeCell ref="AA63:AC63"/>
    <mergeCell ref="AA66:AC66"/>
    <mergeCell ref="AA52:AC52"/>
    <mergeCell ref="AA48:AC48"/>
    <mergeCell ref="AA49:AC49"/>
    <mergeCell ref="AA53:AC53"/>
    <mergeCell ref="AA62:AC62"/>
    <mergeCell ref="AA64:AC64"/>
    <mergeCell ref="AA65:AC65"/>
    <mergeCell ref="AA51:AC51"/>
    <mergeCell ref="AA50:AC50"/>
    <mergeCell ref="AA42:AC42"/>
    <mergeCell ref="AA43:AC43"/>
  </mergeCells>
  <conditionalFormatting sqref="K20:K24 K18">
    <cfRule type="iconSet" priority="57">
      <iconSet>
        <cfvo type="percent" val="0"/>
        <cfvo type="percent" val="9"/>
        <cfvo type="percent" val="20"/>
      </iconSet>
    </cfRule>
  </conditionalFormatting>
  <conditionalFormatting sqref="K19">
    <cfRule type="iconSet" priority="86">
      <iconSet>
        <cfvo type="percent" val="0"/>
        <cfvo type="percent" val="9"/>
        <cfvo type="percent" val="20"/>
      </iconSet>
    </cfRule>
  </conditionalFormatting>
  <conditionalFormatting sqref="K15">
    <cfRule type="iconSet" priority="41">
      <iconSet>
        <cfvo type="percent" val="0"/>
        <cfvo type="percent" val="9"/>
        <cfvo type="percent" val="20"/>
      </iconSet>
    </cfRule>
  </conditionalFormatting>
  <conditionalFormatting sqref="K15">
    <cfRule type="iconSet" priority="40">
      <iconSet>
        <cfvo type="percent" val="0"/>
        <cfvo type="percent" val="9"/>
        <cfvo type="percent" val="20"/>
      </iconSet>
    </cfRule>
  </conditionalFormatting>
  <conditionalFormatting sqref="K15">
    <cfRule type="iconSet" priority="39">
      <iconSet>
        <cfvo type="percent" val="0"/>
        <cfvo type="percent" val="9"/>
        <cfvo type="percent" val="20"/>
      </iconSet>
    </cfRule>
  </conditionalFormatting>
  <conditionalFormatting sqref="K16:K17">
    <cfRule type="iconSet" priority="38">
      <iconSet>
        <cfvo type="percent" val="0"/>
        <cfvo type="percent" val="9"/>
        <cfvo type="percent" val="20"/>
      </iconSet>
    </cfRule>
  </conditionalFormatting>
  <conditionalFormatting sqref="K21:K24 K18">
    <cfRule type="iconSet" priority="95">
      <iconSet>
        <cfvo type="percent" val="0"/>
        <cfvo type="percent" val="9"/>
        <cfvo type="percent" val="20"/>
      </iconSet>
    </cfRule>
  </conditionalFormatting>
  <conditionalFormatting sqref="K25">
    <cfRule type="iconSet" priority="37">
      <iconSet>
        <cfvo type="percent" val="0"/>
        <cfvo type="percent" val="9"/>
        <cfvo type="percent" val="20"/>
      </iconSet>
    </cfRule>
  </conditionalFormatting>
  <conditionalFormatting sqref="K35">
    <cfRule type="iconSet" priority="33">
      <iconSet>
        <cfvo type="percent" val="0"/>
        <cfvo type="percent" val="9"/>
        <cfvo type="percent" val="20"/>
      </iconSet>
    </cfRule>
  </conditionalFormatting>
  <conditionalFormatting sqref="K35">
    <cfRule type="iconSet" priority="32">
      <iconSet>
        <cfvo type="percent" val="0"/>
        <cfvo type="percent" val="9"/>
        <cfvo type="percent" val="20"/>
      </iconSet>
    </cfRule>
  </conditionalFormatting>
  <conditionalFormatting sqref="K35">
    <cfRule type="iconSet" priority="34">
      <iconSet>
        <cfvo type="percent" val="0"/>
        <cfvo type="percent" val="9"/>
        <cfvo type="percent" val="20"/>
      </iconSet>
    </cfRule>
  </conditionalFormatting>
  <conditionalFormatting sqref="K36:K37">
    <cfRule type="iconSet" priority="102">
      <iconSet>
        <cfvo type="percent" val="0"/>
        <cfvo type="percent" val="9"/>
        <cfvo type="percent" val="20"/>
      </iconSet>
    </cfRule>
  </conditionalFormatting>
  <conditionalFormatting sqref="K38:K43">
    <cfRule type="iconSet" priority="116">
      <iconSet>
        <cfvo type="percent" val="0"/>
        <cfvo type="percent" val="9"/>
        <cfvo type="percent" val="20"/>
      </iconSet>
    </cfRule>
  </conditionalFormatting>
  <conditionalFormatting sqref="K20:K24 K18 K36:K43">
    <cfRule type="iconSet" priority="122">
      <iconSet>
        <cfvo type="percent" val="0"/>
        <cfvo type="percent" val="9"/>
        <cfvo type="percent" val="20"/>
      </iconSet>
    </cfRule>
  </conditionalFormatting>
  <conditionalFormatting sqref="K66">
    <cfRule type="iconSet" priority="12">
      <iconSet>
        <cfvo type="percent" val="0"/>
        <cfvo type="percent" val="9"/>
        <cfvo type="percent" val="20"/>
      </iconSet>
    </cfRule>
  </conditionalFormatting>
  <conditionalFormatting sqref="K63:K65 K44:K52">
    <cfRule type="iconSet" priority="165">
      <iconSet>
        <cfvo type="percent" val="0"/>
        <cfvo type="percent" val="9"/>
        <cfvo type="percent" val="20"/>
      </iconSet>
    </cfRule>
  </conditionalFormatting>
  <conditionalFormatting sqref="K62">
    <cfRule type="iconSet" priority="2">
      <iconSet>
        <cfvo type="percent" val="0"/>
        <cfvo type="percent" val="9"/>
        <cfvo type="percent" val="20"/>
      </iconSet>
    </cfRule>
  </conditionalFormatting>
  <conditionalFormatting sqref="K53">
    <cfRule type="iconSet" priority="1">
      <iconSet>
        <cfvo type="percent" val="0"/>
        <cfvo type="percent" val="9"/>
        <cfvo type="percent" val="20"/>
      </iconSet>
    </cfRule>
  </conditionalFormatting>
  <dataValidations count="6">
    <dataValidation type="list" allowBlank="1" showInputMessage="1" showErrorMessage="1" sqref="AA15:AA17 AI15:AI25 AA35:AC35 AA18:AC25 AE15:AE25 AA36 AI35:AI36 AE35:AE36 AA45:AA50 AA38:AC44 AA51:AC51 AE62:AE66 AE38:AE53 AI62:AI66 AI38:AI53 AA62:AA66 AA52:AA53">
      <formula1>civilité</formula1>
    </dataValidation>
    <dataValidation type="list" allowBlank="1" showInputMessage="1" showErrorMessage="1" sqref="D15:D25 D35:D36 D62:D66 D38:D53">
      <formula1>Origine</formula1>
    </dataValidation>
    <dataValidation type="list" allowBlank="1" showInputMessage="1" showErrorMessage="1" sqref="T15:T25 T35:T36 T62:T66 T38:T53">
      <formula1>OuiNon</formula1>
    </dataValidation>
    <dataValidation type="list" allowBlank="1" showInputMessage="1" showErrorMessage="1" sqref="Y15:Y25 Y35:Y36 Y62:Y66 Y38:Y53">
      <formula1>Risque</formula1>
    </dataValidation>
    <dataValidation type="list" allowBlank="1" showInputMessage="1" showErrorMessage="1" sqref="E15:E25 E35:E36 E62:E66 E38:E53">
      <formula1>Statut</formula1>
    </dataValidation>
    <dataValidation type="list" allowBlank="1" showInputMessage="1" showErrorMessage="1" sqref="U15:U25 U35:U36 U62:U66 U38:U53">
      <formula1>Reconduction</formula1>
    </dataValidation>
  </dataValidations>
  <pageMargins left="0.19685039370078741" right="0.19685039370078741" top="0.55118110236220474" bottom="0.55118110236220474" header="0.11811023622047245" footer="0.11811023622047245"/>
  <pageSetup paperSize="8" scale="71" orientation="landscape" r:id="rId1"/>
  <ignoredErrors>
    <ignoredError sqref="R19 N15 N20 R15 R22:R25 N22:N2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Aide</vt:lpstr>
      <vt:lpstr>Renouvel_X mois</vt:lpstr>
      <vt:lpstr>011_BREST</vt:lpstr>
      <vt:lpstr>048_ANGERS</vt:lpstr>
      <vt:lpstr>Chauray</vt:lpstr>
      <vt:lpstr>civilité</vt:lpstr>
      <vt:lpstr>Origine</vt:lpstr>
      <vt:lpstr>Orléans_CdS</vt:lpstr>
      <vt:lpstr>OuiNon</vt:lpstr>
      <vt:lpstr>Reconduction</vt:lpstr>
      <vt:lpstr>Risque</vt:lpstr>
      <vt:lpstr>Statut</vt:lpstr>
      <vt:lpstr>'048_ANGERS'!Zone_d_impression</vt:lpstr>
    </vt:vector>
  </TitlesOfParts>
  <Company>DERICHEBOURG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MARIONNEAU Dominique</dc:creator>
  <cp:lastModifiedBy>Eve</cp:lastModifiedBy>
  <cp:lastPrinted>2017-03-22T09:17:30Z</cp:lastPrinted>
  <dcterms:created xsi:type="dcterms:W3CDTF">2016-02-12T08:19:28Z</dcterms:created>
  <dcterms:modified xsi:type="dcterms:W3CDTF">2018-02-06T18:56:55Z</dcterms:modified>
</cp:coreProperties>
</file>