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45" windowWidth="28275" windowHeight="11805" firstSheet="2" activeTab="2"/>
  </bookViews>
  <sheets>
    <sheet name="Accueil" sheetId="1" r:id="rId1"/>
    <sheet name="Synthèse" sheetId="4" r:id="rId2"/>
    <sheet name="Fiche dossier" sheetId="5" r:id="rId3"/>
    <sheet name="Dossiers" sheetId="6" r:id="rId4"/>
    <sheet name="Points d'analyse" sheetId="7" r:id="rId5"/>
    <sheet name="Paramètres" sheetId="8" r:id="rId6"/>
  </sheets>
  <externalReferences>
    <externalReference r:id="rId7"/>
  </externalReferences>
  <calcPr calcId="145621"/>
</workbook>
</file>

<file path=xl/calcChain.xml><?xml version="1.0" encoding="utf-8"?>
<calcChain xmlns="http://schemas.openxmlformats.org/spreadsheetml/2006/main">
  <c r="O2" i="5" l="1"/>
  <c r="X1" i="6" l="1"/>
  <c r="AW17" i="5" l="1"/>
  <c r="AL20" i="5"/>
  <c r="AL18" i="5"/>
  <c r="AL16" i="5"/>
  <c r="AU14" i="5"/>
  <c r="AX14" i="5"/>
  <c r="BA14" i="5"/>
  <c r="BD14" i="5"/>
  <c r="BG14" i="5"/>
  <c r="AR14" i="5"/>
  <c r="AO14" i="5"/>
  <c r="BF11" i="5"/>
  <c r="AH11" i="5"/>
  <c r="AA9" i="5"/>
  <c r="BG6" i="5"/>
  <c r="BG4" i="5"/>
  <c r="AS6" i="5"/>
  <c r="AS4" i="5"/>
  <c r="AG4" i="5"/>
  <c r="AG6" i="5"/>
  <c r="T22" i="5"/>
  <c r="T21" i="5"/>
  <c r="T20" i="5"/>
  <c r="T18" i="5"/>
  <c r="T19" i="5" s="1"/>
  <c r="T17" i="5"/>
  <c r="T16" i="5"/>
  <c r="V13" i="5"/>
  <c r="V12" i="5"/>
  <c r="V11" i="5"/>
  <c r="V10" i="5"/>
  <c r="AT11" i="5" s="1"/>
  <c r="V9" i="5"/>
  <c r="V8" i="5"/>
  <c r="V7" i="5"/>
</calcChain>
</file>

<file path=xl/sharedStrings.xml><?xml version="1.0" encoding="utf-8"?>
<sst xmlns="http://schemas.openxmlformats.org/spreadsheetml/2006/main" count="196" uniqueCount="136">
  <si>
    <t>Type</t>
  </si>
  <si>
    <t>Nom</t>
  </si>
  <si>
    <t>Auditeur</t>
  </si>
  <si>
    <t>Signature</t>
  </si>
  <si>
    <t>Lancement</t>
  </si>
  <si>
    <t>Activité</t>
  </si>
  <si>
    <t>Masse salariale</t>
  </si>
  <si>
    <t>Effectif</t>
  </si>
  <si>
    <t>Avancement</t>
  </si>
  <si>
    <t>Temps</t>
  </si>
  <si>
    <t>Dossier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</si>
  <si>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</si>
  <si>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</si>
  <si>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</si>
  <si>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</si>
  <si>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</si>
  <si>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</si>
  <si>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</si>
  <si>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</si>
  <si>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</si>
  <si>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</si>
  <si>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</si>
  <si>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</si>
  <si>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</si>
  <si>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</si>
  <si>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</si>
  <si>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</si>
  <si>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</si>
  <si>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</si>
  <si>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</si>
  <si>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</si>
  <si>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</si>
  <si>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</si>
  <si>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</si>
  <si>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</si>
  <si>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</si>
  <si>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</si>
  <si>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</si>
  <si>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</si>
  <si>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</si>
  <si>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</si>
  <si>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Poste</t>
  </si>
  <si>
    <t>Intitulé</t>
  </si>
  <si>
    <t>État</t>
  </si>
  <si>
    <t>Chiffrage</t>
  </si>
  <si>
    <t>Date de dernier enregistrement :</t>
  </si>
  <si>
    <t>Informations générales</t>
  </si>
  <si>
    <t>Date de signature</t>
  </si>
  <si>
    <t>Date de lancement</t>
  </si>
  <si>
    <t>Statut</t>
  </si>
  <si>
    <t>Commentaire</t>
  </si>
  <si>
    <t>Provenance</t>
  </si>
  <si>
    <t>Personne en charge du dossier</t>
  </si>
  <si>
    <t>% de rémunération</t>
  </si>
  <si>
    <t>Date dernier échange</t>
  </si>
  <si>
    <t>Émetteur</t>
  </si>
  <si>
    <t>Destinataire</t>
  </si>
  <si>
    <t>Par</t>
  </si>
  <si>
    <t>ANALYSE</t>
  </si>
  <si>
    <t>SIGNALÉTIQUE</t>
  </si>
  <si>
    <t>Points d'analyse</t>
  </si>
  <si>
    <t>Enjeux</t>
  </si>
  <si>
    <t>Observation</t>
  </si>
  <si>
    <t>RAF</t>
  </si>
  <si>
    <t>à voir</t>
  </si>
  <si>
    <t>en attente</t>
  </si>
  <si>
    <t>OK</t>
  </si>
  <si>
    <t>Optimisation</t>
  </si>
  <si>
    <t>Temps passé (Heures)</t>
  </si>
  <si>
    <t>Temps passé (Jours)</t>
  </si>
  <si>
    <t>Situation</t>
  </si>
  <si>
    <t>Zone d'activité</t>
  </si>
  <si>
    <t>Nombre d'entités</t>
  </si>
  <si>
    <t>Nombre d'établissements</t>
  </si>
  <si>
    <t>Risque</t>
  </si>
  <si>
    <t>Itinérants</t>
  </si>
  <si>
    <t>JACKPOT</t>
  </si>
  <si>
    <t>CHATPERLIPOPETE</t>
  </si>
  <si>
    <t>VH</t>
  </si>
  <si>
    <t>Transport</t>
  </si>
  <si>
    <t>3h15</t>
  </si>
  <si>
    <t>CHATALORS</t>
  </si>
  <si>
    <t>PECDD</t>
  </si>
  <si>
    <t>%Rem</t>
  </si>
  <si>
    <t>DDE</t>
  </si>
  <si>
    <t>Emetteur</t>
  </si>
  <si>
    <t>par</t>
  </si>
  <si>
    <t>En attente de pièce</t>
  </si>
  <si>
    <t>JMF</t>
  </si>
  <si>
    <t>Pistes intéressantes</t>
  </si>
  <si>
    <t>INTERLO</t>
  </si>
  <si>
    <t>Mail</t>
  </si>
  <si>
    <t>CHATCHÉTROP</t>
  </si>
  <si>
    <t>Banque</t>
  </si>
  <si>
    <t>5h30</t>
  </si>
  <si>
    <t>SDWORX</t>
  </si>
  <si>
    <t>Tel</t>
  </si>
  <si>
    <t>Industrielle</t>
  </si>
  <si>
    <t>2h</t>
  </si>
  <si>
    <t>AG</t>
  </si>
  <si>
    <t>En cours d'analyse</t>
  </si>
  <si>
    <t>Quelques pistes à confirmer</t>
  </si>
  <si>
    <t>Champs de recherche</t>
  </si>
  <si>
    <t>Nombre de points d'analyse</t>
  </si>
  <si>
    <t>Auditeurs</t>
  </si>
  <si>
    <t>Provenances</t>
  </si>
  <si>
    <t>France entière</t>
  </si>
  <si>
    <t>Limousin</t>
  </si>
  <si>
    <t>Nord</t>
  </si>
  <si>
    <t>ADE</t>
  </si>
  <si>
    <t>ODA</t>
  </si>
  <si>
    <t>AURUS</t>
  </si>
  <si>
    <t>CARAS</t>
  </si>
  <si>
    <t>PREVOS</t>
  </si>
  <si>
    <t>ARTAS</t>
  </si>
  <si>
    <t>PO</t>
  </si>
  <si>
    <t>AP</t>
  </si>
  <si>
    <t>Mecanisme</t>
  </si>
  <si>
    <t>possible de le refaire</t>
  </si>
  <si>
    <t>Processus</t>
  </si>
  <si>
    <t>Manque de com</t>
  </si>
  <si>
    <t>Locaux</t>
  </si>
  <si>
    <t>Délabrés</t>
  </si>
  <si>
    <t>Organigramme</t>
  </si>
  <si>
    <t>Trop hierarchique</t>
  </si>
  <si>
    <t>Managment</t>
  </si>
  <si>
    <t>effefezfze</t>
  </si>
  <si>
    <t>Communication</t>
  </si>
  <si>
    <t>Canaux</t>
  </si>
  <si>
    <t>Rôle des colab</t>
  </si>
  <si>
    <t>AR</t>
  </si>
  <si>
    <t>Risques</t>
  </si>
  <si>
    <t>CHATCHETROP</t>
  </si>
  <si>
    <t>CA</t>
  </si>
  <si>
    <t>Nb société</t>
  </si>
  <si>
    <t>Nb établissements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</si>
</sst>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3" formatCode="_-* #,##0.00\ _€_-;\-* #,##0.00\ _€_-;_-* &quot;-&quot;??\ _€_-;_-@_-"/>
    <numFmt numFmtId="164" formatCode="&quot;   &quot;0.00%"/>
    <numFmt numFmtId="165" formatCode="#,##0&quot; 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0000"/>
      <name val="Wingdings 3"/>
      <family val="1"/>
      <charset val="2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right" vertical="center"/>
    </xf>
    <xf numFmtId="0" fontId="0" fillId="15" borderId="5" xfId="0" applyFill="1" applyBorder="1" applyAlignment="1">
      <alignment horizontal="right" vertical="center"/>
    </xf>
    <xf numFmtId="0" fontId="0" fillId="15" borderId="0" xfId="0" applyFill="1" applyBorder="1" applyAlignment="1">
      <alignment horizontal="right" vertical="center"/>
    </xf>
    <xf numFmtId="0" fontId="0" fillId="15" borderId="6" xfId="0" applyFill="1" applyBorder="1" applyAlignment="1">
      <alignment horizontal="right" vertical="center"/>
    </xf>
    <xf numFmtId="0" fontId="0" fillId="13" borderId="2" xfId="0" applyFill="1" applyBorder="1" applyAlignment="1">
      <alignment horizontal="right" vertical="center"/>
    </xf>
    <xf numFmtId="0" fontId="0" fillId="13" borderId="3" xfId="0" applyFill="1" applyBorder="1" applyAlignment="1">
      <alignment horizontal="right" vertical="center"/>
    </xf>
    <xf numFmtId="0" fontId="0" fillId="13" borderId="4" xfId="0" applyFill="1" applyBorder="1" applyAlignment="1">
      <alignment horizontal="right" vertical="center"/>
    </xf>
    <xf numFmtId="0" fontId="0" fillId="13" borderId="5" xfId="0" applyFill="1" applyBorder="1" applyAlignment="1">
      <alignment horizontal="right" vertical="center"/>
    </xf>
    <xf numFmtId="0" fontId="0" fillId="13" borderId="0" xfId="0" applyFill="1" applyBorder="1" applyAlignment="1">
      <alignment horizontal="right" vertical="center"/>
    </xf>
    <xf numFmtId="0" fontId="0" fillId="13" borderId="6" xfId="0" applyFill="1" applyBorder="1" applyAlignment="1">
      <alignment horizontal="right" vertical="center"/>
    </xf>
    <xf numFmtId="0" fontId="0" fillId="13" borderId="7" xfId="0" applyFill="1" applyBorder="1" applyAlignment="1">
      <alignment horizontal="right" vertical="center"/>
    </xf>
    <xf numFmtId="0" fontId="0" fillId="13" borderId="8" xfId="0" applyFill="1" applyBorder="1" applyAlignment="1">
      <alignment horizontal="right" vertical="center"/>
    </xf>
    <xf numFmtId="0" fontId="0" fillId="13" borderId="9" xfId="0" applyFill="1" applyBorder="1" applyAlignment="1">
      <alignment horizontal="right" vertical="center"/>
    </xf>
    <xf numFmtId="0" fontId="0" fillId="13" borderId="0" xfId="0" applyFill="1" applyAlignment="1">
      <alignment horizontal="right" vertical="center"/>
    </xf>
    <xf numFmtId="6" fontId="0" fillId="0" borderId="0" xfId="0" applyNumberFormat="1"/>
    <xf numFmtId="14" fontId="0" fillId="0" borderId="0" xfId="0" applyNumberFormat="1"/>
    <xf numFmtId="9" fontId="0" fillId="0" borderId="0" xfId="0" applyNumberFormat="1"/>
    <xf numFmtId="0" fontId="0" fillId="2" borderId="2" xfId="0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0" fillId="2" borderId="8" xfId="0" applyFill="1" applyBorder="1" applyAlignment="1">
      <alignment horizontal="right" vertical="center"/>
    </xf>
    <xf numFmtId="0" fontId="0" fillId="2" borderId="9" xfId="0" applyFill="1" applyBorder="1" applyAlignment="1">
      <alignment horizontal="right" vertical="center"/>
    </xf>
    <xf numFmtId="0" fontId="0" fillId="0" borderId="11" xfId="0" applyBorder="1" applyAlignment="1">
      <alignment vertical="center"/>
    </xf>
    <xf numFmtId="14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right" vertical="center"/>
    </xf>
    <xf numFmtId="0" fontId="0" fillId="18" borderId="0" xfId="0" applyFill="1" applyAlignment="1">
      <alignment horizontal="right" vertical="center"/>
    </xf>
    <xf numFmtId="0" fontId="0" fillId="17" borderId="1" xfId="0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165" fontId="11" fillId="9" borderId="10" xfId="1" applyNumberFormat="1" applyFont="1" applyFill="1" applyBorder="1" applyAlignment="1">
      <alignment horizontal="center" vertical="center"/>
    </xf>
    <xf numFmtId="165" fontId="11" fillId="9" borderId="11" xfId="1" applyNumberFormat="1" applyFont="1" applyFill="1" applyBorder="1" applyAlignment="1">
      <alignment horizontal="center" vertical="center"/>
    </xf>
    <xf numFmtId="165" fontId="11" fillId="9" borderId="12" xfId="1" applyNumberFormat="1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2" borderId="11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5" fillId="16" borderId="11" xfId="0" applyFont="1" applyFill="1" applyBorder="1" applyAlignment="1">
      <alignment horizontal="center" vertical="center"/>
    </xf>
    <xf numFmtId="0" fontId="5" fillId="16" borderId="12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5" fontId="5" fillId="9" borderId="10" xfId="1" applyNumberFormat="1" applyFont="1" applyFill="1" applyBorder="1" applyAlignment="1">
      <alignment horizontal="center" vertical="center"/>
    </xf>
    <xf numFmtId="165" fontId="5" fillId="9" borderId="11" xfId="1" applyNumberFormat="1" applyFont="1" applyFill="1" applyBorder="1" applyAlignment="1">
      <alignment horizontal="center" vertical="center"/>
    </xf>
    <xf numFmtId="165" fontId="5" fillId="9" borderId="12" xfId="1" applyNumberFormat="1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horizontal="left" vertical="center"/>
    </xf>
    <xf numFmtId="164" fontId="3" fillId="3" borderId="11" xfId="0" applyNumberFormat="1" applyFont="1" applyFill="1" applyBorder="1" applyAlignment="1">
      <alignment horizontal="left" vertical="center"/>
    </xf>
    <xf numFmtId="164" fontId="3" fillId="3" borderId="12" xfId="0" applyNumberFormat="1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 wrapText="1"/>
    </xf>
    <xf numFmtId="0" fontId="10" fillId="12" borderId="11" xfId="0" applyFont="1" applyFill="1" applyBorder="1" applyAlignment="1">
      <alignment horizontal="center" vertical="center" wrapText="1"/>
    </xf>
    <xf numFmtId="0" fontId="10" fillId="12" borderId="12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11" borderId="10" xfId="0" applyFont="1" applyFill="1" applyBorder="1" applyAlignment="1">
      <alignment horizontal="center" vertical="center"/>
    </xf>
    <xf numFmtId="0" fontId="7" fillId="11" borderId="11" xfId="0" applyFont="1" applyFill="1" applyBorder="1" applyAlignment="1">
      <alignment horizontal="center" vertical="center"/>
    </xf>
    <xf numFmtId="0" fontId="7" fillId="11" borderId="12" xfId="0" applyFont="1" applyFill="1" applyBorder="1" applyAlignment="1">
      <alignment horizontal="center" vertical="center"/>
    </xf>
    <xf numFmtId="0" fontId="5" fillId="16" borderId="10" xfId="0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14" borderId="12" xfId="0" applyFont="1" applyFill="1" applyBorder="1" applyAlignment="1">
      <alignment horizontal="center" vertical="center"/>
    </xf>
    <xf numFmtId="165" fontId="5" fillId="16" borderId="10" xfId="1" applyNumberFormat="1" applyFont="1" applyFill="1" applyBorder="1" applyAlignment="1">
      <alignment horizontal="center" vertical="center"/>
    </xf>
    <xf numFmtId="165" fontId="5" fillId="16" borderId="11" xfId="1" applyNumberFormat="1" applyFont="1" applyFill="1" applyBorder="1" applyAlignment="1">
      <alignment horizontal="center" vertical="center"/>
    </xf>
    <xf numFmtId="165" fontId="5" fillId="16" borderId="12" xfId="1" applyNumberFormat="1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6" fillId="12" borderId="11" xfId="0" applyFont="1" applyFill="1" applyBorder="1" applyAlignment="1">
      <alignment horizontal="center" vertical="center"/>
    </xf>
    <xf numFmtId="0" fontId="6" fillId="12" borderId="12" xfId="0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14" fontId="0" fillId="9" borderId="24" xfId="0" applyNumberFormat="1" applyFill="1" applyBorder="1" applyAlignment="1">
      <alignment horizontal="center" vertical="center"/>
    </xf>
    <xf numFmtId="14" fontId="0" fillId="9" borderId="25" xfId="0" applyNumberFormat="1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9" fontId="0" fillId="6" borderId="22" xfId="2" applyFont="1" applyFill="1" applyBorder="1" applyAlignment="1">
      <alignment horizontal="center" vertical="center"/>
    </xf>
    <xf numFmtId="9" fontId="0" fillId="6" borderId="23" xfId="2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right" vertical="center"/>
    </xf>
    <xf numFmtId="0" fontId="2" fillId="6" borderId="14" xfId="0" applyFont="1" applyFill="1" applyBorder="1" applyAlignment="1">
      <alignment horizontal="right" vertical="center"/>
    </xf>
    <xf numFmtId="0" fontId="2" fillId="8" borderId="18" xfId="0" applyFont="1" applyFill="1" applyBorder="1" applyAlignment="1">
      <alignment horizontal="right" vertical="center"/>
    </xf>
    <xf numFmtId="0" fontId="2" fillId="8" borderId="17" xfId="0" applyFont="1" applyFill="1" applyBorder="1" applyAlignment="1">
      <alignment horizontal="right" vertical="center"/>
    </xf>
    <xf numFmtId="0" fontId="2" fillId="6" borderId="18" xfId="0" applyFont="1" applyFill="1" applyBorder="1" applyAlignment="1">
      <alignment horizontal="right" vertical="center"/>
    </xf>
    <xf numFmtId="0" fontId="2" fillId="6" borderId="17" xfId="0" applyFont="1" applyFill="1" applyBorder="1" applyAlignment="1">
      <alignment horizontal="right" vertical="center"/>
    </xf>
    <xf numFmtId="0" fontId="0" fillId="8" borderId="17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14" fontId="0" fillId="6" borderId="17" xfId="0" applyNumberFormat="1" applyFill="1" applyBorder="1" applyAlignment="1">
      <alignment horizontal="center" vertical="center"/>
    </xf>
    <xf numFmtId="14" fontId="0" fillId="6" borderId="16" xfId="0" applyNumberFormat="1" applyFill="1" applyBorder="1" applyAlignment="1">
      <alignment horizontal="center" vertical="center"/>
    </xf>
    <xf numFmtId="14" fontId="0" fillId="8" borderId="17" xfId="0" applyNumberFormat="1" applyFill="1" applyBorder="1" applyAlignment="1">
      <alignment horizontal="center" vertical="center"/>
    </xf>
    <xf numFmtId="14" fontId="0" fillId="8" borderId="16" xfId="0" applyNumberForma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3" borderId="10" xfId="0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/>
    </xf>
    <xf numFmtId="0" fontId="2" fillId="9" borderId="18" xfId="0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0" fontId="2" fillId="13" borderId="18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2" fillId="6" borderId="7" xfId="0" applyFont="1" applyFill="1" applyBorder="1" applyAlignment="1">
      <alignment horizontal="right" vertical="center"/>
    </xf>
    <xf numFmtId="0" fontId="2" fillId="6" borderId="8" xfId="0" applyFont="1" applyFill="1" applyBorder="1" applyAlignment="1">
      <alignment horizontal="right" vertical="center"/>
    </xf>
    <xf numFmtId="0" fontId="0" fillId="6" borderId="14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200025</xdr:colOff>
      <xdr:row>3</xdr:row>
      <xdr:rowOff>257176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195" b="26654"/>
        <a:stretch/>
      </xdr:blipFill>
      <xdr:spPr>
        <a:xfrm>
          <a:off x="0" y="0"/>
          <a:ext cx="3343275" cy="11144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16</xdr:row>
          <xdr:rowOff>57150</xdr:rowOff>
        </xdr:from>
        <xdr:to>
          <xdr:col>10</xdr:col>
          <xdr:colOff>180975</xdr:colOff>
          <xdr:row>17</xdr:row>
          <xdr:rowOff>57150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17</xdr:row>
          <xdr:rowOff>219075</xdr:rowOff>
        </xdr:from>
        <xdr:to>
          <xdr:col>10</xdr:col>
          <xdr:colOff>171450</xdr:colOff>
          <xdr:row>24</xdr:row>
          <xdr:rowOff>152400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13</xdr:row>
          <xdr:rowOff>28575</xdr:rowOff>
        </xdr:from>
        <xdr:to>
          <xdr:col>11</xdr:col>
          <xdr:colOff>66675</xdr:colOff>
          <xdr:row>13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2860" rIns="45720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Wingdings 3"/>
                </a:rPr>
                <a:t>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13</xdr:row>
          <xdr:rowOff>28575</xdr:rowOff>
        </xdr:from>
        <xdr:to>
          <xdr:col>1</xdr:col>
          <xdr:colOff>238125</xdr:colOff>
          <xdr:row>13</xdr:row>
          <xdr:rowOff>257175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2860" rIns="45720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Wingdings 3"/>
                </a:rPr>
                <a:t>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47625</xdr:colOff>
          <xdr:row>13</xdr:row>
          <xdr:rowOff>38100</xdr:rowOff>
        </xdr:from>
        <xdr:to>
          <xdr:col>38</xdr:col>
          <xdr:colOff>66675</xdr:colOff>
          <xdr:row>13</xdr:row>
          <xdr:rowOff>266700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2860" rIns="45720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Wingdings 3"/>
                </a:rPr>
                <a:t>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219075</xdr:colOff>
          <xdr:row>13</xdr:row>
          <xdr:rowOff>47625</xdr:rowOff>
        </xdr:from>
        <xdr:to>
          <xdr:col>27</xdr:col>
          <xdr:colOff>238125</xdr:colOff>
          <xdr:row>13</xdr:row>
          <xdr:rowOff>276225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2860" rIns="45720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Wingdings 3"/>
                </a:rPr>
                <a:t>t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195263</xdr:colOff>
      <xdr:row>8</xdr:row>
      <xdr:rowOff>52386</xdr:rowOff>
    </xdr:from>
    <xdr:to>
      <xdr:col>17</xdr:col>
      <xdr:colOff>80963</xdr:colOff>
      <xdr:row>12</xdr:row>
      <xdr:rowOff>119061</xdr:rowOff>
    </xdr:to>
    <xdr:sp macro="" textlink="">
      <xdr:nvSpPr>
        <xdr:cNvPr id="6" name="Flèche vers le bas 5"/>
        <xdr:cNvSpPr/>
      </xdr:nvSpPr>
      <xdr:spPr>
        <a:xfrm rot="3328250">
          <a:off x="3819525" y="1571624"/>
          <a:ext cx="1209675" cy="2743200"/>
        </a:xfrm>
        <a:prstGeom prst="downArrow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247650</xdr:colOff>
      <xdr:row>8</xdr:row>
      <xdr:rowOff>95250</xdr:rowOff>
    </xdr:from>
    <xdr:to>
      <xdr:col>39</xdr:col>
      <xdr:colOff>219075</xdr:colOff>
      <xdr:row>20</xdr:row>
      <xdr:rowOff>19050</xdr:rowOff>
    </xdr:to>
    <xdr:sp macro="" textlink="">
      <xdr:nvSpPr>
        <xdr:cNvPr id="7" name="Rectangle 6"/>
        <xdr:cNvSpPr/>
      </xdr:nvSpPr>
      <xdr:spPr>
        <a:xfrm>
          <a:off x="5962650" y="2381250"/>
          <a:ext cx="6257925" cy="33528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Rebonjour,</a:t>
          </a:r>
          <a:r>
            <a:rPr lang="fr-FR" sz="1100" baseline="0"/>
            <a:t> et merci d'avoir télécharger mon fichier car j'imagine que c'est pour m'aider !</a:t>
          </a:r>
        </a:p>
        <a:p>
          <a:pPr algn="l"/>
          <a:endParaRPr lang="fr-FR" sz="1100" baseline="0"/>
        </a:p>
        <a:p>
          <a:pPr algn="l"/>
          <a:r>
            <a:rPr lang="fr-FR" sz="1100" baseline="0">
              <a:sym typeface="Webdings"/>
            </a:rPr>
            <a:t> </a:t>
          </a:r>
          <a:r>
            <a:rPr lang="fr-FR" sz="1100" baseline="0"/>
            <a:t>Alors, j'aimerai que quand on clique sur le bouton, le nom du prochain dossier de la liste se renseigne en C14.</a:t>
          </a:r>
        </a:p>
        <a:p>
          <a:pPr algn="l"/>
          <a:endParaRPr lang="fr-FR" sz="1100" baseline="0"/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ebdings"/>
            </a:rPr>
            <a:t> </a:t>
          </a:r>
          <a:r>
            <a:rPr lang="fr-FR" sz="1100" baseline="0"/>
            <a:t>Cette manipulation, n'est pas difficile, j'ai déjà réussi à la faire sur d'autres fichier, le problème viens des critères renseignés plus haut (C6, C9, C12).</a:t>
          </a:r>
        </a:p>
        <a:p>
          <a:pPr algn="l"/>
          <a:endParaRPr lang="fr-FR" sz="1100" baseline="0"/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ebdings"/>
            </a:rPr>
            <a:t> </a:t>
          </a:r>
          <a:r>
            <a:rPr lang="fr-FR" sz="1100" baseline="0"/>
            <a:t>Ces critères doivent conditionner la recherche et ne pas la bloquer s'il ne sont pas renseignés.</a:t>
          </a:r>
        </a:p>
        <a:p>
          <a:pPr algn="l"/>
          <a:endParaRPr lang="fr-FR" sz="1100" baseline="0"/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ebdings"/>
            </a:rPr>
            <a:t> </a:t>
          </a:r>
          <a:r>
            <a:rPr lang="fr-FR" sz="1100" baseline="0"/>
            <a:t>La recherche s'effectue dans la feuille "Dossiers"</a:t>
          </a:r>
        </a:p>
        <a:p>
          <a:pPr algn="l"/>
          <a:endParaRPr lang="fr-FR" sz="1100" baseline="0"/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ebdings"/>
            </a:rPr>
            <a:t> </a:t>
          </a:r>
          <a:r>
            <a:rPr lang="fr-FR" sz="1100" baseline="0"/>
            <a:t>Si la recherche atteint la dernière ligne alors, elle repart à partir de la ligne 2</a:t>
          </a:r>
        </a:p>
        <a:p>
          <a:pPr algn="l"/>
          <a:endParaRPr lang="fr-FR" sz="1100" baseline="0"/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ebdings"/>
            </a:rPr>
            <a:t> </a:t>
          </a:r>
          <a:r>
            <a:rPr lang="fr-FR" sz="1100" baseline="0"/>
            <a:t>Une fois la recherche terminé, le nom du dossier (dans la feuille "Dossiers", colonne  A) doit être saisie en C14.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En espérant avoir été clair et précis, merci de votre aide, cordialement, VHAE.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himed-Eval/Desktop/Contact/Fichier%20prospection%20Archim&#232;de%20Ev@L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iche individuelle"/>
      <sheetName val="Synthèse"/>
      <sheetName val="RDV"/>
      <sheetName val="Degrès"/>
      <sheetName val="Entreprises"/>
      <sheetName val="Contacts"/>
      <sheetName val="Fichier prospection Archimède E"/>
    </sheetNames>
    <definedNames>
      <definedName name="Bouton14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4.xml"/><Relationship Id="rId4" Type="http://schemas.openxmlformats.org/officeDocument/2006/relationships/image" Target="../media/image1.emf"/><Relationship Id="rId9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39" sqref="E3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J28"/>
  <sheetViews>
    <sheetView tabSelected="1" topLeftCell="A7" workbookViewId="0">
      <pane xSplit="12" topLeftCell="M1" activePane="topRight" state="frozen"/>
      <selection pane="topRight" activeCell="AK23" sqref="AK23"/>
    </sheetView>
  </sheetViews>
  <sheetFormatPr baseColWidth="10" defaultColWidth="4.28515625" defaultRowHeight="22.5" customHeight="1" x14ac:dyDescent="0.25"/>
  <cols>
    <col min="1" max="11" width="4.28515625" style="1"/>
    <col min="12" max="12" width="4.28515625" style="1" customWidth="1"/>
    <col min="13" max="14" width="4.28515625" style="1"/>
    <col min="15" max="16" width="10.7109375" style="1" bestFit="1" customWidth="1"/>
    <col min="17" max="16384" width="4.28515625" style="1"/>
  </cols>
  <sheetData>
    <row r="1" spans="1:62" ht="22.5" customHeight="1" x14ac:dyDescent="0.25">
      <c r="AA1" s="5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</row>
    <row r="2" spans="1:62" ht="22.5" customHeight="1" x14ac:dyDescent="0.25">
      <c r="O2" s="128" t="str">
        <f>C14</f>
        <v>CHATPERLIPOPETE</v>
      </c>
      <c r="P2" s="129"/>
      <c r="Q2" s="129"/>
      <c r="R2" s="129"/>
      <c r="S2" s="129"/>
      <c r="T2" s="129"/>
      <c r="U2" s="129"/>
      <c r="V2" s="129"/>
      <c r="W2" s="129"/>
      <c r="X2" s="129"/>
      <c r="Y2" s="130"/>
      <c r="AA2" s="86" t="s">
        <v>59</v>
      </c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8"/>
    </row>
    <row r="3" spans="1:62" ht="22.5" customHeight="1" x14ac:dyDescent="0.25">
      <c r="O3" s="131"/>
      <c r="P3" s="132"/>
      <c r="Q3" s="132"/>
      <c r="R3" s="132"/>
      <c r="S3" s="132"/>
      <c r="T3" s="132"/>
      <c r="U3" s="132"/>
      <c r="V3" s="132"/>
      <c r="W3" s="132"/>
      <c r="X3" s="132"/>
      <c r="Y3" s="133"/>
      <c r="AA3" s="6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8"/>
    </row>
    <row r="4" spans="1:62" ht="22.5" customHeight="1" x14ac:dyDescent="0.25">
      <c r="O4" s="134"/>
      <c r="P4" s="135"/>
      <c r="Q4" s="135"/>
      <c r="R4" s="135"/>
      <c r="S4" s="135"/>
      <c r="T4" s="135"/>
      <c r="U4" s="135"/>
      <c r="V4" s="135"/>
      <c r="W4" s="135"/>
      <c r="X4" s="135"/>
      <c r="Y4" s="136"/>
      <c r="AA4" s="6"/>
      <c r="AB4" s="93" t="s">
        <v>5</v>
      </c>
      <c r="AC4" s="94"/>
      <c r="AD4" s="94"/>
      <c r="AE4" s="94"/>
      <c r="AF4" s="95"/>
      <c r="AG4" s="92" t="str">
        <f>VLOOKUP($O$2,Dossiers!A:W,6,0)</f>
        <v>Transport</v>
      </c>
      <c r="AH4" s="50"/>
      <c r="AI4" s="50"/>
      <c r="AJ4" s="50"/>
      <c r="AK4" s="51"/>
      <c r="AL4" s="7"/>
      <c r="AM4" s="7"/>
      <c r="AN4" s="93" t="s">
        <v>7</v>
      </c>
      <c r="AO4" s="94"/>
      <c r="AP4" s="94"/>
      <c r="AQ4" s="94"/>
      <c r="AR4" s="95"/>
      <c r="AS4" s="92">
        <f>VLOOKUP($O$2,Dossiers!A:W,11,0)</f>
        <v>421</v>
      </c>
      <c r="AT4" s="50"/>
      <c r="AU4" s="50"/>
      <c r="AV4" s="50"/>
      <c r="AW4" s="51"/>
      <c r="AX4" s="7"/>
      <c r="AY4" s="7"/>
      <c r="AZ4" s="93" t="s">
        <v>72</v>
      </c>
      <c r="BA4" s="94"/>
      <c r="BB4" s="94"/>
      <c r="BC4" s="94"/>
      <c r="BD4" s="94"/>
      <c r="BE4" s="94"/>
      <c r="BF4" s="95"/>
      <c r="BG4" s="50">
        <f>VLOOKUP($O$2,Dossiers!A:W,9,0)</f>
        <v>2</v>
      </c>
      <c r="BH4" s="50"/>
      <c r="BI4" s="51"/>
      <c r="BJ4" s="8"/>
    </row>
    <row r="5" spans="1:62" ht="22.5" customHeight="1" x14ac:dyDescent="0.25">
      <c r="C5" s="60" t="s">
        <v>0</v>
      </c>
      <c r="D5" s="60"/>
      <c r="E5" s="60"/>
      <c r="F5" s="60"/>
      <c r="G5" s="60"/>
      <c r="H5" s="60"/>
      <c r="I5" s="60"/>
      <c r="J5" s="60"/>
      <c r="N5" s="5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5"/>
      <c r="AA5" s="6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8"/>
    </row>
    <row r="6" spans="1:62" ht="22.5" customHeight="1" x14ac:dyDescent="0.25">
      <c r="C6" s="61"/>
      <c r="D6" s="61"/>
      <c r="E6" s="61"/>
      <c r="F6" s="61"/>
      <c r="G6" s="61"/>
      <c r="H6" s="61"/>
      <c r="I6" s="61"/>
      <c r="J6" s="61"/>
      <c r="O6" s="137" t="s">
        <v>46</v>
      </c>
      <c r="P6" s="138"/>
      <c r="Q6" s="138"/>
      <c r="R6" s="138"/>
      <c r="S6" s="138"/>
      <c r="T6" s="138"/>
      <c r="U6" s="138"/>
      <c r="V6" s="138"/>
      <c r="W6" s="138"/>
      <c r="X6" s="138"/>
      <c r="Y6" s="139"/>
      <c r="AA6" s="6"/>
      <c r="AB6" s="93" t="s">
        <v>71</v>
      </c>
      <c r="AC6" s="94"/>
      <c r="AD6" s="94"/>
      <c r="AE6" s="94"/>
      <c r="AF6" s="95"/>
      <c r="AG6" s="92" t="str">
        <f>VLOOKUP($O$2,Dossiers!A:W,7,0)</f>
        <v>France entière</v>
      </c>
      <c r="AH6" s="50"/>
      <c r="AI6" s="50"/>
      <c r="AJ6" s="50"/>
      <c r="AK6" s="51"/>
      <c r="AL6" s="7"/>
      <c r="AM6" s="7"/>
      <c r="AN6" s="93" t="s">
        <v>6</v>
      </c>
      <c r="AO6" s="94"/>
      <c r="AP6" s="94"/>
      <c r="AQ6" s="94"/>
      <c r="AR6" s="95"/>
      <c r="AS6" s="96">
        <f>VLOOKUP($O$2,Dossiers!A:W,8,0)</f>
        <v>800000</v>
      </c>
      <c r="AT6" s="97"/>
      <c r="AU6" s="97"/>
      <c r="AV6" s="97"/>
      <c r="AW6" s="98"/>
      <c r="AX6" s="7"/>
      <c r="AY6" s="7"/>
      <c r="AZ6" s="93" t="s">
        <v>73</v>
      </c>
      <c r="BA6" s="94"/>
      <c r="BB6" s="94"/>
      <c r="BC6" s="94"/>
      <c r="BD6" s="94"/>
      <c r="BE6" s="94"/>
      <c r="BF6" s="95"/>
      <c r="BG6" s="50">
        <f>VLOOKUP($O$2,Dossiers!A:W,10,0)</f>
        <v>8</v>
      </c>
      <c r="BH6" s="50"/>
      <c r="BI6" s="51"/>
      <c r="BJ6" s="8"/>
    </row>
    <row r="7" spans="1:62" ht="22.5" customHeight="1" x14ac:dyDescent="0.25">
      <c r="O7" s="112" t="s">
        <v>0</v>
      </c>
      <c r="P7" s="113"/>
      <c r="Q7" s="113"/>
      <c r="R7" s="113"/>
      <c r="S7" s="113"/>
      <c r="T7" s="113"/>
      <c r="U7" s="113"/>
      <c r="V7" s="158" t="str">
        <f>VLOOKUP($O$2,Dossiers!A:W,2,0)</f>
        <v>ADE</v>
      </c>
      <c r="W7" s="158"/>
      <c r="X7" s="158"/>
      <c r="Y7" s="159"/>
      <c r="AA7" s="6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8"/>
    </row>
    <row r="8" spans="1:62" ht="22.5" customHeight="1" x14ac:dyDescent="0.25">
      <c r="C8" s="39" t="s">
        <v>2</v>
      </c>
      <c r="D8" s="39"/>
      <c r="E8" s="39"/>
      <c r="F8" s="39"/>
      <c r="G8" s="39"/>
      <c r="H8" s="39"/>
      <c r="I8" s="39"/>
      <c r="J8" s="39"/>
      <c r="O8" s="114" t="s">
        <v>2</v>
      </c>
      <c r="P8" s="115"/>
      <c r="Q8" s="115"/>
      <c r="R8" s="115"/>
      <c r="S8" s="115"/>
      <c r="T8" s="115"/>
      <c r="U8" s="115"/>
      <c r="V8" s="118" t="str">
        <f>VLOOKUP($O$2,Dossiers!A:W,3,0)</f>
        <v>PO</v>
      </c>
      <c r="W8" s="118"/>
      <c r="X8" s="118"/>
      <c r="Y8" s="119"/>
      <c r="AA8" s="89" t="s">
        <v>58</v>
      </c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1"/>
    </row>
    <row r="9" spans="1:62" ht="22.5" customHeight="1" x14ac:dyDescent="0.25">
      <c r="C9" s="40"/>
      <c r="D9" s="40"/>
      <c r="E9" s="40"/>
      <c r="F9" s="40"/>
      <c r="G9" s="40"/>
      <c r="H9" s="40"/>
      <c r="I9" s="40"/>
      <c r="J9" s="40"/>
      <c r="O9" s="116" t="s">
        <v>47</v>
      </c>
      <c r="P9" s="117"/>
      <c r="Q9" s="117"/>
      <c r="R9" s="117"/>
      <c r="S9" s="117"/>
      <c r="T9" s="117"/>
      <c r="U9" s="117"/>
      <c r="V9" s="120">
        <f>VLOOKUP($O$2,Dossiers!A:W,4,0)</f>
        <v>42767</v>
      </c>
      <c r="W9" s="120"/>
      <c r="X9" s="120"/>
      <c r="Y9" s="121"/>
      <c r="AA9" s="74">
        <f>VLOOKUP($O$2,Dossiers!A:W,13,0)</f>
        <v>0.45</v>
      </c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6"/>
    </row>
    <row r="10" spans="1:62" ht="22.5" customHeight="1" x14ac:dyDescent="0.25">
      <c r="O10" s="114" t="s">
        <v>48</v>
      </c>
      <c r="P10" s="115"/>
      <c r="Q10" s="115"/>
      <c r="R10" s="115"/>
      <c r="S10" s="115"/>
      <c r="T10" s="115"/>
      <c r="U10" s="115"/>
      <c r="V10" s="122">
        <f>VLOOKUP($O$2,Dossiers!A:W,5,0)</f>
        <v>43040</v>
      </c>
      <c r="W10" s="122"/>
      <c r="X10" s="122"/>
      <c r="Y10" s="123"/>
      <c r="Z10" s="4"/>
      <c r="AA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1"/>
    </row>
    <row r="11" spans="1:62" ht="22.5" customHeight="1" x14ac:dyDescent="0.25">
      <c r="C11" s="37" t="s">
        <v>51</v>
      </c>
      <c r="D11" s="37"/>
      <c r="E11" s="37"/>
      <c r="F11" s="37"/>
      <c r="G11" s="37"/>
      <c r="H11" s="37"/>
      <c r="I11" s="37"/>
      <c r="J11" s="37"/>
      <c r="O11" s="116" t="s">
        <v>51</v>
      </c>
      <c r="P11" s="117"/>
      <c r="Q11" s="117"/>
      <c r="R11" s="117"/>
      <c r="S11" s="117"/>
      <c r="T11" s="117"/>
      <c r="U11" s="117"/>
      <c r="V11" s="124" t="str">
        <f>VLOOKUP($O$2,Dossiers!A:W,15,0)</f>
        <v>AURUS</v>
      </c>
      <c r="W11" s="124"/>
      <c r="X11" s="124"/>
      <c r="Y11" s="125"/>
      <c r="Z11" s="4"/>
      <c r="AA11" s="12"/>
      <c r="AB11" s="18"/>
      <c r="AC11" s="47" t="s">
        <v>68</v>
      </c>
      <c r="AD11" s="48"/>
      <c r="AE11" s="48"/>
      <c r="AF11" s="48"/>
      <c r="AG11" s="49"/>
      <c r="AH11" s="57" t="str">
        <f>VLOOKUP($O$2,Dossiers!A:W,14,0)</f>
        <v>3h15</v>
      </c>
      <c r="AI11" s="58"/>
      <c r="AJ11" s="58"/>
      <c r="AK11" s="58"/>
      <c r="AL11" s="59"/>
      <c r="AM11" s="13"/>
      <c r="AN11" s="18"/>
      <c r="AO11" s="47" t="s">
        <v>69</v>
      </c>
      <c r="AP11" s="48"/>
      <c r="AQ11" s="48"/>
      <c r="AR11" s="48"/>
      <c r="AS11" s="49"/>
      <c r="AT11" s="57">
        <f>NETWORKDAYS($V$10,$W$24)</f>
        <v>15</v>
      </c>
      <c r="AU11" s="58"/>
      <c r="AV11" s="58"/>
      <c r="AW11" s="58"/>
      <c r="AX11" s="59"/>
      <c r="AY11" s="18"/>
      <c r="AZ11" s="18"/>
      <c r="BA11" s="47" t="s">
        <v>61</v>
      </c>
      <c r="BB11" s="48"/>
      <c r="BC11" s="48"/>
      <c r="BD11" s="48"/>
      <c r="BE11" s="49"/>
      <c r="BF11" s="44">
        <f>VLOOKUP($O$2,Dossiers!A:W,12,0)</f>
        <v>784849</v>
      </c>
      <c r="BG11" s="45"/>
      <c r="BH11" s="45"/>
      <c r="BI11" s="46"/>
      <c r="BJ11" s="14"/>
    </row>
    <row r="12" spans="1:62" ht="22.5" customHeight="1" x14ac:dyDescent="0.25">
      <c r="C12" s="38"/>
      <c r="D12" s="38"/>
      <c r="E12" s="38"/>
      <c r="F12" s="38"/>
      <c r="G12" s="38"/>
      <c r="H12" s="38"/>
      <c r="I12" s="38"/>
      <c r="J12" s="38"/>
      <c r="O12" s="114" t="s">
        <v>52</v>
      </c>
      <c r="P12" s="115"/>
      <c r="Q12" s="115"/>
      <c r="R12" s="115"/>
      <c r="S12" s="115"/>
      <c r="T12" s="115"/>
      <c r="U12" s="115"/>
      <c r="V12" s="118" t="str">
        <f>VLOOKUP($O$2,Dossiers!A:W,16,0)</f>
        <v>JMF</v>
      </c>
      <c r="W12" s="118"/>
      <c r="X12" s="118"/>
      <c r="Y12" s="119"/>
      <c r="Z12" s="4"/>
      <c r="AA12" s="12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4"/>
    </row>
    <row r="13" spans="1:62" ht="22.5" customHeight="1" x14ac:dyDescent="0.25">
      <c r="J13" s="35"/>
      <c r="K13" s="35"/>
      <c r="L13" s="35"/>
      <c r="O13" s="156" t="s">
        <v>53</v>
      </c>
      <c r="P13" s="157"/>
      <c r="Q13" s="157"/>
      <c r="R13" s="157"/>
      <c r="S13" s="157"/>
      <c r="T13" s="157"/>
      <c r="U13" s="157"/>
      <c r="V13" s="110">
        <f>VLOOKUP($O$2,Dossiers!A:W,17,0)</f>
        <v>0.3</v>
      </c>
      <c r="W13" s="110"/>
      <c r="X13" s="110"/>
      <c r="Y13" s="111"/>
      <c r="AA13" s="12"/>
      <c r="AB13" s="13"/>
      <c r="AC13" s="77" t="s">
        <v>60</v>
      </c>
      <c r="AD13" s="78"/>
      <c r="AE13" s="78"/>
      <c r="AF13" s="78"/>
      <c r="AG13" s="78"/>
      <c r="AH13" s="78"/>
      <c r="AI13" s="78"/>
      <c r="AJ13" s="78"/>
      <c r="AK13" s="79"/>
      <c r="AL13" s="13"/>
      <c r="AM13" s="13"/>
      <c r="AN13" s="13"/>
      <c r="AO13" s="83" t="s">
        <v>103</v>
      </c>
      <c r="AP13" s="84"/>
      <c r="AQ13" s="85"/>
      <c r="AR13" s="52" t="s">
        <v>74</v>
      </c>
      <c r="AS13" s="52"/>
      <c r="AT13" s="52"/>
      <c r="AU13" s="52" t="s">
        <v>63</v>
      </c>
      <c r="AV13" s="52"/>
      <c r="AW13" s="52"/>
      <c r="AX13" s="52" t="s">
        <v>64</v>
      </c>
      <c r="AY13" s="52"/>
      <c r="AZ13" s="52"/>
      <c r="BA13" s="52" t="s">
        <v>65</v>
      </c>
      <c r="BB13" s="52"/>
      <c r="BC13" s="52"/>
      <c r="BD13" s="52" t="s">
        <v>66</v>
      </c>
      <c r="BE13" s="52"/>
      <c r="BF13" s="52"/>
      <c r="BG13" s="52" t="s">
        <v>67</v>
      </c>
      <c r="BH13" s="52"/>
      <c r="BI13" s="52"/>
      <c r="BJ13" s="14"/>
    </row>
    <row r="14" spans="1:62" ht="22.5" customHeight="1" x14ac:dyDescent="0.25">
      <c r="C14" s="36" t="s">
        <v>77</v>
      </c>
      <c r="D14" s="36"/>
      <c r="E14" s="36"/>
      <c r="F14" s="36"/>
      <c r="G14" s="36"/>
      <c r="H14" s="36"/>
      <c r="I14" s="36"/>
      <c r="J14" s="36"/>
      <c r="K14" s="35"/>
      <c r="L14" s="35"/>
      <c r="AA14" s="12"/>
      <c r="AB14" s="13"/>
      <c r="AC14" s="80" t="s">
        <v>12</v>
      </c>
      <c r="AD14" s="81"/>
      <c r="AE14" s="81"/>
      <c r="AF14" s="81"/>
      <c r="AG14" s="81"/>
      <c r="AH14" s="81"/>
      <c r="AI14" s="81"/>
      <c r="AJ14" s="81"/>
      <c r="AK14" s="82"/>
      <c r="AL14" s="13"/>
      <c r="AM14" s="13"/>
      <c r="AN14" s="13"/>
      <c r="AO14" s="53">
        <f ca="1">COUNTA(OFFSET('Points d''analyse'!$C$1:$AF$1,MATCH('Fiche dossier'!$O$2,'Points d''analyse'!$A:$A,0),0))</f>
        <v>3</v>
      </c>
      <c r="AP14" s="53"/>
      <c r="AQ14" s="53"/>
      <c r="AR14" s="53">
        <f ca="1">COUNTIF(OFFSET('Points d''analyse'!$C$1:$AF$1,MATCH('Fiche dossier'!$O$2,'Points d''analyse'!$A:$A,0),0),'Fiche dossier'!AR$13)</f>
        <v>1</v>
      </c>
      <c r="AS14" s="53"/>
      <c r="AT14" s="53"/>
      <c r="AU14" s="54">
        <f ca="1">COUNTIF(OFFSET('Points d''analyse'!$C$1:$AF$1,MATCH('Fiche dossier'!$O$2,'Points d''analyse'!$A:$A,0),0),'Fiche dossier'!AU$13)</f>
        <v>0</v>
      </c>
      <c r="AV14" s="55"/>
      <c r="AW14" s="56"/>
      <c r="AX14" s="54">
        <f ca="1">COUNTIF(OFFSET('Points d''analyse'!$C$1:$AF$1,MATCH('Fiche dossier'!$O$2,'Points d''analyse'!$A:$A,0),0),'Fiche dossier'!AX$13)</f>
        <v>0</v>
      </c>
      <c r="AY14" s="55"/>
      <c r="AZ14" s="56"/>
      <c r="BA14" s="54">
        <f ca="1">COUNTIF(OFFSET('Points d''analyse'!$C$1:$AF$1,MATCH('Fiche dossier'!$O$2,'Points d''analyse'!$A:$A,0),0),'Fiche dossier'!BA$13)</f>
        <v>0</v>
      </c>
      <c r="BB14" s="55"/>
      <c r="BC14" s="56"/>
      <c r="BD14" s="54">
        <f ca="1">COUNTIF(OFFSET('Points d''analyse'!$C$1:$AF$1,MATCH('Fiche dossier'!$O$2,'Points d''analyse'!$A:$A,0),0),'Fiche dossier'!BD$13)</f>
        <v>0</v>
      </c>
      <c r="BE14" s="55"/>
      <c r="BF14" s="56"/>
      <c r="BG14" s="54">
        <f ca="1">COUNTIF(OFFSET('Points d''analyse'!$C$1:$AF$1,MATCH('Fiche dossier'!$O$2,'Points d''analyse'!$A:$A,0),0),'Fiche dossier'!BG$13)</f>
        <v>2</v>
      </c>
      <c r="BH14" s="55"/>
      <c r="BI14" s="56"/>
      <c r="BJ14" s="14"/>
    </row>
    <row r="15" spans="1:62" ht="22.5" customHeight="1" x14ac:dyDescent="0.25">
      <c r="D15" s="32"/>
      <c r="E15" s="32"/>
      <c r="F15" s="32"/>
      <c r="G15" s="32"/>
      <c r="H15" s="32"/>
      <c r="I15" s="32"/>
      <c r="J15" s="35"/>
      <c r="K15" s="35"/>
      <c r="L15" s="35"/>
      <c r="O15" s="99" t="s">
        <v>70</v>
      </c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AA15" s="12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4"/>
    </row>
    <row r="16" spans="1:62" ht="22.5" customHeight="1" x14ac:dyDescent="0.25">
      <c r="A16" s="22"/>
      <c r="B16" s="23" t="s">
        <v>102</v>
      </c>
      <c r="C16" s="24"/>
      <c r="D16" s="24"/>
      <c r="E16" s="24"/>
      <c r="F16" s="24"/>
      <c r="G16" s="24"/>
      <c r="H16" s="24"/>
      <c r="I16" s="24"/>
      <c r="J16" s="24"/>
      <c r="K16" s="24"/>
      <c r="L16" s="25"/>
      <c r="O16" s="150" t="s">
        <v>49</v>
      </c>
      <c r="P16" s="151"/>
      <c r="Q16" s="151"/>
      <c r="R16" s="151"/>
      <c r="S16" s="151"/>
      <c r="T16" s="106" t="str">
        <f>VLOOKUP($O$2,Dossiers!A:W,18,0)</f>
        <v>En attente de pièce</v>
      </c>
      <c r="U16" s="106"/>
      <c r="V16" s="106"/>
      <c r="W16" s="106"/>
      <c r="X16" s="106"/>
      <c r="Y16" s="107"/>
      <c r="AA16" s="12"/>
      <c r="AB16" s="13"/>
      <c r="AC16" s="47" t="s">
        <v>42</v>
      </c>
      <c r="AD16" s="48"/>
      <c r="AE16" s="48"/>
      <c r="AF16" s="48"/>
      <c r="AG16" s="48"/>
      <c r="AH16" s="48"/>
      <c r="AI16" s="48"/>
      <c r="AJ16" s="48"/>
      <c r="AK16" s="49"/>
      <c r="AL16" s="54" t="str">
        <f>INDEX('Points d''analyse'!$A:$F,MATCH('Fiche dossier'!$O$2,'Points d''analyse'!$A:$A,0),MATCH('Fiche dossier'!$AC$14,'Points d''analyse'!$1:$1,0))</f>
        <v>Processus</v>
      </c>
      <c r="AM16" s="55"/>
      <c r="AN16" s="55"/>
      <c r="AO16" s="55"/>
      <c r="AP16" s="55"/>
      <c r="AQ16" s="55"/>
      <c r="AR16" s="55"/>
      <c r="AS16" s="55"/>
      <c r="AT16" s="56"/>
      <c r="AU16" s="13"/>
      <c r="AV16" s="13"/>
      <c r="AW16" s="47" t="s">
        <v>62</v>
      </c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9"/>
      <c r="BJ16" s="14"/>
    </row>
    <row r="17" spans="1:62" ht="22.5" customHeight="1" x14ac:dyDescent="0.2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8"/>
      <c r="O17" s="144" t="s">
        <v>50</v>
      </c>
      <c r="P17" s="145"/>
      <c r="Q17" s="145"/>
      <c r="R17" s="145"/>
      <c r="S17" s="145"/>
      <c r="T17" s="108" t="str">
        <f>VLOOKUP($O$2,Dossiers!A:W,19,0)</f>
        <v>Pistes intéressantes</v>
      </c>
      <c r="U17" s="108"/>
      <c r="V17" s="108"/>
      <c r="W17" s="108"/>
      <c r="X17" s="108"/>
      <c r="Y17" s="109"/>
      <c r="AA17" s="12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65" t="str">
        <f>INDEX('Points d''analyse'!$A:$F,MATCH('Fiche dossier'!$O$2,'Points d''analyse'!$A:$A,0)+3,MATCH('Fiche dossier'!$AC$14,'Points d''analyse'!$1:$1,0))</f>
        <v>Manque de com</v>
      </c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7"/>
      <c r="BJ17" s="14"/>
    </row>
    <row r="18" spans="1:62" ht="22.5" customHeight="1" x14ac:dyDescent="0.2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8"/>
      <c r="O18" s="146" t="s">
        <v>54</v>
      </c>
      <c r="P18" s="147"/>
      <c r="Q18" s="147"/>
      <c r="R18" s="147"/>
      <c r="S18" s="147"/>
      <c r="T18" s="104">
        <f>VLOOKUP($O$2,Dossiers!A:W,20,0)</f>
        <v>43060</v>
      </c>
      <c r="U18" s="104"/>
      <c r="V18" s="104"/>
      <c r="W18" s="104"/>
      <c r="X18" s="104"/>
      <c r="Y18" s="105"/>
      <c r="AA18" s="12"/>
      <c r="AB18" s="13"/>
      <c r="AC18" s="47" t="s">
        <v>43</v>
      </c>
      <c r="AD18" s="48"/>
      <c r="AE18" s="48"/>
      <c r="AF18" s="48"/>
      <c r="AG18" s="48"/>
      <c r="AH18" s="48"/>
      <c r="AI18" s="48"/>
      <c r="AJ18" s="48"/>
      <c r="AK18" s="49"/>
      <c r="AL18" s="54" t="str">
        <f>INDEX('Points d''analyse'!$A:$F,MATCH('Fiche dossier'!$O$2,'Points d''analyse'!$A:$A,0)+1,MATCH('Fiche dossier'!$AC$14,'Points d''analyse'!$1:$1,0))</f>
        <v>Optimisation</v>
      </c>
      <c r="AM18" s="55"/>
      <c r="AN18" s="55"/>
      <c r="AO18" s="55"/>
      <c r="AP18" s="55"/>
      <c r="AQ18" s="55"/>
      <c r="AR18" s="55"/>
      <c r="AS18" s="55"/>
      <c r="AT18" s="56"/>
      <c r="AU18" s="13"/>
      <c r="AV18" s="13"/>
      <c r="AW18" s="68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70"/>
      <c r="BJ18" s="14"/>
    </row>
    <row r="19" spans="1:62" ht="22.5" customHeight="1" x14ac:dyDescent="0.2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/>
      <c r="O19" s="148"/>
      <c r="P19" s="149"/>
      <c r="Q19" s="149"/>
      <c r="R19" s="149"/>
      <c r="S19" s="149"/>
      <c r="T19" s="102" t="str">
        <f ca="1">"Il y a "&amp;IF(NETWORKDAYS(T18,TODAY())&gt;99,DATEDIF(O27,P27,"m")&amp;" mois",NETWORKDAYS(T18,TODAY())&amp;" jours")</f>
        <v>Il y a 2 jours</v>
      </c>
      <c r="U19" s="102"/>
      <c r="V19" s="102"/>
      <c r="W19" s="102"/>
      <c r="X19" s="102"/>
      <c r="Y19" s="103"/>
      <c r="AA19" s="12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68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70"/>
      <c r="BJ19" s="14"/>
    </row>
    <row r="20" spans="1:62" ht="22.5" customHeight="1" x14ac:dyDescent="0.25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  <c r="O20" s="144" t="s">
        <v>55</v>
      </c>
      <c r="P20" s="145"/>
      <c r="Q20" s="145"/>
      <c r="R20" s="145"/>
      <c r="S20" s="145"/>
      <c r="T20" s="108" t="str">
        <f>VLOOKUP($O$2,Dossiers!A:W,21,0)</f>
        <v>PO</v>
      </c>
      <c r="U20" s="108"/>
      <c r="V20" s="108"/>
      <c r="W20" s="108"/>
      <c r="X20" s="108"/>
      <c r="Y20" s="109"/>
      <c r="AA20" s="12"/>
      <c r="AB20" s="13"/>
      <c r="AC20" s="47" t="s">
        <v>61</v>
      </c>
      <c r="AD20" s="48"/>
      <c r="AE20" s="48"/>
      <c r="AF20" s="48"/>
      <c r="AG20" s="48"/>
      <c r="AH20" s="48"/>
      <c r="AI20" s="48"/>
      <c r="AJ20" s="48"/>
      <c r="AK20" s="49"/>
      <c r="AL20" s="62">
        <f>INDEX('Points d''analyse'!$A:$F,MATCH('Fiche dossier'!$O$2,'Points d''analyse'!$A:$A,0)+2,MATCH('Fiche dossier'!$AC$14,'Points d''analyse'!$1:$1,0))</f>
        <v>70000</v>
      </c>
      <c r="AM20" s="63"/>
      <c r="AN20" s="63"/>
      <c r="AO20" s="63"/>
      <c r="AP20" s="63"/>
      <c r="AQ20" s="63"/>
      <c r="AR20" s="63"/>
      <c r="AS20" s="63"/>
      <c r="AT20" s="64"/>
      <c r="AU20" s="13"/>
      <c r="AV20" s="13"/>
      <c r="AW20" s="71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3"/>
      <c r="BJ20" s="14"/>
    </row>
    <row r="21" spans="1:62" ht="22.5" customHeight="1" x14ac:dyDescent="0.25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/>
      <c r="O21" s="142" t="s">
        <v>56</v>
      </c>
      <c r="P21" s="143"/>
      <c r="Q21" s="143"/>
      <c r="R21" s="143"/>
      <c r="S21" s="143"/>
      <c r="T21" s="154" t="str">
        <f>VLOOKUP($O$2,Dossiers!A:W,22,0)</f>
        <v>INTERLO</v>
      </c>
      <c r="U21" s="154"/>
      <c r="V21" s="154"/>
      <c r="W21" s="154"/>
      <c r="X21" s="154"/>
      <c r="Y21" s="155"/>
      <c r="AA21" s="12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4"/>
    </row>
    <row r="22" spans="1:62" ht="22.5" customHeight="1" x14ac:dyDescent="0.25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8"/>
      <c r="O22" s="140" t="s">
        <v>57</v>
      </c>
      <c r="P22" s="141"/>
      <c r="Q22" s="141"/>
      <c r="R22" s="141"/>
      <c r="S22" s="141"/>
      <c r="T22" s="152" t="str">
        <f>VLOOKUP($O$2,Dossiers!A:W,23,0)</f>
        <v>Mail</v>
      </c>
      <c r="U22" s="152"/>
      <c r="V22" s="152"/>
      <c r="W22" s="152"/>
      <c r="X22" s="152"/>
      <c r="Y22" s="153"/>
      <c r="AA22" s="15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7"/>
    </row>
    <row r="23" spans="1:62" ht="22.5" customHeight="1" x14ac:dyDescent="0.25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8"/>
    </row>
    <row r="24" spans="1:62" ht="22.5" customHeight="1" x14ac:dyDescent="0.25">
      <c r="A24" s="26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8"/>
      <c r="O24" s="126" t="s">
        <v>45</v>
      </c>
      <c r="P24" s="127"/>
      <c r="Q24" s="127"/>
      <c r="R24" s="127"/>
      <c r="S24" s="127"/>
      <c r="T24" s="127"/>
      <c r="U24" s="127"/>
      <c r="V24" s="127"/>
      <c r="W24" s="41">
        <v>43060</v>
      </c>
      <c r="X24" s="42"/>
      <c r="Y24" s="42"/>
      <c r="Z24" s="42"/>
      <c r="AA24" s="42"/>
      <c r="AB24" s="42"/>
      <c r="AC24" s="42"/>
      <c r="AD24" s="42"/>
      <c r="AE24" s="42"/>
      <c r="AF24" s="42"/>
      <c r="AG24" s="43"/>
    </row>
    <row r="25" spans="1:62" ht="22.5" customHeight="1" x14ac:dyDescent="0.25">
      <c r="A25" s="29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1"/>
    </row>
    <row r="27" spans="1:62" ht="22.5" customHeight="1" x14ac:dyDescent="0.25">
      <c r="O27" s="33"/>
      <c r="P27" s="33"/>
    </row>
    <row r="28" spans="1:62" ht="22.5" customHeight="1" x14ac:dyDescent="0.25">
      <c r="P28" s="34"/>
    </row>
  </sheetData>
  <mergeCells count="84">
    <mergeCell ref="O24:V24"/>
    <mergeCell ref="O2:Y4"/>
    <mergeCell ref="O6:Y6"/>
    <mergeCell ref="O11:U11"/>
    <mergeCell ref="O12:U12"/>
    <mergeCell ref="O22:S22"/>
    <mergeCell ref="O21:S21"/>
    <mergeCell ref="O20:S20"/>
    <mergeCell ref="O18:S19"/>
    <mergeCell ref="O17:S17"/>
    <mergeCell ref="O16:S16"/>
    <mergeCell ref="T22:Y22"/>
    <mergeCell ref="T21:Y21"/>
    <mergeCell ref="T20:Y20"/>
    <mergeCell ref="O13:U13"/>
    <mergeCell ref="V7:Y7"/>
    <mergeCell ref="V13:Y13"/>
    <mergeCell ref="O7:U7"/>
    <mergeCell ref="O8:U8"/>
    <mergeCell ref="O9:U9"/>
    <mergeCell ref="O10:U10"/>
    <mergeCell ref="V8:Y8"/>
    <mergeCell ref="V9:Y9"/>
    <mergeCell ref="V10:Y10"/>
    <mergeCell ref="V11:Y11"/>
    <mergeCell ref="V12:Y12"/>
    <mergeCell ref="O15:Y15"/>
    <mergeCell ref="T19:Y19"/>
    <mergeCell ref="T18:Y18"/>
    <mergeCell ref="T16:Y16"/>
    <mergeCell ref="T17:Y17"/>
    <mergeCell ref="BD14:BF14"/>
    <mergeCell ref="BG14:BI14"/>
    <mergeCell ref="AX13:AZ13"/>
    <mergeCell ref="AA2:BJ2"/>
    <mergeCell ref="AA8:BJ8"/>
    <mergeCell ref="AS4:AW4"/>
    <mergeCell ref="AN6:AR6"/>
    <mergeCell ref="AS6:AW6"/>
    <mergeCell ref="AB4:AF4"/>
    <mergeCell ref="AG4:AK4"/>
    <mergeCell ref="AB6:AF6"/>
    <mergeCell ref="AG6:AK6"/>
    <mergeCell ref="AN4:AR4"/>
    <mergeCell ref="BG4:BI4"/>
    <mergeCell ref="AZ6:BF6"/>
    <mergeCell ref="AZ4:BF4"/>
    <mergeCell ref="AT11:AX11"/>
    <mergeCell ref="C5:J5"/>
    <mergeCell ref="C6:J6"/>
    <mergeCell ref="AL20:AT20"/>
    <mergeCell ref="AW16:BI16"/>
    <mergeCell ref="AW17:BI20"/>
    <mergeCell ref="AA9:BJ9"/>
    <mergeCell ref="AC11:AG11"/>
    <mergeCell ref="AH11:AL11"/>
    <mergeCell ref="AC13:AK13"/>
    <mergeCell ref="AC14:AK14"/>
    <mergeCell ref="BA11:BE11"/>
    <mergeCell ref="AO13:AQ13"/>
    <mergeCell ref="AO14:AQ14"/>
    <mergeCell ref="AX14:AZ14"/>
    <mergeCell ref="BA14:BC14"/>
    <mergeCell ref="W24:AG24"/>
    <mergeCell ref="BF11:BI11"/>
    <mergeCell ref="AO11:AS11"/>
    <mergeCell ref="BG6:BI6"/>
    <mergeCell ref="AR13:AT13"/>
    <mergeCell ref="AR14:AT14"/>
    <mergeCell ref="AU13:AW13"/>
    <mergeCell ref="AU14:AW14"/>
    <mergeCell ref="AC16:AK16"/>
    <mergeCell ref="AC18:AK18"/>
    <mergeCell ref="AC20:AK20"/>
    <mergeCell ref="AL16:AT16"/>
    <mergeCell ref="AL18:AT18"/>
    <mergeCell ref="BA13:BC13"/>
    <mergeCell ref="BD13:BF13"/>
    <mergeCell ref="BG13:BI13"/>
    <mergeCell ref="C14:J14"/>
    <mergeCell ref="C11:J11"/>
    <mergeCell ref="C12:J12"/>
    <mergeCell ref="C8:J8"/>
    <mergeCell ref="C9:J9"/>
  </mergeCells>
  <conditionalFormatting sqref="AA9:BJ9">
    <cfRule type="cellIs" dxfId="0" priority="1" operator="lessThan">
      <formula>0.2</formula>
    </cfRule>
    <cfRule type="dataBar" priority="2">
      <dataBar>
        <cfvo type="num" val="0"/>
        <cfvo type="num" val="1"/>
        <color theme="8" tint="-0.499984740745262"/>
      </dataBar>
      <extLst>
        <ext xmlns:x14="http://schemas.microsoft.com/office/spreadsheetml/2009/9/main" uri="{B025F937-C7B1-47D3-B67F-A62EFF666E3E}">
          <x14:id>{91E88869-107A-4049-BEA0-D4D4E41057EC}</x14:id>
        </ext>
      </extLst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r:id="rId4">
            <anchor moveWithCells="1">
              <from>
                <xdr:col>1</xdr:col>
                <xdr:colOff>104775</xdr:colOff>
                <xdr:row>16</xdr:row>
                <xdr:rowOff>57150</xdr:rowOff>
              </from>
              <to>
                <xdr:col>10</xdr:col>
                <xdr:colOff>180975</xdr:colOff>
                <xdr:row>17</xdr:row>
                <xdr:rowOff>57150</xdr:rowOff>
              </to>
            </anchor>
          </controlPr>
        </control>
      </mc:Choice>
      <mc:Fallback>
        <control shapeId="1025" r:id="rId3" name="TextBox1"/>
      </mc:Fallback>
    </mc:AlternateContent>
    <mc:AlternateContent xmlns:mc="http://schemas.openxmlformats.org/markup-compatibility/2006">
      <mc:Choice Requires="x14">
        <control shapeId="1026" r:id="rId5" name="ListBox1">
          <controlPr defaultSize="0" autoLine="0" r:id="rId6">
            <anchor moveWithCells="1">
              <from>
                <xdr:col>1</xdr:col>
                <xdr:colOff>85725</xdr:colOff>
                <xdr:row>17</xdr:row>
                <xdr:rowOff>219075</xdr:rowOff>
              </from>
              <to>
                <xdr:col>10</xdr:col>
                <xdr:colOff>171450</xdr:colOff>
                <xdr:row>24</xdr:row>
                <xdr:rowOff>152400</xdr:rowOff>
              </to>
            </anchor>
          </controlPr>
        </control>
      </mc:Choice>
      <mc:Fallback>
        <control shapeId="1026" r:id="rId5" name="ListBox1"/>
      </mc:Fallback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Bouton3_Cliquer">
            <anchor moveWithCells="1" sizeWithCells="1">
              <from>
                <xdr:col>10</xdr:col>
                <xdr:colOff>47625</xdr:colOff>
                <xdr:row>13</xdr:row>
                <xdr:rowOff>28575</xdr:rowOff>
              </from>
              <to>
                <xdr:col>11</xdr:col>
                <xdr:colOff>66675</xdr:colOff>
                <xdr:row>13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Button 4">
          <controlPr defaultSize="0" print="0" autoFill="0" autoPict="0" macro="[1]!Bouton14_Cliquer">
            <anchor moveWithCells="1" sizeWithCells="1">
              <from>
                <xdr:col>0</xdr:col>
                <xdr:colOff>219075</xdr:colOff>
                <xdr:row>13</xdr:row>
                <xdr:rowOff>28575</xdr:rowOff>
              </from>
              <to>
                <xdr:col>1</xdr:col>
                <xdr:colOff>238125</xdr:colOff>
                <xdr:row>13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Bouton13_Cliquer">
            <anchor moveWithCells="1" sizeWithCells="1">
              <from>
                <xdr:col>37</xdr:col>
                <xdr:colOff>47625</xdr:colOff>
                <xdr:row>13</xdr:row>
                <xdr:rowOff>38100</xdr:rowOff>
              </from>
              <to>
                <xdr:col>38</xdr:col>
                <xdr:colOff>66675</xdr:colOff>
                <xdr:row>13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Button 6">
          <controlPr defaultSize="0" print="0" autoFill="0" autoPict="0" macro="[0]!Bouton14_Cliquer">
            <anchor moveWithCells="1" sizeWithCells="1">
              <from>
                <xdr:col>26</xdr:col>
                <xdr:colOff>219075</xdr:colOff>
                <xdr:row>13</xdr:row>
                <xdr:rowOff>47625</xdr:rowOff>
              </from>
              <to>
                <xdr:col>27</xdr:col>
                <xdr:colOff>238125</xdr:colOff>
                <xdr:row>13</xdr:row>
                <xdr:rowOff>276225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E88869-107A-4049-BEA0-D4D4E41057EC}">
            <x14:dataBar minLength="0" maxLength="100" border="1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AA9:BJ9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OFFSET(Dossiers!$A$2:$A$2,,,COUNTA(Dossiers!$A:$A)-1)</xm:f>
          </x14:formula1>
          <xm:sqref>C14:J14</xm:sqref>
        </x14:dataValidation>
        <x14:dataValidation type="list" allowBlank="1" showInputMessage="1" showErrorMessage="1">
          <x14:formula1>
            <xm:f>OFFSET(Paramètres!$C$2:$C$2,,,COUNTA(Paramètres!$C:$C)-1)</xm:f>
          </x14:formula1>
          <xm:sqref>C6:J6</xm:sqref>
        </x14:dataValidation>
        <x14:dataValidation type="list" allowBlank="1" showInputMessage="1" showErrorMessage="1">
          <x14:formula1>
            <xm:f>OFFSET(Paramètres!$A$2:$A$2,,,COUNTA(Paramètres!$A:$A)-1)</xm:f>
          </x14:formula1>
          <xm:sqref>C9:J9</xm:sqref>
        </x14:dataValidation>
        <x14:dataValidation type="list" allowBlank="1" showInputMessage="1" showErrorMessage="1">
          <x14:formula1>
            <xm:f>OFFSET(Paramètres!$B$2:$B$2,,,COUNTA(Paramètres!$B:$B)-1)</xm:f>
          </x14:formula1>
          <xm:sqref>C12:J12</xm:sqref>
        </x14:dataValidation>
        <x14:dataValidation type="list" allowBlank="1" showInputMessage="1" showErrorMessage="1">
          <x14:formula1>
            <xm:f>OFFSET('Points d''analyse'!$C$1:$C$1,,,,COUNTA(OFFSET('Points d''analyse'!$C$1:$AF$1,MATCH($O$2,'Points d''analyse'!A:A,0),)))</xm:f>
          </x14:formula1>
          <xm:sqref>AC14:AK14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4"/>
  <sheetViews>
    <sheetView workbookViewId="0">
      <selection activeCell="J2" sqref="J2"/>
    </sheetView>
  </sheetViews>
  <sheetFormatPr baseColWidth="10" defaultRowHeight="15" x14ac:dyDescent="0.25"/>
  <cols>
    <col min="12" max="12" width="12.28515625" bestFit="1" customWidth="1"/>
  </cols>
  <sheetData>
    <row r="1" spans="1:24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71</v>
      </c>
      <c r="H1" t="s">
        <v>133</v>
      </c>
      <c r="I1" t="s">
        <v>134</v>
      </c>
      <c r="J1" t="s">
        <v>135</v>
      </c>
      <c r="K1" t="s">
        <v>7</v>
      </c>
      <c r="L1" t="s">
        <v>61</v>
      </c>
      <c r="M1" t="s">
        <v>8</v>
      </c>
      <c r="N1" t="s">
        <v>9</v>
      </c>
      <c r="O1" t="s">
        <v>51</v>
      </c>
      <c r="P1" t="s">
        <v>82</v>
      </c>
      <c r="Q1" t="s">
        <v>83</v>
      </c>
      <c r="R1" t="s">
        <v>49</v>
      </c>
      <c r="S1" t="s">
        <v>50</v>
      </c>
      <c r="T1" t="s">
        <v>84</v>
      </c>
      <c r="U1" t="s">
        <v>85</v>
      </c>
      <c r="V1" t="s">
        <v>56</v>
      </c>
      <c r="W1" t="s">
        <v>86</v>
      </c>
      <c r="X1">
        <f>COUNTA(A:A)</f>
        <v>4</v>
      </c>
    </row>
    <row r="2" spans="1:24" x14ac:dyDescent="0.25">
      <c r="A2" t="s">
        <v>77</v>
      </c>
      <c r="B2" t="s">
        <v>109</v>
      </c>
      <c r="C2" t="s">
        <v>115</v>
      </c>
      <c r="D2" s="20">
        <v>42767</v>
      </c>
      <c r="E2" s="20">
        <v>43040</v>
      </c>
      <c r="F2" t="s">
        <v>79</v>
      </c>
      <c r="G2" t="s">
        <v>106</v>
      </c>
      <c r="H2" s="19">
        <v>800000</v>
      </c>
      <c r="I2">
        <v>2</v>
      </c>
      <c r="J2">
        <v>8</v>
      </c>
      <c r="K2">
        <v>421</v>
      </c>
      <c r="L2" s="19">
        <v>784849</v>
      </c>
      <c r="M2" s="21">
        <v>0.45</v>
      </c>
      <c r="N2" t="s">
        <v>80</v>
      </c>
      <c r="O2" t="s">
        <v>111</v>
      </c>
      <c r="P2" t="s">
        <v>88</v>
      </c>
      <c r="Q2" s="21">
        <v>0.3</v>
      </c>
      <c r="R2" t="s">
        <v>87</v>
      </c>
      <c r="S2" t="s">
        <v>89</v>
      </c>
      <c r="T2" s="20">
        <v>43060</v>
      </c>
      <c r="U2" t="s">
        <v>115</v>
      </c>
      <c r="V2" t="s">
        <v>90</v>
      </c>
      <c r="W2" t="s">
        <v>91</v>
      </c>
    </row>
    <row r="3" spans="1:24" x14ac:dyDescent="0.25">
      <c r="A3" t="s">
        <v>81</v>
      </c>
      <c r="B3" t="s">
        <v>110</v>
      </c>
      <c r="C3" t="s">
        <v>116</v>
      </c>
      <c r="D3" s="20">
        <v>42736</v>
      </c>
      <c r="E3" s="20">
        <v>43040</v>
      </c>
      <c r="F3" t="s">
        <v>93</v>
      </c>
      <c r="G3" t="s">
        <v>107</v>
      </c>
      <c r="H3" s="19">
        <v>200000</v>
      </c>
      <c r="I3">
        <v>1</v>
      </c>
      <c r="J3">
        <v>1</v>
      </c>
      <c r="K3">
        <v>30</v>
      </c>
      <c r="L3" s="19">
        <v>45666</v>
      </c>
      <c r="M3" s="21">
        <v>0.75</v>
      </c>
      <c r="N3" t="s">
        <v>94</v>
      </c>
      <c r="O3" t="s">
        <v>112</v>
      </c>
      <c r="P3" t="s">
        <v>130</v>
      </c>
      <c r="R3" t="s">
        <v>87</v>
      </c>
      <c r="S3" t="s">
        <v>131</v>
      </c>
      <c r="T3" s="20">
        <v>43057</v>
      </c>
      <c r="U3" t="s">
        <v>116</v>
      </c>
      <c r="V3" t="s">
        <v>95</v>
      </c>
      <c r="W3" t="s">
        <v>96</v>
      </c>
    </row>
    <row r="4" spans="1:24" x14ac:dyDescent="0.25">
      <c r="A4" t="s">
        <v>132</v>
      </c>
      <c r="B4" t="s">
        <v>109</v>
      </c>
      <c r="C4" t="s">
        <v>78</v>
      </c>
      <c r="D4" s="20">
        <v>42917</v>
      </c>
      <c r="E4" s="20">
        <v>43040</v>
      </c>
      <c r="F4" t="s">
        <v>97</v>
      </c>
      <c r="G4" t="s">
        <v>108</v>
      </c>
      <c r="H4" s="19">
        <v>74000</v>
      </c>
      <c r="I4">
        <v>1</v>
      </c>
      <c r="J4">
        <v>3</v>
      </c>
      <c r="K4">
        <v>27</v>
      </c>
      <c r="L4" s="19">
        <v>644686876</v>
      </c>
      <c r="M4" s="21">
        <v>0.25</v>
      </c>
      <c r="N4" t="s">
        <v>98</v>
      </c>
      <c r="O4" t="s">
        <v>113</v>
      </c>
      <c r="P4" t="s">
        <v>99</v>
      </c>
      <c r="Q4" s="21">
        <v>0.4</v>
      </c>
      <c r="R4" t="s">
        <v>100</v>
      </c>
      <c r="S4" t="s">
        <v>101</v>
      </c>
      <c r="T4" s="20">
        <v>43053</v>
      </c>
      <c r="U4" t="s">
        <v>78</v>
      </c>
      <c r="V4" t="s">
        <v>90</v>
      </c>
      <c r="W4" t="s">
        <v>91</v>
      </c>
    </row>
  </sheetData>
  <printOptions headings="1"/>
  <pageMargins left="0.25" right="0.25" top="0.75" bottom="0.75" header="0.3" footer="0.3"/>
  <pageSetup paperSize="9" scale="51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13"/>
  <sheetViews>
    <sheetView workbookViewId="0">
      <selection activeCell="G12" sqref="G12"/>
    </sheetView>
  </sheetViews>
  <sheetFormatPr baseColWidth="10" defaultRowHeight="15" x14ac:dyDescent="0.25"/>
  <cols>
    <col min="4" max="4" width="12.28515625" bestFit="1" customWidth="1"/>
  </cols>
  <sheetData>
    <row r="1" spans="1:32" x14ac:dyDescent="0.25">
      <c r="A1" t="s">
        <v>10</v>
      </c>
      <c r="B1" t="s">
        <v>41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</row>
    <row r="2" spans="1:32" x14ac:dyDescent="0.25">
      <c r="A2" t="s">
        <v>77</v>
      </c>
      <c r="B2" t="s">
        <v>42</v>
      </c>
      <c r="C2" t="s">
        <v>117</v>
      </c>
      <c r="D2" t="s">
        <v>119</v>
      </c>
      <c r="E2" t="s">
        <v>121</v>
      </c>
    </row>
    <row r="3" spans="1:32" x14ac:dyDescent="0.25">
      <c r="A3" t="s">
        <v>77</v>
      </c>
      <c r="B3" t="s">
        <v>43</v>
      </c>
      <c r="C3" t="s">
        <v>67</v>
      </c>
      <c r="D3" t="s">
        <v>67</v>
      </c>
      <c r="E3" t="s">
        <v>74</v>
      </c>
    </row>
    <row r="4" spans="1:32" x14ac:dyDescent="0.25">
      <c r="A4" t="s">
        <v>77</v>
      </c>
      <c r="B4" t="s">
        <v>44</v>
      </c>
      <c r="C4" s="19">
        <v>5000</v>
      </c>
      <c r="D4" s="19">
        <v>70000</v>
      </c>
      <c r="E4" s="19">
        <v>-4000</v>
      </c>
    </row>
    <row r="5" spans="1:32" x14ac:dyDescent="0.25">
      <c r="A5" t="s">
        <v>77</v>
      </c>
      <c r="B5" t="s">
        <v>50</v>
      </c>
      <c r="C5" t="s">
        <v>118</v>
      </c>
      <c r="D5" t="s">
        <v>120</v>
      </c>
      <c r="E5" t="s">
        <v>122</v>
      </c>
    </row>
    <row r="6" spans="1:32" x14ac:dyDescent="0.25">
      <c r="A6" t="s">
        <v>81</v>
      </c>
      <c r="B6" t="s">
        <v>42</v>
      </c>
      <c r="C6" t="s">
        <v>123</v>
      </c>
      <c r="D6" t="s">
        <v>125</v>
      </c>
    </row>
    <row r="7" spans="1:32" x14ac:dyDescent="0.25">
      <c r="A7" t="s">
        <v>81</v>
      </c>
      <c r="B7" t="s">
        <v>43</v>
      </c>
      <c r="C7" t="s">
        <v>74</v>
      </c>
      <c r="D7" t="s">
        <v>74</v>
      </c>
    </row>
    <row r="8" spans="1:32" x14ac:dyDescent="0.25">
      <c r="A8" t="s">
        <v>81</v>
      </c>
      <c r="B8" t="s">
        <v>44</v>
      </c>
      <c r="C8" s="19">
        <v>-8000</v>
      </c>
      <c r="D8" s="19">
        <v>-8000</v>
      </c>
    </row>
    <row r="9" spans="1:32" x14ac:dyDescent="0.25">
      <c r="A9" t="s">
        <v>81</v>
      </c>
      <c r="B9" t="s">
        <v>50</v>
      </c>
      <c r="C9" t="s">
        <v>124</v>
      </c>
      <c r="D9" t="s">
        <v>126</v>
      </c>
    </row>
    <row r="10" spans="1:32" x14ac:dyDescent="0.25">
      <c r="A10" t="s">
        <v>92</v>
      </c>
      <c r="B10" t="s">
        <v>42</v>
      </c>
      <c r="C10" t="s">
        <v>127</v>
      </c>
      <c r="D10" t="s">
        <v>129</v>
      </c>
    </row>
    <row r="11" spans="1:32" x14ac:dyDescent="0.25">
      <c r="A11" t="s">
        <v>92</v>
      </c>
      <c r="B11" t="s">
        <v>43</v>
      </c>
      <c r="C11" t="s">
        <v>67</v>
      </c>
      <c r="D11" t="s">
        <v>75</v>
      </c>
    </row>
    <row r="12" spans="1:32" x14ac:dyDescent="0.25">
      <c r="A12" t="s">
        <v>92</v>
      </c>
      <c r="B12" t="s">
        <v>44</v>
      </c>
      <c r="C12" s="19">
        <v>50000</v>
      </c>
      <c r="D12" s="19">
        <v>789715546</v>
      </c>
    </row>
    <row r="13" spans="1:32" x14ac:dyDescent="0.25">
      <c r="A13" t="s">
        <v>92</v>
      </c>
      <c r="B13" t="s">
        <v>50</v>
      </c>
      <c r="C13" t="s">
        <v>128</v>
      </c>
      <c r="D13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"/>
  <sheetViews>
    <sheetView workbookViewId="0">
      <selection activeCell="A2" sqref="A2:A4"/>
    </sheetView>
  </sheetViews>
  <sheetFormatPr baseColWidth="10" defaultRowHeight="15" x14ac:dyDescent="0.25"/>
  <sheetData>
    <row r="1" spans="1:3" x14ac:dyDescent="0.25">
      <c r="A1" t="s">
        <v>104</v>
      </c>
      <c r="B1" t="s">
        <v>105</v>
      </c>
      <c r="C1" t="s">
        <v>0</v>
      </c>
    </row>
    <row r="2" spans="1:3" x14ac:dyDescent="0.25">
      <c r="A2" t="s">
        <v>115</v>
      </c>
      <c r="B2" t="s">
        <v>111</v>
      </c>
      <c r="C2" t="s">
        <v>109</v>
      </c>
    </row>
    <row r="3" spans="1:3" x14ac:dyDescent="0.25">
      <c r="A3" t="s">
        <v>116</v>
      </c>
      <c r="B3" t="s">
        <v>112</v>
      </c>
      <c r="C3" t="s">
        <v>110</v>
      </c>
    </row>
    <row r="4" spans="1:3" x14ac:dyDescent="0.25">
      <c r="A4" t="s">
        <v>78</v>
      </c>
      <c r="B4" t="s">
        <v>113</v>
      </c>
    </row>
    <row r="5" spans="1:3" x14ac:dyDescent="0.25">
      <c r="B5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Synthèse</vt:lpstr>
      <vt:lpstr>Fiche dossier</vt:lpstr>
      <vt:lpstr>Dossiers</vt:lpstr>
      <vt:lpstr>Points d'analyse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Archimed-Eval</cp:lastModifiedBy>
  <cp:lastPrinted>2017-11-22T10:31:33Z</cp:lastPrinted>
  <dcterms:created xsi:type="dcterms:W3CDTF">2017-11-17T12:29:39Z</dcterms:created>
  <dcterms:modified xsi:type="dcterms:W3CDTF">2017-11-22T11:21:19Z</dcterms:modified>
</cp:coreProperties>
</file>