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5130" windowWidth="18990" windowHeight="7305" tabRatio="677" firstSheet="3" activeTab="8"/>
    <workbookView xWindow="105" yWindow="-135" windowWidth="18990" windowHeight="5130" firstSheet="10" activeTab="9"/>
    <workbookView xWindow="660" yWindow="-45" windowWidth="17715" windowHeight="12330" firstSheet="10" activeTab="9"/>
  </bookViews>
  <sheets>
    <sheet name="2e trim 2016" sheetId="1" r:id="rId1"/>
    <sheet name="3ème trim 2016" sheetId="4" r:id="rId2"/>
    <sheet name="4ème trim 2016" sheetId="6" r:id="rId3"/>
    <sheet name="1er trim 2017" sheetId="7" r:id="rId4"/>
    <sheet name="2eme trim 2017 " sheetId="8" r:id="rId5"/>
    <sheet name="3eme trim 2017  " sheetId="9" r:id="rId6"/>
    <sheet name="4eme trim 2017  " sheetId="12" r:id="rId7"/>
    <sheet name="1er Trimestre 2018" sheetId="13" r:id="rId8"/>
    <sheet name="2ème Trim.2018" sheetId="19" r:id="rId9"/>
    <sheet name="Récapitulatif" sheetId="14" r:id="rId10"/>
    <sheet name="MODEL" sheetId="21" r:id="rId11"/>
    <sheet name="bareme com" sheetId="5" r:id="rId12"/>
    <sheet name="méth.Calcul (2)" sheetId="17" r:id="rId13"/>
    <sheet name="méth.Calcul" sheetId="3" r:id="rId14"/>
    <sheet name="Program." sheetId="20" r:id="rId15"/>
    <sheet name="Simulation 4e 2017" sheetId="16" r:id="rId16"/>
    <sheet name="simul.4e 2017 (2)" sheetId="18" r:id="rId17"/>
  </sheets>
  <definedNames>
    <definedName name="A" localSheetId="16">'simul.4e 2017 (2)'!$B:$B</definedName>
    <definedName name="A" localSheetId="15">'Simulation 4e 2017'!$B:$B</definedName>
    <definedName name="A">'4eme trim 2017  '!$B:$B</definedName>
    <definedName name="_xlnm.Print_Titles" localSheetId="3">'1er trim 2017'!$12:$12</definedName>
    <definedName name="_xlnm.Print_Titles" localSheetId="7">'1er Trimestre 2018'!$9:$9</definedName>
    <definedName name="_xlnm.Print_Titles" localSheetId="0">'2e trim 2016'!$1:$1</definedName>
    <definedName name="_xlnm.Print_Titles" localSheetId="4">'2eme trim 2017 '!$9:$9</definedName>
    <definedName name="_xlnm.Print_Titles" localSheetId="8">'2ème Trim.2018'!$9:$9</definedName>
    <definedName name="_xlnm.Print_Titles" localSheetId="1">'3ème trim 2016'!$12:$12</definedName>
    <definedName name="_xlnm.Print_Titles" localSheetId="5">'3eme trim 2017  '!$9:$9</definedName>
    <definedName name="_xlnm.Print_Titles" localSheetId="2">'4ème trim 2016'!$12:$12</definedName>
    <definedName name="_xlnm.Print_Titles" localSheetId="6">'4eme trim 2017  '!$9:$9</definedName>
    <definedName name="_xlnm.Print_Titles" localSheetId="10">MODEL!$9:$9</definedName>
    <definedName name="_xlnm.Print_Titles" localSheetId="14">Program.!$9:$9</definedName>
    <definedName name="_xlnm.Print_Titles" localSheetId="9">Récapitulatif!$1:$3</definedName>
    <definedName name="_xlnm.Print_Titles" localSheetId="16">'simul.4e 2017 (2)'!$9:$9</definedName>
    <definedName name="_xlnm.Print_Titles" localSheetId="15">'Simulation 4e 2017'!$9:$9</definedName>
    <definedName name="_xlnm.Print_Area" localSheetId="3">'1er trim 2017'!$A$1:$K$81</definedName>
    <definedName name="_xlnm.Print_Area" localSheetId="7">'1er Trimestre 2018'!$A$1:$J$72</definedName>
    <definedName name="_xlnm.Print_Area" localSheetId="0">'2e trim 2016'!$A$1:$L$69</definedName>
    <definedName name="_xlnm.Print_Area" localSheetId="4">'2eme trim 2017 '!$A$1:$L$83</definedName>
    <definedName name="_xlnm.Print_Area" localSheetId="8">'2ème Trim.2018'!$A$1:$J$94</definedName>
    <definedName name="_xlnm.Print_Area" localSheetId="1">'3ème trim 2016'!$A$1:$J$60</definedName>
    <definedName name="_xlnm.Print_Area" localSheetId="5">'3eme trim 2017  '!$A$1:$J$91</definedName>
    <definedName name="_xlnm.Print_Area" localSheetId="2">'4ème trim 2016'!$A$1:$J$94</definedName>
    <definedName name="_xlnm.Print_Area" localSheetId="6">'4eme trim 2017  '!$A$1:$K$99</definedName>
    <definedName name="_xlnm.Print_Area" localSheetId="10">MODEL!$A$1:$J$72</definedName>
    <definedName name="_xlnm.Print_Area" localSheetId="14">Program.!$A$1:$J$95</definedName>
    <definedName name="_xlnm.Print_Area" localSheetId="9">Récapitulatif!$A$1:$J$428</definedName>
    <definedName name="_xlnm.Print_Area" localSheetId="16">'simul.4e 2017 (2)'!$A$1:$L$98</definedName>
    <definedName name="_xlnm.Print_Area" localSheetId="15">'Simulation 4e 2017'!$A$1:$L$99</definedName>
  </definedNames>
  <calcPr calcId="125725" concurrentCalc="0"/>
</workbook>
</file>

<file path=xl/calcChain.xml><?xml version="1.0" encoding="utf-8"?>
<calcChain xmlns="http://schemas.openxmlformats.org/spreadsheetml/2006/main">
  <c r="I38" i="19"/>
  <c r="I34"/>
  <c r="I33"/>
  <c r="I32"/>
  <c r="A429" i="14"/>
  <c r="B429"/>
  <c r="D429"/>
  <c r="F429"/>
  <c r="G429"/>
  <c r="I429"/>
  <c r="A430"/>
  <c r="B430"/>
  <c r="D430"/>
  <c r="F430"/>
  <c r="G430"/>
  <c r="I430"/>
  <c r="A431"/>
  <c r="B431"/>
  <c r="D431"/>
  <c r="F431"/>
  <c r="G431"/>
  <c r="I431"/>
  <c r="A432"/>
  <c r="B432"/>
  <c r="D432"/>
  <c r="F432"/>
  <c r="G432"/>
  <c r="I432"/>
  <c r="A433"/>
  <c r="B433"/>
  <c r="D433"/>
  <c r="F433"/>
  <c r="G433"/>
  <c r="I433"/>
  <c r="A434"/>
  <c r="B434"/>
  <c r="D434"/>
  <c r="F434"/>
  <c r="G434"/>
  <c r="I434"/>
  <c r="A435"/>
  <c r="B435"/>
  <c r="D435"/>
  <c r="F435"/>
  <c r="G435"/>
  <c r="I435"/>
  <c r="A436"/>
  <c r="B436"/>
  <c r="D436"/>
  <c r="F436"/>
  <c r="G436"/>
  <c r="I436"/>
  <c r="A437"/>
  <c r="B437"/>
  <c r="D437"/>
  <c r="F437"/>
  <c r="G437"/>
  <c r="I437"/>
  <c r="A438"/>
  <c r="B438"/>
  <c r="D438"/>
  <c r="F438"/>
  <c r="G438"/>
  <c r="I438"/>
  <c r="A439"/>
  <c r="B439"/>
  <c r="D439"/>
  <c r="F439"/>
  <c r="G439"/>
  <c r="I439"/>
  <c r="A440"/>
  <c r="B440"/>
  <c r="D440"/>
  <c r="F440"/>
  <c r="G440"/>
  <c r="I440"/>
  <c r="A441"/>
  <c r="B441"/>
  <c r="D441"/>
  <c r="F441"/>
  <c r="G441"/>
  <c r="I441"/>
  <c r="A442"/>
  <c r="B442"/>
  <c r="D442"/>
  <c r="F442"/>
  <c r="G442"/>
  <c r="I442"/>
  <c r="J5" i="21"/>
  <c r="J4"/>
  <c r="J3"/>
  <c r="J23"/>
  <c r="J42"/>
  <c r="J43"/>
  <c r="J66"/>
  <c r="J68"/>
  <c r="J1"/>
  <c r="J7"/>
  <c r="J70"/>
  <c r="J71"/>
  <c r="J72"/>
  <c r="I30" i="19"/>
  <c r="I31"/>
  <c r="I35"/>
  <c r="I37"/>
  <c r="I39"/>
  <c r="I40"/>
  <c r="I42"/>
  <c r="I43"/>
  <c r="J45"/>
  <c r="I26" i="13"/>
  <c r="I10" i="8"/>
  <c r="J1" i="20"/>
  <c r="J3"/>
  <c r="J4"/>
  <c r="J5"/>
  <c r="J7"/>
  <c r="I29"/>
  <c r="J29"/>
  <c r="I28"/>
  <c r="J28"/>
  <c r="I27"/>
  <c r="J27"/>
  <c r="I26"/>
  <c r="J26"/>
  <c r="I25"/>
  <c r="J25"/>
  <c r="I24"/>
  <c r="J24"/>
  <c r="I23"/>
  <c r="J23"/>
  <c r="I22"/>
  <c r="J22"/>
  <c r="I21"/>
  <c r="J21"/>
  <c r="I20"/>
  <c r="J20"/>
  <c r="I19"/>
  <c r="J19"/>
  <c r="I18"/>
  <c r="J18"/>
  <c r="I17"/>
  <c r="J17"/>
  <c r="I16"/>
  <c r="J16"/>
  <c r="I15"/>
  <c r="J15"/>
  <c r="I14"/>
  <c r="J14"/>
  <c r="I13"/>
  <c r="J13"/>
  <c r="I12"/>
  <c r="J12"/>
  <c r="J11"/>
  <c r="J10"/>
  <c r="J65" i="19"/>
  <c r="J88"/>
  <c r="J90"/>
  <c r="J1"/>
  <c r="J3"/>
  <c r="J4"/>
  <c r="J5"/>
  <c r="J7"/>
  <c r="J92"/>
  <c r="J93"/>
  <c r="J94"/>
  <c r="I29"/>
  <c r="J29"/>
  <c r="I28"/>
  <c r="J28"/>
  <c r="I27"/>
  <c r="J27"/>
  <c r="I26"/>
  <c r="J26"/>
  <c r="I25"/>
  <c r="J25"/>
  <c r="I24"/>
  <c r="J24"/>
  <c r="I23"/>
  <c r="J23"/>
  <c r="I22"/>
  <c r="J22"/>
  <c r="I21"/>
  <c r="J21"/>
  <c r="I20"/>
  <c r="J20"/>
  <c r="I19"/>
  <c r="J19"/>
  <c r="I18"/>
  <c r="J18"/>
  <c r="I17"/>
  <c r="J17"/>
  <c r="I16"/>
  <c r="J16"/>
  <c r="I15"/>
  <c r="J15"/>
  <c r="I14"/>
  <c r="J14"/>
  <c r="I13"/>
  <c r="J13"/>
  <c r="I12"/>
  <c r="J12"/>
  <c r="J11"/>
  <c r="J10"/>
  <c r="J5" i="13"/>
  <c r="J4"/>
  <c r="J3"/>
  <c r="J1"/>
  <c r="J7"/>
  <c r="B364" i="14"/>
  <c r="B312"/>
  <c r="A295"/>
  <c r="B295"/>
  <c r="D295"/>
  <c r="F295"/>
  <c r="G295"/>
  <c r="I295"/>
  <c r="J295"/>
  <c r="A427"/>
  <c r="B427"/>
  <c r="D427"/>
  <c r="F427"/>
  <c r="G427"/>
  <c r="I427"/>
  <c r="J427"/>
  <c r="A109"/>
  <c r="B109"/>
  <c r="D109"/>
  <c r="F109"/>
  <c r="G109"/>
  <c r="I109"/>
  <c r="J109"/>
  <c r="A110"/>
  <c r="B110"/>
  <c r="D110"/>
  <c r="F110"/>
  <c r="G110"/>
  <c r="I110"/>
  <c r="J110"/>
  <c r="A49"/>
  <c r="B49"/>
  <c r="D49"/>
  <c r="F49"/>
  <c r="G49"/>
  <c r="I49"/>
  <c r="J49"/>
  <c r="A87"/>
  <c r="B87"/>
  <c r="D87"/>
  <c r="F87"/>
  <c r="G87"/>
  <c r="I87"/>
  <c r="A88"/>
  <c r="B88"/>
  <c r="D88"/>
  <c r="F88"/>
  <c r="G88"/>
  <c r="I88"/>
  <c r="A55"/>
  <c r="B55"/>
  <c r="D55"/>
  <c r="F55"/>
  <c r="G55"/>
  <c r="I55"/>
  <c r="A56"/>
  <c r="B56"/>
  <c r="D56"/>
  <c r="F56"/>
  <c r="G56"/>
  <c r="I56"/>
  <c r="A27"/>
  <c r="B27"/>
  <c r="D27"/>
  <c r="F27"/>
  <c r="G27"/>
  <c r="I27"/>
  <c r="A400"/>
  <c r="B400"/>
  <c r="D400"/>
  <c r="F400"/>
  <c r="G400"/>
  <c r="I400"/>
  <c r="A356"/>
  <c r="B356"/>
  <c r="D356"/>
  <c r="F356"/>
  <c r="G356"/>
  <c r="I356"/>
  <c r="A390"/>
  <c r="B390"/>
  <c r="D390"/>
  <c r="F390"/>
  <c r="G390"/>
  <c r="I390"/>
  <c r="A405"/>
  <c r="B405"/>
  <c r="D405"/>
  <c r="F405"/>
  <c r="G405"/>
  <c r="I405"/>
  <c r="A5"/>
  <c r="B5"/>
  <c r="D5"/>
  <c r="F5"/>
  <c r="G5"/>
  <c r="I5"/>
  <c r="A318"/>
  <c r="B318"/>
  <c r="D318"/>
  <c r="F318"/>
  <c r="G318"/>
  <c r="I318"/>
  <c r="A209"/>
  <c r="B209"/>
  <c r="D209"/>
  <c r="F209"/>
  <c r="G209"/>
  <c r="I209"/>
  <c r="A226"/>
  <c r="B226"/>
  <c r="D226"/>
  <c r="F226"/>
  <c r="G226"/>
  <c r="I226"/>
  <c r="A331"/>
  <c r="B331"/>
  <c r="D331"/>
  <c r="F331"/>
  <c r="G331"/>
  <c r="I331"/>
  <c r="A348"/>
  <c r="B348"/>
  <c r="D348"/>
  <c r="F348"/>
  <c r="G348"/>
  <c r="I348"/>
  <c r="A428"/>
  <c r="B428"/>
  <c r="D428"/>
  <c r="F428"/>
  <c r="G428"/>
  <c r="I428"/>
  <c r="A359"/>
  <c r="B359"/>
  <c r="D359"/>
  <c r="F359"/>
  <c r="G359"/>
  <c r="I359"/>
  <c r="A189"/>
  <c r="B189"/>
  <c r="D189"/>
  <c r="F189"/>
  <c r="G189"/>
  <c r="I189"/>
  <c r="A136"/>
  <c r="B136"/>
  <c r="D136"/>
  <c r="F136"/>
  <c r="G136"/>
  <c r="I136"/>
  <c r="A17"/>
  <c r="B17"/>
  <c r="D17"/>
  <c r="F17"/>
  <c r="G17"/>
  <c r="I17"/>
  <c r="A263"/>
  <c r="B263"/>
  <c r="D263"/>
  <c r="F263"/>
  <c r="G263"/>
  <c r="I263"/>
  <c r="A315"/>
  <c r="B315"/>
  <c r="D315"/>
  <c r="F315"/>
  <c r="G315"/>
  <c r="I315"/>
  <c r="A206"/>
  <c r="B206"/>
  <c r="D206"/>
  <c r="F206"/>
  <c r="G206"/>
  <c r="I206"/>
  <c r="A235"/>
  <c r="B235"/>
  <c r="D235"/>
  <c r="F235"/>
  <c r="G235"/>
  <c r="I235"/>
  <c r="A67"/>
  <c r="B67"/>
  <c r="D67"/>
  <c r="F67"/>
  <c r="G67"/>
  <c r="I67"/>
  <c r="A68"/>
  <c r="B68"/>
  <c r="D68"/>
  <c r="F68"/>
  <c r="G68"/>
  <c r="I68"/>
  <c r="A286"/>
  <c r="B286"/>
  <c r="D286"/>
  <c r="F286"/>
  <c r="G286"/>
  <c r="I286"/>
  <c r="A142"/>
  <c r="B142"/>
  <c r="D142"/>
  <c r="F142"/>
  <c r="G142"/>
  <c r="I142"/>
  <c r="A242"/>
  <c r="B242"/>
  <c r="D242"/>
  <c r="F242"/>
  <c r="G242"/>
  <c r="I242"/>
  <c r="A280"/>
  <c r="B280"/>
  <c r="D280"/>
  <c r="F280"/>
  <c r="G280"/>
  <c r="I280"/>
  <c r="A322"/>
  <c r="B322"/>
  <c r="D322"/>
  <c r="F322"/>
  <c r="G322"/>
  <c r="I322"/>
  <c r="A323"/>
  <c r="B323"/>
  <c r="D323"/>
  <c r="F323"/>
  <c r="G323"/>
  <c r="I323"/>
  <c r="A95"/>
  <c r="B95"/>
  <c r="D95"/>
  <c r="F95"/>
  <c r="G95"/>
  <c r="I95"/>
  <c r="A149"/>
  <c r="B149"/>
  <c r="D149"/>
  <c r="F149"/>
  <c r="G149"/>
  <c r="I149"/>
  <c r="A4"/>
  <c r="B4"/>
  <c r="D4"/>
  <c r="F4"/>
  <c r="G4"/>
  <c r="I4"/>
  <c r="A140"/>
  <c r="B140"/>
  <c r="D140"/>
  <c r="F140"/>
  <c r="G140"/>
  <c r="I140"/>
  <c r="A227"/>
  <c r="B227"/>
  <c r="D227"/>
  <c r="F227"/>
  <c r="G227"/>
  <c r="I227"/>
  <c r="A86"/>
  <c r="B86"/>
  <c r="D86"/>
  <c r="F86"/>
  <c r="G86"/>
  <c r="I86"/>
  <c r="A288"/>
  <c r="B288"/>
  <c r="D288"/>
  <c r="F288"/>
  <c r="G288"/>
  <c r="I288"/>
  <c r="A289"/>
  <c r="B289"/>
  <c r="D289"/>
  <c r="F289"/>
  <c r="G289"/>
  <c r="I289"/>
  <c r="A290"/>
  <c r="B290"/>
  <c r="D290"/>
  <c r="F290"/>
  <c r="G290"/>
  <c r="I290"/>
  <c r="A187"/>
  <c r="B187"/>
  <c r="D187"/>
  <c r="F187"/>
  <c r="G187"/>
  <c r="I187"/>
  <c r="A188"/>
  <c r="B188"/>
  <c r="D188"/>
  <c r="F188"/>
  <c r="G188"/>
  <c r="I188"/>
  <c r="A148"/>
  <c r="B148"/>
  <c r="D148"/>
  <c r="F148"/>
  <c r="G148"/>
  <c r="I148"/>
  <c r="A395"/>
  <c r="B395"/>
  <c r="D395"/>
  <c r="F395"/>
  <c r="G395"/>
  <c r="I395"/>
  <c r="A161"/>
  <c r="B161"/>
  <c r="D161"/>
  <c r="F161"/>
  <c r="G161"/>
  <c r="I161"/>
  <c r="A162"/>
  <c r="B162"/>
  <c r="D162"/>
  <c r="F162"/>
  <c r="G162"/>
  <c r="I162"/>
  <c r="A163"/>
  <c r="B163"/>
  <c r="D163"/>
  <c r="F163"/>
  <c r="G163"/>
  <c r="I163"/>
  <c r="A418"/>
  <c r="B418"/>
  <c r="D418"/>
  <c r="F418"/>
  <c r="G418"/>
  <c r="I418"/>
  <c r="A64"/>
  <c r="B64"/>
  <c r="D64"/>
  <c r="F64"/>
  <c r="G64"/>
  <c r="I64"/>
  <c r="A14"/>
  <c r="B14"/>
  <c r="D14"/>
  <c r="F14"/>
  <c r="G14"/>
  <c r="I14"/>
  <c r="A108"/>
  <c r="B108"/>
  <c r="D108"/>
  <c r="F108"/>
  <c r="G108"/>
  <c r="I108"/>
  <c r="A384"/>
  <c r="B384"/>
  <c r="D384"/>
  <c r="F384"/>
  <c r="G384"/>
  <c r="I384"/>
  <c r="A297"/>
  <c r="B297"/>
  <c r="D297"/>
  <c r="F297"/>
  <c r="G297"/>
  <c r="I44" i="13"/>
  <c r="I297" i="14"/>
  <c r="A171"/>
  <c r="B171"/>
  <c r="D171"/>
  <c r="F171"/>
  <c r="G171"/>
  <c r="I45" i="13"/>
  <c r="I171" i="14"/>
  <c r="A249"/>
  <c r="B249"/>
  <c r="D249"/>
  <c r="F249"/>
  <c r="G249"/>
  <c r="I46" i="13"/>
  <c r="I249" i="14"/>
  <c r="A250"/>
  <c r="B250"/>
  <c r="D250"/>
  <c r="F250"/>
  <c r="G250"/>
  <c r="I47" i="13"/>
  <c r="I250" i="14"/>
  <c r="A139"/>
  <c r="B139"/>
  <c r="D139"/>
  <c r="F139"/>
  <c r="G139"/>
  <c r="I48" i="13"/>
  <c r="I139" i="14"/>
  <c r="A28"/>
  <c r="B28"/>
  <c r="D28"/>
  <c r="F28"/>
  <c r="G28"/>
  <c r="I49" i="13"/>
  <c r="I28" i="14"/>
  <c r="A29"/>
  <c r="B29"/>
  <c r="D29"/>
  <c r="F29"/>
  <c r="G29"/>
  <c r="I50" i="13"/>
  <c r="I29" i="14"/>
  <c r="A218"/>
  <c r="B218"/>
  <c r="D218"/>
  <c r="F218"/>
  <c r="G218"/>
  <c r="I51" i="13"/>
  <c r="I218" i="14"/>
  <c r="A220"/>
  <c r="B220"/>
  <c r="D220"/>
  <c r="F220"/>
  <c r="G220"/>
  <c r="I52" i="13"/>
  <c r="I220" i="14"/>
  <c r="A410"/>
  <c r="B410"/>
  <c r="D410"/>
  <c r="F410"/>
  <c r="G410"/>
  <c r="I53" i="13"/>
  <c r="I410" i="14"/>
  <c r="A21"/>
  <c r="B21"/>
  <c r="D21"/>
  <c r="F21"/>
  <c r="G21"/>
  <c r="I54" i="13"/>
  <c r="I21" i="14"/>
  <c r="A181"/>
  <c r="B181"/>
  <c r="D181"/>
  <c r="F181"/>
  <c r="G181"/>
  <c r="I55" i="13"/>
  <c r="I181" i="14"/>
  <c r="A197"/>
  <c r="B197"/>
  <c r="D197"/>
  <c r="F197"/>
  <c r="G197"/>
  <c r="I56" i="13"/>
  <c r="I197" i="14"/>
  <c r="A217"/>
  <c r="B217"/>
  <c r="D217"/>
  <c r="F217"/>
  <c r="G217"/>
  <c r="I24" i="13"/>
  <c r="I217" i="14"/>
  <c r="A401"/>
  <c r="B401"/>
  <c r="D401"/>
  <c r="F401"/>
  <c r="G401"/>
  <c r="I25" i="13"/>
  <c r="I401" i="14"/>
  <c r="A416"/>
  <c r="B416"/>
  <c r="D416"/>
  <c r="F416"/>
  <c r="G416"/>
  <c r="I416"/>
  <c r="A137"/>
  <c r="B137"/>
  <c r="D137"/>
  <c r="F137"/>
  <c r="G137"/>
  <c r="I27" i="13"/>
  <c r="I137" i="14"/>
  <c r="A122"/>
  <c r="B122"/>
  <c r="D122"/>
  <c r="F122"/>
  <c r="G122"/>
  <c r="I28" i="13"/>
  <c r="I122" i="14"/>
  <c r="A134"/>
  <c r="B134"/>
  <c r="D134"/>
  <c r="F134"/>
  <c r="G134"/>
  <c r="I29" i="13"/>
  <c r="I134" i="14"/>
  <c r="A13"/>
  <c r="B13"/>
  <c r="D13"/>
  <c r="F13"/>
  <c r="G13"/>
  <c r="I30" i="13"/>
  <c r="I13" i="14"/>
  <c r="A79"/>
  <c r="B79"/>
  <c r="D79"/>
  <c r="F79"/>
  <c r="G79"/>
  <c r="I31" i="13"/>
  <c r="I79" i="14"/>
  <c r="A358"/>
  <c r="B358"/>
  <c r="D358"/>
  <c r="F358"/>
  <c r="G358"/>
  <c r="I32" i="13"/>
  <c r="I358" i="14"/>
  <c r="A386"/>
  <c r="B386"/>
  <c r="D386"/>
  <c r="F386"/>
  <c r="G386"/>
  <c r="I33" i="13"/>
  <c r="I386" i="14"/>
  <c r="A387"/>
  <c r="B387"/>
  <c r="D387"/>
  <c r="F387"/>
  <c r="G387"/>
  <c r="I34" i="13"/>
  <c r="I387" i="14"/>
  <c r="A69"/>
  <c r="B69"/>
  <c r="D69"/>
  <c r="F69"/>
  <c r="G69"/>
  <c r="I35" i="13"/>
  <c r="I69" i="14"/>
  <c r="A223"/>
  <c r="B223"/>
  <c r="D223"/>
  <c r="F223"/>
  <c r="G223"/>
  <c r="I36" i="13"/>
  <c r="I223" i="14"/>
  <c r="A224"/>
  <c r="B224"/>
  <c r="D224"/>
  <c r="F224"/>
  <c r="G224"/>
  <c r="I37" i="13"/>
  <c r="I224" i="14"/>
  <c r="A320"/>
  <c r="B320"/>
  <c r="D320"/>
  <c r="F320"/>
  <c r="G320"/>
  <c r="I38" i="13"/>
  <c r="I320" i="14"/>
  <c r="A126"/>
  <c r="B126"/>
  <c r="D126"/>
  <c r="F126"/>
  <c r="G126"/>
  <c r="I39" i="13"/>
  <c r="I126" i="14"/>
  <c r="A355"/>
  <c r="B355"/>
  <c r="D355"/>
  <c r="F355"/>
  <c r="G355"/>
  <c r="I40" i="13"/>
  <c r="I355" i="14"/>
  <c r="A170"/>
  <c r="B170"/>
  <c r="D170"/>
  <c r="F170"/>
  <c r="G170"/>
  <c r="I41" i="13"/>
  <c r="I170" i="14"/>
  <c r="A252"/>
  <c r="B252"/>
  <c r="D252"/>
  <c r="F252"/>
  <c r="G252"/>
  <c r="I10" i="13"/>
  <c r="I252" i="14"/>
  <c r="A45"/>
  <c r="B45"/>
  <c r="D45"/>
  <c r="F45"/>
  <c r="G45"/>
  <c r="I11" i="13"/>
  <c r="I45" i="14"/>
  <c r="A46"/>
  <c r="B46"/>
  <c r="D46"/>
  <c r="F46"/>
  <c r="G46"/>
  <c r="I12" i="13"/>
  <c r="I46" i="14"/>
  <c r="A347"/>
  <c r="B347"/>
  <c r="D347"/>
  <c r="F347"/>
  <c r="G347"/>
  <c r="I13" i="13"/>
  <c r="I347" i="14"/>
  <c r="A272"/>
  <c r="B272"/>
  <c r="D272"/>
  <c r="F272"/>
  <c r="G272"/>
  <c r="I14" i="13"/>
  <c r="I272" i="14"/>
  <c r="A374"/>
  <c r="B374"/>
  <c r="D374"/>
  <c r="F374"/>
  <c r="G374"/>
  <c r="I15" i="13"/>
  <c r="I374" i="14"/>
  <c r="A375"/>
  <c r="B375"/>
  <c r="D375"/>
  <c r="F375"/>
  <c r="G375"/>
  <c r="I16" i="13"/>
  <c r="I375" i="14"/>
  <c r="A376"/>
  <c r="B376"/>
  <c r="D376"/>
  <c r="F376"/>
  <c r="G376"/>
  <c r="I17" i="13"/>
  <c r="I376" i="14"/>
  <c r="A377"/>
  <c r="B377"/>
  <c r="D377"/>
  <c r="F377"/>
  <c r="G377"/>
  <c r="I18" i="13"/>
  <c r="I377" i="14"/>
  <c r="A378"/>
  <c r="B378"/>
  <c r="D378"/>
  <c r="F378"/>
  <c r="G378"/>
  <c r="I19" i="13"/>
  <c r="I378" i="14"/>
  <c r="A361"/>
  <c r="B361"/>
  <c r="D361"/>
  <c r="F361"/>
  <c r="G361"/>
  <c r="I20" i="13"/>
  <c r="I361" i="14"/>
  <c r="A281"/>
  <c r="B281"/>
  <c r="D281"/>
  <c r="F281"/>
  <c r="G281"/>
  <c r="I21" i="13"/>
  <c r="I281" i="14"/>
  <c r="I97"/>
  <c r="I138"/>
  <c r="I201"/>
  <c r="I113"/>
  <c r="I6"/>
  <c r="I114"/>
  <c r="I7"/>
  <c r="I116"/>
  <c r="I8"/>
  <c r="I10"/>
  <c r="I133"/>
  <c r="I11"/>
  <c r="I12"/>
  <c r="I337"/>
  <c r="I16"/>
  <c r="I394"/>
  <c r="I20"/>
  <c r="I22"/>
  <c r="I23"/>
  <c r="I24"/>
  <c r="I25"/>
  <c r="I26"/>
  <c r="I30"/>
  <c r="I32"/>
  <c r="I33"/>
  <c r="I39"/>
  <c r="I34"/>
  <c r="I40"/>
  <c r="I35"/>
  <c r="I200"/>
  <c r="I41"/>
  <c r="I239"/>
  <c r="I42"/>
  <c r="I240"/>
  <c r="I43"/>
  <c r="I245"/>
  <c r="I44"/>
  <c r="I247"/>
  <c r="I57"/>
  <c r="I70"/>
  <c r="I71"/>
  <c r="I72"/>
  <c r="I73"/>
  <c r="I74"/>
  <c r="I75"/>
  <c r="I52"/>
  <c r="I76"/>
  <c r="I62"/>
  <c r="I78"/>
  <c r="I111"/>
  <c r="I80"/>
  <c r="I118"/>
  <c r="I129"/>
  <c r="I81"/>
  <c r="I130"/>
  <c r="I82"/>
  <c r="I147"/>
  <c r="I83"/>
  <c r="I152"/>
  <c r="I234"/>
  <c r="I365"/>
  <c r="I89"/>
  <c r="I396"/>
  <c r="I92"/>
  <c r="I93"/>
  <c r="I94"/>
  <c r="I99"/>
  <c r="I172"/>
  <c r="I173"/>
  <c r="I112"/>
  <c r="I174"/>
  <c r="I176"/>
  <c r="I115"/>
  <c r="I177"/>
  <c r="I117"/>
  <c r="I190"/>
  <c r="I210"/>
  <c r="I119"/>
  <c r="I241"/>
  <c r="I123"/>
  <c r="I388"/>
  <c r="I124"/>
  <c r="I61"/>
  <c r="I207"/>
  <c r="I125"/>
  <c r="I221"/>
  <c r="I231"/>
  <c r="I127"/>
  <c r="I298"/>
  <c r="I302"/>
  <c r="I303"/>
  <c r="I131"/>
  <c r="I305"/>
  <c r="I132"/>
  <c r="I423"/>
  <c r="I58"/>
  <c r="I160"/>
  <c r="I180"/>
  <c r="I202"/>
  <c r="I141"/>
  <c r="I296"/>
  <c r="I345"/>
  <c r="I143"/>
  <c r="I150"/>
  <c r="I144"/>
  <c r="I153"/>
  <c r="I164"/>
  <c r="I154"/>
  <c r="I182"/>
  <c r="I155"/>
  <c r="I248"/>
  <c r="I156"/>
  <c r="I246"/>
  <c r="I157"/>
  <c r="I256"/>
  <c r="I158"/>
  <c r="I257"/>
  <c r="I159"/>
  <c r="I258"/>
  <c r="I268"/>
  <c r="I282"/>
  <c r="I283"/>
  <c r="I168"/>
  <c r="I419"/>
  <c r="I179"/>
  <c r="I215"/>
  <c r="I244"/>
  <c r="I308"/>
  <c r="I333"/>
  <c r="I191"/>
  <c r="I192"/>
  <c r="I193"/>
  <c r="I120"/>
  <c r="I194"/>
  <c r="I199"/>
  <c r="I277"/>
  <c r="I292"/>
  <c r="I203"/>
  <c r="I299"/>
  <c r="I204"/>
  <c r="I300"/>
  <c r="I304"/>
  <c r="I90"/>
  <c r="I212"/>
  <c r="I91"/>
  <c r="I211"/>
  <c r="I213"/>
  <c r="I214"/>
  <c r="I166"/>
  <c r="I216"/>
  <c r="I196"/>
  <c r="I59" i="12"/>
  <c r="J59"/>
  <c r="I38"/>
  <c r="J38"/>
  <c r="I66"/>
  <c r="J66"/>
  <c r="I60"/>
  <c r="I78"/>
  <c r="I79"/>
  <c r="I80"/>
  <c r="I81"/>
  <c r="I82"/>
  <c r="I64"/>
  <c r="J64"/>
  <c r="I61"/>
  <c r="I62"/>
  <c r="I77"/>
  <c r="J77"/>
  <c r="I72"/>
  <c r="I73"/>
  <c r="I40"/>
  <c r="J40"/>
  <c r="I54"/>
  <c r="J54"/>
  <c r="J81"/>
  <c r="I87"/>
  <c r="J87"/>
  <c r="I56"/>
  <c r="J56"/>
  <c r="I31"/>
  <c r="J31"/>
  <c r="I36"/>
  <c r="J78"/>
  <c r="I45"/>
  <c r="J45"/>
  <c r="I39"/>
  <c r="J39"/>
  <c r="I74"/>
  <c r="J74"/>
  <c r="I44"/>
  <c r="J44"/>
  <c r="I67"/>
  <c r="J67"/>
  <c r="J80"/>
  <c r="I52"/>
  <c r="J52"/>
  <c r="I75"/>
  <c r="J75"/>
  <c r="J92"/>
  <c r="I57"/>
  <c r="J57"/>
  <c r="I58"/>
  <c r="J58"/>
  <c r="I32"/>
  <c r="J32"/>
  <c r="J72"/>
  <c r="I65"/>
  <c r="J65"/>
  <c r="I46"/>
  <c r="J46"/>
  <c r="I90"/>
  <c r="J90"/>
  <c r="I91"/>
  <c r="J91"/>
  <c r="I51"/>
  <c r="J51"/>
  <c r="I30"/>
  <c r="J30"/>
  <c r="J60"/>
  <c r="I41"/>
  <c r="J41"/>
  <c r="I42"/>
  <c r="J42"/>
  <c r="J36"/>
  <c r="I37"/>
  <c r="J37"/>
  <c r="I50"/>
  <c r="J50"/>
  <c r="J55"/>
  <c r="J82"/>
  <c r="I83"/>
  <c r="J83"/>
  <c r="J61"/>
  <c r="I53"/>
  <c r="J53"/>
  <c r="J62"/>
  <c r="I33"/>
  <c r="J33"/>
  <c r="I34"/>
  <c r="J34"/>
  <c r="I35"/>
  <c r="J35"/>
  <c r="J88"/>
  <c r="I63"/>
  <c r="J63"/>
  <c r="I84"/>
  <c r="J84"/>
  <c r="I85"/>
  <c r="J85"/>
  <c r="I47"/>
  <c r="J47"/>
  <c r="I76"/>
  <c r="J76"/>
  <c r="J79"/>
  <c r="I43"/>
  <c r="J43"/>
  <c r="I71"/>
  <c r="I86"/>
  <c r="J86"/>
  <c r="I89"/>
  <c r="J89"/>
  <c r="A53" i="14"/>
  <c r="B53"/>
  <c r="D53"/>
  <c r="F53"/>
  <c r="G53"/>
  <c r="I53"/>
  <c r="A185"/>
  <c r="B185"/>
  <c r="D185"/>
  <c r="F185"/>
  <c r="G185"/>
  <c r="I185"/>
  <c r="A186"/>
  <c r="B186"/>
  <c r="D186"/>
  <c r="F186"/>
  <c r="G186"/>
  <c r="I186"/>
  <c r="A103"/>
  <c r="B103"/>
  <c r="D103"/>
  <c r="F103"/>
  <c r="G103"/>
  <c r="I103"/>
  <c r="A104"/>
  <c r="B104"/>
  <c r="D104"/>
  <c r="F104"/>
  <c r="G104"/>
  <c r="I104"/>
  <c r="A105"/>
  <c r="B105"/>
  <c r="D105"/>
  <c r="F105"/>
  <c r="G105"/>
  <c r="I105"/>
  <c r="A106"/>
  <c r="B106"/>
  <c r="D106"/>
  <c r="F106"/>
  <c r="G106"/>
  <c r="I106"/>
  <c r="A107"/>
  <c r="B107"/>
  <c r="D107"/>
  <c r="F107"/>
  <c r="G107"/>
  <c r="I107"/>
  <c r="A183"/>
  <c r="B183"/>
  <c r="D183"/>
  <c r="F183"/>
  <c r="G183"/>
  <c r="I183"/>
  <c r="A184"/>
  <c r="B184"/>
  <c r="D184"/>
  <c r="F184"/>
  <c r="G184"/>
  <c r="I184"/>
  <c r="A328"/>
  <c r="B328"/>
  <c r="D328"/>
  <c r="F328"/>
  <c r="G328"/>
  <c r="I328"/>
  <c r="A329"/>
  <c r="B329"/>
  <c r="D329"/>
  <c r="F329"/>
  <c r="G329"/>
  <c r="I329"/>
  <c r="A22"/>
  <c r="B22"/>
  <c r="D22"/>
  <c r="F22"/>
  <c r="G22"/>
  <c r="A23"/>
  <c r="B23"/>
  <c r="D23"/>
  <c r="F23"/>
  <c r="G23"/>
  <c r="A351"/>
  <c r="B351"/>
  <c r="D351"/>
  <c r="F351"/>
  <c r="G351"/>
  <c r="I351"/>
  <c r="A352"/>
  <c r="B352"/>
  <c r="D352"/>
  <c r="F352"/>
  <c r="G352"/>
  <c r="I352"/>
  <c r="A353"/>
  <c r="B353"/>
  <c r="D353"/>
  <c r="F353"/>
  <c r="G353"/>
  <c r="I353"/>
  <c r="A420"/>
  <c r="B420"/>
  <c r="D420"/>
  <c r="F420"/>
  <c r="G420"/>
  <c r="I420"/>
  <c r="A80"/>
  <c r="B80"/>
  <c r="D80"/>
  <c r="F80"/>
  <c r="G80"/>
  <c r="A30"/>
  <c r="B30"/>
  <c r="D30"/>
  <c r="F30"/>
  <c r="G30"/>
  <c r="A312"/>
  <c r="D312"/>
  <c r="F312"/>
  <c r="G312"/>
  <c r="I312"/>
  <c r="A313"/>
  <c r="B313"/>
  <c r="D313"/>
  <c r="F313"/>
  <c r="G313"/>
  <c r="I313"/>
  <c r="A314"/>
  <c r="B314"/>
  <c r="D314"/>
  <c r="F314"/>
  <c r="G314"/>
  <c r="I314"/>
  <c r="A259"/>
  <c r="B259"/>
  <c r="D259"/>
  <c r="F259"/>
  <c r="G259"/>
  <c r="I259"/>
  <c r="A391"/>
  <c r="B391"/>
  <c r="D391"/>
  <c r="F391"/>
  <c r="G391"/>
  <c r="I391"/>
  <c r="A169"/>
  <c r="B169"/>
  <c r="D169"/>
  <c r="F169"/>
  <c r="G169"/>
  <c r="I169"/>
  <c r="A330"/>
  <c r="B330"/>
  <c r="D330"/>
  <c r="F330"/>
  <c r="G330"/>
  <c r="I330"/>
  <c r="A78"/>
  <c r="B78"/>
  <c r="D78"/>
  <c r="F78"/>
  <c r="G78"/>
  <c r="A124"/>
  <c r="B124"/>
  <c r="D124"/>
  <c r="F124"/>
  <c r="G124"/>
  <c r="A101"/>
  <c r="B101"/>
  <c r="D101"/>
  <c r="F101"/>
  <c r="G101"/>
  <c r="I101"/>
  <c r="A102"/>
  <c r="B102"/>
  <c r="D102"/>
  <c r="F102"/>
  <c r="G102"/>
  <c r="I102"/>
  <c r="A327"/>
  <c r="B327"/>
  <c r="D327"/>
  <c r="F327"/>
  <c r="G327"/>
  <c r="I327"/>
  <c r="A85"/>
  <c r="B85"/>
  <c r="D85"/>
  <c r="F85"/>
  <c r="G85"/>
  <c r="I85"/>
  <c r="A385"/>
  <c r="B385"/>
  <c r="D385"/>
  <c r="F385"/>
  <c r="G385"/>
  <c r="I385"/>
  <c r="A399"/>
  <c r="B399"/>
  <c r="D399"/>
  <c r="F399"/>
  <c r="G399"/>
  <c r="I399"/>
  <c r="A82"/>
  <c r="B82"/>
  <c r="D82"/>
  <c r="F82"/>
  <c r="G82"/>
  <c r="A83"/>
  <c r="B83"/>
  <c r="D83"/>
  <c r="F83"/>
  <c r="G83"/>
  <c r="A84"/>
  <c r="B84"/>
  <c r="D84"/>
  <c r="F84"/>
  <c r="G84"/>
  <c r="I84"/>
  <c r="A63"/>
  <c r="B63"/>
  <c r="D63"/>
  <c r="F63"/>
  <c r="G63"/>
  <c r="I63"/>
  <c r="A407"/>
  <c r="B407"/>
  <c r="D407"/>
  <c r="F407"/>
  <c r="G407"/>
  <c r="I407"/>
  <c r="A408"/>
  <c r="B408"/>
  <c r="D408"/>
  <c r="F408"/>
  <c r="G408"/>
  <c r="I408"/>
  <c r="A284"/>
  <c r="B284"/>
  <c r="D284"/>
  <c r="F284"/>
  <c r="G284"/>
  <c r="I284"/>
  <c r="A285"/>
  <c r="B285"/>
  <c r="D285"/>
  <c r="F285"/>
  <c r="G285"/>
  <c r="I285"/>
  <c r="A12"/>
  <c r="B12"/>
  <c r="D12"/>
  <c r="F12"/>
  <c r="G12"/>
  <c r="A24"/>
  <c r="B24"/>
  <c r="D24"/>
  <c r="F24"/>
  <c r="G24"/>
  <c r="A294"/>
  <c r="B294"/>
  <c r="D294"/>
  <c r="F294"/>
  <c r="G294"/>
  <c r="I294"/>
  <c r="A73"/>
  <c r="B73"/>
  <c r="D73"/>
  <c r="F73"/>
  <c r="G73"/>
  <c r="A325"/>
  <c r="B325"/>
  <c r="D325"/>
  <c r="F325"/>
  <c r="G325"/>
  <c r="I325"/>
  <c r="A326"/>
  <c r="B326"/>
  <c r="D326"/>
  <c r="F326"/>
  <c r="G326"/>
  <c r="I326"/>
  <c r="A165"/>
  <c r="B165"/>
  <c r="D165"/>
  <c r="F165"/>
  <c r="G165"/>
  <c r="I165"/>
  <c r="A26"/>
  <c r="B26"/>
  <c r="D26"/>
  <c r="F26"/>
  <c r="G26"/>
  <c r="A120"/>
  <c r="B120"/>
  <c r="D120"/>
  <c r="F120"/>
  <c r="G120"/>
  <c r="A151"/>
  <c r="B151"/>
  <c r="D151"/>
  <c r="F151"/>
  <c r="G151"/>
  <c r="I151"/>
  <c r="A125"/>
  <c r="B125"/>
  <c r="D125"/>
  <c r="F125"/>
  <c r="G125"/>
  <c r="A426"/>
  <c r="B426"/>
  <c r="D426"/>
  <c r="F426"/>
  <c r="G426"/>
  <c r="I426"/>
  <c r="A382"/>
  <c r="B382"/>
  <c r="D382"/>
  <c r="F382"/>
  <c r="G382"/>
  <c r="I382"/>
  <c r="A219"/>
  <c r="B219"/>
  <c r="D219"/>
  <c r="F219"/>
  <c r="G219"/>
  <c r="I219"/>
  <c r="A57"/>
  <c r="B57"/>
  <c r="D57"/>
  <c r="F57"/>
  <c r="G57"/>
  <c r="A269"/>
  <c r="B269"/>
  <c r="D269"/>
  <c r="F269"/>
  <c r="G269"/>
  <c r="I269"/>
  <c r="A299"/>
  <c r="B299"/>
  <c r="D299"/>
  <c r="F299"/>
  <c r="G299"/>
  <c r="A300"/>
  <c r="B300"/>
  <c r="D300"/>
  <c r="F300"/>
  <c r="G300"/>
  <c r="A74"/>
  <c r="B74"/>
  <c r="D74"/>
  <c r="F74"/>
  <c r="G74"/>
  <c r="A277"/>
  <c r="B277"/>
  <c r="D277"/>
  <c r="F277"/>
  <c r="G277"/>
  <c r="A339"/>
  <c r="B339"/>
  <c r="D339"/>
  <c r="F339"/>
  <c r="G339"/>
  <c r="I339"/>
  <c r="A70"/>
  <c r="B70"/>
  <c r="D70"/>
  <c r="F70"/>
  <c r="G70"/>
  <c r="A117"/>
  <c r="B117"/>
  <c r="D117"/>
  <c r="F117"/>
  <c r="G117"/>
  <c r="A292"/>
  <c r="B292"/>
  <c r="D292"/>
  <c r="F292"/>
  <c r="G292"/>
  <c r="A293"/>
  <c r="B293"/>
  <c r="D293"/>
  <c r="F293"/>
  <c r="G293"/>
  <c r="I293"/>
  <c r="A6"/>
  <c r="B6"/>
  <c r="D6"/>
  <c r="F6"/>
  <c r="G6"/>
  <c r="A7"/>
  <c r="B7"/>
  <c r="D7"/>
  <c r="F7"/>
  <c r="G7"/>
  <c r="A304"/>
  <c r="B304"/>
  <c r="D304"/>
  <c r="F304"/>
  <c r="G304"/>
  <c r="A191"/>
  <c r="B191"/>
  <c r="D191"/>
  <c r="F191"/>
  <c r="G191"/>
  <c r="A48"/>
  <c r="B48"/>
  <c r="D48"/>
  <c r="F48"/>
  <c r="G48"/>
  <c r="I48"/>
  <c r="A41"/>
  <c r="B41"/>
  <c r="D41"/>
  <c r="F41"/>
  <c r="G41"/>
  <c r="A419"/>
  <c r="B419"/>
  <c r="D419"/>
  <c r="F419"/>
  <c r="G419"/>
  <c r="A311"/>
  <c r="B311"/>
  <c r="D311"/>
  <c r="F311"/>
  <c r="G311"/>
  <c r="I311"/>
  <c r="A324"/>
  <c r="B324"/>
  <c r="D324"/>
  <c r="F324"/>
  <c r="G324"/>
  <c r="I324"/>
  <c r="A417"/>
  <c r="B417"/>
  <c r="D417"/>
  <c r="F417"/>
  <c r="G417"/>
  <c r="I417"/>
  <c r="A256"/>
  <c r="B256"/>
  <c r="D256"/>
  <c r="F256"/>
  <c r="G256"/>
  <c r="A257"/>
  <c r="B257"/>
  <c r="D257"/>
  <c r="F257"/>
  <c r="G257"/>
  <c r="A258"/>
  <c r="B258"/>
  <c r="D258"/>
  <c r="F258"/>
  <c r="G258"/>
  <c r="A357"/>
  <c r="B357"/>
  <c r="D357"/>
  <c r="F357"/>
  <c r="G357"/>
  <c r="I357"/>
  <c r="A143"/>
  <c r="B143"/>
  <c r="D143"/>
  <c r="F143"/>
  <c r="G143"/>
  <c r="A144"/>
  <c r="B144"/>
  <c r="D144"/>
  <c r="F144"/>
  <c r="G144"/>
  <c r="A182"/>
  <c r="B182"/>
  <c r="D182"/>
  <c r="F182"/>
  <c r="G182"/>
  <c r="A282"/>
  <c r="B282"/>
  <c r="D282"/>
  <c r="F282"/>
  <c r="G282"/>
  <c r="A283"/>
  <c r="B283"/>
  <c r="D283"/>
  <c r="F283"/>
  <c r="G283"/>
  <c r="A248"/>
  <c r="B248"/>
  <c r="D248"/>
  <c r="F248"/>
  <c r="G248"/>
  <c r="A246"/>
  <c r="B246"/>
  <c r="D246"/>
  <c r="F246"/>
  <c r="G246"/>
  <c r="A268"/>
  <c r="B268"/>
  <c r="D268"/>
  <c r="F268"/>
  <c r="G268"/>
  <c r="A164"/>
  <c r="B164"/>
  <c r="D164"/>
  <c r="F164"/>
  <c r="G164"/>
  <c r="A19"/>
  <c r="B19"/>
  <c r="D19"/>
  <c r="F19"/>
  <c r="G19"/>
  <c r="I19"/>
  <c r="A157"/>
  <c r="B157"/>
  <c r="D157"/>
  <c r="F157"/>
  <c r="G157"/>
  <c r="A158"/>
  <c r="B158"/>
  <c r="D158"/>
  <c r="F158"/>
  <c r="G158"/>
  <c r="A381"/>
  <c r="B381"/>
  <c r="D381"/>
  <c r="F381"/>
  <c r="G381"/>
  <c r="I381"/>
  <c r="A75"/>
  <c r="B75"/>
  <c r="D75"/>
  <c r="F75"/>
  <c r="G75"/>
  <c r="A76"/>
  <c r="B76"/>
  <c r="D76"/>
  <c r="F76"/>
  <c r="G76"/>
  <c r="A423"/>
  <c r="B423"/>
  <c r="D423"/>
  <c r="F423"/>
  <c r="G423"/>
  <c r="A298"/>
  <c r="B298"/>
  <c r="D298"/>
  <c r="F298"/>
  <c r="G298"/>
  <c r="A301"/>
  <c r="B301"/>
  <c r="D301"/>
  <c r="F301"/>
  <c r="G301"/>
  <c r="I301"/>
  <c r="A231"/>
  <c r="B231"/>
  <c r="D231"/>
  <c r="F231"/>
  <c r="G231"/>
  <c r="A302"/>
  <c r="B302"/>
  <c r="D302"/>
  <c r="F302"/>
  <c r="G302"/>
  <c r="A303"/>
  <c r="B303"/>
  <c r="D303"/>
  <c r="F303"/>
  <c r="G303"/>
  <c r="A305"/>
  <c r="B305"/>
  <c r="D305"/>
  <c r="F305"/>
  <c r="G305"/>
  <c r="A61"/>
  <c r="B61"/>
  <c r="D61"/>
  <c r="F61"/>
  <c r="G61"/>
  <c r="A221"/>
  <c r="B221"/>
  <c r="D221"/>
  <c r="F221"/>
  <c r="G221"/>
  <c r="A207"/>
  <c r="B207"/>
  <c r="D207"/>
  <c r="F207"/>
  <c r="G207"/>
  <c r="A208"/>
  <c r="B208"/>
  <c r="D208"/>
  <c r="F208"/>
  <c r="G208"/>
  <c r="I208"/>
  <c r="A396"/>
  <c r="B396"/>
  <c r="D396"/>
  <c r="F396"/>
  <c r="G396"/>
  <c r="A52"/>
  <c r="B52"/>
  <c r="D52"/>
  <c r="F52"/>
  <c r="G52"/>
  <c r="A98"/>
  <c r="B98"/>
  <c r="D98"/>
  <c r="F98"/>
  <c r="G98"/>
  <c r="I98"/>
  <c r="A43"/>
  <c r="B43"/>
  <c r="D43"/>
  <c r="F43"/>
  <c r="G43"/>
  <c r="A44"/>
  <c r="B44"/>
  <c r="D44"/>
  <c r="F44"/>
  <c r="G44"/>
  <c r="A62"/>
  <c r="B62"/>
  <c r="D62"/>
  <c r="F62"/>
  <c r="G62"/>
  <c r="A118"/>
  <c r="B118"/>
  <c r="D118"/>
  <c r="F118"/>
  <c r="G118"/>
  <c r="A152"/>
  <c r="B152"/>
  <c r="D152"/>
  <c r="F152"/>
  <c r="G152"/>
  <c r="A153"/>
  <c r="B153"/>
  <c r="D153"/>
  <c r="F153"/>
  <c r="G153"/>
  <c r="A194"/>
  <c r="B194"/>
  <c r="D194"/>
  <c r="F194"/>
  <c r="G194"/>
  <c r="A129"/>
  <c r="B129"/>
  <c r="D129"/>
  <c r="F129"/>
  <c r="G129"/>
  <c r="A130"/>
  <c r="B130"/>
  <c r="D130"/>
  <c r="F130"/>
  <c r="G130"/>
  <c r="A211"/>
  <c r="B211"/>
  <c r="D211"/>
  <c r="F211"/>
  <c r="G211"/>
  <c r="A25"/>
  <c r="B25"/>
  <c r="D25"/>
  <c r="F25"/>
  <c r="G25"/>
  <c r="A365"/>
  <c r="B365"/>
  <c r="D365"/>
  <c r="F365"/>
  <c r="G365"/>
  <c r="A234"/>
  <c r="B234"/>
  <c r="D234"/>
  <c r="F234"/>
  <c r="G234"/>
  <c r="A111"/>
  <c r="B111"/>
  <c r="D111"/>
  <c r="F111"/>
  <c r="G111"/>
  <c r="A147"/>
  <c r="B147"/>
  <c r="D147"/>
  <c r="F147"/>
  <c r="G147"/>
  <c r="A397"/>
  <c r="B397"/>
  <c r="D397"/>
  <c r="F397"/>
  <c r="G397"/>
  <c r="I397"/>
  <c r="A319"/>
  <c r="B319"/>
  <c r="D319"/>
  <c r="F319"/>
  <c r="G319"/>
  <c r="I319"/>
  <c r="A247"/>
  <c r="B247"/>
  <c r="D247"/>
  <c r="F247"/>
  <c r="G247"/>
  <c r="A245"/>
  <c r="B245"/>
  <c r="D245"/>
  <c r="F245"/>
  <c r="G245"/>
  <c r="A54"/>
  <c r="B54"/>
  <c r="D54"/>
  <c r="F54"/>
  <c r="G54"/>
  <c r="I54"/>
  <c r="A273"/>
  <c r="B273"/>
  <c r="D273"/>
  <c r="F273"/>
  <c r="G273"/>
  <c r="I273"/>
  <c r="A412"/>
  <c r="B412"/>
  <c r="D412"/>
  <c r="F412"/>
  <c r="G412"/>
  <c r="I412"/>
  <c r="A413"/>
  <c r="B413"/>
  <c r="D413"/>
  <c r="F413"/>
  <c r="G413"/>
  <c r="I413"/>
  <c r="A239"/>
  <c r="B239"/>
  <c r="D239"/>
  <c r="F239"/>
  <c r="G239"/>
  <c r="A240"/>
  <c r="B240"/>
  <c r="D240"/>
  <c r="F240"/>
  <c r="G240"/>
  <c r="A200"/>
  <c r="B200"/>
  <c r="D200"/>
  <c r="F200"/>
  <c r="G200"/>
  <c r="A77"/>
  <c r="B77"/>
  <c r="D77"/>
  <c r="F77"/>
  <c r="G77"/>
  <c r="I77"/>
  <c r="A379"/>
  <c r="B379"/>
  <c r="D379"/>
  <c r="F379"/>
  <c r="G379"/>
  <c r="I379"/>
  <c r="A39"/>
  <c r="B39"/>
  <c r="D39"/>
  <c r="F39"/>
  <c r="G39"/>
  <c r="A40"/>
  <c r="B40"/>
  <c r="D40"/>
  <c r="F40"/>
  <c r="G40"/>
  <c r="A16"/>
  <c r="B16"/>
  <c r="D16"/>
  <c r="F16"/>
  <c r="G16"/>
  <c r="A128"/>
  <c r="B128"/>
  <c r="D128"/>
  <c r="F128"/>
  <c r="G128"/>
  <c r="I128"/>
  <c r="A334"/>
  <c r="B334"/>
  <c r="D334"/>
  <c r="F334"/>
  <c r="G334"/>
  <c r="I334"/>
  <c r="A398"/>
  <c r="B398"/>
  <c r="D398"/>
  <c r="F398"/>
  <c r="G398"/>
  <c r="I398"/>
  <c r="A119"/>
  <c r="B119"/>
  <c r="D119"/>
  <c r="F119"/>
  <c r="G119"/>
  <c r="A228"/>
  <c r="B228"/>
  <c r="D228"/>
  <c r="F228"/>
  <c r="G228"/>
  <c r="I228"/>
  <c r="A307"/>
  <c r="B307"/>
  <c r="D307"/>
  <c r="F307"/>
  <c r="G307"/>
  <c r="I307"/>
  <c r="A113"/>
  <c r="B113"/>
  <c r="D113"/>
  <c r="F113"/>
  <c r="G113"/>
  <c r="A393"/>
  <c r="B393"/>
  <c r="D393"/>
  <c r="F393"/>
  <c r="G393"/>
  <c r="I393"/>
  <c r="A394"/>
  <c r="B394"/>
  <c r="D394"/>
  <c r="F394"/>
  <c r="G394"/>
  <c r="A127"/>
  <c r="B127"/>
  <c r="D127"/>
  <c r="F127"/>
  <c r="G127"/>
  <c r="A100"/>
  <c r="B100"/>
  <c r="D100"/>
  <c r="F100"/>
  <c r="G100"/>
  <c r="I100"/>
  <c r="A121"/>
  <c r="B121"/>
  <c r="D121"/>
  <c r="F121"/>
  <c r="G121"/>
  <c r="I121"/>
  <c r="A337"/>
  <c r="B337"/>
  <c r="D337"/>
  <c r="F337"/>
  <c r="G337"/>
  <c r="A338"/>
  <c r="B338"/>
  <c r="D338"/>
  <c r="F338"/>
  <c r="G338"/>
  <c r="I338"/>
  <c r="A116"/>
  <c r="B116"/>
  <c r="D116"/>
  <c r="F116"/>
  <c r="G116"/>
  <c r="A133"/>
  <c r="B133"/>
  <c r="D133"/>
  <c r="F133"/>
  <c r="G133"/>
  <c r="A414"/>
  <c r="B414"/>
  <c r="D414"/>
  <c r="F414"/>
  <c r="G414"/>
  <c r="I414"/>
  <c r="A415"/>
  <c r="B415"/>
  <c r="D415"/>
  <c r="F415"/>
  <c r="G415"/>
  <c r="I415"/>
  <c r="A411"/>
  <c r="B411"/>
  <c r="D411"/>
  <c r="F411"/>
  <c r="G411"/>
  <c r="I411"/>
  <c r="A11"/>
  <c r="B11"/>
  <c r="D11"/>
  <c r="F11"/>
  <c r="G11"/>
  <c r="A114"/>
  <c r="B114"/>
  <c r="D114"/>
  <c r="F114"/>
  <c r="G114"/>
  <c r="A383"/>
  <c r="B383"/>
  <c r="D383"/>
  <c r="F383"/>
  <c r="G383"/>
  <c r="I383"/>
  <c r="A341"/>
  <c r="B341"/>
  <c r="D341"/>
  <c r="F341"/>
  <c r="G341"/>
  <c r="I341"/>
  <c r="A93"/>
  <c r="B93"/>
  <c r="D93"/>
  <c r="F93"/>
  <c r="G93"/>
  <c r="A264"/>
  <c r="B264"/>
  <c r="D264"/>
  <c r="F264"/>
  <c r="G264"/>
  <c r="I264"/>
  <c r="A31"/>
  <c r="B31"/>
  <c r="D31"/>
  <c r="F31"/>
  <c r="G31"/>
  <c r="I31"/>
  <c r="A32"/>
  <c r="B32"/>
  <c r="D32"/>
  <c r="F32"/>
  <c r="G32"/>
  <c r="A33"/>
  <c r="B33"/>
  <c r="D33"/>
  <c r="F33"/>
  <c r="G33"/>
  <c r="A34"/>
  <c r="B34"/>
  <c r="D34"/>
  <c r="F34"/>
  <c r="G34"/>
  <c r="A35"/>
  <c r="B35"/>
  <c r="D35"/>
  <c r="F35"/>
  <c r="G35"/>
  <c r="A36"/>
  <c r="B36"/>
  <c r="D36"/>
  <c r="F36"/>
  <c r="G36"/>
  <c r="I36"/>
  <c r="A37"/>
  <c r="B37"/>
  <c r="D37"/>
  <c r="F37"/>
  <c r="G37"/>
  <c r="I37"/>
  <c r="A38"/>
  <c r="B38"/>
  <c r="D38"/>
  <c r="F38"/>
  <c r="G38"/>
  <c r="I38"/>
  <c r="A232"/>
  <c r="B232"/>
  <c r="D232"/>
  <c r="F232"/>
  <c r="G232"/>
  <c r="I232"/>
  <c r="A233"/>
  <c r="B233"/>
  <c r="D233"/>
  <c r="F233"/>
  <c r="G233"/>
  <c r="I233"/>
  <c r="A15"/>
  <c r="B15"/>
  <c r="D15"/>
  <c r="F15"/>
  <c r="G15"/>
  <c r="I15"/>
  <c r="A81"/>
  <c r="B81"/>
  <c r="D81"/>
  <c r="F81"/>
  <c r="G81"/>
  <c r="A8"/>
  <c r="B8"/>
  <c r="D8"/>
  <c r="F8"/>
  <c r="G8"/>
  <c r="A9"/>
  <c r="B9"/>
  <c r="D9"/>
  <c r="F9"/>
  <c r="G9"/>
  <c r="I9"/>
  <c r="A10"/>
  <c r="B10"/>
  <c r="D10"/>
  <c r="F10"/>
  <c r="G10"/>
  <c r="A192"/>
  <c r="B192"/>
  <c r="D192"/>
  <c r="F192"/>
  <c r="G192"/>
  <c r="A367"/>
  <c r="B367"/>
  <c r="D367"/>
  <c r="F367"/>
  <c r="G367"/>
  <c r="I367"/>
  <c r="A368"/>
  <c r="B368"/>
  <c r="D368"/>
  <c r="F368"/>
  <c r="G368"/>
  <c r="I368"/>
  <c r="A369"/>
  <c r="B369"/>
  <c r="D369"/>
  <c r="F369"/>
  <c r="G369"/>
  <c r="I369"/>
  <c r="A370"/>
  <c r="B370"/>
  <c r="D370"/>
  <c r="F370"/>
  <c r="G370"/>
  <c r="I370"/>
  <c r="A371"/>
  <c r="B371"/>
  <c r="D371"/>
  <c r="F371"/>
  <c r="G371"/>
  <c r="I371"/>
  <c r="A372"/>
  <c r="B372"/>
  <c r="D372"/>
  <c r="F372"/>
  <c r="G372"/>
  <c r="I372"/>
  <c r="A373"/>
  <c r="B373"/>
  <c r="D373"/>
  <c r="F373"/>
  <c r="G373"/>
  <c r="I373"/>
  <c r="A279"/>
  <c r="B279"/>
  <c r="D279"/>
  <c r="F279"/>
  <c r="G279"/>
  <c r="I279"/>
  <c r="A72"/>
  <c r="B72"/>
  <c r="D72"/>
  <c r="F72"/>
  <c r="G72"/>
  <c r="A392"/>
  <c r="B392"/>
  <c r="D392"/>
  <c r="F392"/>
  <c r="G392"/>
  <c r="I392"/>
  <c r="A115"/>
  <c r="B115"/>
  <c r="D115"/>
  <c r="F115"/>
  <c r="G115"/>
  <c r="A404"/>
  <c r="B404"/>
  <c r="D404"/>
  <c r="F404"/>
  <c r="G404"/>
  <c r="I404"/>
  <c r="A94"/>
  <c r="B94"/>
  <c r="D94"/>
  <c r="F94"/>
  <c r="G94"/>
  <c r="A65"/>
  <c r="B65"/>
  <c r="D65"/>
  <c r="F65"/>
  <c r="G65"/>
  <c r="I65"/>
  <c r="A66"/>
  <c r="B66"/>
  <c r="D66"/>
  <c r="F66"/>
  <c r="G66"/>
  <c r="I66"/>
  <c r="A265"/>
  <c r="B265"/>
  <c r="D265"/>
  <c r="F265"/>
  <c r="G265"/>
  <c r="I265"/>
  <c r="A266"/>
  <c r="B266"/>
  <c r="D266"/>
  <c r="F266"/>
  <c r="G266"/>
  <c r="I266"/>
  <c r="A18"/>
  <c r="B18"/>
  <c r="D18"/>
  <c r="F18"/>
  <c r="G18"/>
  <c r="I18"/>
  <c r="A253"/>
  <c r="B253"/>
  <c r="D253"/>
  <c r="F253"/>
  <c r="G253"/>
  <c r="I253"/>
  <c r="A363"/>
  <c r="B363"/>
  <c r="D363"/>
  <c r="F363"/>
  <c r="G363"/>
  <c r="I363"/>
  <c r="A364"/>
  <c r="D364"/>
  <c r="F364"/>
  <c r="G364"/>
  <c r="I364"/>
  <c r="A97"/>
  <c r="B97"/>
  <c r="D97"/>
  <c r="F97"/>
  <c r="G97"/>
  <c r="A225"/>
  <c r="B225"/>
  <c r="D225"/>
  <c r="F225"/>
  <c r="G225"/>
  <c r="I225"/>
  <c r="A42"/>
  <c r="B42"/>
  <c r="D42"/>
  <c r="F42"/>
  <c r="G42"/>
  <c r="A99"/>
  <c r="B99"/>
  <c r="D99"/>
  <c r="F99"/>
  <c r="G99"/>
  <c r="A274"/>
  <c r="B274"/>
  <c r="D274"/>
  <c r="F274"/>
  <c r="G274"/>
  <c r="I274"/>
  <c r="A141"/>
  <c r="B141"/>
  <c r="D141"/>
  <c r="F141"/>
  <c r="G141"/>
  <c r="A230"/>
  <c r="B230"/>
  <c r="D230"/>
  <c r="F230"/>
  <c r="G230"/>
  <c r="I230"/>
  <c r="A316"/>
  <c r="B316"/>
  <c r="D316"/>
  <c r="F316"/>
  <c r="G316"/>
  <c r="I316"/>
  <c r="A131"/>
  <c r="B131"/>
  <c r="D131"/>
  <c r="F131"/>
  <c r="G131"/>
  <c r="A362"/>
  <c r="B362"/>
  <c r="D362"/>
  <c r="F362"/>
  <c r="G362"/>
  <c r="I362"/>
  <c r="A366"/>
  <c r="B366"/>
  <c r="D366"/>
  <c r="F366"/>
  <c r="G366"/>
  <c r="I366"/>
  <c r="A350"/>
  <c r="B350"/>
  <c r="D350"/>
  <c r="F350"/>
  <c r="G350"/>
  <c r="I350"/>
  <c r="A138"/>
  <c r="B138"/>
  <c r="D138"/>
  <c r="F138"/>
  <c r="G138"/>
  <c r="A267"/>
  <c r="B267"/>
  <c r="D267"/>
  <c r="F267"/>
  <c r="G267"/>
  <c r="I267"/>
  <c r="A236"/>
  <c r="B236"/>
  <c r="D236"/>
  <c r="F236"/>
  <c r="G236"/>
  <c r="I236"/>
  <c r="A237"/>
  <c r="B237"/>
  <c r="D237"/>
  <c r="F237"/>
  <c r="G237"/>
  <c r="I237"/>
  <c r="A238"/>
  <c r="B238"/>
  <c r="D238"/>
  <c r="F238"/>
  <c r="G238"/>
  <c r="I238"/>
  <c r="A291"/>
  <c r="B291"/>
  <c r="D291"/>
  <c r="F291"/>
  <c r="G291"/>
  <c r="I291"/>
  <c r="A422"/>
  <c r="B422"/>
  <c r="D422"/>
  <c r="F422"/>
  <c r="G422"/>
  <c r="I422"/>
  <c r="A205"/>
  <c r="B205"/>
  <c r="D205"/>
  <c r="F205"/>
  <c r="G205"/>
  <c r="I205"/>
  <c r="A112"/>
  <c r="B112"/>
  <c r="D112"/>
  <c r="F112"/>
  <c r="G112"/>
  <c r="A132"/>
  <c r="B132"/>
  <c r="D132"/>
  <c r="F132"/>
  <c r="G132"/>
  <c r="A389"/>
  <c r="B389"/>
  <c r="D389"/>
  <c r="F389"/>
  <c r="G389"/>
  <c r="I389"/>
  <c r="A261"/>
  <c r="B261"/>
  <c r="D261"/>
  <c r="F261"/>
  <c r="G261"/>
  <c r="I261"/>
  <c r="A251"/>
  <c r="B251"/>
  <c r="D251"/>
  <c r="F251"/>
  <c r="G251"/>
  <c r="I251"/>
  <c r="A254"/>
  <c r="B254"/>
  <c r="D254"/>
  <c r="F254"/>
  <c r="G254"/>
  <c r="I254"/>
  <c r="A255"/>
  <c r="B255"/>
  <c r="D255"/>
  <c r="F255"/>
  <c r="G255"/>
  <c r="I255"/>
  <c r="A321"/>
  <c r="B321"/>
  <c r="D321"/>
  <c r="F321"/>
  <c r="G321"/>
  <c r="I321"/>
  <c r="A193"/>
  <c r="B193"/>
  <c r="D193"/>
  <c r="F193"/>
  <c r="G193"/>
  <c r="A216"/>
  <c r="B216"/>
  <c r="D216"/>
  <c r="F216"/>
  <c r="G216"/>
  <c r="A196"/>
  <c r="B196"/>
  <c r="D196"/>
  <c r="F196"/>
  <c r="G196"/>
  <c r="A309"/>
  <c r="B309"/>
  <c r="D309"/>
  <c r="F309"/>
  <c r="G309"/>
  <c r="I309"/>
  <c r="A310"/>
  <c r="B310"/>
  <c r="D310"/>
  <c r="F310"/>
  <c r="G310"/>
  <c r="I310"/>
  <c r="A406"/>
  <c r="B406"/>
  <c r="D406"/>
  <c r="F406"/>
  <c r="G406"/>
  <c r="I406"/>
  <c r="A317"/>
  <c r="B317"/>
  <c r="D317"/>
  <c r="F317"/>
  <c r="G317"/>
  <c r="I317"/>
  <c r="A198"/>
  <c r="B198"/>
  <c r="D198"/>
  <c r="F198"/>
  <c r="G198"/>
  <c r="I198"/>
  <c r="A424"/>
  <c r="B424"/>
  <c r="D424"/>
  <c r="F424"/>
  <c r="G424"/>
  <c r="I424"/>
  <c r="A425"/>
  <c r="B425"/>
  <c r="D425"/>
  <c r="F425"/>
  <c r="G425"/>
  <c r="I425"/>
  <c r="A179"/>
  <c r="B179"/>
  <c r="D179"/>
  <c r="F179"/>
  <c r="G179"/>
  <c r="A203"/>
  <c r="B203"/>
  <c r="D203"/>
  <c r="F203"/>
  <c r="G203"/>
  <c r="A204"/>
  <c r="B204"/>
  <c r="D204"/>
  <c r="F204"/>
  <c r="G204"/>
  <c r="A89"/>
  <c r="B89"/>
  <c r="D89"/>
  <c r="F89"/>
  <c r="G89"/>
  <c r="A90"/>
  <c r="B90"/>
  <c r="D90"/>
  <c r="F90"/>
  <c r="G90"/>
  <c r="A91"/>
  <c r="B91"/>
  <c r="D91"/>
  <c r="F91"/>
  <c r="G91"/>
  <c r="A275"/>
  <c r="B275"/>
  <c r="D275"/>
  <c r="F275"/>
  <c r="G275"/>
  <c r="I275"/>
  <c r="A20"/>
  <c r="B20"/>
  <c r="D20"/>
  <c r="F20"/>
  <c r="G20"/>
  <c r="A262"/>
  <c r="B262"/>
  <c r="D262"/>
  <c r="F262"/>
  <c r="G262"/>
  <c r="I262"/>
  <c r="A166"/>
  <c r="B166"/>
  <c r="D166"/>
  <c r="F166"/>
  <c r="G166"/>
  <c r="A270"/>
  <c r="B270"/>
  <c r="D270"/>
  <c r="F270"/>
  <c r="G270"/>
  <c r="I270"/>
  <c r="A123"/>
  <c r="B123"/>
  <c r="D123"/>
  <c r="F123"/>
  <c r="G123"/>
  <c r="A243"/>
  <c r="B243"/>
  <c r="D243"/>
  <c r="F243"/>
  <c r="G243"/>
  <c r="I243"/>
  <c r="A167"/>
  <c r="B167"/>
  <c r="D167"/>
  <c r="F167"/>
  <c r="G167"/>
  <c r="I167"/>
  <c r="A168"/>
  <c r="B168"/>
  <c r="D168"/>
  <c r="F168"/>
  <c r="G168"/>
  <c r="A92"/>
  <c r="B92"/>
  <c r="D92"/>
  <c r="F92"/>
  <c r="G92"/>
  <c r="A342"/>
  <c r="B342"/>
  <c r="D342"/>
  <c r="F342"/>
  <c r="G342"/>
  <c r="I342"/>
  <c r="A343"/>
  <c r="B343"/>
  <c r="D343"/>
  <c r="F343"/>
  <c r="G343"/>
  <c r="I343"/>
  <c r="A344"/>
  <c r="B344"/>
  <c r="D344"/>
  <c r="F344"/>
  <c r="G344"/>
  <c r="I344"/>
  <c r="A271"/>
  <c r="B271"/>
  <c r="D271"/>
  <c r="F271"/>
  <c r="G271"/>
  <c r="I271"/>
  <c r="A409"/>
  <c r="B409"/>
  <c r="D409"/>
  <c r="F409"/>
  <c r="G409"/>
  <c r="I409"/>
  <c r="A421"/>
  <c r="B421"/>
  <c r="D421"/>
  <c r="F421"/>
  <c r="G421"/>
  <c r="I421"/>
  <c r="A195"/>
  <c r="B195"/>
  <c r="D195"/>
  <c r="F195"/>
  <c r="G195"/>
  <c r="I195"/>
  <c r="A278"/>
  <c r="B278"/>
  <c r="D278"/>
  <c r="F278"/>
  <c r="G278"/>
  <c r="I278"/>
  <c r="A222"/>
  <c r="B222"/>
  <c r="D222"/>
  <c r="F222"/>
  <c r="G222"/>
  <c r="I222"/>
  <c r="A340"/>
  <c r="B340"/>
  <c r="D340"/>
  <c r="F340"/>
  <c r="G340"/>
  <c r="I340"/>
  <c r="A354"/>
  <c r="B354"/>
  <c r="D354"/>
  <c r="F354"/>
  <c r="G354"/>
  <c r="I354"/>
  <c r="A306"/>
  <c r="B306"/>
  <c r="D306"/>
  <c r="F306"/>
  <c r="G306"/>
  <c r="I306"/>
  <c r="A332"/>
  <c r="B332"/>
  <c r="D332"/>
  <c r="F332"/>
  <c r="G332"/>
  <c r="I332"/>
  <c r="A402"/>
  <c r="B402"/>
  <c r="D402"/>
  <c r="F402"/>
  <c r="G402"/>
  <c r="I402"/>
  <c r="A403"/>
  <c r="B403"/>
  <c r="D403"/>
  <c r="F403"/>
  <c r="G403"/>
  <c r="I403"/>
  <c r="A276"/>
  <c r="B276"/>
  <c r="D276"/>
  <c r="F276"/>
  <c r="G276"/>
  <c r="I276"/>
  <c r="A199"/>
  <c r="B199"/>
  <c r="D199"/>
  <c r="F199"/>
  <c r="G199"/>
  <c r="A260"/>
  <c r="B260"/>
  <c r="D260"/>
  <c r="F260"/>
  <c r="G260"/>
  <c r="I260"/>
  <c r="A60"/>
  <c r="B60"/>
  <c r="D60"/>
  <c r="F60"/>
  <c r="G60"/>
  <c r="I60"/>
  <c r="A150"/>
  <c r="B150"/>
  <c r="D150"/>
  <c r="F150"/>
  <c r="G150"/>
  <c r="A388"/>
  <c r="B388"/>
  <c r="D388"/>
  <c r="F388"/>
  <c r="G388"/>
  <c r="A145"/>
  <c r="B145"/>
  <c r="D145"/>
  <c r="F145"/>
  <c r="G145"/>
  <c r="I145"/>
  <c r="A159"/>
  <c r="B159"/>
  <c r="D159"/>
  <c r="F159"/>
  <c r="G159"/>
  <c r="A135"/>
  <c r="B135"/>
  <c r="D135"/>
  <c r="F135"/>
  <c r="G135"/>
  <c r="I135"/>
  <c r="A380"/>
  <c r="B380"/>
  <c r="D380"/>
  <c r="F380"/>
  <c r="G380"/>
  <c r="I380"/>
  <c r="A172"/>
  <c r="B172"/>
  <c r="D172"/>
  <c r="F172"/>
  <c r="G172"/>
  <c r="A173"/>
  <c r="B173"/>
  <c r="D173"/>
  <c r="F173"/>
  <c r="G173"/>
  <c r="A174"/>
  <c r="B174"/>
  <c r="D174"/>
  <c r="F174"/>
  <c r="G174"/>
  <c r="A175"/>
  <c r="B175"/>
  <c r="D175"/>
  <c r="F175"/>
  <c r="G175"/>
  <c r="I175"/>
  <c r="A190"/>
  <c r="B190"/>
  <c r="D190"/>
  <c r="F190"/>
  <c r="G190"/>
  <c r="A47"/>
  <c r="B47"/>
  <c r="D47"/>
  <c r="F47"/>
  <c r="G47"/>
  <c r="I47"/>
  <c r="A287"/>
  <c r="B287"/>
  <c r="D287"/>
  <c r="F287"/>
  <c r="G287"/>
  <c r="I287"/>
  <c r="A241"/>
  <c r="B241"/>
  <c r="D241"/>
  <c r="F241"/>
  <c r="G241"/>
  <c r="A176"/>
  <c r="B176"/>
  <c r="D176"/>
  <c r="F176"/>
  <c r="G176"/>
  <c r="A177"/>
  <c r="B177"/>
  <c r="D177"/>
  <c r="F177"/>
  <c r="G177"/>
  <c r="A178"/>
  <c r="B178"/>
  <c r="D178"/>
  <c r="F178"/>
  <c r="G178"/>
  <c r="I178"/>
  <c r="A210"/>
  <c r="B210"/>
  <c r="D210"/>
  <c r="F210"/>
  <c r="G210"/>
  <c r="A58"/>
  <c r="B58"/>
  <c r="D58"/>
  <c r="F58"/>
  <c r="G58"/>
  <c r="A59"/>
  <c r="B59"/>
  <c r="D59"/>
  <c r="F59"/>
  <c r="G59"/>
  <c r="I59"/>
  <c r="A180"/>
  <c r="B180"/>
  <c r="D180"/>
  <c r="F180"/>
  <c r="G180"/>
  <c r="A296"/>
  <c r="B296"/>
  <c r="D296"/>
  <c r="F296"/>
  <c r="G296"/>
  <c r="A229"/>
  <c r="B229"/>
  <c r="D229"/>
  <c r="F229"/>
  <c r="G229"/>
  <c r="I229"/>
  <c r="A345"/>
  <c r="B345"/>
  <c r="D345"/>
  <c r="F345"/>
  <c r="G345"/>
  <c r="A346"/>
  <c r="B346"/>
  <c r="D346"/>
  <c r="F346"/>
  <c r="G346"/>
  <c r="I346"/>
  <c r="A154"/>
  <c r="B154"/>
  <c r="D154"/>
  <c r="F154"/>
  <c r="G154"/>
  <c r="A160"/>
  <c r="B160"/>
  <c r="D160"/>
  <c r="F160"/>
  <c r="G160"/>
  <c r="A201"/>
  <c r="B201"/>
  <c r="D201"/>
  <c r="F201"/>
  <c r="G201"/>
  <c r="A202"/>
  <c r="B202"/>
  <c r="D202"/>
  <c r="F202"/>
  <c r="G202"/>
  <c r="A212"/>
  <c r="B212"/>
  <c r="D212"/>
  <c r="F212"/>
  <c r="G212"/>
  <c r="A213"/>
  <c r="B213"/>
  <c r="D213"/>
  <c r="F213"/>
  <c r="G213"/>
  <c r="A214"/>
  <c r="B214"/>
  <c r="D214"/>
  <c r="F214"/>
  <c r="G214"/>
  <c r="A215"/>
  <c r="B215"/>
  <c r="D215"/>
  <c r="F215"/>
  <c r="G215"/>
  <c r="A333"/>
  <c r="B333"/>
  <c r="D333"/>
  <c r="F333"/>
  <c r="G333"/>
  <c r="A50"/>
  <c r="B50"/>
  <c r="D50"/>
  <c r="F50"/>
  <c r="G50"/>
  <c r="I50"/>
  <c r="A51"/>
  <c r="B51"/>
  <c r="D51"/>
  <c r="F51"/>
  <c r="G51"/>
  <c r="I51"/>
  <c r="A335"/>
  <c r="B335"/>
  <c r="D335"/>
  <c r="F335"/>
  <c r="G335"/>
  <c r="I335"/>
  <c r="A336"/>
  <c r="B336"/>
  <c r="D336"/>
  <c r="F336"/>
  <c r="G336"/>
  <c r="I336"/>
  <c r="A244"/>
  <c r="B244"/>
  <c r="D244"/>
  <c r="F244"/>
  <c r="G244"/>
  <c r="A155"/>
  <c r="B155"/>
  <c r="D155"/>
  <c r="F155"/>
  <c r="G155"/>
  <c r="A156"/>
  <c r="B156"/>
  <c r="D156"/>
  <c r="F156"/>
  <c r="G156"/>
  <c r="A96"/>
  <c r="B96"/>
  <c r="D96"/>
  <c r="F96"/>
  <c r="G96"/>
  <c r="I96"/>
  <c r="A349"/>
  <c r="B349"/>
  <c r="D349"/>
  <c r="F349"/>
  <c r="G349"/>
  <c r="I349"/>
  <c r="A146"/>
  <c r="B146"/>
  <c r="D146"/>
  <c r="F146"/>
  <c r="G146"/>
  <c r="I146"/>
  <c r="A71"/>
  <c r="B71"/>
  <c r="D71"/>
  <c r="F71"/>
  <c r="G71"/>
  <c r="A308"/>
  <c r="B308"/>
  <c r="D308"/>
  <c r="F308"/>
  <c r="G308"/>
  <c r="A360"/>
  <c r="B360"/>
  <c r="D360"/>
  <c r="F360"/>
  <c r="G360"/>
  <c r="I360"/>
  <c r="I16" i="1"/>
  <c r="I17"/>
  <c r="I18"/>
  <c r="I19"/>
  <c r="I20"/>
  <c r="I21"/>
  <c r="I22"/>
  <c r="I23"/>
  <c r="I24"/>
  <c r="I25"/>
  <c r="I26"/>
  <c r="I27"/>
  <c r="J56" i="13"/>
  <c r="J55"/>
  <c r="J54"/>
  <c r="J53"/>
  <c r="J52"/>
  <c r="J51"/>
  <c r="J50"/>
  <c r="J49"/>
  <c r="J48"/>
  <c r="J47"/>
  <c r="J46"/>
  <c r="J45"/>
  <c r="J44"/>
  <c r="J30"/>
  <c r="J24"/>
  <c r="J25"/>
  <c r="J26"/>
  <c r="J27"/>
  <c r="J28"/>
  <c r="J29"/>
  <c r="J31"/>
  <c r="J32"/>
  <c r="J33"/>
  <c r="J34"/>
  <c r="J35"/>
  <c r="J36"/>
  <c r="J37"/>
  <c r="J38"/>
  <c r="J39"/>
  <c r="J40"/>
  <c r="J41"/>
  <c r="J10"/>
  <c r="J11"/>
  <c r="J12"/>
  <c r="J13"/>
  <c r="J14"/>
  <c r="J15"/>
  <c r="J16"/>
  <c r="J17"/>
  <c r="J18"/>
  <c r="J19"/>
  <c r="J20"/>
  <c r="J21"/>
  <c r="J42"/>
  <c r="J22"/>
  <c r="J82" i="18"/>
  <c r="J81"/>
  <c r="J66"/>
  <c r="J65"/>
  <c r="J61"/>
  <c r="J57"/>
  <c r="J53"/>
  <c r="J30"/>
  <c r="J62" i="16"/>
  <c r="J83"/>
  <c r="J82"/>
  <c r="J67"/>
  <c r="J66"/>
  <c r="J53"/>
  <c r="J57"/>
  <c r="J30"/>
  <c r="K30"/>
  <c r="K49"/>
  <c r="J39" i="18"/>
  <c r="J34"/>
  <c r="J33"/>
  <c r="J31"/>
  <c r="J39" i="16"/>
  <c r="J34"/>
  <c r="J31"/>
  <c r="J74"/>
  <c r="J77" i="18"/>
  <c r="J84"/>
  <c r="J83"/>
  <c r="J79"/>
  <c r="J78"/>
  <c r="J76"/>
  <c r="J75"/>
  <c r="J74"/>
  <c r="J73"/>
  <c r="J72"/>
  <c r="J71"/>
  <c r="J60"/>
  <c r="J58"/>
  <c r="J56"/>
  <c r="J54"/>
  <c r="J52"/>
  <c r="J51"/>
  <c r="J50"/>
  <c r="J46"/>
  <c r="J44"/>
  <c r="J43"/>
  <c r="J42"/>
  <c r="J41"/>
  <c r="J40"/>
  <c r="J37"/>
  <c r="J36"/>
  <c r="J32"/>
  <c r="K30"/>
  <c r="K31"/>
  <c r="K32"/>
  <c r="K33"/>
  <c r="K34"/>
  <c r="J35"/>
  <c r="K35"/>
  <c r="K36"/>
  <c r="K37"/>
  <c r="J38"/>
  <c r="K38"/>
  <c r="K39"/>
  <c r="K40"/>
  <c r="K41"/>
  <c r="K42"/>
  <c r="K43"/>
  <c r="K44"/>
  <c r="J45"/>
  <c r="K45"/>
  <c r="K46"/>
  <c r="J47"/>
  <c r="K47"/>
  <c r="K49"/>
  <c r="K50"/>
  <c r="K51"/>
  <c r="K52"/>
  <c r="K53"/>
  <c r="K54"/>
  <c r="K55"/>
  <c r="K56"/>
  <c r="K57"/>
  <c r="K58"/>
  <c r="J59"/>
  <c r="K59"/>
  <c r="K60"/>
  <c r="K61"/>
  <c r="J62"/>
  <c r="K62"/>
  <c r="J63"/>
  <c r="K63"/>
  <c r="J64"/>
  <c r="K64"/>
  <c r="K65"/>
  <c r="K66"/>
  <c r="K67"/>
  <c r="K68"/>
  <c r="K69"/>
  <c r="K71"/>
  <c r="K73"/>
  <c r="K74"/>
  <c r="K75"/>
  <c r="K76"/>
  <c r="K77"/>
  <c r="K78"/>
  <c r="K79"/>
  <c r="J80"/>
  <c r="K80"/>
  <c r="K81"/>
  <c r="K82"/>
  <c r="K83"/>
  <c r="K84"/>
  <c r="J85"/>
  <c r="K85"/>
  <c r="J86"/>
  <c r="K86"/>
  <c r="K87"/>
  <c r="J88"/>
  <c r="K88"/>
  <c r="J89"/>
  <c r="K89"/>
  <c r="J90"/>
  <c r="K90"/>
  <c r="K91"/>
  <c r="K92"/>
  <c r="K94"/>
  <c r="K2"/>
  <c r="K7"/>
  <c r="K96"/>
  <c r="K97"/>
  <c r="K98"/>
  <c r="J70"/>
  <c r="J29"/>
  <c r="K29"/>
  <c r="H28"/>
  <c r="J28"/>
  <c r="K28"/>
  <c r="J27"/>
  <c r="K27"/>
  <c r="H26"/>
  <c r="J26"/>
  <c r="K26"/>
  <c r="H25"/>
  <c r="J25"/>
  <c r="K25"/>
  <c r="H24"/>
  <c r="J24"/>
  <c r="K24"/>
  <c r="H23"/>
  <c r="J23"/>
  <c r="K23"/>
  <c r="H22"/>
  <c r="J22"/>
  <c r="K22"/>
  <c r="H21"/>
  <c r="J21"/>
  <c r="K21"/>
  <c r="H20"/>
  <c r="J20"/>
  <c r="K20"/>
  <c r="J19"/>
  <c r="K19"/>
  <c r="J18"/>
  <c r="K18"/>
  <c r="J17"/>
  <c r="K17"/>
  <c r="J16"/>
  <c r="K16"/>
  <c r="J15"/>
  <c r="K15"/>
  <c r="J14"/>
  <c r="K14"/>
  <c r="J13"/>
  <c r="K13"/>
  <c r="J12"/>
  <c r="K12"/>
  <c r="K11"/>
  <c r="K10"/>
  <c r="G2"/>
  <c r="I60" i="9"/>
  <c r="J60"/>
  <c r="I61"/>
  <c r="J61"/>
  <c r="I62"/>
  <c r="J62"/>
  <c r="I63"/>
  <c r="J63"/>
  <c r="I64"/>
  <c r="J64"/>
  <c r="I65"/>
  <c r="J65"/>
  <c r="I66"/>
  <c r="J66"/>
  <c r="I67"/>
  <c r="J67"/>
  <c r="I68"/>
  <c r="J68"/>
  <c r="I69"/>
  <c r="J69"/>
  <c r="I70"/>
  <c r="J70"/>
  <c r="I71"/>
  <c r="J71"/>
  <c r="I72"/>
  <c r="J72"/>
  <c r="I73"/>
  <c r="J73"/>
  <c r="I74"/>
  <c r="J74"/>
  <c r="I75"/>
  <c r="J75"/>
  <c r="I76"/>
  <c r="J76"/>
  <c r="I78"/>
  <c r="J78"/>
  <c r="I79"/>
  <c r="J79"/>
  <c r="I80"/>
  <c r="J80"/>
  <c r="I81"/>
  <c r="J81"/>
  <c r="I82"/>
  <c r="J82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I58"/>
  <c r="J58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4"/>
  <c r="J44"/>
  <c r="I45"/>
  <c r="J45"/>
  <c r="J87" i="16"/>
  <c r="J86"/>
  <c r="J85"/>
  <c r="J84"/>
  <c r="J81"/>
  <c r="J80"/>
  <c r="J79"/>
  <c r="J78"/>
  <c r="J77"/>
  <c r="J76"/>
  <c r="J75"/>
  <c r="J73"/>
  <c r="J72"/>
  <c r="J71"/>
  <c r="J65"/>
  <c r="J64"/>
  <c r="J63"/>
  <c r="J60"/>
  <c r="J59"/>
  <c r="J58"/>
  <c r="J54"/>
  <c r="J52"/>
  <c r="J51"/>
  <c r="J56"/>
  <c r="J50"/>
  <c r="J44"/>
  <c r="J43"/>
  <c r="J42"/>
  <c r="J41"/>
  <c r="J40"/>
  <c r="J46"/>
  <c r="J47"/>
  <c r="J45"/>
  <c r="J38"/>
  <c r="J35"/>
  <c r="J37"/>
  <c r="J36"/>
  <c r="J33"/>
  <c r="J32"/>
  <c r="K31"/>
  <c r="K32"/>
  <c r="K33"/>
  <c r="K34"/>
  <c r="K35"/>
  <c r="K36"/>
  <c r="K37"/>
  <c r="K38"/>
  <c r="K39"/>
  <c r="K40"/>
  <c r="K41"/>
  <c r="K42"/>
  <c r="K43"/>
  <c r="K44"/>
  <c r="K45"/>
  <c r="K46"/>
  <c r="K47"/>
  <c r="K50"/>
  <c r="K51"/>
  <c r="K52"/>
  <c r="K53"/>
  <c r="K54"/>
  <c r="K55"/>
  <c r="K56"/>
  <c r="K57"/>
  <c r="K58"/>
  <c r="K59"/>
  <c r="K60"/>
  <c r="K62"/>
  <c r="K63"/>
  <c r="K64"/>
  <c r="K65"/>
  <c r="K66"/>
  <c r="K67"/>
  <c r="K68"/>
  <c r="K69"/>
  <c r="K70"/>
  <c r="K72"/>
  <c r="K74"/>
  <c r="K75"/>
  <c r="K76"/>
  <c r="K77"/>
  <c r="K78"/>
  <c r="K79"/>
  <c r="K80"/>
  <c r="K81"/>
  <c r="K82"/>
  <c r="K83"/>
  <c r="K84"/>
  <c r="K85"/>
  <c r="K86"/>
  <c r="K87"/>
  <c r="K88"/>
  <c r="J89"/>
  <c r="K89"/>
  <c r="J90"/>
  <c r="K90"/>
  <c r="J91"/>
  <c r="K91"/>
  <c r="K92"/>
  <c r="K93"/>
  <c r="K95"/>
  <c r="K2"/>
  <c r="K7"/>
  <c r="K97"/>
  <c r="K98"/>
  <c r="K99"/>
  <c r="J29"/>
  <c r="K29"/>
  <c r="H28"/>
  <c r="J28"/>
  <c r="K28"/>
  <c r="J27"/>
  <c r="K27"/>
  <c r="H26"/>
  <c r="J26"/>
  <c r="K26"/>
  <c r="H25"/>
  <c r="J25"/>
  <c r="K25"/>
  <c r="H24"/>
  <c r="J24"/>
  <c r="K24"/>
  <c r="H23"/>
  <c r="J23"/>
  <c r="K23"/>
  <c r="H22"/>
  <c r="J22"/>
  <c r="K22"/>
  <c r="H21"/>
  <c r="J21"/>
  <c r="K21"/>
  <c r="H20"/>
  <c r="J20"/>
  <c r="K20"/>
  <c r="J19"/>
  <c r="K19"/>
  <c r="J18"/>
  <c r="K18"/>
  <c r="J17"/>
  <c r="K17"/>
  <c r="J16"/>
  <c r="K16"/>
  <c r="J15"/>
  <c r="K15"/>
  <c r="J14"/>
  <c r="K14"/>
  <c r="J13"/>
  <c r="K13"/>
  <c r="J12"/>
  <c r="K12"/>
  <c r="K11"/>
  <c r="K10"/>
  <c r="G2"/>
  <c r="G2" i="12"/>
  <c r="J2"/>
  <c r="J1"/>
  <c r="J7"/>
  <c r="J69"/>
  <c r="J68"/>
  <c r="J49"/>
  <c r="J2" i="9"/>
  <c r="J1"/>
  <c r="J7"/>
  <c r="J23" i="13"/>
  <c r="J43"/>
  <c r="J66"/>
  <c r="J68"/>
  <c r="J70"/>
  <c r="J71"/>
  <c r="J72"/>
  <c r="J70" i="12"/>
  <c r="J93"/>
  <c r="J95"/>
  <c r="J97"/>
  <c r="J98"/>
  <c r="J99"/>
  <c r="I29"/>
  <c r="J29"/>
  <c r="I28"/>
  <c r="J28"/>
  <c r="I27"/>
  <c r="J27"/>
  <c r="I26"/>
  <c r="J26"/>
  <c r="I25"/>
  <c r="J25"/>
  <c r="I24"/>
  <c r="J24"/>
  <c r="I23"/>
  <c r="J23"/>
  <c r="I22"/>
  <c r="J22"/>
  <c r="I21"/>
  <c r="J21"/>
  <c r="I20"/>
  <c r="J20"/>
  <c r="I19"/>
  <c r="J19"/>
  <c r="I18"/>
  <c r="J18"/>
  <c r="I17"/>
  <c r="J17"/>
  <c r="I16"/>
  <c r="J16"/>
  <c r="I15"/>
  <c r="J15"/>
  <c r="I14"/>
  <c r="J14"/>
  <c r="I13"/>
  <c r="J13"/>
  <c r="I12"/>
  <c r="J12"/>
  <c r="J11"/>
  <c r="J10"/>
  <c r="I77" i="9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J10"/>
  <c r="J7" i="8"/>
  <c r="J1"/>
  <c r="J81"/>
  <c r="J10"/>
  <c r="J24"/>
  <c r="J79"/>
  <c r="J82"/>
  <c r="J78"/>
  <c r="I65"/>
  <c r="I58"/>
  <c r="I72"/>
  <c r="I70"/>
  <c r="J69"/>
  <c r="J70"/>
  <c r="J71"/>
  <c r="J72"/>
  <c r="J73"/>
  <c r="I74"/>
  <c r="I73"/>
  <c r="I71"/>
  <c r="I69"/>
  <c r="I67"/>
  <c r="I63"/>
  <c r="I61"/>
  <c r="I68"/>
  <c r="I66"/>
  <c r="I64"/>
  <c r="I62"/>
  <c r="I60"/>
  <c r="I59"/>
  <c r="I56"/>
  <c r="I57"/>
  <c r="I55"/>
  <c r="I5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4"/>
  <c r="J44"/>
  <c r="I45"/>
  <c r="J45"/>
  <c r="J46"/>
  <c r="I47"/>
  <c r="J47"/>
  <c r="I48"/>
  <c r="J48"/>
  <c r="I49"/>
  <c r="J49"/>
  <c r="J50"/>
  <c r="J51"/>
  <c r="J52"/>
  <c r="J53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J54"/>
  <c r="J55"/>
  <c r="J56"/>
  <c r="J57"/>
  <c r="J58"/>
  <c r="J59"/>
  <c r="J60"/>
  <c r="J61"/>
  <c r="J62"/>
  <c r="J63"/>
  <c r="J64"/>
  <c r="J65"/>
  <c r="J66"/>
  <c r="J67"/>
  <c r="J68"/>
  <c r="J74"/>
  <c r="I70" i="7"/>
  <c r="J70"/>
  <c r="I28"/>
  <c r="J28"/>
  <c r="I24"/>
  <c r="J24"/>
  <c r="I25"/>
  <c r="J25"/>
  <c r="I43"/>
  <c r="J43"/>
  <c r="I42"/>
  <c r="J42"/>
  <c r="I35"/>
  <c r="J35"/>
  <c r="I59"/>
  <c r="J59"/>
  <c r="I61"/>
  <c r="I55"/>
  <c r="I29"/>
  <c r="I66"/>
  <c r="J66"/>
  <c r="J2"/>
  <c r="I21"/>
  <c r="I20"/>
  <c r="I44"/>
  <c r="J44"/>
  <c r="I62"/>
  <c r="I63"/>
  <c r="I58"/>
  <c r="I73"/>
  <c r="I69"/>
  <c r="I65"/>
  <c r="I64"/>
  <c r="I57"/>
  <c r="I72"/>
  <c r="I71"/>
  <c r="I68"/>
  <c r="I67"/>
  <c r="I60"/>
  <c r="I56"/>
  <c r="J46" i="9"/>
  <c r="J59"/>
  <c r="J77"/>
  <c r="J83"/>
  <c r="J84"/>
  <c r="J85"/>
  <c r="J87"/>
  <c r="J89"/>
  <c r="J90"/>
  <c r="J91"/>
  <c r="I50" i="7"/>
  <c r="I49"/>
  <c r="I33"/>
  <c r="J33"/>
  <c r="I48"/>
  <c r="I46"/>
  <c r="I45"/>
  <c r="I41"/>
  <c r="I39"/>
  <c r="I37"/>
  <c r="I51"/>
  <c r="I34"/>
  <c r="I47"/>
  <c r="I40"/>
  <c r="I38"/>
  <c r="I36"/>
  <c r="I32"/>
  <c r="I17"/>
  <c r="I22"/>
  <c r="I27"/>
  <c r="I26"/>
  <c r="I23"/>
  <c r="I19"/>
  <c r="I18"/>
  <c r="J17"/>
  <c r="J18"/>
  <c r="J19"/>
  <c r="J20"/>
  <c r="J21"/>
  <c r="J22"/>
  <c r="J23"/>
  <c r="J26"/>
  <c r="J27"/>
  <c r="J29"/>
  <c r="I16"/>
  <c r="J16"/>
  <c r="I15"/>
  <c r="I14"/>
  <c r="I13"/>
  <c r="J83" i="8"/>
  <c r="J75"/>
  <c r="J13" i="7"/>
  <c r="J14"/>
  <c r="J15"/>
  <c r="J31"/>
  <c r="J32"/>
  <c r="J34"/>
  <c r="J36"/>
  <c r="J37"/>
  <c r="J39"/>
  <c r="J40"/>
  <c r="J41"/>
  <c r="J45"/>
  <c r="J46"/>
  <c r="J47"/>
  <c r="J48"/>
  <c r="J49"/>
  <c r="J50"/>
  <c r="J51"/>
  <c r="J52"/>
  <c r="J54"/>
  <c r="J55"/>
  <c r="J56"/>
  <c r="J57"/>
  <c r="J58"/>
  <c r="J60"/>
  <c r="J61"/>
  <c r="J62"/>
  <c r="J63"/>
  <c r="J64"/>
  <c r="J65"/>
  <c r="J67"/>
  <c r="J68"/>
  <c r="J69"/>
  <c r="J71"/>
  <c r="J72"/>
  <c r="J73"/>
  <c r="J75"/>
  <c r="J76"/>
  <c r="J10"/>
  <c r="J78"/>
  <c r="J79"/>
  <c r="J80"/>
  <c r="I85" i="6"/>
  <c r="J85"/>
  <c r="J7"/>
  <c r="J6"/>
  <c r="I81"/>
  <c r="I45"/>
  <c r="I31"/>
  <c r="I14"/>
  <c r="I75"/>
  <c r="I71"/>
  <c r="I69"/>
  <c r="I58"/>
  <c r="I82"/>
  <c r="I73"/>
  <c r="I49"/>
  <c r="I59"/>
  <c r="J59"/>
  <c r="J58"/>
  <c r="J71"/>
  <c r="J73"/>
  <c r="J75"/>
  <c r="J82"/>
  <c r="J69"/>
  <c r="J81"/>
  <c r="I51"/>
  <c r="J51"/>
  <c r="I52"/>
  <c r="J52"/>
  <c r="I53"/>
  <c r="J53"/>
  <c r="I54"/>
  <c r="J54"/>
  <c r="I55"/>
  <c r="J55"/>
  <c r="I56"/>
  <c r="J56"/>
  <c r="I57"/>
  <c r="J57"/>
  <c r="I60"/>
  <c r="J60"/>
  <c r="I61"/>
  <c r="J61"/>
  <c r="I62"/>
  <c r="J62"/>
  <c r="I63"/>
  <c r="J63"/>
  <c r="I64"/>
  <c r="J64"/>
  <c r="I65"/>
  <c r="J65"/>
  <c r="I66"/>
  <c r="J66"/>
  <c r="I67"/>
  <c r="J67"/>
  <c r="I68"/>
  <c r="J68"/>
  <c r="I70"/>
  <c r="J70"/>
  <c r="I72"/>
  <c r="J72"/>
  <c r="I74"/>
  <c r="J74"/>
  <c r="I76"/>
  <c r="J76"/>
  <c r="I77"/>
  <c r="J77"/>
  <c r="I78"/>
  <c r="J78"/>
  <c r="I79"/>
  <c r="J79"/>
  <c r="I80"/>
  <c r="J80"/>
  <c r="I83"/>
  <c r="J83"/>
  <c r="I84"/>
  <c r="J84"/>
  <c r="J88"/>
  <c r="J49"/>
  <c r="I21"/>
  <c r="J21"/>
  <c r="I23"/>
  <c r="J23"/>
  <c r="I24"/>
  <c r="J24"/>
  <c r="I25"/>
  <c r="J25"/>
  <c r="I26"/>
  <c r="J26"/>
  <c r="I27"/>
  <c r="J27"/>
  <c r="I28"/>
  <c r="J28"/>
  <c r="I29"/>
  <c r="J29"/>
  <c r="I30"/>
  <c r="J30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4"/>
  <c r="J44"/>
  <c r="J45"/>
  <c r="I46"/>
  <c r="J46"/>
  <c r="I47"/>
  <c r="J47"/>
  <c r="I48"/>
  <c r="J48"/>
  <c r="J50"/>
  <c r="I13"/>
  <c r="J13"/>
  <c r="J14"/>
  <c r="I15"/>
  <c r="J15"/>
  <c r="I16"/>
  <c r="J16"/>
  <c r="I17"/>
  <c r="J17"/>
  <c r="J20"/>
  <c r="J90"/>
  <c r="J10"/>
  <c r="J92"/>
  <c r="I39" i="4"/>
  <c r="I40"/>
  <c r="I53"/>
  <c r="I46"/>
  <c r="J2"/>
  <c r="J4"/>
  <c r="J6"/>
  <c r="J7"/>
  <c r="J8"/>
  <c r="J10"/>
  <c r="J32"/>
  <c r="J45"/>
  <c r="J56"/>
  <c r="J58"/>
  <c r="J59"/>
  <c r="J60"/>
  <c r="I45"/>
  <c r="I41"/>
  <c r="I38"/>
  <c r="I27"/>
  <c r="I52"/>
  <c r="I55"/>
  <c r="I54"/>
  <c r="I51"/>
  <c r="I50"/>
  <c r="I49"/>
  <c r="I48"/>
  <c r="I42"/>
  <c r="I47"/>
  <c r="I36"/>
  <c r="I35"/>
  <c r="I43"/>
  <c r="I44"/>
  <c r="I37"/>
  <c r="I46" i="1"/>
  <c r="I28" i="4"/>
  <c r="I31"/>
  <c r="I34"/>
  <c r="I33"/>
  <c r="I30"/>
  <c r="I29"/>
  <c r="I26"/>
  <c r="I24"/>
  <c r="I25"/>
  <c r="I23"/>
  <c r="I22"/>
  <c r="I21"/>
  <c r="I19"/>
  <c r="I16"/>
  <c r="I18"/>
  <c r="I32"/>
  <c r="I17"/>
  <c r="I20"/>
  <c r="I15"/>
  <c r="I14"/>
  <c r="I13"/>
  <c r="J6" i="1"/>
  <c r="J3"/>
  <c r="J4"/>
  <c r="J7"/>
  <c r="J8"/>
  <c r="J64"/>
  <c r="I62"/>
  <c r="I42"/>
  <c r="I28"/>
  <c r="I14"/>
  <c r="I13"/>
  <c r="I12"/>
  <c r="I61"/>
  <c r="I54"/>
  <c r="H55"/>
  <c r="I52"/>
  <c r="I50"/>
  <c r="I49"/>
  <c r="I48"/>
  <c r="I47"/>
  <c r="I41"/>
  <c r="I37"/>
  <c r="I43"/>
  <c r="I56"/>
  <c r="I57"/>
  <c r="I51"/>
  <c r="I45"/>
  <c r="I44"/>
  <c r="I40"/>
  <c r="I39"/>
  <c r="I38"/>
  <c r="I36"/>
  <c r="I35"/>
  <c r="I34"/>
  <c r="I63"/>
  <c r="I53"/>
  <c r="I59"/>
  <c r="I60"/>
  <c r="I58"/>
  <c r="I55"/>
  <c r="I29"/>
  <c r="I30"/>
  <c r="I33"/>
  <c r="I32"/>
  <c r="I31"/>
  <c r="J93" i="6"/>
  <c r="J94"/>
</calcChain>
</file>

<file path=xl/comments1.xml><?xml version="1.0" encoding="utf-8"?>
<comments xmlns="http://schemas.openxmlformats.org/spreadsheetml/2006/main">
  <authors>
    <author>Administrateur</author>
  </authors>
  <commentList>
    <comment ref="H79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Administrateur</author>
  </authors>
  <commentList>
    <comment ref="F1" authorId="0">
      <text>
        <r>
          <rPr>
            <b/>
            <sz val="12"/>
            <color indexed="10"/>
            <rFont val="Tahoma"/>
            <family val="2"/>
          </rPr>
          <t xml:space="preserve">MAJ 16.04.2018
</t>
        </r>
      </text>
    </comment>
  </commentList>
</comments>
</file>

<file path=xl/sharedStrings.xml><?xml version="1.0" encoding="utf-8"?>
<sst xmlns="http://schemas.openxmlformats.org/spreadsheetml/2006/main" count="2965" uniqueCount="666">
  <si>
    <t>NOM CLIENT</t>
  </si>
  <si>
    <t>COMMISSION</t>
  </si>
  <si>
    <t>BUONSANTE</t>
  </si>
  <si>
    <t>MOBILE</t>
  </si>
  <si>
    <t>(800*6/100)+(40*7/100)</t>
  </si>
  <si>
    <t>REEBOU FAMILY</t>
  </si>
  <si>
    <t>200*12/100</t>
  </si>
  <si>
    <t>THEISEN Isabelle</t>
  </si>
  <si>
    <t>BSH</t>
  </si>
  <si>
    <t>(42000*,7/100)*,6</t>
  </si>
  <si>
    <t>24147161L01</t>
  </si>
  <si>
    <t>N°</t>
  </si>
  <si>
    <t>FASBINDER Cheryl</t>
  </si>
  <si>
    <t>(20000*,7/100)*,6</t>
  </si>
  <si>
    <t>DUMEL Nicolas</t>
  </si>
  <si>
    <t>((720*31)*27/1000)*60/100</t>
  </si>
  <si>
    <t>SPIELMANN Ken</t>
  </si>
  <si>
    <t>GOETZ Martine</t>
  </si>
  <si>
    <t>(726*6/100)</t>
  </si>
  <si>
    <t>(551*6/100)</t>
  </si>
  <si>
    <t>HEISBOURG Jos</t>
  </si>
  <si>
    <t>BLOCKLAND Raymond</t>
  </si>
  <si>
    <t>(185*,12)*,5</t>
  </si>
  <si>
    <t xml:space="preserve">OSZYCZYCK   </t>
  </si>
  <si>
    <t>SANTE</t>
  </si>
  <si>
    <t>LUXORY LOVE</t>
  </si>
  <si>
    <t>GRAAS Stephanie</t>
  </si>
  <si>
    <t>JUNG Patrick</t>
  </si>
  <si>
    <t>BLOKLAND Raymond</t>
  </si>
  <si>
    <t>FOSTY Xavier</t>
  </si>
  <si>
    <t>COURTEILLE Laura</t>
  </si>
  <si>
    <t>FASSONE Marc</t>
  </si>
  <si>
    <t>CARTUYVELS John</t>
  </si>
  <si>
    <t>PROHASKA Kevin</t>
  </si>
  <si>
    <t>SHREYAS Pramsagar</t>
  </si>
  <si>
    <t>JOST Kelly</t>
  </si>
  <si>
    <t>BRICUSSE Benjamin</t>
  </si>
  <si>
    <t>LICKES Mandy</t>
  </si>
  <si>
    <t>SCHMIDT Sonja</t>
  </si>
  <si>
    <t>FISCHBACH Christophe</t>
  </si>
  <si>
    <t>IVT</t>
  </si>
  <si>
    <t>(800*6/100)+(800*7/100)+(129*8/100)</t>
  </si>
  <si>
    <t>(800*6/100)+(784*7/100)</t>
  </si>
  <si>
    <t>(800*6/100)+(800*7/100)+(278*8/100)</t>
  </si>
  <si>
    <t>(666/12)*3,5)*,6</t>
  </si>
  <si>
    <t>((747,66/12)*3,5)*,6</t>
  </si>
  <si>
    <t>42000*,7/100)*,6</t>
  </si>
  <si>
    <t>(285*6/100)</t>
  </si>
  <si>
    <t>(800*6/100)+(255*7/100)</t>
  </si>
  <si>
    <t>(719,83*6/100)</t>
  </si>
  <si>
    <t>PRODUIT</t>
  </si>
  <si>
    <t>REEBOU PRO</t>
  </si>
  <si>
    <t>HORIZON 60 Invest</t>
  </si>
  <si>
    <t>TERME</t>
  </si>
  <si>
    <t>(1500*29**,02)*,6</t>
  </si>
  <si>
    <t>1795*12/100</t>
  </si>
  <si>
    <t>HORIZON 60 CAPI</t>
  </si>
  <si>
    <t>(2600*10*,02)*,6</t>
  </si>
  <si>
    <t>(7200*15*,027)*,6</t>
  </si>
  <si>
    <t>PACK REEBOU FAMILY</t>
  </si>
  <si>
    <t>GAMBUTO Deborah</t>
  </si>
  <si>
    <t>(720*23*,02)*,6</t>
  </si>
  <si>
    <t>REEBOU PACK</t>
  </si>
  <si>
    <t>((145,08/12)*3,5)*,6</t>
  </si>
  <si>
    <t>SAEUL Luc</t>
  </si>
  <si>
    <t>24147290Y01</t>
  </si>
  <si>
    <t>(25000*7,5/100)*60/100</t>
  </si>
  <si>
    <t>PJ</t>
  </si>
  <si>
    <t>(416,35,22*,12)*,5</t>
  </si>
  <si>
    <t>FOCUS INVEST</t>
  </si>
  <si>
    <t>INTERRESSEMENT</t>
  </si>
  <si>
    <t>AVRIL</t>
  </si>
  <si>
    <t>JUIN</t>
  </si>
  <si>
    <t>MAI</t>
  </si>
  <si>
    <t>MONTANT DE REF.</t>
  </si>
  <si>
    <t>FROST Nathalie</t>
  </si>
  <si>
    <t>110,88*15/100</t>
  </si>
  <si>
    <t>276*12/100</t>
  </si>
  <si>
    <t>24147145K01</t>
  </si>
  <si>
    <t>24147149L01</t>
  </si>
  <si>
    <t>24147153T01</t>
  </si>
  <si>
    <t>FERRINI Daniel</t>
  </si>
  <si>
    <t>172,34*15/100</t>
  </si>
  <si>
    <t>(800*6/100)+(139,84*7/100)</t>
  </si>
  <si>
    <t>845,59*12/100</t>
  </si>
  <si>
    <t>((2264,28/12)*3,5)*,6</t>
  </si>
  <si>
    <t>HELIOS PROTECT 100</t>
  </si>
  <si>
    <t>620,18*12/100</t>
  </si>
  <si>
    <t>483*6*,5</t>
  </si>
  <si>
    <t>MOBILE Tr.</t>
  </si>
  <si>
    <t>REEBOU start</t>
  </si>
  <si>
    <t>(151,3*,08)</t>
  </si>
  <si>
    <t>COMM.</t>
  </si>
  <si>
    <t>24147157U01</t>
  </si>
  <si>
    <t>JANVIER à MARS</t>
  </si>
  <si>
    <t>24628596R01</t>
  </si>
  <si>
    <t>24628589D01</t>
  </si>
  <si>
    <t>23646201M01</t>
  </si>
  <si>
    <t>(44000*,7/100)*,6</t>
  </si>
  <si>
    <t>(60000*,7/100)*,6</t>
  </si>
  <si>
    <t>THOMAS Nadine</t>
  </si>
  <si>
    <t>CESARETTI Fiorina</t>
  </si>
  <si>
    <t>MICHEL SOREAU C&amp;V</t>
  </si>
  <si>
    <t>3x120</t>
  </si>
  <si>
    <t>Rempl. standard</t>
  </si>
  <si>
    <t>5x80</t>
  </si>
  <si>
    <t>REEBOOU FAMILY</t>
  </si>
  <si>
    <t>GREEN CRUZ Francisco</t>
  </si>
  <si>
    <t>PELLICIA Raffaele</t>
  </si>
  <si>
    <t>ROSSETTI Sandra</t>
  </si>
  <si>
    <t>(800*6/100)+(670,9*7/100)</t>
  </si>
  <si>
    <t>Mensuel</t>
  </si>
  <si>
    <t>2ème acom. 2015 BSH</t>
  </si>
  <si>
    <t>JUILLET</t>
  </si>
  <si>
    <t>HOUSE OF YOGA</t>
  </si>
  <si>
    <t>PROHASKA NICOLAS</t>
  </si>
  <si>
    <t>VANONI MARTINE</t>
  </si>
  <si>
    <t>WIRTZ Juta</t>
  </si>
  <si>
    <t>IVAN MIRELLA</t>
  </si>
  <si>
    <t>NIEDERLANDER François</t>
  </si>
  <si>
    <t>GRABOWSKI Bernard</t>
  </si>
  <si>
    <t>RC VIE PRIVE</t>
  </si>
  <si>
    <t>MIANGOUILA Camille</t>
  </si>
  <si>
    <t>GILSON Sandy</t>
  </si>
  <si>
    <t>MUSSEL Evelyne</t>
  </si>
  <si>
    <t>DI PINTO Rosalba</t>
  </si>
  <si>
    <t>P.J.</t>
  </si>
  <si>
    <t>ZENITH 60              Op 100</t>
  </si>
  <si>
    <t>(253,63,*,12)*,5</t>
  </si>
  <si>
    <t>METHODE CALCUL</t>
  </si>
  <si>
    <t xml:space="preserve">SANTE </t>
  </si>
  <si>
    <r>
      <t>(Montant / 12 * 3,5) *</t>
    </r>
    <r>
      <rPr>
        <sz val="11"/>
        <color indexed="10"/>
        <rFont val="Calibri"/>
        <family val="2"/>
      </rPr>
      <t>60</t>
    </r>
    <r>
      <rPr>
        <sz val="11"/>
        <color theme="1"/>
        <rFont val="Calibri"/>
        <family val="2"/>
        <scheme val="minor"/>
      </rPr>
      <t xml:space="preserve"> %</t>
    </r>
  </si>
  <si>
    <t>Inférieur à 800€</t>
  </si>
  <si>
    <t>entre 800€ et 1600€</t>
  </si>
  <si>
    <t>Supér. 1600€</t>
  </si>
  <si>
    <t>MOBILé START</t>
  </si>
  <si>
    <t>Autres MOBILé</t>
  </si>
  <si>
    <t xml:space="preserve">IARD </t>
  </si>
  <si>
    <t>Transferts</t>
  </si>
  <si>
    <t>VIE</t>
  </si>
  <si>
    <t>ZENITH 60</t>
  </si>
  <si>
    <t>HORIZON 60</t>
  </si>
  <si>
    <t>HELIOS PROTECT</t>
  </si>
  <si>
    <t>MOBILé</t>
  </si>
  <si>
    <t>MOBILE REGIO</t>
  </si>
  <si>
    <t>RESIDENCE 172     (722631)     route de Mondercange</t>
  </si>
  <si>
    <t>1004,23*12/100</t>
  </si>
  <si>
    <t>(800*,06)+(67,13*,07)</t>
  </si>
  <si>
    <t>(800*,06)+(132,5*,07)</t>
  </si>
  <si>
    <t>(800*,06)+(235,5*,07)</t>
  </si>
  <si>
    <t>(258,83*,06)</t>
  </si>
  <si>
    <t>(800*,06)+(800*,07)+(196,88*,8)</t>
  </si>
  <si>
    <t>(800*,06)+(174,43*,07)</t>
  </si>
  <si>
    <t>((800*,06)+(228,94*,07))*,5</t>
  </si>
  <si>
    <t>((800*,06)+(207,32*,07))*,5</t>
  </si>
  <si>
    <t>110*,15</t>
  </si>
  <si>
    <t>110*,12</t>
  </si>
  <si>
    <t>91,7*,12</t>
  </si>
  <si>
    <t>166,92*,12</t>
  </si>
  <si>
    <t>(800*,06)+(800*,07)+(850,92*,08)</t>
  </si>
  <si>
    <t>566,24*,12</t>
  </si>
  <si>
    <t>473,33*,12</t>
  </si>
  <si>
    <t>817,13*,12</t>
  </si>
  <si>
    <t>(294,23/12*3,5)*0,6</t>
  </si>
  <si>
    <t>AOUT</t>
  </si>
  <si>
    <t>(800*6/100)+(800*7/100)+(606,29*8/100)</t>
  </si>
  <si>
    <t>SEPTEMBRE</t>
  </si>
  <si>
    <t>COMMISSION JEFF DERAPPE   2ème TRIMESTRE 2016</t>
  </si>
  <si>
    <r>
      <t xml:space="preserve">(Montant * 0,7 %) </t>
    </r>
    <r>
      <rPr>
        <sz val="11"/>
        <color indexed="10"/>
        <rFont val="Calibri"/>
        <family val="2"/>
      </rPr>
      <t>60</t>
    </r>
    <r>
      <rPr>
        <sz val="11"/>
        <color theme="1"/>
        <rFont val="Calibri"/>
        <family val="2"/>
        <scheme val="minor"/>
      </rPr>
      <t xml:space="preserve"> %</t>
    </r>
  </si>
  <si>
    <r>
      <t>(Somme*Nbre années* 27/1000) *</t>
    </r>
    <r>
      <rPr>
        <sz val="11"/>
        <color indexed="10"/>
        <rFont val="Calibri"/>
        <family val="2"/>
      </rPr>
      <t xml:space="preserve"> 60</t>
    </r>
    <r>
      <rPr>
        <sz val="11"/>
        <color theme="1"/>
        <rFont val="Calibri"/>
        <family val="2"/>
        <scheme val="minor"/>
      </rPr>
      <t xml:space="preserve"> %</t>
    </r>
  </si>
  <si>
    <r>
      <t xml:space="preserve">(Somme*Nbre années* 2/100) * </t>
    </r>
    <r>
      <rPr>
        <sz val="11"/>
        <color indexed="10"/>
        <rFont val="Calibri"/>
        <family val="2"/>
      </rPr>
      <t>60</t>
    </r>
    <r>
      <rPr>
        <sz val="11"/>
        <color theme="1"/>
        <rFont val="Calibri"/>
        <family val="2"/>
        <scheme val="minor"/>
      </rPr>
      <t xml:space="preserve"> %</t>
    </r>
  </si>
  <si>
    <r>
      <t xml:space="preserve">(Somme*Nbre années* 27/1000) * </t>
    </r>
    <r>
      <rPr>
        <sz val="11"/>
        <color indexed="10"/>
        <rFont val="Calibri"/>
        <family val="2"/>
      </rPr>
      <t>60</t>
    </r>
    <r>
      <rPr>
        <sz val="11"/>
        <color theme="1"/>
        <rFont val="Calibri"/>
        <family val="2"/>
        <scheme val="minor"/>
      </rPr>
      <t xml:space="preserve"> %</t>
    </r>
  </si>
  <si>
    <r>
      <rPr>
        <sz val="11"/>
        <color indexed="10"/>
        <rFont val="Calibri"/>
        <family val="2"/>
      </rPr>
      <t xml:space="preserve">70 </t>
    </r>
    <r>
      <rPr>
        <sz val="11"/>
        <color theme="1"/>
        <rFont val="Calibri"/>
        <family val="2"/>
        <scheme val="minor"/>
      </rPr>
      <t>% si + 36 pers.</t>
    </r>
  </si>
  <si>
    <t>Mini 15000 € capital</t>
  </si>
  <si>
    <t>Pack IARD</t>
  </si>
  <si>
    <t>"+ bareme de  commissionnement vie agent principal (autre )</t>
  </si>
  <si>
    <r>
      <t>((531,92*0,060)+(</t>
    </r>
    <r>
      <rPr>
        <sz val="11"/>
        <color indexed="10"/>
        <rFont val="Calibri"/>
        <family val="2"/>
      </rPr>
      <t>531,92*0,015</t>
    </r>
    <r>
      <rPr>
        <sz val="11"/>
        <color theme="1"/>
        <rFont val="Calibri"/>
        <family val="2"/>
        <scheme val="minor"/>
      </rPr>
      <t xml:space="preserve">))*0,6 </t>
    </r>
    <r>
      <rPr>
        <sz val="11"/>
        <color indexed="10"/>
        <rFont val="Calibri"/>
        <family val="2"/>
      </rPr>
      <t>1ère année</t>
    </r>
  </si>
  <si>
    <t>110,88*,15</t>
  </si>
  <si>
    <t>HOBSCHEIT Pierre</t>
  </si>
  <si>
    <t>KLEIN Corinne</t>
  </si>
  <si>
    <t>WEBER Thomas</t>
  </si>
  <si>
    <t>SCALON Anne Sophie</t>
  </si>
  <si>
    <t>VERSANNE Denis</t>
  </si>
  <si>
    <t>LOGGIA</t>
  </si>
  <si>
    <t>POLI THILMANN Raymond</t>
  </si>
  <si>
    <t>VANDERTHOMMEN Colette</t>
  </si>
  <si>
    <t>SCHELLER Gaby</t>
  </si>
  <si>
    <t>TR MOBILE</t>
  </si>
  <si>
    <t>MEYER Christian</t>
  </si>
  <si>
    <t>REMPLACEMENT STANDARD</t>
  </si>
  <si>
    <t>7 jours</t>
  </si>
  <si>
    <t>639,51*,06</t>
  </si>
  <si>
    <t>182,24*,12</t>
  </si>
  <si>
    <t>CORDOVADO Tiziana</t>
  </si>
  <si>
    <t>(3192*16*,02)*,6</t>
  </si>
  <si>
    <t>(1336,44/12*3,5)*,6</t>
  </si>
  <si>
    <t>(800*,06)+(729,32*,07)</t>
  </si>
  <si>
    <t>477,64*,12</t>
  </si>
  <si>
    <t>SCHROEDER Joseph</t>
  </si>
  <si>
    <t>(66000*,007)*,6</t>
  </si>
  <si>
    <t>124,94*,15</t>
  </si>
  <si>
    <t>204,71*,06</t>
  </si>
  <si>
    <t>((800*,06)+(324,55*,7))*,5</t>
  </si>
  <si>
    <t>175,56*,12</t>
  </si>
  <si>
    <t>319,55*,12</t>
  </si>
  <si>
    <t>(1500*23*,02)*,6</t>
  </si>
  <si>
    <t>(800*,06)+(800*,07)+(48,62*,08)</t>
  </si>
  <si>
    <t>42000*,007*,6</t>
  </si>
  <si>
    <t>80/j</t>
  </si>
  <si>
    <t xml:space="preserve">24628603R01 </t>
  </si>
  <si>
    <t>24614967Z01</t>
  </si>
  <si>
    <t>(f53*0,007)*0,6</t>
  </si>
  <si>
    <t>24147314Q01</t>
  </si>
  <si>
    <t>(81000*0,007)*0,6</t>
  </si>
  <si>
    <t>(100000*0,007)*0,6</t>
  </si>
  <si>
    <t>24614973Z01</t>
  </si>
  <si>
    <t xml:space="preserve">24614975J01   </t>
  </si>
  <si>
    <t>CORDOVADO Flamino</t>
  </si>
  <si>
    <t>REEBOU FAMILY Tr</t>
  </si>
  <si>
    <t>NUELLAS Solène</t>
  </si>
  <si>
    <t>HELIOS</t>
  </si>
  <si>
    <t>RODRIGUEZ  Arthur</t>
  </si>
  <si>
    <t>IVERSEN Emily</t>
  </si>
  <si>
    <t>TOTAL COMM.</t>
  </si>
  <si>
    <t>TOTAL</t>
  </si>
  <si>
    <t>TOTAL INTER. +</t>
  </si>
  <si>
    <t>REPORT  INTER. +</t>
  </si>
  <si>
    <t>MENSUEL</t>
  </si>
  <si>
    <t>AXI Tr</t>
  </si>
  <si>
    <t>4 ème Acomp. 2015 BSH</t>
  </si>
  <si>
    <t>OCTOBRE</t>
  </si>
  <si>
    <t>NOVEMBRE</t>
  </si>
  <si>
    <t>DECEMBRE</t>
  </si>
  <si>
    <t>MOBILE 2007</t>
  </si>
  <si>
    <t>MAO LIANG</t>
  </si>
  <si>
    <t>DE PRADA</t>
  </si>
  <si>
    <t>FOCUS INVEST.</t>
  </si>
  <si>
    <t xml:space="preserve">SCHARTZ Alain </t>
  </si>
  <si>
    <t>FLEXIVIE</t>
  </si>
  <si>
    <t>CORREIA GALISSA Samuel</t>
  </si>
  <si>
    <t>CARISSIMO Cosimo</t>
  </si>
  <si>
    <t>MONTOYA Norly</t>
  </si>
  <si>
    <t xml:space="preserve">BECK Sylvain </t>
  </si>
  <si>
    <t>PACK REEBOU</t>
  </si>
  <si>
    <t>ASSEBANE Laila</t>
  </si>
  <si>
    <t>MASAUD Dalil</t>
  </si>
  <si>
    <t>LOGUERCIO Sabrina</t>
  </si>
  <si>
    <t>ALVES VARELA Rageize</t>
  </si>
  <si>
    <t>MEDERNACH HEISBOURG</t>
  </si>
  <si>
    <t>TOUS RISQUE CHANTIER</t>
  </si>
  <si>
    <t>REEBOU INVEST</t>
  </si>
  <si>
    <t>SOARES DE OLIVEIRA José</t>
  </si>
  <si>
    <t>HORIZONT 60 CAPI</t>
  </si>
  <si>
    <t>CROITORU Théodora</t>
  </si>
  <si>
    <t>CHOMICZ Michal</t>
  </si>
  <si>
    <t>HERTZ Christian</t>
  </si>
  <si>
    <t>MEDICIS GROUP</t>
  </si>
  <si>
    <t>HENGEN Celine</t>
  </si>
  <si>
    <t>KUCHARSKI Stéphanie</t>
  </si>
  <si>
    <t>SOARES FREIRE José Manuel</t>
  </si>
  <si>
    <t>SOARES FREIRE Gil</t>
  </si>
  <si>
    <t>SOARES fREIRE Gil</t>
  </si>
  <si>
    <t>BEJENARU Anna</t>
  </si>
  <si>
    <t>DA SILVA ALMADA Benvindo</t>
  </si>
  <si>
    <t>NEVES PEREIRA Tania</t>
  </si>
  <si>
    <t>EVERAD Thierry</t>
  </si>
  <si>
    <t>LISARELLI Raphaël</t>
  </si>
  <si>
    <t>NURAL Irem</t>
  </si>
  <si>
    <t>REPPLINGER Antoine</t>
  </si>
  <si>
    <t>DOS SANTOS Maria Alcinda</t>
  </si>
  <si>
    <t>SINDT Guillaume</t>
  </si>
  <si>
    <t>SOARES FREIRE Diana</t>
  </si>
  <si>
    <t>TOULEMONDE Raphaël</t>
  </si>
  <si>
    <t>SCHNEIDERS Cindy</t>
  </si>
  <si>
    <t>ENGEL Leslie</t>
  </si>
  <si>
    <t>MOBILE 2007 TR</t>
  </si>
  <si>
    <t>MULLER Fabrice</t>
  </si>
  <si>
    <t>LOURENCO HENRIQUES Gabriel</t>
  </si>
  <si>
    <t>PAAJ Sarl</t>
  </si>
  <si>
    <t>WEIS Eloi</t>
  </si>
  <si>
    <t>JAIN Sushil Kumar</t>
  </si>
  <si>
    <t>TOTAL MOIS</t>
  </si>
  <si>
    <t>TOTAL TRIMESTRE</t>
  </si>
  <si>
    <t>NOVA PROTECT</t>
  </si>
  <si>
    <t>DE BONDT Karine</t>
  </si>
  <si>
    <t>THIVET SARDELLI Evan</t>
  </si>
  <si>
    <t>HORIZONT CAPI</t>
  </si>
  <si>
    <t>Ts risque chantier</t>
  </si>
  <si>
    <t>P.j.</t>
  </si>
  <si>
    <t>Échéance voir dans onglet garanties</t>
  </si>
  <si>
    <t>8  jours</t>
  </si>
  <si>
    <t xml:space="preserve">INTERRESSEMENT </t>
  </si>
  <si>
    <t>AGNELLO Vincenzo</t>
  </si>
  <si>
    <t>JANVIER</t>
  </si>
  <si>
    <t>FEVRIER</t>
  </si>
  <si>
    <t>MARS</t>
  </si>
  <si>
    <t xml:space="preserve">TOTAL MOIS </t>
  </si>
  <si>
    <t>DEVAUX Sylvie</t>
  </si>
  <si>
    <t>Tr</t>
  </si>
  <si>
    <t>HORIZONT 60 INVEST</t>
  </si>
  <si>
    <t>PROHASKA KEVIN</t>
  </si>
  <si>
    <t>DELHASSE Michel</t>
  </si>
  <si>
    <t>DE JESUS SARAIVA Sara</t>
  </si>
  <si>
    <t>MOBILE 2016</t>
  </si>
  <si>
    <t>REBOU FAMILY</t>
  </si>
  <si>
    <t>TOULOUSE Constance</t>
  </si>
  <si>
    <t>MEDICIS</t>
  </si>
  <si>
    <t>DOROTEA JEMMING Carole</t>
  </si>
  <si>
    <t>DABROWSKI Marjorie</t>
  </si>
  <si>
    <t>DI DONATO Rita</t>
  </si>
  <si>
    <t>SALOMON Francis</t>
  </si>
  <si>
    <t>SALOMON Agnes</t>
  </si>
  <si>
    <t>DE PRADA Geraldine</t>
  </si>
  <si>
    <t>DRUM NTWIRL FANAT</t>
  </si>
  <si>
    <t xml:space="preserve">RC GENERAL </t>
  </si>
  <si>
    <t>VIDOTTO Bianca</t>
  </si>
  <si>
    <t>VIDOTTO BERNARD Jos</t>
  </si>
  <si>
    <t>AGOVIC Ismet</t>
  </si>
  <si>
    <t>STEPHANO Myriam</t>
  </si>
  <si>
    <t>TOTAL MOIS JANVIER 2017</t>
  </si>
  <si>
    <t>RHADG</t>
  </si>
  <si>
    <t xml:space="preserve">BOUCHOUKA TOFIC </t>
  </si>
  <si>
    <t>HORIZONT 60</t>
  </si>
  <si>
    <t>NCLL</t>
  </si>
  <si>
    <t>VIDOTTO BERNARD Joseph</t>
  </si>
  <si>
    <t>LUNELLI Andrea</t>
  </si>
  <si>
    <t>CHARLE Claude</t>
  </si>
  <si>
    <t>SOUBIELLE Jean Jacques</t>
  </si>
  <si>
    <t>MOBILE Tr</t>
  </si>
  <si>
    <t>BECRET Isamira</t>
  </si>
  <si>
    <t>ANDINE DEGROOTE Johanna</t>
  </si>
  <si>
    <t>DOS SANTO Maria Alcinda</t>
  </si>
  <si>
    <t>ROSSETTI Tamara</t>
  </si>
  <si>
    <t>TRINGALI Gabrielle</t>
  </si>
  <si>
    <t>DERAPPE SCHUMANN</t>
  </si>
  <si>
    <t>LEGRUM Sandra</t>
  </si>
  <si>
    <t>TREINEN Georges Philippe</t>
  </si>
  <si>
    <t xml:space="preserve">MOBILE </t>
  </si>
  <si>
    <t>BORGES CARVALHO Ricardo</t>
  </si>
  <si>
    <t>DA COSTA FERREIRA Orlando</t>
  </si>
  <si>
    <t>BERNARDO SILVESTRE Carlos</t>
  </si>
  <si>
    <t>BEUMER Stéphan</t>
  </si>
  <si>
    <t>CARDELUS Arturo</t>
  </si>
  <si>
    <t>FICHANT Jean Michel</t>
  </si>
  <si>
    <t>HEYKES Ming Lai</t>
  </si>
  <si>
    <t>DOS SANTOS GOMES Denise</t>
  </si>
  <si>
    <t>BARBOSA LIMA Angelo Gabriel</t>
  </si>
  <si>
    <t>LORA GALAN Marina</t>
  </si>
  <si>
    <t>DE ALMEIDA Vitoria</t>
  </si>
  <si>
    <t>FELIX GONCALVES Simone</t>
  </si>
  <si>
    <t>TRINGALI Gabriele</t>
  </si>
  <si>
    <t>WELTER Gwendy</t>
  </si>
  <si>
    <t>PHILLIPS Ashley</t>
  </si>
  <si>
    <t>DE MAS David</t>
  </si>
  <si>
    <t>6  jours</t>
  </si>
  <si>
    <t>PFEIFFER Alain</t>
  </si>
  <si>
    <t>TOTAL MOIS FEVRIER 2017</t>
  </si>
  <si>
    <t>TOTAL MOIS MARS 2017</t>
  </si>
  <si>
    <t>MOTIF</t>
  </si>
  <si>
    <t>Effet Reporté au 01/18</t>
  </si>
  <si>
    <t>Transfert</t>
  </si>
  <si>
    <t>ZENITH 60 Opt. 25</t>
  </si>
  <si>
    <t>TRANSFERT</t>
  </si>
  <si>
    <t>BLOKLAND R</t>
  </si>
  <si>
    <t>VIGLIONE Luc</t>
  </si>
  <si>
    <t>NOVA</t>
  </si>
  <si>
    <t>QUIST Lydia</t>
  </si>
  <si>
    <t>RIBEIRO Anthony John</t>
  </si>
  <si>
    <t>MENDES GOMIS Ndeye Rama</t>
  </si>
  <si>
    <t>SEVERINO Morales José Carlos</t>
  </si>
  <si>
    <t>PEREIRA MARQUES Elio</t>
  </si>
  <si>
    <t>WAGNER Christiane</t>
  </si>
  <si>
    <t>x</t>
  </si>
  <si>
    <t>FACCIOLINI David</t>
  </si>
  <si>
    <t>FACCIOLINI GRANDEL Laetitia</t>
  </si>
  <si>
    <t>HADANGUE Richard</t>
  </si>
  <si>
    <t>TOTAL MOIS MAI</t>
  </si>
  <si>
    <t>TOTAL MOIS JUIN</t>
  </si>
  <si>
    <t>TOTAL MOIS AVRIL</t>
  </si>
  <si>
    <t>X</t>
  </si>
  <si>
    <t>OPREA Claudia</t>
  </si>
  <si>
    <t>FOCUS INVESTISSEMENT</t>
  </si>
  <si>
    <t>MULLER Yves</t>
  </si>
  <si>
    <t>GERARD Melanie</t>
  </si>
  <si>
    <t>ASSEBANE Latifa</t>
  </si>
  <si>
    <t xml:space="preserve">FRANCISCO Orlando </t>
  </si>
  <si>
    <t>EUROPE ASSIST.</t>
  </si>
  <si>
    <t>CAULLET Marie Thérèse</t>
  </si>
  <si>
    <t>FICHANT J.M.</t>
  </si>
  <si>
    <t>D-MESURES</t>
  </si>
  <si>
    <t>YUMMI YUMMI</t>
  </si>
  <si>
    <t>STELMES Samantha</t>
  </si>
  <si>
    <t>BRELL Paul</t>
  </si>
  <si>
    <t>PETERSSON Sandra</t>
  </si>
  <si>
    <t>HORIZONT 60  INVEST</t>
  </si>
  <si>
    <t>CARVALO Susanna</t>
  </si>
  <si>
    <t>NOWOBILSKI Lucile</t>
  </si>
  <si>
    <t>CARLIER Patrick</t>
  </si>
  <si>
    <t>25240858C01</t>
  </si>
  <si>
    <t>25240822P01</t>
  </si>
  <si>
    <t>KERROUMI Soumya</t>
  </si>
  <si>
    <t>DECKER Carry</t>
  </si>
  <si>
    <t>PAQUETEAU Laurent</t>
  </si>
  <si>
    <t>STEFCHEF Rosen</t>
  </si>
  <si>
    <t>CALVETTI Christianne</t>
  </si>
  <si>
    <t>KIRSCH Joelle</t>
  </si>
  <si>
    <t>JENIN Fabrice</t>
  </si>
  <si>
    <t>HEISBOURG Joseph</t>
  </si>
  <si>
    <t>ADVISSE Alexandra</t>
  </si>
  <si>
    <t>5  jours</t>
  </si>
  <si>
    <t>N° CONTRAT</t>
  </si>
  <si>
    <t>MOIS</t>
  </si>
  <si>
    <t>N° CLIENT</t>
  </si>
  <si>
    <t>CLEES Joelle</t>
  </si>
  <si>
    <t>RC ENSEIGNANT</t>
  </si>
  <si>
    <t>VENTURELLI Tania</t>
  </si>
  <si>
    <t>ALMEIDA DO NASCIMENTO</t>
  </si>
  <si>
    <t>BARBIE Mathieu</t>
  </si>
  <si>
    <t>THULL Kyu</t>
  </si>
  <si>
    <t>CARVALHO Susanna</t>
  </si>
  <si>
    <t>RIBEIRO COSTA Mike</t>
  </si>
  <si>
    <t>GHADYANI Reza</t>
  </si>
  <si>
    <t xml:space="preserve">BARTOSIEWICZ </t>
  </si>
  <si>
    <t>TR</t>
  </si>
  <si>
    <t>Nbre années</t>
  </si>
  <si>
    <t>xx</t>
  </si>
  <si>
    <t>xxx</t>
  </si>
  <si>
    <t>HORIZONT60Invest</t>
  </si>
  <si>
    <t>ZENITH60 Op100</t>
  </si>
  <si>
    <t>HORIZONT60Capi</t>
  </si>
  <si>
    <t>HORIZONT60Protect</t>
  </si>
  <si>
    <t>HELIOS100Protect</t>
  </si>
  <si>
    <t>HELIOS100Invest</t>
  </si>
  <si>
    <t>FOCUS</t>
  </si>
  <si>
    <t>XXX</t>
  </si>
  <si>
    <t>MOBILE2016</t>
  </si>
  <si>
    <t>REEBOU Family</t>
  </si>
  <si>
    <t>REEBOU Pack</t>
  </si>
  <si>
    <t>REEBOU Pro</t>
  </si>
  <si>
    <t>REEBOU Invest</t>
  </si>
  <si>
    <t>RC</t>
  </si>
  <si>
    <t>MOBILE Regio</t>
  </si>
  <si>
    <t>ZENITH60 Op25</t>
  </si>
  <si>
    <t>SCHWABISCHHALL</t>
  </si>
  <si>
    <t>MERLI Fulberto</t>
  </si>
  <si>
    <t>GIOVAGNINI Fabien</t>
  </si>
  <si>
    <t>MOBILE2016;MOBILE Regio;REEBOUfamily;REEBOUpack;REEBOUpro;REEBOUinvest;LOGGIA;MEDICIS;RC;RC ENSEIGN;ZENITH60op100;ZENITH60op25;HORIZONT60invest;HORIZONT60protect;HORIZONT60capi;HELIOS100protect;HELIOS60invest;HELIOS100invest;FOCUS;NOVA;BSH</t>
  </si>
  <si>
    <t>HORIZONT60invest</t>
  </si>
  <si>
    <t>RIBEIRO Steve</t>
  </si>
  <si>
    <t>CHEN Xiajun</t>
  </si>
  <si>
    <t>TAVARES GONCALVES Veronica</t>
  </si>
  <si>
    <t>ETONDE IPOUNI André Jacob</t>
  </si>
  <si>
    <t>TURCO Denise</t>
  </si>
  <si>
    <t>RANDAZZO Daniela</t>
  </si>
  <si>
    <t>RIBEIRO DA COSTA Mike</t>
  </si>
  <si>
    <t>BOTO Kossi</t>
  </si>
  <si>
    <t>HALKIN Sylvie</t>
  </si>
  <si>
    <t>DAVItO Tom</t>
  </si>
  <si>
    <t>BALBEUR Frederic</t>
  </si>
  <si>
    <t>SCHREINER Scharon</t>
  </si>
  <si>
    <t>SCHREINER WAGNER Ernest</t>
  </si>
  <si>
    <t>WAGNER HOELTGEN</t>
  </si>
  <si>
    <t>CHEN Xiaojun</t>
  </si>
  <si>
    <t>BECK Sylvain</t>
  </si>
  <si>
    <t>RIBEIRO Sergio</t>
  </si>
  <si>
    <t>CONGES</t>
  </si>
  <si>
    <t>1 AU 15</t>
  </si>
  <si>
    <t>INDEMNITES CONGES</t>
  </si>
  <si>
    <t>8,5 'j</t>
  </si>
  <si>
    <t>12 jours à 8  h</t>
  </si>
  <si>
    <t>96 h</t>
  </si>
  <si>
    <t>7,66/h</t>
  </si>
  <si>
    <t>LAUTERBOUR Suzette</t>
  </si>
  <si>
    <t>LISTE DE  CHOIX</t>
  </si>
  <si>
    <t>MOBILE2007</t>
  </si>
  <si>
    <t>OUALKADI Aziz</t>
  </si>
  <si>
    <t>CLEES Myriam</t>
  </si>
  <si>
    <t>HAZEG Nadim Ahmed</t>
  </si>
  <si>
    <t>HAZEG PETIT JEAN Florence Claire</t>
  </si>
  <si>
    <t>FELIX GONCALVES Simone Isabel</t>
  </si>
  <si>
    <t>TOUSSAINT Magali</t>
  </si>
  <si>
    <t>VUILLEMIN Frederic</t>
  </si>
  <si>
    <t>CARER Nathalie</t>
  </si>
  <si>
    <t>ALVES DOS SANTOS</t>
  </si>
  <si>
    <t>DAVITO Tom</t>
  </si>
  <si>
    <t>SUCHODOLSKI Mateusz</t>
  </si>
  <si>
    <t>25240854B01</t>
  </si>
  <si>
    <t>25240862K01</t>
  </si>
  <si>
    <t>25240866L01</t>
  </si>
  <si>
    <t>25204531T01</t>
  </si>
  <si>
    <t>ARNAUD Isabelle</t>
  </si>
  <si>
    <t>MONTEIRO DE MELO FIAL Marcia</t>
  </si>
  <si>
    <t>REIS SPENCER ANES Maria</t>
  </si>
  <si>
    <t>JAMOT JOHANSSON Per Axel</t>
  </si>
  <si>
    <t>CARLIER Eric</t>
  </si>
  <si>
    <t>EYDT Corinne</t>
  </si>
  <si>
    <t>ONYOBI Jacob Tobi</t>
  </si>
  <si>
    <t>COSTA DE FIGUEIREDO Nuno</t>
  </si>
  <si>
    <t>FERREIRA MARQUES Luis</t>
  </si>
  <si>
    <t>ABERA ABOVE Samson</t>
  </si>
  <si>
    <t>25204535u01</t>
  </si>
  <si>
    <t>LORANG WELTER Marcel</t>
  </si>
  <si>
    <t>CLEMENT Charlotte</t>
  </si>
  <si>
    <t>REEBOUpack</t>
  </si>
  <si>
    <t>COLOBERT Yann</t>
  </si>
  <si>
    <t>BARZAQ Abderrahmane</t>
  </si>
  <si>
    <t>BOUDABZA Nadia</t>
  </si>
  <si>
    <t>TURRA Gwenda</t>
  </si>
  <si>
    <t>SENHAJI KARIM Youssef</t>
  </si>
  <si>
    <t>RESIDENCE STEPHANIE</t>
  </si>
  <si>
    <t>MOBILE2016;MOBILE Regio;REEBOUfamily;REEBOUpack;REEBOUpro;REEBOU Immo;REEBOUinvest;LOGGIA;MEDICIS;RC;RC ENSEIGN;ZENITH60op100;ZENITH60op25;HORIZONT60invest;HORIZONT60protect;HORIZONT60capi;HELIOS100protect;HELIOS60invest;HELIOS100invest;FOCUS;NOVA;BSH</t>
  </si>
  <si>
    <t>REEBOUImmo</t>
  </si>
  <si>
    <t>LAMINE Mohamed Ali</t>
  </si>
  <si>
    <t>RODICQ Francis</t>
  </si>
  <si>
    <t>SCHNEIDER Natalie</t>
  </si>
  <si>
    <t>ZHOU ET LIN J.ET C.</t>
  </si>
  <si>
    <t>SHI ET ZHANG L. ET H.</t>
  </si>
  <si>
    <t>MARGUET Thibaud</t>
  </si>
  <si>
    <t>ADROVIC Mirzeta</t>
  </si>
  <si>
    <t>GAMBUTO Matteo</t>
  </si>
  <si>
    <t>MANOR  (PAUWELS Coralie)</t>
  </si>
  <si>
    <t xml:space="preserve"> 3j</t>
  </si>
  <si>
    <t>30-31/10 - 18 au 22/12</t>
  </si>
  <si>
    <t>7 jours à 8  h</t>
  </si>
  <si>
    <t>*</t>
  </si>
  <si>
    <t>Rectification mai augmentation</t>
  </si>
  <si>
    <t>Erreur tx com</t>
  </si>
  <si>
    <t>Rectif.tx com</t>
  </si>
  <si>
    <t>*non rectifié</t>
  </si>
  <si>
    <t>Rectification juin annulation samy</t>
  </si>
  <si>
    <t>Reprise</t>
  </si>
  <si>
    <t>10.2017</t>
  </si>
  <si>
    <t>11.2017</t>
  </si>
  <si>
    <t>12.2017</t>
  </si>
  <si>
    <t>Annulation</t>
  </si>
  <si>
    <t>TOTAL ANNUEL</t>
  </si>
  <si>
    <t>01.2018</t>
  </si>
  <si>
    <t>01.2017</t>
  </si>
  <si>
    <t>02.2017</t>
  </si>
  <si>
    <t>03.2017</t>
  </si>
  <si>
    <t>04.2017</t>
  </si>
  <si>
    <t>Autres produits divers</t>
  </si>
  <si>
    <r>
      <t xml:space="preserve">(Somme*Nbre années* 2/100) * </t>
    </r>
    <r>
      <rPr>
        <sz val="11"/>
        <color indexed="10"/>
        <rFont val="Calibri"/>
        <family val="2"/>
      </rPr>
      <t>50</t>
    </r>
    <r>
      <rPr>
        <sz val="11"/>
        <color theme="1"/>
        <rFont val="Calibri"/>
        <family val="2"/>
        <scheme val="minor"/>
      </rPr>
      <t xml:space="preserve"> %</t>
    </r>
  </si>
  <si>
    <r>
      <t xml:space="preserve">(Somme*Nbre années* 27/1000) * </t>
    </r>
    <r>
      <rPr>
        <sz val="11"/>
        <color indexed="10"/>
        <rFont val="Calibri"/>
        <family val="2"/>
      </rPr>
      <t>50</t>
    </r>
    <r>
      <rPr>
        <sz val="11"/>
        <color theme="1"/>
        <rFont val="Calibri"/>
        <family val="2"/>
        <scheme val="minor"/>
      </rPr>
      <t xml:space="preserve"> %</t>
    </r>
  </si>
  <si>
    <t>05.2017</t>
  </si>
  <si>
    <t>06.2017</t>
  </si>
  <si>
    <t>07.2017</t>
  </si>
  <si>
    <t>08.2017</t>
  </si>
  <si>
    <t>09.2017</t>
  </si>
  <si>
    <t>Tri Alphabetique</t>
  </si>
  <si>
    <t>Hors vie, Santé,Bsh</t>
  </si>
  <si>
    <t>à partir de 800 €</t>
  </si>
  <si>
    <t>Autres Reebou, tous autres produits</t>
  </si>
  <si>
    <t>Epargne log.</t>
  </si>
  <si>
    <t>T.A.</t>
  </si>
  <si>
    <t>R</t>
  </si>
  <si>
    <r>
      <t>(Montant / 12 * 3,5) *</t>
    </r>
    <r>
      <rPr>
        <sz val="11"/>
        <color indexed="10"/>
        <rFont val="Calibri"/>
        <family val="2"/>
      </rPr>
      <t>50</t>
    </r>
    <r>
      <rPr>
        <sz val="11"/>
        <color theme="1"/>
        <rFont val="Calibri"/>
        <family val="2"/>
        <scheme val="minor"/>
      </rPr>
      <t>%</t>
    </r>
  </si>
  <si>
    <r>
      <t xml:space="preserve">(Montant * 0,35 %) </t>
    </r>
    <r>
      <rPr>
        <sz val="11"/>
        <color indexed="10"/>
        <rFont val="Calibri"/>
        <family val="2"/>
      </rPr>
      <t>50</t>
    </r>
    <r>
      <rPr>
        <sz val="11"/>
        <color theme="1"/>
        <rFont val="Calibri"/>
        <family val="2"/>
        <scheme val="minor"/>
      </rPr>
      <t xml:space="preserve"> %</t>
    </r>
  </si>
  <si>
    <r>
      <t>(Montant * 0,7 %)</t>
    </r>
    <r>
      <rPr>
        <sz val="11"/>
        <color rgb="FFFF0000"/>
        <rFont val="Calibri"/>
        <family val="2"/>
        <scheme val="minor"/>
      </rPr>
      <t xml:space="preserve">50 </t>
    </r>
    <r>
      <rPr>
        <sz val="11"/>
        <color theme="1"/>
        <rFont val="Calibri"/>
        <family val="2"/>
        <scheme val="minor"/>
      </rPr>
      <t>%</t>
    </r>
  </si>
  <si>
    <r>
      <t>(Somme*Nbre années* 27/1000) *</t>
    </r>
    <r>
      <rPr>
        <sz val="11"/>
        <color indexed="10"/>
        <rFont val="Calibri"/>
        <family val="2"/>
      </rPr>
      <t>50</t>
    </r>
    <r>
      <rPr>
        <sz val="11"/>
        <color theme="1"/>
        <rFont val="Calibri"/>
        <family val="2"/>
        <scheme val="minor"/>
      </rPr>
      <t>%</t>
    </r>
  </si>
  <si>
    <t>Autres MOBILé par tranche</t>
  </si>
  <si>
    <t>SIMULATION  4/2017</t>
  </si>
  <si>
    <t>SIMULATION 2017/2</t>
  </si>
  <si>
    <t>BIEVER Pit</t>
  </si>
  <si>
    <t>SCHMIT CLAUSE Marie France</t>
  </si>
  <si>
    <t>SORAGNA Laurent</t>
  </si>
  <si>
    <t>SIGRIST Laetitia</t>
  </si>
  <si>
    <t>ONYOBI Jacob Toby</t>
  </si>
  <si>
    <t>KAHN Nicolas</t>
  </si>
  <si>
    <t>02.2018</t>
  </si>
  <si>
    <t>VAN WIJK Candice</t>
  </si>
  <si>
    <t>EASY DRIVE</t>
  </si>
  <si>
    <t>DI PINTO ROSALBA</t>
  </si>
  <si>
    <t>ALMEIDA FONSECA Yves</t>
  </si>
  <si>
    <t>SHEN Jing</t>
  </si>
  <si>
    <t>CARLIER Jean Charles</t>
  </si>
  <si>
    <t>KRIEPS Dan</t>
  </si>
  <si>
    <t>DOLINSKI MATEUSZ</t>
  </si>
  <si>
    <t>GOERES Gaby</t>
  </si>
  <si>
    <t>03.2018</t>
  </si>
  <si>
    <t>PEMPINELLO Gaia</t>
  </si>
  <si>
    <t>MANOR-abdouh Amine …</t>
  </si>
  <si>
    <t>MANOR-HENTGEN Nicolas</t>
  </si>
  <si>
    <t>ESPOSITO</t>
  </si>
  <si>
    <t>BECK Frederic</t>
  </si>
  <si>
    <t>BECK GERARD Sylvie</t>
  </si>
  <si>
    <t>KANOUTE Massaer</t>
  </si>
  <si>
    <t>VIDOTTO Bernard</t>
  </si>
  <si>
    <t>BACK Romina</t>
  </si>
  <si>
    <t>GRINMUTH Romain</t>
  </si>
  <si>
    <t>HU ET MAILLARD Y. ET E.</t>
  </si>
  <si>
    <t>MOBILE2016;MOBILE Regio;REEBOU Family;REEBOUImmo;REEBOU Pack;REEBOU Pro;REEBOU Invest;LOGGIA;MEDICIS;RC;RC ENSEIGNT;ZENITH60 Op100;ZENITH60 Op25;HORIZONT60Inv;HORIZONT60Prot;HORIZONT60Capi;HELIOS100Prot;HELIOS100Inv;FOCUS;NOVA;BSH;EA;TSRD</t>
  </si>
  <si>
    <t>N°CLIENT</t>
  </si>
  <si>
    <t>MANOR - DE FAUW TOM</t>
  </si>
  <si>
    <t>04.2016</t>
  </si>
  <si>
    <t>05.2016</t>
  </si>
  <si>
    <t>06.2016</t>
  </si>
  <si>
    <t>AST Joe</t>
  </si>
  <si>
    <t>MANOR - DE FAUW Tina</t>
  </si>
  <si>
    <t xml:space="preserve">REEBOU FAMILY </t>
  </si>
  <si>
    <t>07.2016</t>
  </si>
  <si>
    <t>08.2016</t>
  </si>
  <si>
    <t>09.2016</t>
  </si>
  <si>
    <t>10.2016</t>
  </si>
  <si>
    <t>11.2016</t>
  </si>
  <si>
    <t>12.2016</t>
  </si>
  <si>
    <t>MANOR - WEISS A.S.</t>
  </si>
  <si>
    <t>MANOR - GEISLER V.</t>
  </si>
  <si>
    <r>
      <t>61021156</t>
    </r>
    <r>
      <rPr>
        <b/>
        <sz val="11"/>
        <color rgb="FFFF0000"/>
        <rFont val="Calibri"/>
        <family val="2"/>
        <scheme val="minor"/>
      </rPr>
      <t xml:space="preserve"> A</t>
    </r>
  </si>
  <si>
    <r>
      <t xml:space="preserve">61020710 </t>
    </r>
    <r>
      <rPr>
        <b/>
        <sz val="11"/>
        <color rgb="FFFF0000"/>
        <rFont val="Calibri"/>
        <family val="2"/>
        <scheme val="minor"/>
      </rPr>
      <t>A</t>
    </r>
  </si>
  <si>
    <t>RECAPITULATIF</t>
  </si>
  <si>
    <t>MANOR - OPREA LACRAMIOARA C.</t>
  </si>
  <si>
    <t>61022036 A</t>
  </si>
  <si>
    <t>?</t>
  </si>
  <si>
    <t>?+</t>
  </si>
  <si>
    <t>A au 31.12.17</t>
  </si>
  <si>
    <t xml:space="preserve">Effet </t>
  </si>
  <si>
    <t>Date</t>
  </si>
  <si>
    <t>Effet émission</t>
  </si>
  <si>
    <t>20288250 A</t>
  </si>
  <si>
    <t>annule</t>
  </si>
  <si>
    <t>806102 A</t>
  </si>
  <si>
    <t>Annulé???</t>
  </si>
  <si>
    <t>611366 A</t>
  </si>
  <si>
    <t>1er effet</t>
  </si>
  <si>
    <t>montant+echeance</t>
  </si>
  <si>
    <t>61022169 A</t>
  </si>
  <si>
    <t>61022044 S</t>
  </si>
  <si>
    <t>contrat group valide</t>
  </si>
  <si>
    <t>37 heures</t>
  </si>
  <si>
    <t>8 heures</t>
  </si>
  <si>
    <t>CONGéS</t>
  </si>
  <si>
    <t>20 heures</t>
  </si>
  <si>
    <t>FIXE</t>
  </si>
  <si>
    <t>1991,66/173 =11,51</t>
  </si>
  <si>
    <t>2398,30 X 3</t>
  </si>
  <si>
    <t>20 X 11,51</t>
  </si>
  <si>
    <t>37 X 11,51</t>
  </si>
  <si>
    <t>8 X 11,51</t>
  </si>
  <si>
    <t>JOURS FEVRIER</t>
  </si>
  <si>
    <t>double</t>
  </si>
  <si>
    <t>non trouvé</t>
  </si>
  <si>
    <t xml:space="preserve"> heures</t>
  </si>
  <si>
    <t>heures</t>
  </si>
  <si>
    <t xml:space="preserve"> X 11,51</t>
  </si>
  <si>
    <t>LAMBERT Maud</t>
  </si>
  <si>
    <t>JOUVENCE Sandy</t>
  </si>
  <si>
    <t>MONTEIRO Denis</t>
  </si>
  <si>
    <t>DURANDET Jérome</t>
  </si>
  <si>
    <t>FOLSCHETTE Manuelle</t>
  </si>
  <si>
    <t>25204539u01</t>
  </si>
  <si>
    <t>ALMEIDA VITORIA KATIA</t>
  </si>
  <si>
    <t>TINTINGER Patrick</t>
  </si>
  <si>
    <t>DA VEIGA Antonio</t>
  </si>
  <si>
    <t>MOREIRA FIGUEIREDO Susana</t>
  </si>
  <si>
    <t>ZINNEN Carole</t>
  </si>
  <si>
    <t>17315869r02</t>
  </si>
  <si>
    <t>ELHERRAWI Sherif</t>
  </si>
  <si>
    <t>LIGEZA Jacek</t>
  </si>
  <si>
    <t>04.2018</t>
  </si>
  <si>
    <t>A ANNULER</t>
  </si>
  <si>
    <t>XX heures</t>
  </si>
  <si>
    <t>X heures</t>
  </si>
  <si>
    <t>**0 X 11,51</t>
  </si>
  <si>
    <t>** X 11,51</t>
  </si>
  <si>
    <t>* X 11,51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</si>
</sst>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 * #,##0.00_)\ _€_ ;_ * \(#,##0.00\)\ _€_ ;_ * &quot;-&quot;??_)\ _€_ ;_ @_ "/>
    <numFmt numFmtId="165" formatCode="0.0%"/>
  </numFmts>
  <fonts count="27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1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indexed="10"/>
      <name val="Tahoma"/>
      <family val="2"/>
    </font>
    <font>
      <b/>
      <sz val="11"/>
      <color theme="3" tint="0.3999755851924192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3" tint="-0.24994659260841701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4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0" fontId="5" fillId="0" borderId="0" xfId="0" applyFont="1"/>
    <xf numFmtId="0" fontId="7" fillId="0" borderId="0" xfId="0" applyFont="1"/>
    <xf numFmtId="0" fontId="8" fillId="0" borderId="0" xfId="0" applyFont="1"/>
    <xf numFmtId="0" fontId="0" fillId="0" borderId="0" xfId="0" applyFont="1"/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/>
    <xf numFmtId="43" fontId="0" fillId="0" borderId="0" xfId="0" applyNumberFormat="1" applyAlignment="1"/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0" fontId="0" fillId="0" borderId="1" xfId="0" applyBorder="1"/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43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3" fontId="0" fillId="0" borderId="5" xfId="0" applyNumberForma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4" fontId="0" fillId="0" borderId="4" xfId="0" applyNumberFormat="1" applyFont="1" applyBorder="1" applyAlignment="1">
      <alignment horizontal="center" vertical="center"/>
    </xf>
    <xf numFmtId="43" fontId="0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wrapText="1"/>
    </xf>
    <xf numFmtId="0" fontId="7" fillId="0" borderId="4" xfId="0" applyFont="1" applyBorder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4" fontId="7" fillId="0" borderId="4" xfId="0" applyNumberFormat="1" applyFont="1" applyBorder="1" applyAlignment="1">
      <alignment horizontal="center" vertical="center"/>
    </xf>
    <xf numFmtId="43" fontId="7" fillId="0" borderId="5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43" fontId="0" fillId="0" borderId="7" xfId="0" applyNumberForma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7" fillId="0" borderId="8" xfId="0" applyFont="1" applyBorder="1"/>
    <xf numFmtId="0" fontId="7" fillId="0" borderId="9" xfId="0" applyFont="1" applyBorder="1"/>
    <xf numFmtId="0" fontId="7" fillId="0" borderId="11" xfId="0" applyFont="1" applyBorder="1"/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43" fontId="0" fillId="0" borderId="13" xfId="0" applyNumberFormat="1" applyBorder="1" applyAlignment="1">
      <alignment horizontal="center" vertical="center"/>
    </xf>
    <xf numFmtId="0" fontId="0" fillId="0" borderId="14" xfId="0" applyBorder="1"/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43" fontId="9" fillId="0" borderId="0" xfId="0" applyNumberFormat="1" applyFont="1" applyAlignment="1"/>
    <xf numFmtId="43" fontId="7" fillId="0" borderId="4" xfId="0" applyNumberFormat="1" applyFont="1" applyBorder="1" applyAlignment="1">
      <alignment horizontal="center" vertical="center"/>
    </xf>
    <xf numFmtId="9" fontId="0" fillId="0" borderId="0" xfId="0" applyNumberFormat="1"/>
    <xf numFmtId="0" fontId="10" fillId="0" borderId="0" xfId="0" applyFont="1"/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43" fontId="0" fillId="0" borderId="0" xfId="0" applyNumberFormat="1" applyBorder="1" applyAlignment="1">
      <alignment horizontal="center" vertical="center"/>
    </xf>
    <xf numFmtId="0" fontId="0" fillId="0" borderId="16" xfId="0" applyBorder="1"/>
    <xf numFmtId="43" fontId="0" fillId="0" borderId="16" xfId="0" applyNumberFormat="1" applyBorder="1" applyAlignment="1">
      <alignment horizontal="center" vertical="center"/>
    </xf>
    <xf numFmtId="0" fontId="11" fillId="0" borderId="0" xfId="0" applyFont="1"/>
    <xf numFmtId="0" fontId="0" fillId="0" borderId="1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5" xfId="0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8" fillId="0" borderId="0" xfId="0" applyFont="1" applyFill="1" applyBorder="1"/>
    <xf numFmtId="43" fontId="0" fillId="0" borderId="0" xfId="0" applyNumberFormat="1" applyAlignment="1">
      <alignment horizontal="center"/>
    </xf>
    <xf numFmtId="0" fontId="7" fillId="0" borderId="15" xfId="0" applyFont="1" applyBorder="1"/>
    <xf numFmtId="0" fontId="7" fillId="0" borderId="0" xfId="0" applyNumberFormat="1" applyFont="1" applyAlignment="1">
      <alignment horizontal="center"/>
    </xf>
    <xf numFmtId="0" fontId="7" fillId="0" borderId="17" xfId="0" applyNumberFormat="1" applyFont="1" applyBorder="1" applyAlignment="1">
      <alignment horizontal="center"/>
    </xf>
    <xf numFmtId="0" fontId="7" fillId="0" borderId="18" xfId="0" applyNumberFormat="1" applyFont="1" applyBorder="1" applyAlignment="1">
      <alignment horizontal="center"/>
    </xf>
    <xf numFmtId="0" fontId="7" fillId="0" borderId="18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center"/>
    </xf>
    <xf numFmtId="16" fontId="7" fillId="0" borderId="18" xfId="0" applyNumberFormat="1" applyFont="1" applyBorder="1" applyAlignment="1">
      <alignment horizontal="center"/>
    </xf>
    <xf numFmtId="14" fontId="7" fillId="0" borderId="18" xfId="0" applyNumberFormat="1" applyFont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43" fontId="0" fillId="0" borderId="13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43" fontId="0" fillId="0" borderId="21" xfId="0" applyNumberFormat="1" applyBorder="1" applyAlignment="1">
      <alignment horizontal="center" vertical="center"/>
    </xf>
    <xf numFmtId="43" fontId="0" fillId="0" borderId="22" xfId="0" applyNumberFormat="1" applyBorder="1" applyAlignment="1">
      <alignment horizontal="center"/>
    </xf>
    <xf numFmtId="43" fontId="0" fillId="0" borderId="22" xfId="0" applyNumberFormat="1" applyBorder="1" applyAlignment="1">
      <alignment horizontal="center" vertical="center"/>
    </xf>
    <xf numFmtId="43" fontId="0" fillId="0" borderId="22" xfId="0" applyNumberFormat="1" applyFont="1" applyBorder="1" applyAlignment="1">
      <alignment horizontal="center"/>
    </xf>
    <xf numFmtId="43" fontId="0" fillId="0" borderId="23" xfId="0" applyNumberFormat="1" applyBorder="1" applyAlignment="1">
      <alignment horizontal="center"/>
    </xf>
    <xf numFmtId="43" fontId="0" fillId="0" borderId="23" xfId="0" applyNumberFormat="1" applyFont="1" applyBorder="1" applyAlignment="1">
      <alignment horizontal="center"/>
    </xf>
    <xf numFmtId="43" fontId="0" fillId="0" borderId="21" xfId="0" applyNumberFormat="1" applyBorder="1" applyAlignment="1">
      <alignment horizontal="center"/>
    </xf>
    <xf numFmtId="43" fontId="7" fillId="0" borderId="22" xfId="0" applyNumberFormat="1" applyFont="1" applyBorder="1" applyAlignment="1">
      <alignment horizontal="center"/>
    </xf>
    <xf numFmtId="43" fontId="0" fillId="0" borderId="3" xfId="0" applyNumberFormat="1" applyBorder="1" applyAlignment="1">
      <alignment horizontal="center" vertical="center" wrapText="1"/>
    </xf>
    <xf numFmtId="43" fontId="0" fillId="0" borderId="24" xfId="0" applyNumberFormat="1" applyBorder="1" applyAlignment="1">
      <alignment horizontal="center" vertical="center"/>
    </xf>
    <xf numFmtId="0" fontId="7" fillId="0" borderId="25" xfId="0" applyNumberFormat="1" applyFont="1" applyBorder="1" applyAlignment="1">
      <alignment horizontal="center"/>
    </xf>
    <xf numFmtId="43" fontId="0" fillId="0" borderId="5" xfId="0" applyNumberFormat="1" applyBorder="1" applyAlignment="1">
      <alignment horizontal="center" vertical="center" wrapText="1"/>
    </xf>
    <xf numFmtId="43" fontId="0" fillId="0" borderId="5" xfId="0" applyNumberFormat="1" applyBorder="1" applyAlignment="1">
      <alignment horizontal="center"/>
    </xf>
    <xf numFmtId="0" fontId="7" fillId="0" borderId="26" xfId="0" applyNumberFormat="1" applyFont="1" applyBorder="1" applyAlignment="1">
      <alignment horizontal="center"/>
    </xf>
    <xf numFmtId="0" fontId="0" fillId="0" borderId="14" xfId="0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12" xfId="0" applyFont="1" applyBorder="1" applyAlignment="1">
      <alignment horizontal="center" vertical="center"/>
    </xf>
    <xf numFmtId="43" fontId="7" fillId="0" borderId="13" xfId="0" applyNumberFormat="1" applyFont="1" applyBorder="1" applyAlignment="1">
      <alignment horizontal="center" vertical="center"/>
    </xf>
    <xf numFmtId="43" fontId="7" fillId="0" borderId="23" xfId="0" applyNumberFormat="1" applyFont="1" applyBorder="1" applyAlignment="1">
      <alignment horizontal="center"/>
    </xf>
    <xf numFmtId="0" fontId="0" fillId="0" borderId="9" xfId="0" applyBorder="1" applyAlignment="1">
      <alignment horizontal="left" vertical="center"/>
    </xf>
    <xf numFmtId="0" fontId="0" fillId="0" borderId="27" xfId="0" applyBorder="1" applyAlignment="1">
      <alignment horizontal="center" vertical="center"/>
    </xf>
    <xf numFmtId="43" fontId="0" fillId="0" borderId="28" xfId="0" applyNumberForma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29" xfId="0" applyBorder="1" applyAlignment="1">
      <alignment horizontal="center"/>
    </xf>
    <xf numFmtId="0" fontId="0" fillId="0" borderId="29" xfId="0" applyBorder="1" applyAlignment="1">
      <alignment horizontal="center" vertical="center"/>
    </xf>
    <xf numFmtId="43" fontId="0" fillId="0" borderId="30" xfId="0" applyNumberFormat="1" applyBorder="1" applyAlignment="1">
      <alignment horizontal="center" vertical="center"/>
    </xf>
    <xf numFmtId="43" fontId="0" fillId="0" borderId="31" xfId="0" applyNumberFormat="1" applyBorder="1" applyAlignment="1">
      <alignment horizontal="center"/>
    </xf>
    <xf numFmtId="43" fontId="0" fillId="0" borderId="4" xfId="0" applyNumberFormat="1" applyBorder="1" applyAlignment="1"/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horizontal="center" vertical="center"/>
    </xf>
    <xf numFmtId="43" fontId="0" fillId="0" borderId="34" xfId="0" applyNumberFormat="1" applyBorder="1" applyAlignment="1">
      <alignment horizontal="center" vertical="center"/>
    </xf>
    <xf numFmtId="43" fontId="0" fillId="0" borderId="35" xfId="0" applyNumberFormat="1" applyBorder="1" applyAlignment="1">
      <alignment horizontal="center"/>
    </xf>
    <xf numFmtId="43" fontId="0" fillId="0" borderId="15" xfId="0" applyNumberForma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164" fontId="9" fillId="0" borderId="0" xfId="0" applyNumberFormat="1" applyFont="1" applyAlignment="1"/>
    <xf numFmtId="164" fontId="0" fillId="0" borderId="0" xfId="0" applyNumberFormat="1" applyAlignment="1"/>
    <xf numFmtId="164" fontId="0" fillId="0" borderId="0" xfId="0" applyNumberFormat="1" applyAlignment="1">
      <alignment horizontal="center" vertical="center"/>
    </xf>
    <xf numFmtId="164" fontId="0" fillId="0" borderId="3" xfId="0" applyNumberForma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34" xfId="0" applyNumberFormat="1" applyBorder="1" applyAlignment="1">
      <alignment vertical="center"/>
    </xf>
    <xf numFmtId="164" fontId="0" fillId="0" borderId="28" xfId="0" applyNumberFormat="1" applyBorder="1" applyAlignment="1">
      <alignment vertical="center"/>
    </xf>
    <xf numFmtId="164" fontId="0" fillId="0" borderId="7" xfId="0" applyNumberFormat="1" applyBorder="1" applyAlignment="1">
      <alignment vertical="center"/>
    </xf>
    <xf numFmtId="164" fontId="0" fillId="0" borderId="0" xfId="0" applyNumberFormat="1" applyBorder="1" applyAlignment="1">
      <alignment vertical="center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164" fontId="0" fillId="0" borderId="3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 vertical="center"/>
    </xf>
    <xf numFmtId="164" fontId="0" fillId="0" borderId="4" xfId="0" applyNumberFormat="1" applyBorder="1" applyAlignment="1">
      <alignment vertical="center"/>
    </xf>
    <xf numFmtId="164" fontId="0" fillId="0" borderId="4" xfId="0" applyNumberFormat="1" applyBorder="1" applyAlignment="1">
      <alignment horizontal="center"/>
    </xf>
    <xf numFmtId="43" fontId="0" fillId="0" borderId="4" xfId="0" applyNumberFormat="1" applyBorder="1" applyAlignment="1">
      <alignment horizontal="center"/>
    </xf>
    <xf numFmtId="164" fontId="0" fillId="0" borderId="4" xfId="0" applyNumberFormat="1" applyBorder="1" applyAlignment="1">
      <alignment horizontal="center" vertical="center"/>
    </xf>
    <xf numFmtId="43" fontId="0" fillId="0" borderId="4" xfId="0" applyNumberFormat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164" fontId="0" fillId="0" borderId="6" xfId="0" applyNumberFormat="1" applyFont="1" applyBorder="1" applyAlignment="1">
      <alignment vertical="center"/>
    </xf>
    <xf numFmtId="164" fontId="0" fillId="0" borderId="36" xfId="0" applyNumberFormat="1" applyFont="1" applyBorder="1" applyAlignment="1">
      <alignment horizontal="center"/>
    </xf>
    <xf numFmtId="43" fontId="0" fillId="0" borderId="12" xfId="0" applyNumberFormat="1" applyBorder="1" applyAlignment="1">
      <alignment horizontal="center" vertical="center"/>
    </xf>
    <xf numFmtId="43" fontId="6" fillId="0" borderId="37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vertical="center"/>
    </xf>
    <xf numFmtId="164" fontId="0" fillId="0" borderId="2" xfId="0" applyNumberFormat="1" applyBorder="1" applyAlignment="1">
      <alignment horizontal="center"/>
    </xf>
    <xf numFmtId="164" fontId="0" fillId="0" borderId="4" xfId="0" applyNumberFormat="1" applyBorder="1" applyAlignment="1">
      <alignment vertical="center" wrapText="1"/>
    </xf>
    <xf numFmtId="164" fontId="7" fillId="0" borderId="4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center"/>
    </xf>
    <xf numFmtId="164" fontId="0" fillId="0" borderId="6" xfId="0" applyNumberFormat="1" applyBorder="1" applyAlignment="1">
      <alignment vertical="center"/>
    </xf>
    <xf numFmtId="164" fontId="0" fillId="0" borderId="6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/>
    <xf numFmtId="164" fontId="0" fillId="0" borderId="4" xfId="0" applyNumberFormat="1" applyFont="1" applyBorder="1" applyAlignment="1">
      <alignment vertical="center"/>
    </xf>
    <xf numFmtId="164" fontId="0" fillId="0" borderId="4" xfId="0" applyNumberFormat="1" applyFont="1" applyBorder="1" applyAlignment="1">
      <alignment horizontal="center"/>
    </xf>
    <xf numFmtId="164" fontId="7" fillId="0" borderId="4" xfId="0" applyNumberFormat="1" applyFont="1" applyBorder="1" applyAlignment="1"/>
    <xf numFmtId="164" fontId="7" fillId="0" borderId="4" xfId="0" applyNumberFormat="1" applyFont="1" applyBorder="1"/>
    <xf numFmtId="164" fontId="7" fillId="0" borderId="5" xfId="0" applyNumberFormat="1" applyFont="1" applyBorder="1"/>
    <xf numFmtId="0" fontId="7" fillId="0" borderId="6" xfId="0" applyFont="1" applyBorder="1" applyAlignment="1">
      <alignment horizontal="center" vertical="center"/>
    </xf>
    <xf numFmtId="164" fontId="7" fillId="0" borderId="6" xfId="0" applyNumberFormat="1" applyFont="1" applyBorder="1" applyAlignment="1">
      <alignment vertical="center"/>
    </xf>
    <xf numFmtId="164" fontId="7" fillId="0" borderId="6" xfId="0" applyNumberFormat="1" applyFont="1" applyBorder="1" applyAlignment="1">
      <alignment horizontal="center"/>
    </xf>
    <xf numFmtId="43" fontId="7" fillId="0" borderId="7" xfId="0" applyNumberFormat="1" applyFont="1" applyBorder="1" applyAlignment="1">
      <alignment horizontal="center" vertical="center"/>
    </xf>
    <xf numFmtId="164" fontId="7" fillId="0" borderId="12" xfId="0" applyNumberFormat="1" applyFont="1" applyBorder="1" applyAlignment="1">
      <alignment vertical="center"/>
    </xf>
    <xf numFmtId="164" fontId="7" fillId="0" borderId="12" xfId="0" applyNumberFormat="1" applyFont="1" applyBorder="1" applyAlignment="1">
      <alignment horizontal="center"/>
    </xf>
    <xf numFmtId="0" fontId="12" fillId="0" borderId="14" xfId="0" applyFont="1" applyBorder="1"/>
    <xf numFmtId="0" fontId="6" fillId="0" borderId="32" xfId="0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13" fillId="0" borderId="0" xfId="0" applyFont="1"/>
    <xf numFmtId="0" fontId="12" fillId="0" borderId="38" xfId="0" applyFont="1" applyBorder="1"/>
    <xf numFmtId="0" fontId="0" fillId="0" borderId="39" xfId="0" applyBorder="1" applyAlignment="1">
      <alignment horizontal="center"/>
    </xf>
    <xf numFmtId="0" fontId="7" fillId="0" borderId="39" xfId="0" applyFont="1" applyBorder="1" applyAlignment="1">
      <alignment horizontal="center" vertical="center"/>
    </xf>
    <xf numFmtId="164" fontId="7" fillId="0" borderId="40" xfId="0" applyNumberFormat="1" applyFont="1" applyBorder="1" applyAlignment="1">
      <alignment vertical="center"/>
    </xf>
    <xf numFmtId="164" fontId="7" fillId="0" borderId="41" xfId="0" applyNumberFormat="1" applyFont="1" applyBorder="1" applyAlignment="1">
      <alignment horizontal="center"/>
    </xf>
    <xf numFmtId="43" fontId="7" fillId="0" borderId="4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164" fontId="0" fillId="0" borderId="2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164" fontId="0" fillId="0" borderId="43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164" fontId="0" fillId="0" borderId="6" xfId="0" applyNumberFormat="1" applyBorder="1" applyAlignment="1">
      <alignment horizontal="center"/>
    </xf>
    <xf numFmtId="0" fontId="7" fillId="0" borderId="44" xfId="0" applyNumberFormat="1" applyFont="1" applyBorder="1" applyAlignment="1">
      <alignment horizontal="center"/>
    </xf>
    <xf numFmtId="0" fontId="7" fillId="0" borderId="24" xfId="0" applyNumberFormat="1" applyFont="1" applyBorder="1" applyAlignment="1">
      <alignment horizontal="center"/>
    </xf>
    <xf numFmtId="164" fontId="7" fillId="0" borderId="2" xfId="0" applyNumberFormat="1" applyFont="1" applyBorder="1" applyAlignment="1">
      <alignment horizontal="center"/>
    </xf>
    <xf numFmtId="0" fontId="7" fillId="0" borderId="4" xfId="0" applyFont="1" applyBorder="1"/>
    <xf numFmtId="0" fontId="7" fillId="0" borderId="14" xfId="0" applyNumberFormat="1" applyFont="1" applyBorder="1" applyAlignment="1">
      <alignment horizontal="center"/>
    </xf>
    <xf numFmtId="0" fontId="12" fillId="0" borderId="6" xfId="0" applyFont="1" applyBorder="1"/>
    <xf numFmtId="0" fontId="0" fillId="0" borderId="4" xfId="0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/>
    </xf>
    <xf numFmtId="0" fontId="7" fillId="0" borderId="22" xfId="0" applyFont="1" applyBorder="1"/>
    <xf numFmtId="164" fontId="0" fillId="0" borderId="29" xfId="0" applyNumberFormat="1" applyBorder="1" applyAlignment="1">
      <alignment horizontal="center" vertical="center"/>
    </xf>
    <xf numFmtId="0" fontId="0" fillId="0" borderId="3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9" xfId="0" applyNumberFormat="1" applyFon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43" fontId="0" fillId="0" borderId="37" xfId="0" applyNumberFormat="1" applyBorder="1" applyAlignment="1">
      <alignment horizontal="center" vertical="center"/>
    </xf>
    <xf numFmtId="164" fontId="7" fillId="0" borderId="36" xfId="0" applyNumberFormat="1" applyFont="1" applyBorder="1" applyAlignment="1">
      <alignment horizontal="center"/>
    </xf>
    <xf numFmtId="43" fontId="7" fillId="0" borderId="37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vertical="center"/>
    </xf>
    <xf numFmtId="164" fontId="5" fillId="0" borderId="4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43" fontId="5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26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0" fontId="0" fillId="0" borderId="5" xfId="0" applyFont="1" applyBorder="1"/>
    <xf numFmtId="0" fontId="7" fillId="0" borderId="5" xfId="0" applyFont="1" applyBorder="1"/>
    <xf numFmtId="0" fontId="5" fillId="0" borderId="5" xfId="0" applyFont="1" applyBorder="1"/>
    <xf numFmtId="0" fontId="0" fillId="0" borderId="7" xfId="0" applyBorder="1"/>
    <xf numFmtId="43" fontId="0" fillId="0" borderId="2" xfId="0" applyNumberFormat="1" applyBorder="1" applyAlignment="1">
      <alignment horizontal="center" vertical="center"/>
    </xf>
    <xf numFmtId="0" fontId="0" fillId="0" borderId="27" xfId="0" applyBorder="1"/>
    <xf numFmtId="0" fontId="8" fillId="0" borderId="27" xfId="0" applyFont="1" applyBorder="1"/>
    <xf numFmtId="43" fontId="0" fillId="0" borderId="29" xfId="0" applyNumberFormat="1" applyBorder="1" applyAlignment="1">
      <alignment horizontal="center" vertical="center"/>
    </xf>
    <xf numFmtId="0" fontId="8" fillId="0" borderId="27" xfId="0" applyFont="1" applyFill="1" applyBorder="1"/>
    <xf numFmtId="0" fontId="7" fillId="0" borderId="27" xfId="0" applyFont="1" applyBorder="1"/>
    <xf numFmtId="164" fontId="0" fillId="0" borderId="46" xfId="0" applyNumberFormat="1" applyBorder="1" applyAlignment="1">
      <alignment vertical="center"/>
    </xf>
    <xf numFmtId="164" fontId="0" fillId="0" borderId="12" xfId="0" applyNumberFormat="1" applyBorder="1" applyAlignment="1">
      <alignment vertical="center"/>
    </xf>
    <xf numFmtId="0" fontId="0" fillId="0" borderId="30" xfId="0" applyBorder="1"/>
    <xf numFmtId="43" fontId="7" fillId="0" borderId="6" xfId="0" applyNumberFormat="1" applyFont="1" applyBorder="1" applyAlignment="1">
      <alignment horizontal="center" vertical="center"/>
    </xf>
    <xf numFmtId="0" fontId="8" fillId="0" borderId="39" xfId="0" applyFont="1" applyBorder="1"/>
    <xf numFmtId="0" fontId="1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64" fontId="0" fillId="0" borderId="12" xfId="0" applyNumberFormat="1" applyBorder="1" applyAlignment="1">
      <alignment horizontal="center"/>
    </xf>
    <xf numFmtId="0" fontId="7" fillId="0" borderId="13" xfId="0" applyFont="1" applyBorder="1"/>
    <xf numFmtId="164" fontId="0" fillId="0" borderId="29" xfId="0" applyNumberFormat="1" applyBorder="1" applyAlignment="1">
      <alignment horizontal="center"/>
    </xf>
    <xf numFmtId="164" fontId="0" fillId="0" borderId="47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164" fontId="0" fillId="0" borderId="48" xfId="0" applyNumberFormat="1" applyBorder="1" applyAlignment="1">
      <alignment vertical="center"/>
    </xf>
    <xf numFmtId="164" fontId="0" fillId="0" borderId="49" xfId="0" applyNumberFormat="1" applyBorder="1" applyAlignment="1">
      <alignment horizontal="center"/>
    </xf>
    <xf numFmtId="0" fontId="0" fillId="0" borderId="50" xfId="0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164" fontId="0" fillId="0" borderId="50" xfId="0" applyNumberFormat="1" applyBorder="1" applyAlignment="1">
      <alignment vertical="center"/>
    </xf>
    <xf numFmtId="164" fontId="0" fillId="0" borderId="51" xfId="0" applyNumberFormat="1" applyBorder="1" applyAlignment="1">
      <alignment horizontal="center"/>
    </xf>
    <xf numFmtId="0" fontId="0" fillId="0" borderId="52" xfId="0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164" fontId="0" fillId="0" borderId="52" xfId="0" applyNumberFormat="1" applyBorder="1" applyAlignment="1">
      <alignment vertical="center"/>
    </xf>
    <xf numFmtId="164" fontId="0" fillId="0" borderId="53" xfId="0" applyNumberFormat="1" applyBorder="1" applyAlignment="1">
      <alignment horizontal="center"/>
    </xf>
    <xf numFmtId="43" fontId="0" fillId="0" borderId="44" xfId="0" applyNumberFormat="1" applyBorder="1" applyAlignment="1">
      <alignment horizontal="center" vertical="center"/>
    </xf>
    <xf numFmtId="43" fontId="0" fillId="0" borderId="54" xfId="0" applyNumberFormat="1" applyBorder="1" applyAlignment="1">
      <alignment horizontal="center" vertical="center"/>
    </xf>
    <xf numFmtId="43" fontId="0" fillId="0" borderId="55" xfId="0" applyNumberFormat="1" applyBorder="1" applyAlignment="1">
      <alignment horizontal="center" vertical="center"/>
    </xf>
    <xf numFmtId="43" fontId="0" fillId="0" borderId="56" xfId="0" applyNumberForma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164" fontId="0" fillId="0" borderId="58" xfId="0" applyNumberFormat="1" applyBorder="1" applyAlignment="1">
      <alignment vertical="center"/>
    </xf>
    <xf numFmtId="164" fontId="0" fillId="0" borderId="58" xfId="0" applyNumberFormat="1" applyBorder="1" applyAlignment="1">
      <alignment horizontal="center"/>
    </xf>
    <xf numFmtId="0" fontId="0" fillId="0" borderId="57" xfId="0" applyBorder="1" applyAlignment="1">
      <alignment horizontal="center" vertical="center"/>
    </xf>
    <xf numFmtId="164" fontId="0" fillId="0" borderId="29" xfId="0" applyNumberForma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vertical="center"/>
    </xf>
    <xf numFmtId="164" fontId="7" fillId="0" borderId="2" xfId="0" applyNumberFormat="1" applyFont="1" applyBorder="1"/>
    <xf numFmtId="43" fontId="7" fillId="0" borderId="2" xfId="0" applyNumberFormat="1" applyFont="1" applyBorder="1" applyAlignment="1">
      <alignment horizontal="center" vertical="center"/>
    </xf>
    <xf numFmtId="43" fontId="6" fillId="0" borderId="7" xfId="0" applyNumberFormat="1" applyFont="1" applyBorder="1" applyAlignment="1">
      <alignment horizontal="center" vertical="center"/>
    </xf>
    <xf numFmtId="0" fontId="8" fillId="0" borderId="45" xfId="0" applyFont="1" applyFill="1" applyBorder="1"/>
    <xf numFmtId="0" fontId="7" fillId="0" borderId="33" xfId="0" applyFont="1" applyBorder="1" applyAlignment="1">
      <alignment horizontal="center" vertical="center"/>
    </xf>
    <xf numFmtId="164" fontId="7" fillId="0" borderId="33" xfId="0" applyNumberFormat="1" applyFont="1" applyBorder="1" applyAlignment="1">
      <alignment vertical="center"/>
    </xf>
    <xf numFmtId="164" fontId="7" fillId="0" borderId="33" xfId="0" applyNumberFormat="1" applyFont="1" applyBorder="1" applyAlignment="1">
      <alignment horizontal="center"/>
    </xf>
    <xf numFmtId="43" fontId="7" fillId="0" borderId="34" xfId="0" applyNumberFormat="1" applyFont="1" applyBorder="1" applyAlignment="1">
      <alignment horizontal="center" vertical="center"/>
    </xf>
    <xf numFmtId="0" fontId="0" fillId="0" borderId="34" xfId="0" applyBorder="1"/>
    <xf numFmtId="0" fontId="7" fillId="0" borderId="6" xfId="0" applyFont="1" applyBorder="1"/>
    <xf numFmtId="0" fontId="0" fillId="0" borderId="0" xfId="0" applyBorder="1" applyAlignment="1">
      <alignment horizontal="center" vertical="center"/>
    </xf>
    <xf numFmtId="0" fontId="6" fillId="0" borderId="45" xfId="0" applyNumberFormat="1" applyFont="1" applyBorder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7" fillId="0" borderId="32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12" fillId="0" borderId="35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21" xfId="0" applyBorder="1" applyAlignment="1">
      <alignment horizontal="left"/>
    </xf>
    <xf numFmtId="0" fontId="0" fillId="0" borderId="31" xfId="0" applyBorder="1" applyAlignment="1">
      <alignment horizontal="left"/>
    </xf>
    <xf numFmtId="0" fontId="6" fillId="0" borderId="45" xfId="0" applyFont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6" fillId="0" borderId="35" xfId="0" applyFont="1" applyBorder="1" applyAlignment="1">
      <alignment horizontal="left"/>
    </xf>
    <xf numFmtId="0" fontId="0" fillId="0" borderId="57" xfId="0" applyBorder="1" applyAlignment="1">
      <alignment horizontal="left"/>
    </xf>
    <xf numFmtId="0" fontId="6" fillId="0" borderId="17" xfId="0" applyFont="1" applyBorder="1" applyAlignment="1">
      <alignment horizontal="left"/>
    </xf>
    <xf numFmtId="0" fontId="6" fillId="0" borderId="61" xfId="0" applyFont="1" applyBorder="1" applyAlignment="1">
      <alignment horizontal="left"/>
    </xf>
    <xf numFmtId="0" fontId="6" fillId="0" borderId="62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23" xfId="0" applyFont="1" applyBorder="1" applyAlignment="1">
      <alignment horizontal="left" vertical="center"/>
    </xf>
    <xf numFmtId="0" fontId="7" fillId="0" borderId="20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left" vertical="center"/>
    </xf>
    <xf numFmtId="0" fontId="7" fillId="0" borderId="17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/>
    </xf>
    <xf numFmtId="0" fontId="15" fillId="0" borderId="6" xfId="0" applyFont="1" applyBorder="1" applyAlignment="1">
      <alignment horizontal="center" vertical="center"/>
    </xf>
    <xf numFmtId="3" fontId="15" fillId="0" borderId="4" xfId="0" applyNumberFormat="1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47" xfId="0" applyBorder="1" applyAlignment="1">
      <alignment horizontal="left" vertical="center"/>
    </xf>
    <xf numFmtId="0" fontId="7" fillId="0" borderId="4" xfId="0" applyNumberFormat="1" applyFont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 wrapText="1"/>
    </xf>
    <xf numFmtId="164" fontId="0" fillId="0" borderId="31" xfId="0" applyNumberFormat="1" applyBorder="1" applyAlignment="1">
      <alignment horizontal="center" vertical="center"/>
    </xf>
    <xf numFmtId="43" fontId="0" fillId="0" borderId="46" xfId="0" applyNumberForma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6" fillId="2" borderId="67" xfId="0" applyFont="1" applyFill="1" applyBorder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6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0" fillId="0" borderId="4" xfId="0" applyNumberFormat="1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40" xfId="0" applyNumberFormat="1" applyFont="1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164" fontId="7" fillId="0" borderId="41" xfId="0" applyNumberFormat="1" applyFon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39" xfId="0" applyNumberFormat="1" applyFon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7" fillId="0" borderId="19" xfId="0" applyNumberFormat="1" applyFont="1" applyBorder="1" applyAlignment="1">
      <alignment horizontal="center"/>
    </xf>
    <xf numFmtId="0" fontId="15" fillId="0" borderId="4" xfId="0" applyNumberFormat="1" applyFont="1" applyBorder="1" applyAlignment="1">
      <alignment horizontal="center"/>
    </xf>
    <xf numFmtId="0" fontId="6" fillId="2" borderId="22" xfId="0" applyFont="1" applyFill="1" applyBorder="1" applyAlignment="1">
      <alignment horizontal="center" vertical="center"/>
    </xf>
    <xf numFmtId="43" fontId="12" fillId="0" borderId="7" xfId="0" applyNumberFormat="1" applyFont="1" applyBorder="1" applyAlignment="1">
      <alignment horizontal="center" vertical="center"/>
    </xf>
    <xf numFmtId="0" fontId="12" fillId="0" borderId="18" xfId="0" applyNumberFormat="1" applyFont="1" applyBorder="1" applyAlignment="1">
      <alignment horizontal="center"/>
    </xf>
    <xf numFmtId="0" fontId="12" fillId="0" borderId="19" xfId="0" applyNumberFormat="1" applyFont="1" applyBorder="1" applyAlignment="1">
      <alignment horizontal="center"/>
    </xf>
    <xf numFmtId="0" fontId="12" fillId="0" borderId="63" xfId="0" applyNumberFormat="1" applyFont="1" applyBorder="1" applyAlignment="1">
      <alignment horizontal="center"/>
    </xf>
    <xf numFmtId="0" fontId="0" fillId="0" borderId="68" xfId="0" applyBorder="1" applyAlignment="1">
      <alignment horizontal="left" vertical="center"/>
    </xf>
    <xf numFmtId="0" fontId="6" fillId="2" borderId="23" xfId="0" applyFont="1" applyFill="1" applyBorder="1" applyAlignment="1">
      <alignment horizontal="center" vertical="center"/>
    </xf>
    <xf numFmtId="0" fontId="0" fillId="0" borderId="69" xfId="0" applyBorder="1" applyAlignment="1">
      <alignment horizontal="left" vertical="center"/>
    </xf>
    <xf numFmtId="0" fontId="6" fillId="2" borderId="70" xfId="0" applyFont="1" applyFill="1" applyBorder="1" applyAlignment="1">
      <alignment horizontal="center" vertical="center"/>
    </xf>
    <xf numFmtId="43" fontId="6" fillId="0" borderId="37" xfId="0" applyNumberFormat="1" applyFont="1" applyBorder="1" applyAlignment="1">
      <alignment vertical="center"/>
    </xf>
    <xf numFmtId="164" fontId="0" fillId="0" borderId="52" xfId="0" applyNumberFormat="1" applyBorder="1" applyAlignment="1">
      <alignment horizontal="center" vertical="center"/>
    </xf>
    <xf numFmtId="0" fontId="6" fillId="0" borderId="0" xfId="0" applyFont="1"/>
    <xf numFmtId="0" fontId="13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13" fillId="0" borderId="23" xfId="0" applyFont="1" applyBorder="1" applyAlignment="1">
      <alignment horizontal="left" vertical="center"/>
    </xf>
    <xf numFmtId="164" fontId="13" fillId="0" borderId="12" xfId="0" applyNumberFormat="1" applyFont="1" applyBorder="1" applyAlignment="1">
      <alignment vertical="center"/>
    </xf>
    <xf numFmtId="43" fontId="13" fillId="0" borderId="13" xfId="0" applyNumberFormat="1" applyFont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0" fontId="7" fillId="0" borderId="23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13" fillId="0" borderId="12" xfId="0" applyFont="1" applyBorder="1" applyAlignment="1">
      <alignment vertical="center"/>
    </xf>
    <xf numFmtId="43" fontId="7" fillId="0" borderId="13" xfId="0" applyNumberFormat="1" applyFont="1" applyBorder="1" applyAlignment="1">
      <alignment vertical="center"/>
    </xf>
    <xf numFmtId="0" fontId="15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0" borderId="0" xfId="0" applyFont="1" applyAlignment="1">
      <alignment wrapText="1"/>
    </xf>
    <xf numFmtId="0" fontId="8" fillId="0" borderId="0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0" fillId="0" borderId="16" xfId="0" applyBorder="1" applyAlignment="1">
      <alignment wrapText="1"/>
    </xf>
    <xf numFmtId="0" fontId="0" fillId="0" borderId="0" xfId="0" applyBorder="1" applyAlignment="1">
      <alignment wrapText="1"/>
    </xf>
    <xf numFmtId="0" fontId="13" fillId="0" borderId="1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left" vertical="center"/>
    </xf>
    <xf numFmtId="0" fontId="13" fillId="0" borderId="4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43" fontId="13" fillId="0" borderId="5" xfId="0" applyNumberFormat="1" applyFont="1" applyBorder="1" applyAlignment="1">
      <alignment horizontal="center" vertical="center"/>
    </xf>
    <xf numFmtId="164" fontId="13" fillId="0" borderId="46" xfId="0" applyNumberFormat="1" applyFont="1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164" fontId="13" fillId="0" borderId="4" xfId="0" applyNumberFormat="1" applyFont="1" applyBorder="1" applyAlignment="1">
      <alignment vertical="center"/>
    </xf>
    <xf numFmtId="0" fontId="13" fillId="0" borderId="22" xfId="0" applyFont="1" applyBorder="1" applyAlignment="1">
      <alignment horizontal="left" vertical="center"/>
    </xf>
    <xf numFmtId="0" fontId="13" fillId="0" borderId="19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0" applyFont="1" applyFill="1" applyBorder="1" applyAlignment="1">
      <alignment vertical="center" wrapText="1"/>
    </xf>
    <xf numFmtId="0" fontId="7" fillId="0" borderId="71" xfId="0" applyNumberFormat="1" applyFont="1" applyBorder="1" applyAlignment="1">
      <alignment horizontal="center"/>
    </xf>
    <xf numFmtId="0" fontId="7" fillId="0" borderId="56" xfId="0" applyNumberFormat="1" applyFont="1" applyBorder="1" applyAlignment="1">
      <alignment horizontal="center"/>
    </xf>
    <xf numFmtId="0" fontId="7" fillId="0" borderId="55" xfId="0" applyNumberFormat="1" applyFont="1" applyBorder="1" applyAlignment="1">
      <alignment horizontal="center"/>
    </xf>
    <xf numFmtId="0" fontId="7" fillId="0" borderId="61" xfId="0" applyNumberFormat="1" applyFont="1" applyBorder="1" applyAlignment="1">
      <alignment horizontal="center"/>
    </xf>
    <xf numFmtId="0" fontId="7" fillId="0" borderId="54" xfId="0" applyNumberFormat="1" applyFont="1" applyBorder="1" applyAlignment="1">
      <alignment horizontal="center"/>
    </xf>
    <xf numFmtId="0" fontId="12" fillId="0" borderId="54" xfId="0" applyNumberFormat="1" applyFont="1" applyBorder="1" applyAlignment="1">
      <alignment horizontal="center"/>
    </xf>
    <xf numFmtId="43" fontId="13" fillId="0" borderId="68" xfId="0" applyNumberFormat="1" applyFont="1" applyBorder="1" applyAlignment="1">
      <alignment horizontal="center" vertical="center"/>
    </xf>
    <xf numFmtId="0" fontId="13" fillId="0" borderId="9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61" xfId="0" applyNumberFormat="1" applyFont="1" applyBorder="1" applyAlignment="1">
      <alignment horizontal="center" vertical="center"/>
    </xf>
    <xf numFmtId="0" fontId="7" fillId="0" borderId="71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0" fontId="7" fillId="0" borderId="15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7" fillId="0" borderId="10" xfId="0" applyNumberFormat="1" applyFont="1" applyBorder="1" applyAlignment="1">
      <alignment horizontal="center"/>
    </xf>
    <xf numFmtId="0" fontId="12" fillId="0" borderId="58" xfId="0" applyFont="1" applyBorder="1"/>
    <xf numFmtId="0" fontId="6" fillId="2" borderId="2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/>
    <xf numFmtId="0" fontId="13" fillId="0" borderId="71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0" borderId="10" xfId="0" applyFont="1" applyBorder="1"/>
    <xf numFmtId="0" fontId="7" fillId="0" borderId="29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164" fontId="7" fillId="0" borderId="29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12" fillId="0" borderId="4" xfId="0" applyFont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/>
    </xf>
    <xf numFmtId="0" fontId="7" fillId="0" borderId="12" xfId="0" applyNumberFormat="1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/>
    </xf>
    <xf numFmtId="164" fontId="0" fillId="0" borderId="68" xfId="0" applyNumberFormat="1" applyBorder="1" applyAlignment="1">
      <alignment horizontal="center" vertical="center"/>
    </xf>
    <xf numFmtId="0" fontId="12" fillId="0" borderId="15" xfId="0" applyFont="1" applyBorder="1" applyAlignment="1">
      <alignment horizontal="left" vertical="center"/>
    </xf>
    <xf numFmtId="0" fontId="12" fillId="0" borderId="4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164" fontId="12" fillId="0" borderId="4" xfId="0" applyNumberFormat="1" applyFont="1" applyBorder="1" applyAlignment="1">
      <alignment horizontal="center" vertical="center"/>
    </xf>
    <xf numFmtId="164" fontId="12" fillId="0" borderId="46" xfId="0" applyNumberFormat="1" applyFont="1" applyBorder="1" applyAlignment="1">
      <alignment vertical="center"/>
    </xf>
    <xf numFmtId="0" fontId="12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164" fontId="19" fillId="0" borderId="4" xfId="0" applyNumberFormat="1" applyFont="1" applyBorder="1" applyAlignment="1">
      <alignment vertical="center"/>
    </xf>
    <xf numFmtId="0" fontId="13" fillId="0" borderId="15" xfId="0" applyNumberFormat="1" applyFont="1" applyBorder="1" applyAlignment="1">
      <alignment horizontal="center" vertical="center"/>
    </xf>
    <xf numFmtId="0" fontId="13" fillId="0" borderId="61" xfId="0" applyNumberFormat="1" applyFont="1" applyBorder="1" applyAlignment="1">
      <alignment horizontal="center" vertical="center"/>
    </xf>
    <xf numFmtId="0" fontId="12" fillId="0" borderId="61" xfId="0" applyNumberFormat="1" applyFont="1" applyBorder="1" applyAlignment="1">
      <alignment horizontal="center" vertical="center"/>
    </xf>
    <xf numFmtId="0" fontId="12" fillId="0" borderId="56" xfId="0" applyNumberFormat="1" applyFont="1" applyBorder="1" applyAlignment="1">
      <alignment horizontal="center"/>
    </xf>
    <xf numFmtId="0" fontId="12" fillId="0" borderId="71" xfId="0" applyNumberFormat="1" applyFont="1" applyBorder="1" applyAlignment="1">
      <alignment horizontal="center"/>
    </xf>
    <xf numFmtId="0" fontId="12" fillId="0" borderId="61" xfId="0" applyNumberFormat="1" applyFont="1" applyBorder="1" applyAlignment="1">
      <alignment horizontal="center"/>
    </xf>
    <xf numFmtId="0" fontId="7" fillId="0" borderId="48" xfId="0" applyNumberFormat="1" applyFont="1" applyBorder="1" applyAlignment="1">
      <alignment horizontal="center"/>
    </xf>
    <xf numFmtId="0" fontId="7" fillId="0" borderId="72" xfId="0" applyNumberFormat="1" applyFont="1" applyBorder="1" applyAlignment="1">
      <alignment horizontal="center"/>
    </xf>
    <xf numFmtId="0" fontId="7" fillId="0" borderId="49" xfId="0" applyNumberFormat="1" applyFont="1" applyBorder="1" applyAlignment="1">
      <alignment horizontal="center"/>
    </xf>
    <xf numFmtId="0" fontId="13" fillId="0" borderId="22" xfId="0" applyNumberFormat="1" applyFont="1" applyBorder="1" applyAlignment="1">
      <alignment horizontal="center" vertical="center"/>
    </xf>
    <xf numFmtId="0" fontId="7" fillId="0" borderId="63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 wrapText="1" shrinkToFit="1"/>
    </xf>
    <xf numFmtId="0" fontId="20" fillId="0" borderId="0" xfId="0" applyFont="1" applyAlignment="1">
      <alignment wrapText="1"/>
    </xf>
    <xf numFmtId="9" fontId="20" fillId="0" borderId="0" xfId="0" applyNumberFormat="1" applyFont="1"/>
    <xf numFmtId="164" fontId="13" fillId="0" borderId="29" xfId="0" applyNumberFormat="1" applyFont="1" applyBorder="1" applyAlignment="1">
      <alignment vertical="center"/>
    </xf>
    <xf numFmtId="164" fontId="13" fillId="0" borderId="29" xfId="0" applyNumberFormat="1" applyFon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3" xfId="0" applyFont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7" fillId="0" borderId="64" xfId="0" applyNumberFormat="1" applyFont="1" applyBorder="1" applyAlignment="1">
      <alignment horizontal="center" vertical="center"/>
    </xf>
    <xf numFmtId="0" fontId="7" fillId="0" borderId="21" xfId="0" applyNumberFormat="1" applyFont="1" applyBorder="1" applyAlignment="1">
      <alignment horizontal="center"/>
    </xf>
    <xf numFmtId="0" fontId="7" fillId="0" borderId="22" xfId="0" applyNumberFormat="1" applyFont="1" applyBorder="1" applyAlignment="1">
      <alignment horizontal="center"/>
    </xf>
    <xf numFmtId="0" fontId="7" fillId="0" borderId="45" xfId="0" applyNumberFormat="1" applyFont="1" applyBorder="1" applyAlignment="1">
      <alignment horizontal="center"/>
    </xf>
    <xf numFmtId="0" fontId="7" fillId="0" borderId="50" xfId="0" applyNumberFormat="1" applyFont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21" fillId="0" borderId="4" xfId="0" applyFont="1" applyBorder="1" applyAlignment="1">
      <alignment horizontal="center"/>
    </xf>
    <xf numFmtId="0" fontId="21" fillId="0" borderId="4" xfId="0" applyFont="1" applyBorder="1" applyAlignment="1">
      <alignment horizontal="center" vertical="center"/>
    </xf>
    <xf numFmtId="164" fontId="21" fillId="0" borderId="4" xfId="0" applyNumberFormat="1" applyFont="1" applyBorder="1" applyAlignment="1">
      <alignment vertical="center"/>
    </xf>
    <xf numFmtId="164" fontId="21" fillId="0" borderId="4" xfId="0" applyNumberFormat="1" applyFont="1" applyBorder="1" applyAlignment="1">
      <alignment horizontal="center"/>
    </xf>
    <xf numFmtId="43" fontId="21" fillId="0" borderId="5" xfId="0" applyNumberFormat="1" applyFont="1" applyBorder="1" applyAlignment="1">
      <alignment horizontal="center" vertical="center"/>
    </xf>
    <xf numFmtId="0" fontId="21" fillId="0" borderId="0" xfId="0" applyFont="1"/>
    <xf numFmtId="0" fontId="21" fillId="0" borderId="0" xfId="0" applyNumberFormat="1" applyFont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22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center" vertical="center"/>
    </xf>
    <xf numFmtId="164" fontId="22" fillId="0" borderId="4" xfId="0" applyNumberFormat="1" applyFont="1" applyBorder="1" applyAlignment="1">
      <alignment vertical="center"/>
    </xf>
    <xf numFmtId="164" fontId="22" fillId="0" borderId="4" xfId="0" applyNumberFormat="1" applyFont="1" applyBorder="1" applyAlignment="1">
      <alignment horizontal="center" vertical="center"/>
    </xf>
    <xf numFmtId="43" fontId="22" fillId="0" borderId="5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/>
    </xf>
    <xf numFmtId="16" fontId="7" fillId="0" borderId="9" xfId="0" applyNumberFormat="1" applyFont="1" applyBorder="1" applyAlignment="1">
      <alignment horizontal="center"/>
    </xf>
    <xf numFmtId="14" fontId="7" fillId="0" borderId="9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59" xfId="0" applyNumberFormat="1" applyFont="1" applyBorder="1" applyAlignment="1">
      <alignment horizontal="center"/>
    </xf>
    <xf numFmtId="0" fontId="7" fillId="0" borderId="25" xfId="0" applyNumberFormat="1" applyFont="1" applyBorder="1" applyAlignment="1">
      <alignment horizontal="center" vertical="center" readingOrder="1"/>
    </xf>
    <xf numFmtId="0" fontId="0" fillId="0" borderId="19" xfId="0" applyFont="1" applyBorder="1" applyAlignment="1">
      <alignment horizontal="center" vertical="center" readingOrder="1"/>
    </xf>
    <xf numFmtId="0" fontId="0" fillId="0" borderId="63" xfId="0" applyFont="1" applyBorder="1" applyAlignment="1">
      <alignment horizontal="center" vertical="center" readingOrder="1"/>
    </xf>
    <xf numFmtId="0" fontId="0" fillId="0" borderId="60" xfId="0" applyFont="1" applyBorder="1" applyAlignment="1">
      <alignment horizontal="center" vertical="center"/>
    </xf>
    <xf numFmtId="0" fontId="0" fillId="0" borderId="0" xfId="0" applyFont="1" applyBorder="1"/>
    <xf numFmtId="0" fontId="7" fillId="0" borderId="19" xfId="0" applyNumberFormat="1" applyFont="1" applyBorder="1" applyAlignment="1">
      <alignment horizontal="center" vertical="center" readingOrder="1"/>
    </xf>
    <xf numFmtId="0" fontId="23" fillId="0" borderId="25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63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64" xfId="0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/>
    </xf>
    <xf numFmtId="0" fontId="0" fillId="0" borderId="61" xfId="0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7" fillId="0" borderId="22" xfId="0" applyNumberFormat="1" applyFont="1" applyBorder="1" applyAlignment="1">
      <alignment horizontal="center" vertical="center"/>
    </xf>
    <xf numFmtId="0" fontId="0" fillId="0" borderId="71" xfId="0" applyFont="1" applyBorder="1" applyAlignment="1">
      <alignment horizontal="center" vertical="center"/>
    </xf>
    <xf numFmtId="0" fontId="7" fillId="0" borderId="52" xfId="0" applyNumberFormat="1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164" fontId="7" fillId="0" borderId="22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2" fillId="0" borderId="9" xfId="0" applyNumberFormat="1" applyFont="1" applyBorder="1" applyAlignment="1">
      <alignment horizontal="center" vertical="center"/>
    </xf>
    <xf numFmtId="0" fontId="22" fillId="0" borderId="23" xfId="0" applyFont="1" applyBorder="1" applyAlignment="1">
      <alignment horizontal="left" wrapText="1"/>
    </xf>
    <xf numFmtId="164" fontId="22" fillId="0" borderId="12" xfId="0" applyNumberFormat="1" applyFont="1" applyBorder="1" applyAlignment="1">
      <alignment vertical="center"/>
    </xf>
    <xf numFmtId="164" fontId="22" fillId="0" borderId="4" xfId="0" applyNumberFormat="1" applyFont="1" applyBorder="1" applyAlignment="1">
      <alignment horizontal="center"/>
    </xf>
    <xf numFmtId="43" fontId="22" fillId="0" borderId="4" xfId="0" applyNumberFormat="1" applyFont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7" fillId="3" borderId="71" xfId="0" applyNumberFormat="1" applyFont="1" applyFill="1" applyBorder="1" applyAlignment="1">
      <alignment horizontal="center" vertical="center"/>
    </xf>
    <xf numFmtId="0" fontId="7" fillId="2" borderId="61" xfId="0" applyNumberFormat="1" applyFont="1" applyFill="1" applyBorder="1" applyAlignment="1">
      <alignment horizontal="center" vertical="center"/>
    </xf>
    <xf numFmtId="0" fontId="7" fillId="4" borderId="71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7" fillId="4" borderId="4" xfId="0" applyNumberFormat="1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164" fontId="7" fillId="4" borderId="4" xfId="0" applyNumberFormat="1" applyFon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0" fontId="7" fillId="4" borderId="0" xfId="0" applyNumberFormat="1" applyFont="1" applyFill="1" applyAlignment="1">
      <alignment horizontal="center" vertical="center"/>
    </xf>
    <xf numFmtId="164" fontId="7" fillId="4" borderId="0" xfId="0" applyNumberFormat="1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0" fillId="0" borderId="0" xfId="0" applyNumberFormat="1"/>
    <xf numFmtId="0" fontId="7" fillId="4" borderId="61" xfId="0" applyNumberFormat="1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7" fillId="2" borderId="71" xfId="0" applyNumberFormat="1" applyFont="1" applyFill="1" applyBorder="1" applyAlignment="1">
      <alignment horizontal="center" vertical="center"/>
    </xf>
    <xf numFmtId="0" fontId="7" fillId="2" borderId="4" xfId="0" applyNumberFormat="1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0" fontId="5" fillId="0" borderId="71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0" fontId="5" fillId="0" borderId="22" xfId="0" applyNumberFormat="1" applyFont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0" borderId="0" xfId="0" applyNumberFormat="1"/>
    <xf numFmtId="0" fontId="7" fillId="5" borderId="61" xfId="0" applyNumberFormat="1" applyFon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3" fontId="15" fillId="4" borderId="4" xfId="0" applyNumberFormat="1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164" fontId="7" fillId="4" borderId="22" xfId="0" applyNumberFormat="1" applyFont="1" applyFill="1" applyBorder="1" applyAlignment="1">
      <alignment horizontal="center" vertical="center"/>
    </xf>
    <xf numFmtId="0" fontId="8" fillId="4" borderId="0" xfId="0" applyFont="1" applyFill="1" applyAlignment="1">
      <alignment wrapText="1"/>
    </xf>
    <xf numFmtId="0" fontId="7" fillId="5" borderId="61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center"/>
    </xf>
    <xf numFmtId="0" fontId="7" fillId="4" borderId="61" xfId="0" applyFont="1" applyFill="1" applyBorder="1" applyAlignment="1">
      <alignment horizontal="center" vertical="center"/>
    </xf>
    <xf numFmtId="0" fontId="7" fillId="4" borderId="71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5" fillId="5" borderId="71" xfId="0" applyNumberFormat="1" applyFont="1" applyFill="1" applyBorder="1" applyAlignment="1">
      <alignment horizontal="center" vertical="center"/>
    </xf>
    <xf numFmtId="0" fontId="5" fillId="5" borderId="4" xfId="0" applyNumberFormat="1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164" fontId="5" fillId="5" borderId="4" xfId="0" applyNumberFormat="1" applyFont="1" applyFill="1" applyBorder="1" applyAlignment="1">
      <alignment horizontal="center" vertical="center"/>
    </xf>
    <xf numFmtId="0" fontId="0" fillId="5" borderId="71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/>
    </xf>
    <xf numFmtId="0" fontId="7" fillId="5" borderId="71" xfId="0" applyNumberFormat="1" applyFont="1" applyFill="1" applyBorder="1" applyAlignment="1">
      <alignment horizontal="center" vertical="center"/>
    </xf>
    <xf numFmtId="0" fontId="7" fillId="6" borderId="71" xfId="0" applyNumberFormat="1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7" fillId="5" borderId="4" xfId="0" applyNumberFormat="1" applyFont="1" applyFill="1" applyBorder="1" applyAlignment="1">
      <alignment horizontal="center" vertical="center"/>
    </xf>
    <xf numFmtId="0" fontId="0" fillId="6" borderId="71" xfId="0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7" fillId="8" borderId="71" xfId="0" applyNumberFormat="1" applyFont="1" applyFill="1" applyBorder="1" applyAlignment="1">
      <alignment horizontal="center" vertical="center"/>
    </xf>
    <xf numFmtId="0" fontId="7" fillId="6" borderId="22" xfId="0" applyNumberFormat="1" applyFont="1" applyFill="1" applyBorder="1" applyAlignment="1">
      <alignment horizontal="center" vertical="center"/>
    </xf>
    <xf numFmtId="0" fontId="7" fillId="9" borderId="15" xfId="0" applyNumberFormat="1" applyFont="1" applyFill="1" applyBorder="1" applyAlignment="1">
      <alignment horizontal="center" vertical="center"/>
    </xf>
    <xf numFmtId="0" fontId="7" fillId="9" borderId="22" xfId="0" applyNumberFormat="1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7" fillId="9" borderId="4" xfId="0" applyNumberFormat="1" applyFont="1" applyFill="1" applyBorder="1" applyAlignment="1">
      <alignment horizontal="center" vertical="center"/>
    </xf>
    <xf numFmtId="0" fontId="15" fillId="9" borderId="4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164" fontId="7" fillId="9" borderId="4" xfId="0" applyNumberFormat="1" applyFont="1" applyFill="1" applyBorder="1" applyAlignment="1">
      <alignment horizontal="center" vertical="center"/>
    </xf>
    <xf numFmtId="164" fontId="0" fillId="9" borderId="4" xfId="0" applyNumberFormat="1" applyFill="1" applyBorder="1" applyAlignment="1">
      <alignment horizontal="center" vertical="center"/>
    </xf>
    <xf numFmtId="0" fontId="7" fillId="4" borderId="15" xfId="0" applyNumberFormat="1" applyFont="1" applyFill="1" applyBorder="1" applyAlignment="1">
      <alignment horizontal="center" vertical="center"/>
    </xf>
    <xf numFmtId="0" fontId="7" fillId="4" borderId="22" xfId="0" applyNumberFormat="1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164" fontId="26" fillId="0" borderId="4" xfId="0" applyNumberFormat="1" applyFont="1" applyBorder="1" applyAlignment="1">
      <alignment vertical="center"/>
    </xf>
    <xf numFmtId="164" fontId="26" fillId="0" borderId="4" xfId="0" applyNumberFormat="1" applyFont="1" applyBorder="1" applyAlignment="1">
      <alignment horizontal="center"/>
    </xf>
    <xf numFmtId="0" fontId="22" fillId="0" borderId="18" xfId="0" applyNumberFormat="1" applyFont="1" applyBorder="1" applyAlignment="1">
      <alignment horizontal="center"/>
    </xf>
    <xf numFmtId="0" fontId="22" fillId="0" borderId="15" xfId="0" applyFont="1" applyBorder="1" applyAlignment="1">
      <alignment horizontal="left" vertical="center"/>
    </xf>
    <xf numFmtId="0" fontId="22" fillId="0" borderId="4" xfId="0" applyNumberFormat="1" applyFont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22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6" fillId="0" borderId="19" xfId="0" applyNumberFormat="1" applyFont="1" applyBorder="1" applyAlignment="1">
      <alignment horizontal="center" vertical="center" readingOrder="1"/>
    </xf>
    <xf numFmtId="0" fontId="26" fillId="0" borderId="9" xfId="0" applyNumberFormat="1" applyFont="1" applyBorder="1" applyAlignment="1">
      <alignment horizontal="center" vertical="center"/>
    </xf>
    <xf numFmtId="0" fontId="26" fillId="0" borderId="22" xfId="0" applyFont="1" applyBorder="1" applyAlignment="1">
      <alignment horizontal="left"/>
    </xf>
    <xf numFmtId="0" fontId="6" fillId="10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7" fillId="3" borderId="4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wrapText="1"/>
    </xf>
    <xf numFmtId="0" fontId="7" fillId="6" borderId="61" xfId="0" applyNumberFormat="1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7" fillId="6" borderId="4" xfId="0" applyNumberFormat="1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164" fontId="7" fillId="6" borderId="4" xfId="0" applyNumberFormat="1" applyFont="1" applyFill="1" applyBorder="1" applyAlignment="1">
      <alignment horizontal="center" vertical="center"/>
    </xf>
    <xf numFmtId="0" fontId="7" fillId="9" borderId="61" xfId="0" applyNumberFormat="1" applyFont="1" applyFill="1" applyBorder="1" applyAlignment="1">
      <alignment horizontal="center" vertical="center"/>
    </xf>
    <xf numFmtId="0" fontId="7" fillId="9" borderId="71" xfId="0" applyNumberFormat="1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7" fillId="8" borderId="61" xfId="0" applyNumberFormat="1" applyFont="1" applyFill="1" applyBorder="1" applyAlignment="1">
      <alignment horizontal="center" vertical="center"/>
    </xf>
    <xf numFmtId="0" fontId="7" fillId="8" borderId="4" xfId="0" applyNumberFormat="1" applyFont="1" applyFill="1" applyBorder="1" applyAlignment="1">
      <alignment horizontal="center" vertical="center"/>
    </xf>
    <xf numFmtId="0" fontId="15" fillId="8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164" fontId="7" fillId="8" borderId="4" xfId="0" applyNumberFormat="1" applyFont="1" applyFill="1" applyBorder="1" applyAlignment="1">
      <alignment horizontal="center" vertical="center"/>
    </xf>
    <xf numFmtId="164" fontId="0" fillId="8" borderId="4" xfId="0" applyNumberFormat="1" applyFill="1" applyBorder="1" applyAlignment="1">
      <alignment horizontal="center" vertical="center"/>
    </xf>
    <xf numFmtId="0" fontId="8" fillId="2" borderId="0" xfId="0" applyFont="1" applyFill="1" applyAlignment="1">
      <alignment wrapText="1"/>
    </xf>
    <xf numFmtId="0" fontId="7" fillId="0" borderId="71" xfId="0" applyNumberFormat="1" applyFont="1" applyBorder="1" applyAlignment="1">
      <alignment horizontal="center" wrapText="1"/>
    </xf>
    <xf numFmtId="0" fontId="0" fillId="4" borderId="61" xfId="0" applyFill="1" applyBorder="1" applyAlignment="1">
      <alignment horizontal="center" vertical="center"/>
    </xf>
    <xf numFmtId="0" fontId="0" fillId="4" borderId="71" xfId="0" applyFont="1" applyFill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7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5" xfId="0" applyBorder="1" applyAlignment="1">
      <alignment vertical="center"/>
    </xf>
    <xf numFmtId="0" fontId="7" fillId="2" borderId="15" xfId="0" applyFont="1" applyFill="1" applyBorder="1" applyAlignment="1">
      <alignment vertical="center"/>
    </xf>
    <xf numFmtId="0" fontId="7" fillId="0" borderId="15" xfId="0" applyNumberFormat="1" applyFont="1" applyBorder="1" applyAlignment="1">
      <alignment vertical="center"/>
    </xf>
    <xf numFmtId="0" fontId="7" fillId="9" borderId="15" xfId="0" applyFont="1" applyFill="1" applyBorder="1" applyAlignment="1">
      <alignment vertical="center"/>
    </xf>
    <xf numFmtId="0" fontId="0" fillId="0" borderId="52" xfId="0" applyBorder="1" applyAlignment="1">
      <alignment vertical="center"/>
    </xf>
    <xf numFmtId="0" fontId="7" fillId="0" borderId="52" xfId="0" applyFont="1" applyBorder="1" applyAlignment="1">
      <alignment vertical="center"/>
    </xf>
    <xf numFmtId="0" fontId="7" fillId="4" borderId="15" xfId="0" applyFont="1" applyFill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4" borderId="15" xfId="0" applyFill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15" xfId="0" applyFill="1" applyBorder="1" applyAlignment="1">
      <alignment vertical="center"/>
    </xf>
    <xf numFmtId="0" fontId="5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3" fillId="0" borderId="15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9" borderId="4" xfId="0" applyFont="1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0" fillId="0" borderId="4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10" borderId="4" xfId="0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4" borderId="4" xfId="0" applyNumberFormat="1" applyFill="1" applyBorder="1" applyAlignment="1">
      <alignment horizontal="center" vertical="center" wrapText="1"/>
    </xf>
    <xf numFmtId="0" fontId="7" fillId="3" borderId="61" xfId="0" applyNumberFormat="1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vertical="center"/>
    </xf>
    <xf numFmtId="0" fontId="7" fillId="3" borderId="22" xfId="0" applyFont="1" applyFill="1" applyBorder="1" applyAlignment="1">
      <alignment vertical="center"/>
    </xf>
    <xf numFmtId="0" fontId="15" fillId="3" borderId="12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vertical="center"/>
    </xf>
    <xf numFmtId="0" fontId="7" fillId="6" borderId="15" xfId="0" applyFont="1" applyFill="1" applyBorder="1" applyAlignment="1">
      <alignment vertical="center"/>
    </xf>
    <xf numFmtId="0" fontId="0" fillId="6" borderId="15" xfId="0" applyFill="1" applyBorder="1" applyAlignment="1">
      <alignment vertical="center"/>
    </xf>
    <xf numFmtId="0" fontId="0" fillId="6" borderId="4" xfId="0" applyNumberForma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164" fontId="0" fillId="6" borderId="4" xfId="0" applyNumberFormat="1" applyFill="1" applyBorder="1" applyAlignment="1">
      <alignment vertical="center"/>
    </xf>
    <xf numFmtId="164" fontId="0" fillId="4" borderId="4" xfId="0" applyNumberFormat="1" applyFill="1" applyBorder="1" applyAlignment="1">
      <alignment vertical="center"/>
    </xf>
    <xf numFmtId="0" fontId="0" fillId="8" borderId="61" xfId="0" applyFill="1" applyBorder="1" applyAlignment="1">
      <alignment horizontal="center" vertical="center"/>
    </xf>
    <xf numFmtId="0" fontId="0" fillId="8" borderId="71" xfId="0" applyFill="1" applyBorder="1" applyAlignment="1">
      <alignment horizontal="center" vertical="center"/>
    </xf>
    <xf numFmtId="0" fontId="0" fillId="8" borderId="15" xfId="0" applyFill="1" applyBorder="1" applyAlignment="1">
      <alignment vertical="center"/>
    </xf>
    <xf numFmtId="0" fontId="0" fillId="8" borderId="4" xfId="0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7" fillId="6" borderId="15" xfId="0" applyNumberFormat="1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vertical="center"/>
    </xf>
    <xf numFmtId="0" fontId="15" fillId="6" borderId="12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164" fontId="0" fillId="6" borderId="4" xfId="0" applyNumberForma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vertical="center"/>
    </xf>
    <xf numFmtId="0" fontId="0" fillId="6" borderId="15" xfId="0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/>
    </xf>
    <xf numFmtId="0" fontId="7" fillId="6" borderId="61" xfId="0" applyFont="1" applyFill="1" applyBorder="1" applyAlignment="1">
      <alignment horizontal="center" vertical="center"/>
    </xf>
    <xf numFmtId="0" fontId="7" fillId="6" borderId="71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/>
    </xf>
    <xf numFmtId="0" fontId="13" fillId="6" borderId="4" xfId="0" applyFont="1" applyFill="1" applyBorder="1" applyAlignment="1">
      <alignment horizontal="center"/>
    </xf>
    <xf numFmtId="0" fontId="0" fillId="6" borderId="15" xfId="0" applyFont="1" applyFill="1" applyBorder="1" applyAlignment="1">
      <alignment vertical="center"/>
    </xf>
    <xf numFmtId="0" fontId="0" fillId="6" borderId="4" xfId="0" applyFont="1" applyFill="1" applyBorder="1" applyAlignment="1">
      <alignment horizontal="center" vertical="center"/>
    </xf>
    <xf numFmtId="164" fontId="0" fillId="6" borderId="4" xfId="0" applyNumberFormat="1" applyFont="1" applyFill="1" applyBorder="1" applyAlignment="1">
      <alignment horizontal="center" vertical="center"/>
    </xf>
    <xf numFmtId="0" fontId="0" fillId="6" borderId="61" xfId="0" applyFill="1" applyBorder="1" applyAlignment="1">
      <alignment horizontal="center" vertical="center"/>
    </xf>
    <xf numFmtId="43" fontId="0" fillId="0" borderId="0" xfId="0" applyNumberFormat="1" applyAlignment="1">
      <alignment vertical="center"/>
    </xf>
    <xf numFmtId="0" fontId="0" fillId="0" borderId="0" xfId="0" applyNumberFormat="1" applyAlignment="1">
      <alignment horizontal="left" vertical="center"/>
    </xf>
    <xf numFmtId="0" fontId="6" fillId="2" borderId="64" xfId="0" applyFont="1" applyFill="1" applyBorder="1" applyAlignment="1">
      <alignment horizontal="center" vertical="center"/>
    </xf>
    <xf numFmtId="0" fontId="15" fillId="0" borderId="64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164" fontId="7" fillId="0" borderId="64" xfId="0" applyNumberFormat="1" applyFont="1" applyBorder="1" applyAlignment="1">
      <alignment horizontal="center" vertical="center"/>
    </xf>
    <xf numFmtId="43" fontId="7" fillId="0" borderId="64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6" xfId="0" applyNumberFormat="1" applyFont="1" applyBorder="1" applyAlignment="1">
      <alignment horizontal="center" vertical="center"/>
    </xf>
    <xf numFmtId="0" fontId="0" fillId="6" borderId="71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vertical="center"/>
    </xf>
    <xf numFmtId="0" fontId="7" fillId="6" borderId="29" xfId="0" applyNumberFormat="1" applyFont="1" applyFill="1" applyBorder="1" applyAlignment="1">
      <alignment horizontal="center" vertical="center"/>
    </xf>
    <xf numFmtId="0" fontId="15" fillId="6" borderId="29" xfId="0" applyFont="1" applyFill="1" applyBorder="1" applyAlignment="1">
      <alignment horizontal="center" vertical="center"/>
    </xf>
    <xf numFmtId="0" fontId="7" fillId="6" borderId="29" xfId="0" applyFont="1" applyFill="1" applyBorder="1" applyAlignment="1">
      <alignment horizontal="center" vertical="center"/>
    </xf>
    <xf numFmtId="164" fontId="7" fillId="6" borderId="29" xfId="0" applyNumberFormat="1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vertical="center"/>
    </xf>
    <xf numFmtId="0" fontId="0" fillId="6" borderId="29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22" fillId="6" borderId="71" xfId="0" applyNumberFormat="1" applyFont="1" applyFill="1" applyBorder="1" applyAlignment="1">
      <alignment horizontal="center" vertical="center"/>
    </xf>
    <xf numFmtId="0" fontId="22" fillId="6" borderId="10" xfId="0" applyFont="1" applyFill="1" applyBorder="1" applyAlignment="1">
      <alignment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29" xfId="0" applyNumberFormat="1" applyFont="1" applyFill="1" applyBorder="1" applyAlignment="1">
      <alignment horizontal="center" vertical="center"/>
    </xf>
    <xf numFmtId="0" fontId="25" fillId="6" borderId="29" xfId="0" applyFont="1" applyFill="1" applyBorder="1" applyAlignment="1">
      <alignment horizontal="center" vertical="center"/>
    </xf>
    <xf numFmtId="164" fontId="22" fillId="6" borderId="4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371475</xdr:colOff>
      <xdr:row>81</xdr:row>
      <xdr:rowOff>57150</xdr:rowOff>
    </xdr:to>
    <xdr:pic>
      <xdr:nvPicPr>
        <xdr:cNvPr id="12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01475" cy="1548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4"/>
  <sheetViews>
    <sheetView topLeftCell="C50" zoomScale="150" zoomScaleNormal="150" workbookViewId="0">
      <selection activeCell="G59" sqref="G59"/>
    </sheetView>
    <sheetView workbookViewId="1"/>
    <sheetView workbookViewId="2"/>
  </sheetViews>
  <sheetFormatPr baseColWidth="10" defaultRowHeight="15"/>
  <cols>
    <col min="1" max="1" width="16" customWidth="1"/>
    <col min="2" max="2" width="16" style="11" customWidth="1"/>
    <col min="3" max="3" width="22.7109375" style="7" customWidth="1"/>
    <col min="4" max="4" width="17.7109375" style="1" customWidth="1"/>
    <col min="5" max="5" width="24.7109375" style="1" customWidth="1"/>
    <col min="6" max="6" width="4.5703125" style="1" customWidth="1"/>
    <col min="7" max="7" width="10.5703125" style="1" customWidth="1"/>
    <col min="8" max="8" width="12.42578125" style="1" customWidth="1"/>
    <col min="9" max="9" width="12.42578125" style="8" customWidth="1"/>
    <col min="10" max="10" width="13.7109375" style="2" customWidth="1"/>
    <col min="11" max="11" width="34.28515625" hidden="1" customWidth="1"/>
    <col min="12" max="12" width="11.5703125" customWidth="1"/>
  </cols>
  <sheetData>
    <row r="1" spans="1:11" ht="30" customHeight="1">
      <c r="C1" s="752" t="s">
        <v>167</v>
      </c>
      <c r="D1" s="753"/>
      <c r="E1" s="753"/>
      <c r="F1" s="753"/>
      <c r="G1" s="753"/>
      <c r="H1" s="753"/>
      <c r="I1" s="753"/>
      <c r="J1" s="753"/>
      <c r="K1" s="753"/>
    </row>
    <row r="2" spans="1:11" ht="30" customHeight="1">
      <c r="C2" s="12"/>
      <c r="D2" s="13"/>
      <c r="E2" s="13"/>
      <c r="F2" s="477"/>
      <c r="G2" s="13"/>
      <c r="H2" s="13"/>
      <c r="I2" s="13"/>
      <c r="J2" s="58"/>
      <c r="K2" s="13"/>
    </row>
    <row r="3" spans="1:11" s="10" customFormat="1" ht="18.75" customHeight="1">
      <c r="B3" s="76"/>
      <c r="C3" s="10" t="s">
        <v>112</v>
      </c>
      <c r="E3" s="10" t="s">
        <v>103</v>
      </c>
      <c r="J3" s="10">
        <f>3*120</f>
        <v>360</v>
      </c>
    </row>
    <row r="4" spans="1:11" s="10" customFormat="1" ht="18.75" customHeight="1">
      <c r="B4" s="76"/>
      <c r="C4" s="10" t="s">
        <v>104</v>
      </c>
      <c r="E4" s="10" t="s">
        <v>105</v>
      </c>
      <c r="J4" s="10">
        <f>5*80</f>
        <v>400</v>
      </c>
    </row>
    <row r="5" spans="1:11">
      <c r="D5" s="9"/>
      <c r="E5" s="9"/>
      <c r="F5" s="9"/>
      <c r="G5" s="9"/>
      <c r="H5" s="9"/>
      <c r="I5" s="9"/>
      <c r="J5" s="10"/>
      <c r="K5" s="9"/>
    </row>
    <row r="6" spans="1:11">
      <c r="C6" s="7" t="s">
        <v>70</v>
      </c>
      <c r="D6" s="9" t="s">
        <v>71</v>
      </c>
      <c r="E6" s="9"/>
      <c r="F6" s="9"/>
      <c r="G6" s="9"/>
      <c r="H6" s="9">
        <v>4547</v>
      </c>
      <c r="I6" s="9"/>
      <c r="J6" s="10">
        <f>H6*0.35</f>
        <v>1591.4499999999998</v>
      </c>
      <c r="K6" s="9"/>
    </row>
    <row r="7" spans="1:11">
      <c r="C7" s="7" t="s">
        <v>70</v>
      </c>
      <c r="D7" s="9" t="s">
        <v>73</v>
      </c>
      <c r="E7" s="9"/>
      <c r="F7" s="9"/>
      <c r="G7" s="9"/>
      <c r="H7" s="9">
        <v>4440</v>
      </c>
      <c r="I7" s="9"/>
      <c r="J7" s="10">
        <f>H7*0.35</f>
        <v>1554</v>
      </c>
      <c r="K7" s="9"/>
    </row>
    <row r="8" spans="1:11">
      <c r="C8" s="7" t="s">
        <v>70</v>
      </c>
      <c r="D8" s="9" t="s">
        <v>72</v>
      </c>
      <c r="E8" s="9"/>
      <c r="F8" s="9"/>
      <c r="G8" s="9"/>
      <c r="H8" s="9">
        <v>4440</v>
      </c>
      <c r="I8" s="9"/>
      <c r="J8" s="10">
        <f>H8*0.35</f>
        <v>1554</v>
      </c>
      <c r="K8" s="9"/>
    </row>
    <row r="9" spans="1:11">
      <c r="D9" s="9"/>
      <c r="E9" s="9"/>
      <c r="F9" s="9"/>
      <c r="G9" s="9"/>
      <c r="H9" s="9"/>
      <c r="I9" s="9"/>
      <c r="J9" s="10"/>
      <c r="K9" s="9"/>
    </row>
    <row r="10" spans="1:11" ht="15.75" thickBot="1">
      <c r="F10" s="1" t="s">
        <v>423</v>
      </c>
      <c r="K10" s="11"/>
    </row>
    <row r="11" spans="1:11" ht="30">
      <c r="A11" s="14"/>
      <c r="B11" s="479" t="s">
        <v>592</v>
      </c>
      <c r="C11" s="15" t="s">
        <v>0</v>
      </c>
      <c r="D11" s="16" t="s">
        <v>50</v>
      </c>
      <c r="E11" s="16" t="s">
        <v>11</v>
      </c>
      <c r="F11" s="16"/>
      <c r="G11" s="16" t="s">
        <v>53</v>
      </c>
      <c r="H11" s="17" t="s">
        <v>74</v>
      </c>
      <c r="I11" s="18" t="s">
        <v>1</v>
      </c>
      <c r="J11" s="19" t="s">
        <v>92</v>
      </c>
    </row>
    <row r="12" spans="1:11">
      <c r="A12" s="46" t="s">
        <v>94</v>
      </c>
      <c r="B12" s="480"/>
      <c r="C12" s="20" t="s">
        <v>100</v>
      </c>
      <c r="D12" s="21" t="s">
        <v>8</v>
      </c>
      <c r="E12" s="22" t="s">
        <v>95</v>
      </c>
      <c r="F12" s="22"/>
      <c r="G12" s="22"/>
      <c r="H12" s="22">
        <v>20000</v>
      </c>
      <c r="I12" s="23">
        <f>(H12*0.7/100)*0.6</f>
        <v>84</v>
      </c>
      <c r="J12" s="24">
        <v>84</v>
      </c>
    </row>
    <row r="13" spans="1:11">
      <c r="C13" s="20" t="s">
        <v>101</v>
      </c>
      <c r="D13" s="21" t="s">
        <v>8</v>
      </c>
      <c r="E13" s="22" t="s">
        <v>96</v>
      </c>
      <c r="F13" s="22"/>
      <c r="G13" s="22"/>
      <c r="H13" s="22">
        <v>44000</v>
      </c>
      <c r="I13" s="23">
        <f>(H13*0.7/100)*0.6</f>
        <v>184.79999999999995</v>
      </c>
      <c r="J13" s="24">
        <v>184.79999999999995</v>
      </c>
      <c r="K13" t="s">
        <v>13</v>
      </c>
    </row>
    <row r="14" spans="1:11">
      <c r="A14" s="46"/>
      <c r="B14" s="480"/>
      <c r="C14" s="20" t="s">
        <v>102</v>
      </c>
      <c r="D14" s="21" t="s">
        <v>8</v>
      </c>
      <c r="E14" s="22" t="s">
        <v>97</v>
      </c>
      <c r="F14" s="22"/>
      <c r="G14" s="22"/>
      <c r="H14" s="22">
        <v>60000</v>
      </c>
      <c r="I14" s="23">
        <f>(H14*0.7/100)*0.6</f>
        <v>252</v>
      </c>
      <c r="J14" s="24">
        <v>252</v>
      </c>
      <c r="K14" t="s">
        <v>98</v>
      </c>
    </row>
    <row r="15" spans="1:11">
      <c r="A15" s="46"/>
      <c r="B15" s="480"/>
      <c r="C15" s="20"/>
      <c r="D15" s="21"/>
      <c r="E15" s="22"/>
      <c r="F15" s="22"/>
      <c r="G15" s="22"/>
      <c r="H15" s="22"/>
      <c r="I15" s="23"/>
      <c r="J15" s="24"/>
      <c r="K15" t="s">
        <v>99</v>
      </c>
    </row>
    <row r="16" spans="1:11">
      <c r="A16" s="45" t="s">
        <v>594</v>
      </c>
      <c r="B16" s="481">
        <v>280615</v>
      </c>
      <c r="C16" s="20" t="s">
        <v>2</v>
      </c>
      <c r="D16" s="22" t="s">
        <v>3</v>
      </c>
      <c r="E16" s="22">
        <v>20324778</v>
      </c>
      <c r="F16" s="22"/>
      <c r="G16" s="22"/>
      <c r="H16" s="22">
        <v>840</v>
      </c>
      <c r="I16" s="23">
        <f>(800*6/100)+(40*7/100)</f>
        <v>50.8</v>
      </c>
      <c r="J16" s="24">
        <v>50.8</v>
      </c>
    </row>
    <row r="17" spans="1:11">
      <c r="A17" s="45" t="s">
        <v>594</v>
      </c>
      <c r="B17" s="11">
        <v>678265</v>
      </c>
      <c r="C17" s="20" t="s">
        <v>81</v>
      </c>
      <c r="D17" s="21" t="s">
        <v>5</v>
      </c>
      <c r="E17" s="22">
        <v>20324923</v>
      </c>
      <c r="F17" s="22"/>
      <c r="G17" s="22"/>
      <c r="H17" s="22">
        <v>198.4</v>
      </c>
      <c r="I17" s="23">
        <f>H17*12/100</f>
        <v>23.808000000000003</v>
      </c>
      <c r="J17" s="24">
        <v>24</v>
      </c>
      <c r="K17" t="s">
        <v>4</v>
      </c>
    </row>
    <row r="18" spans="1:11">
      <c r="A18" s="45" t="s">
        <v>594</v>
      </c>
      <c r="B18" s="480">
        <v>604541</v>
      </c>
      <c r="C18" s="20" t="s">
        <v>7</v>
      </c>
      <c r="D18" s="21" t="s">
        <v>8</v>
      </c>
      <c r="E18" s="22" t="s">
        <v>10</v>
      </c>
      <c r="F18" s="22"/>
      <c r="G18" s="22"/>
      <c r="H18" s="22">
        <v>42000</v>
      </c>
      <c r="I18" s="23">
        <f>(H18*0.7/100)*0.6</f>
        <v>176.39999999999995</v>
      </c>
      <c r="J18" s="24">
        <v>176.39999999999995</v>
      </c>
      <c r="K18" t="s">
        <v>6</v>
      </c>
    </row>
    <row r="19" spans="1:11">
      <c r="A19" s="45" t="s">
        <v>594</v>
      </c>
      <c r="B19" s="480"/>
      <c r="C19" s="20" t="s">
        <v>12</v>
      </c>
      <c r="D19" s="21" t="s">
        <v>8</v>
      </c>
      <c r="E19" s="25" t="s">
        <v>93</v>
      </c>
      <c r="F19" s="25"/>
      <c r="G19" s="22"/>
      <c r="H19" s="22">
        <v>20000</v>
      </c>
      <c r="I19" s="23">
        <f>(H19*0.7/100)*0.6</f>
        <v>84</v>
      </c>
      <c r="J19" s="24">
        <v>84</v>
      </c>
      <c r="K19" t="s">
        <v>9</v>
      </c>
    </row>
    <row r="20" spans="1:11">
      <c r="A20" s="45" t="s">
        <v>594</v>
      </c>
      <c r="B20" s="480">
        <v>914601</v>
      </c>
      <c r="C20" s="26" t="s">
        <v>75</v>
      </c>
      <c r="D20" s="27" t="s">
        <v>62</v>
      </c>
      <c r="E20" s="28">
        <v>20258278</v>
      </c>
      <c r="F20" s="28"/>
      <c r="G20" s="28"/>
      <c r="H20" s="28">
        <v>110.88</v>
      </c>
      <c r="I20" s="29">
        <f>H20*15/100</f>
        <v>16.631999999999998</v>
      </c>
      <c r="J20" s="30">
        <v>16.631999999999998</v>
      </c>
      <c r="K20" t="s">
        <v>13</v>
      </c>
    </row>
    <row r="21" spans="1:11" s="6" customFormat="1" ht="30">
      <c r="A21" s="45" t="s">
        <v>594</v>
      </c>
      <c r="B21" s="482">
        <v>834437</v>
      </c>
      <c r="C21" s="20" t="s">
        <v>14</v>
      </c>
      <c r="D21" s="31" t="s">
        <v>127</v>
      </c>
      <c r="E21" s="22">
        <v>440978</v>
      </c>
      <c r="F21" s="22"/>
      <c r="G21" s="22"/>
      <c r="H21" s="22">
        <v>720</v>
      </c>
      <c r="I21" s="23">
        <f>((720*31)*27/1000)*0.6</f>
        <v>361.584</v>
      </c>
      <c r="J21" s="24">
        <v>361.584</v>
      </c>
      <c r="K21"/>
    </row>
    <row r="22" spans="1:11">
      <c r="A22" s="45" t="s">
        <v>594</v>
      </c>
      <c r="B22" s="480">
        <v>604554</v>
      </c>
      <c r="C22" s="26" t="s">
        <v>16</v>
      </c>
      <c r="D22" s="27" t="s">
        <v>52</v>
      </c>
      <c r="E22" s="28">
        <v>609388</v>
      </c>
      <c r="F22" s="28"/>
      <c r="G22" s="28">
        <v>2045</v>
      </c>
      <c r="H22" s="28">
        <v>1500</v>
      </c>
      <c r="I22" s="29">
        <f>(1500*29*0.02)*0.6</f>
        <v>522</v>
      </c>
      <c r="J22" s="30">
        <v>522</v>
      </c>
      <c r="K22" t="s">
        <v>15</v>
      </c>
    </row>
    <row r="23" spans="1:11" s="6" customFormat="1">
      <c r="A23" s="45" t="s">
        <v>594</v>
      </c>
      <c r="B23" s="483">
        <v>421848</v>
      </c>
      <c r="C23" s="20" t="s">
        <v>17</v>
      </c>
      <c r="D23" s="21" t="s">
        <v>3</v>
      </c>
      <c r="E23" s="22">
        <v>20326524</v>
      </c>
      <c r="F23" s="22"/>
      <c r="G23" s="22"/>
      <c r="H23" s="22">
        <v>726</v>
      </c>
      <c r="I23" s="23">
        <f>H23*6/100</f>
        <v>43.56</v>
      </c>
      <c r="J23" s="24">
        <v>43.56</v>
      </c>
      <c r="K23" s="6" t="s">
        <v>54</v>
      </c>
    </row>
    <row r="24" spans="1:11">
      <c r="A24" s="45" t="s">
        <v>594</v>
      </c>
      <c r="B24" s="483">
        <v>421848</v>
      </c>
      <c r="C24" s="20" t="s">
        <v>17</v>
      </c>
      <c r="D24" s="21" t="s">
        <v>3</v>
      </c>
      <c r="E24" s="22">
        <v>20326526</v>
      </c>
      <c r="F24" s="22"/>
      <c r="G24" s="22"/>
      <c r="H24" s="22">
        <v>551</v>
      </c>
      <c r="I24" s="23">
        <f>H24*6/100</f>
        <v>33.06</v>
      </c>
      <c r="J24" s="24">
        <v>33.06</v>
      </c>
      <c r="K24" t="s">
        <v>18</v>
      </c>
    </row>
    <row r="25" spans="1:11">
      <c r="A25" s="45" t="s">
        <v>594</v>
      </c>
      <c r="B25" s="483">
        <v>421848</v>
      </c>
      <c r="C25" s="20" t="s">
        <v>17</v>
      </c>
      <c r="D25" s="21" t="s">
        <v>62</v>
      </c>
      <c r="E25" s="22">
        <v>20326522</v>
      </c>
      <c r="F25" s="22"/>
      <c r="G25" s="22"/>
      <c r="H25" s="28">
        <v>110.88</v>
      </c>
      <c r="I25" s="23">
        <f>H25*15/100</f>
        <v>16.631999999999998</v>
      </c>
      <c r="J25" s="24">
        <v>16.631999999999998</v>
      </c>
      <c r="K25" t="s">
        <v>19</v>
      </c>
    </row>
    <row r="26" spans="1:11">
      <c r="A26" s="45" t="s">
        <v>594</v>
      </c>
      <c r="B26" s="483">
        <v>421848</v>
      </c>
      <c r="C26" s="20" t="s">
        <v>17</v>
      </c>
      <c r="D26" s="21" t="s">
        <v>5</v>
      </c>
      <c r="E26" s="22">
        <v>20326523</v>
      </c>
      <c r="F26" s="22"/>
      <c r="G26" s="22"/>
      <c r="H26" s="28">
        <v>276</v>
      </c>
      <c r="I26" s="23">
        <f>H26*12/100</f>
        <v>33.119999999999997</v>
      </c>
      <c r="J26" s="24">
        <v>33.119999999999997</v>
      </c>
      <c r="K26" t="s">
        <v>76</v>
      </c>
    </row>
    <row r="27" spans="1:11">
      <c r="A27" s="45" t="s">
        <v>594</v>
      </c>
      <c r="B27" s="480">
        <v>157437</v>
      </c>
      <c r="C27" s="50" t="s">
        <v>20</v>
      </c>
      <c r="D27" s="51" t="s">
        <v>3</v>
      </c>
      <c r="E27" s="52">
        <v>20327718</v>
      </c>
      <c r="F27" s="52"/>
      <c r="G27" s="52"/>
      <c r="H27" s="52">
        <v>1204</v>
      </c>
      <c r="I27" s="53">
        <f>(800*6/100)+(404*7/100)</f>
        <v>76.28</v>
      </c>
      <c r="J27" s="54">
        <v>76.28</v>
      </c>
      <c r="K27" t="s">
        <v>77</v>
      </c>
    </row>
    <row r="28" spans="1:11">
      <c r="A28" s="45" t="s">
        <v>594</v>
      </c>
      <c r="B28" s="480">
        <v>773696</v>
      </c>
      <c r="C28" s="20" t="s">
        <v>21</v>
      </c>
      <c r="D28" s="21" t="s">
        <v>106</v>
      </c>
      <c r="E28" s="22">
        <v>20281815</v>
      </c>
      <c r="F28" s="22"/>
      <c r="G28" s="22"/>
      <c r="H28" s="22">
        <v>185</v>
      </c>
      <c r="I28" s="23">
        <f>(H28*12/100)*0.5</f>
        <v>11.1</v>
      </c>
      <c r="J28" s="24">
        <v>11.1</v>
      </c>
      <c r="K28" t="s">
        <v>22</v>
      </c>
    </row>
    <row r="29" spans="1:11">
      <c r="A29" s="45" t="s">
        <v>594</v>
      </c>
      <c r="B29" s="481">
        <v>262680</v>
      </c>
      <c r="C29" s="20" t="s">
        <v>23</v>
      </c>
      <c r="D29" s="21" t="s">
        <v>24</v>
      </c>
      <c r="E29" s="22">
        <v>61016131</v>
      </c>
      <c r="F29" s="22"/>
      <c r="G29" s="22"/>
      <c r="H29" s="22">
        <v>145.08000000000001</v>
      </c>
      <c r="I29" s="23">
        <f>((H29/12)*3.5)*0.6</f>
        <v>25.389000000000003</v>
      </c>
      <c r="J29" s="24">
        <v>25.389000000000003</v>
      </c>
      <c r="K29" t="s">
        <v>63</v>
      </c>
    </row>
    <row r="30" spans="1:11" s="6" customFormat="1">
      <c r="A30" s="45" t="s">
        <v>594</v>
      </c>
      <c r="B30" s="480">
        <v>281857</v>
      </c>
      <c r="C30" s="26" t="s">
        <v>25</v>
      </c>
      <c r="D30" s="27" t="s">
        <v>51</v>
      </c>
      <c r="E30" s="28">
        <v>20326702</v>
      </c>
      <c r="F30" s="28"/>
      <c r="G30" s="28"/>
      <c r="H30" s="28">
        <v>1795</v>
      </c>
      <c r="I30" s="29">
        <f>H30*12/100</f>
        <v>215.4</v>
      </c>
      <c r="J30" s="30">
        <v>215.4</v>
      </c>
      <c r="K30" s="6" t="s">
        <v>55</v>
      </c>
    </row>
    <row r="31" spans="1:11">
      <c r="A31" s="45" t="s">
        <v>594</v>
      </c>
      <c r="B31" s="483">
        <v>820795</v>
      </c>
      <c r="C31" s="20" t="s">
        <v>26</v>
      </c>
      <c r="D31" s="21" t="s">
        <v>8</v>
      </c>
      <c r="E31" s="22" t="s">
        <v>78</v>
      </c>
      <c r="F31" s="22"/>
      <c r="G31" s="22"/>
      <c r="H31" s="22">
        <v>20000</v>
      </c>
      <c r="I31" s="23">
        <f>(H31*0.7/100)*0.6</f>
        <v>84</v>
      </c>
      <c r="J31" s="24">
        <v>84</v>
      </c>
      <c r="K31" t="s">
        <v>13</v>
      </c>
    </row>
    <row r="32" spans="1:11">
      <c r="A32" s="45" t="s">
        <v>594</v>
      </c>
      <c r="B32" s="483">
        <v>820795</v>
      </c>
      <c r="C32" s="20" t="s">
        <v>26</v>
      </c>
      <c r="D32" s="21" t="s">
        <v>8</v>
      </c>
      <c r="E32" s="22" t="s">
        <v>79</v>
      </c>
      <c r="F32" s="22"/>
      <c r="G32" s="22"/>
      <c r="H32" s="22">
        <v>20000</v>
      </c>
      <c r="I32" s="23">
        <f>(H32*0.7/100)*0.6</f>
        <v>84</v>
      </c>
      <c r="J32" s="24">
        <v>84</v>
      </c>
      <c r="K32" t="s">
        <v>13</v>
      </c>
    </row>
    <row r="33" spans="1:11">
      <c r="A33" s="45" t="s">
        <v>594</v>
      </c>
      <c r="B33" s="483">
        <v>820795</v>
      </c>
      <c r="C33" s="20" t="s">
        <v>26</v>
      </c>
      <c r="D33" s="21" t="s">
        <v>8</v>
      </c>
      <c r="E33" s="22" t="s">
        <v>80</v>
      </c>
      <c r="F33" s="22"/>
      <c r="G33" s="22"/>
      <c r="H33" s="22">
        <v>20000</v>
      </c>
      <c r="I33" s="23">
        <f>(H33*0.7/100)*0.6</f>
        <v>84</v>
      </c>
      <c r="J33" s="24">
        <v>84</v>
      </c>
      <c r="K33" t="s">
        <v>13</v>
      </c>
    </row>
    <row r="34" spans="1:11">
      <c r="A34" s="45" t="s">
        <v>594</v>
      </c>
      <c r="B34" s="484">
        <v>282063</v>
      </c>
      <c r="C34" s="20" t="s">
        <v>35</v>
      </c>
      <c r="D34" s="22" t="s">
        <v>3</v>
      </c>
      <c r="E34" s="22">
        <v>20326604</v>
      </c>
      <c r="F34" s="22"/>
      <c r="G34" s="22"/>
      <c r="H34" s="22">
        <v>1878</v>
      </c>
      <c r="I34" s="23">
        <f>(800*6/100)+(800*7/100)+(278*8/100)</f>
        <v>126.24</v>
      </c>
      <c r="J34" s="24">
        <v>126.24</v>
      </c>
      <c r="K34" t="s">
        <v>43</v>
      </c>
    </row>
    <row r="35" spans="1:11">
      <c r="A35" s="45" t="s">
        <v>595</v>
      </c>
      <c r="B35" s="481">
        <v>930785</v>
      </c>
      <c r="C35" s="20" t="s">
        <v>36</v>
      </c>
      <c r="D35" s="22" t="s">
        <v>3</v>
      </c>
      <c r="E35" s="22">
        <v>20330127</v>
      </c>
      <c r="F35" s="22"/>
      <c r="G35" s="22"/>
      <c r="H35" s="22">
        <v>719.83</v>
      </c>
      <c r="I35" s="23">
        <f>H35*6/100</f>
        <v>43.189800000000005</v>
      </c>
      <c r="J35" s="24">
        <v>43.189800000000005</v>
      </c>
      <c r="K35" t="s">
        <v>49</v>
      </c>
    </row>
    <row r="36" spans="1:11">
      <c r="A36" s="45" t="s">
        <v>595</v>
      </c>
      <c r="B36" s="481">
        <v>930785</v>
      </c>
      <c r="C36" s="20" t="s">
        <v>36</v>
      </c>
      <c r="D36" s="21" t="s">
        <v>8</v>
      </c>
      <c r="E36" s="22" t="s">
        <v>65</v>
      </c>
      <c r="F36" s="22"/>
      <c r="G36" s="22"/>
      <c r="H36" s="22">
        <v>42000</v>
      </c>
      <c r="I36" s="23">
        <f>(H36*0.7/100)*0.6</f>
        <v>176.39999999999995</v>
      </c>
      <c r="J36" s="24">
        <v>176.39999999999995</v>
      </c>
      <c r="K36" t="s">
        <v>46</v>
      </c>
    </row>
    <row r="37" spans="1:11" s="6" customFormat="1">
      <c r="A37" s="45" t="s">
        <v>595</v>
      </c>
      <c r="B37" s="480">
        <v>755058</v>
      </c>
      <c r="C37" s="20" t="s">
        <v>107</v>
      </c>
      <c r="D37" s="27" t="s">
        <v>69</v>
      </c>
      <c r="E37" s="28">
        <v>441384</v>
      </c>
      <c r="F37" s="28"/>
      <c r="G37" s="28"/>
      <c r="H37" s="28">
        <v>25000</v>
      </c>
      <c r="I37" s="29">
        <f>(H37*7.5/100)*60/100</f>
        <v>1125</v>
      </c>
      <c r="J37" s="30">
        <v>1125</v>
      </c>
      <c r="K37" s="6" t="s">
        <v>66</v>
      </c>
    </row>
    <row r="38" spans="1:11">
      <c r="A38" s="45" t="s">
        <v>595</v>
      </c>
      <c r="B38" s="483">
        <v>849394</v>
      </c>
      <c r="C38" s="20" t="s">
        <v>108</v>
      </c>
      <c r="D38" s="21" t="s">
        <v>24</v>
      </c>
      <c r="E38" s="22">
        <v>61000963</v>
      </c>
      <c r="F38" s="22"/>
      <c r="G38" s="22"/>
      <c r="H38" s="22">
        <v>747.36</v>
      </c>
      <c r="I38" s="23">
        <f>((H38/12)*3.5)*0.6</f>
        <v>130.78800000000001</v>
      </c>
      <c r="J38" s="24">
        <v>130.84049999999999</v>
      </c>
      <c r="K38" s="5" t="s">
        <v>45</v>
      </c>
    </row>
    <row r="39" spans="1:11">
      <c r="A39" s="45" t="s">
        <v>595</v>
      </c>
      <c r="B39" s="480">
        <v>862575</v>
      </c>
      <c r="C39" s="20" t="s">
        <v>37</v>
      </c>
      <c r="D39" s="32" t="s">
        <v>67</v>
      </c>
      <c r="E39" s="22">
        <v>20330635</v>
      </c>
      <c r="F39" s="22"/>
      <c r="G39" s="22"/>
      <c r="H39" s="22">
        <v>253.63</v>
      </c>
      <c r="I39" s="23">
        <f>H39*12/100</f>
        <v>30.435600000000001</v>
      </c>
      <c r="J39" s="24">
        <v>30.435600000000001</v>
      </c>
      <c r="K39" t="s">
        <v>128</v>
      </c>
    </row>
    <row r="40" spans="1:11">
      <c r="A40" s="45" t="s">
        <v>595</v>
      </c>
      <c r="B40" s="480">
        <v>882269</v>
      </c>
      <c r="C40" s="20" t="s">
        <v>38</v>
      </c>
      <c r="D40" s="27" t="s">
        <v>5</v>
      </c>
      <c r="E40" s="22">
        <v>20330186</v>
      </c>
      <c r="F40" s="22"/>
      <c r="G40" s="22"/>
      <c r="H40" s="22">
        <v>305.47000000000003</v>
      </c>
      <c r="I40" s="23">
        <f>H40*12/100</f>
        <v>36.656400000000005</v>
      </c>
      <c r="J40" s="24">
        <v>49.96200000000001</v>
      </c>
      <c r="K40" s="6" t="s">
        <v>68</v>
      </c>
    </row>
    <row r="41" spans="1:11">
      <c r="A41" s="45" t="s">
        <v>595</v>
      </c>
      <c r="B41" s="480">
        <v>882269</v>
      </c>
      <c r="C41" s="20" t="s">
        <v>38</v>
      </c>
      <c r="D41" s="27" t="s">
        <v>62</v>
      </c>
      <c r="E41" s="22">
        <v>20330187</v>
      </c>
      <c r="F41" s="22"/>
      <c r="G41" s="22"/>
      <c r="H41" s="22">
        <v>110.88</v>
      </c>
      <c r="I41" s="23">
        <f>H41*15/100</f>
        <v>16.631999999999998</v>
      </c>
      <c r="J41" s="24">
        <v>16.631999999999998</v>
      </c>
      <c r="K41" t="s">
        <v>76</v>
      </c>
    </row>
    <row r="42" spans="1:11" s="3" customFormat="1">
      <c r="A42" s="45" t="s">
        <v>595</v>
      </c>
      <c r="B42" s="480">
        <v>703239</v>
      </c>
      <c r="C42" s="36" t="s">
        <v>39</v>
      </c>
      <c r="D42" s="32" t="s">
        <v>3</v>
      </c>
      <c r="E42" s="25">
        <v>20330386</v>
      </c>
      <c r="F42" s="25"/>
      <c r="G42" s="25"/>
      <c r="H42" s="25">
        <v>285</v>
      </c>
      <c r="I42" s="37">
        <f>H42*6/100</f>
        <v>17.100000000000001</v>
      </c>
      <c r="J42" s="38">
        <v>17.100000000000001</v>
      </c>
      <c r="K42" s="3" t="s">
        <v>47</v>
      </c>
    </row>
    <row r="43" spans="1:11" s="6" customFormat="1">
      <c r="A43" s="45" t="s">
        <v>595</v>
      </c>
      <c r="B43" s="485">
        <v>880049</v>
      </c>
      <c r="C43" s="26" t="s">
        <v>60</v>
      </c>
      <c r="D43" s="27" t="s">
        <v>56</v>
      </c>
      <c r="E43" s="28">
        <v>441356</v>
      </c>
      <c r="F43" s="28"/>
      <c r="G43" s="28">
        <v>2039</v>
      </c>
      <c r="H43" s="28">
        <v>720</v>
      </c>
      <c r="I43" s="29">
        <f>(720*23*0.02)*0.6</f>
        <v>198.72</v>
      </c>
      <c r="J43" s="30">
        <v>198.72</v>
      </c>
      <c r="K43" s="6" t="s">
        <v>61</v>
      </c>
    </row>
    <row r="44" spans="1:11">
      <c r="A44" s="45" t="s">
        <v>595</v>
      </c>
      <c r="B44" s="483">
        <v>465040</v>
      </c>
      <c r="C44" s="20" t="s">
        <v>40</v>
      </c>
      <c r="D44" s="21" t="s">
        <v>3</v>
      </c>
      <c r="E44" s="22">
        <v>20332102</v>
      </c>
      <c r="F44" s="22"/>
      <c r="G44" s="22"/>
      <c r="H44" s="22">
        <v>1055</v>
      </c>
      <c r="I44" s="23">
        <f>(800*6/100)+(255*7/100)</f>
        <v>65.849999999999994</v>
      </c>
      <c r="J44" s="24">
        <v>65.849999999999994</v>
      </c>
      <c r="K44" s="5" t="s">
        <v>48</v>
      </c>
    </row>
    <row r="45" spans="1:11">
      <c r="A45" s="45" t="s">
        <v>595</v>
      </c>
      <c r="B45" s="483">
        <v>465040</v>
      </c>
      <c r="C45" s="20" t="s">
        <v>40</v>
      </c>
      <c r="D45" s="21" t="s">
        <v>3</v>
      </c>
      <c r="E45" s="22">
        <v>20332158</v>
      </c>
      <c r="F45" s="22"/>
      <c r="G45" s="22"/>
      <c r="H45" s="22">
        <v>1055</v>
      </c>
      <c r="I45" s="23">
        <f>(800*6/100)+(255*7/100)</f>
        <v>65.849999999999994</v>
      </c>
      <c r="J45" s="24">
        <v>65.849999999999994</v>
      </c>
      <c r="K45" s="5" t="s">
        <v>48</v>
      </c>
    </row>
    <row r="46" spans="1:11" s="4" customFormat="1">
      <c r="A46" s="47" t="s">
        <v>596</v>
      </c>
      <c r="B46" s="486">
        <v>773729</v>
      </c>
      <c r="C46" s="36" t="s">
        <v>27</v>
      </c>
      <c r="D46" s="32" t="s">
        <v>3</v>
      </c>
      <c r="E46" s="25">
        <v>20335402</v>
      </c>
      <c r="F46" s="25"/>
      <c r="G46" s="25"/>
      <c r="H46" s="25">
        <v>2206.29</v>
      </c>
      <c r="I46" s="37">
        <f>(800*6/100)+(800*7/100)+(606.29*8/100)</f>
        <v>152.50319999999999</v>
      </c>
      <c r="J46" s="59">
        <v>152.47999999999999</v>
      </c>
      <c r="K46" s="4" t="s">
        <v>165</v>
      </c>
    </row>
    <row r="47" spans="1:11" s="4" customFormat="1">
      <c r="A47" s="47" t="s">
        <v>596</v>
      </c>
      <c r="B47" s="486">
        <v>773729</v>
      </c>
      <c r="C47" s="36" t="s">
        <v>27</v>
      </c>
      <c r="D47" s="21" t="s">
        <v>5</v>
      </c>
      <c r="E47" s="25">
        <v>20335405</v>
      </c>
      <c r="F47" s="25"/>
      <c r="G47" s="25"/>
      <c r="H47" s="25">
        <v>219.35</v>
      </c>
      <c r="I47" s="37">
        <f>H47*12/100</f>
        <v>26.321999999999999</v>
      </c>
      <c r="J47" s="38">
        <v>26.321999999999999</v>
      </c>
      <c r="K47" t="s">
        <v>6</v>
      </c>
    </row>
    <row r="48" spans="1:11" s="4" customFormat="1">
      <c r="A48" s="48" t="s">
        <v>596</v>
      </c>
      <c r="B48" s="486">
        <v>773729</v>
      </c>
      <c r="C48" s="36" t="s">
        <v>27</v>
      </c>
      <c r="D48" s="27" t="s">
        <v>62</v>
      </c>
      <c r="E48" s="25">
        <v>20335406</v>
      </c>
      <c r="F48" s="25"/>
      <c r="G48" s="25"/>
      <c r="H48" s="25">
        <v>110.88</v>
      </c>
      <c r="I48" s="37">
        <f>H48*15/100</f>
        <v>16.631999999999998</v>
      </c>
      <c r="J48" s="38">
        <v>16.631999999999998</v>
      </c>
      <c r="K48" t="s">
        <v>76</v>
      </c>
    </row>
    <row r="49" spans="1:12" s="4" customFormat="1">
      <c r="A49" s="48" t="s">
        <v>596</v>
      </c>
      <c r="B49" s="486">
        <v>773729</v>
      </c>
      <c r="C49" s="36" t="s">
        <v>27</v>
      </c>
      <c r="D49" s="27" t="s">
        <v>62</v>
      </c>
      <c r="E49" s="25">
        <v>20335407</v>
      </c>
      <c r="F49" s="25"/>
      <c r="G49" s="25"/>
      <c r="H49" s="25">
        <v>172.34</v>
      </c>
      <c r="I49" s="37">
        <f>H49*15/100</f>
        <v>25.850999999999999</v>
      </c>
      <c r="J49" s="38">
        <v>25.850999999999999</v>
      </c>
      <c r="K49" t="s">
        <v>82</v>
      </c>
    </row>
    <row r="50" spans="1:12">
      <c r="A50" s="48" t="s">
        <v>596</v>
      </c>
      <c r="B50" s="485">
        <v>690308</v>
      </c>
      <c r="C50" s="20" t="s">
        <v>109</v>
      </c>
      <c r="D50" s="27" t="s">
        <v>3</v>
      </c>
      <c r="E50" s="22">
        <v>20332459</v>
      </c>
      <c r="F50" s="22"/>
      <c r="G50" s="22"/>
      <c r="H50" s="22">
        <v>939.84</v>
      </c>
      <c r="I50" s="23">
        <f>(800*6/100)+(139.84*7/100)</f>
        <v>57.788800000000002</v>
      </c>
      <c r="J50" s="24">
        <v>60.53</v>
      </c>
      <c r="K50" t="s">
        <v>83</v>
      </c>
    </row>
    <row r="51" spans="1:12" s="6" customFormat="1">
      <c r="A51" s="48" t="s">
        <v>596</v>
      </c>
      <c r="B51" s="480">
        <v>773696</v>
      </c>
      <c r="C51" s="26" t="s">
        <v>28</v>
      </c>
      <c r="D51" s="27" t="s">
        <v>56</v>
      </c>
      <c r="E51" s="28">
        <v>441443</v>
      </c>
      <c r="F51" s="28"/>
      <c r="G51" s="28">
        <v>2026</v>
      </c>
      <c r="H51" s="28">
        <v>2600</v>
      </c>
      <c r="I51" s="29">
        <f>(2600*10*0.02)*0.6</f>
        <v>312</v>
      </c>
      <c r="J51" s="30">
        <v>312</v>
      </c>
      <c r="K51" s="6" t="s">
        <v>57</v>
      </c>
    </row>
    <row r="52" spans="1:12" s="6" customFormat="1">
      <c r="A52" s="48" t="s">
        <v>596</v>
      </c>
      <c r="B52" s="480">
        <v>773696</v>
      </c>
      <c r="C52" s="26" t="s">
        <v>28</v>
      </c>
      <c r="D52" s="21" t="s">
        <v>3</v>
      </c>
      <c r="E52" s="28">
        <v>20332892</v>
      </c>
      <c r="F52" s="28"/>
      <c r="G52" s="28"/>
      <c r="H52" s="28">
        <v>845.59</v>
      </c>
      <c r="I52" s="29">
        <f>H52*12/100</f>
        <v>101.4708</v>
      </c>
      <c r="J52" s="30">
        <v>101.4708</v>
      </c>
      <c r="K52" t="s">
        <v>84</v>
      </c>
    </row>
    <row r="53" spans="1:12">
      <c r="A53" s="48" t="s">
        <v>596</v>
      </c>
      <c r="B53" s="483">
        <v>607388</v>
      </c>
      <c r="C53" s="20" t="s">
        <v>64</v>
      </c>
      <c r="D53" s="22" t="s">
        <v>3</v>
      </c>
      <c r="E53" s="22">
        <v>20057959</v>
      </c>
      <c r="F53" s="22"/>
      <c r="G53" s="22"/>
      <c r="H53" s="22">
        <v>1729</v>
      </c>
      <c r="I53" s="23">
        <f>(800*6/100)+(800*7/100)+(129*8/100)</f>
        <v>114.32</v>
      </c>
      <c r="J53" s="24">
        <v>114.32</v>
      </c>
      <c r="K53" t="s">
        <v>41</v>
      </c>
    </row>
    <row r="54" spans="1:12">
      <c r="A54" s="48" t="s">
        <v>596</v>
      </c>
      <c r="B54" s="483">
        <v>607388</v>
      </c>
      <c r="C54" s="20" t="s">
        <v>64</v>
      </c>
      <c r="D54" s="27" t="s">
        <v>89</v>
      </c>
      <c r="E54" s="22">
        <v>20330635</v>
      </c>
      <c r="F54" s="22"/>
      <c r="G54" s="22"/>
      <c r="H54" s="22">
        <v>483</v>
      </c>
      <c r="I54" s="23">
        <f>H54*6/100*0.5</f>
        <v>14.49</v>
      </c>
      <c r="J54" s="24">
        <v>14.49</v>
      </c>
      <c r="K54" t="s">
        <v>88</v>
      </c>
    </row>
    <row r="55" spans="1:12">
      <c r="A55" s="48" t="s">
        <v>596</v>
      </c>
      <c r="B55" s="480">
        <v>848696</v>
      </c>
      <c r="C55" s="50" t="s">
        <v>593</v>
      </c>
      <c r="D55" s="51" t="s">
        <v>24</v>
      </c>
      <c r="E55" s="52">
        <v>61016707</v>
      </c>
      <c r="F55" s="52"/>
      <c r="G55" s="52"/>
      <c r="H55" s="52">
        <f>137.83+291.73+928.99+905.73</f>
        <v>2264.2800000000002</v>
      </c>
      <c r="I55" s="53">
        <f>((H55/12)*3.5)*0.6</f>
        <v>396.24900000000002</v>
      </c>
      <c r="J55" s="54">
        <v>411.94999999999993</v>
      </c>
      <c r="K55" t="s">
        <v>85</v>
      </c>
    </row>
    <row r="56" spans="1:12" s="4" customFormat="1" ht="30">
      <c r="A56" s="48" t="s">
        <v>596</v>
      </c>
      <c r="B56" s="487">
        <v>658932</v>
      </c>
      <c r="C56" s="20" t="s">
        <v>29</v>
      </c>
      <c r="D56" s="39" t="s">
        <v>59</v>
      </c>
      <c r="E56" s="22">
        <v>10077930</v>
      </c>
      <c r="F56" s="22"/>
      <c r="G56" s="22"/>
      <c r="H56" s="22">
        <v>110.88</v>
      </c>
      <c r="I56" s="23">
        <f>H56*15/100</f>
        <v>16.631999999999998</v>
      </c>
      <c r="J56" s="24">
        <v>16.631999999999998</v>
      </c>
      <c r="K56" s="4" t="s">
        <v>58</v>
      </c>
    </row>
    <row r="57" spans="1:12" s="3" customFormat="1" ht="30">
      <c r="A57" s="49" t="s">
        <v>596</v>
      </c>
      <c r="B57" s="487">
        <v>658932</v>
      </c>
      <c r="C57" s="36" t="s">
        <v>29</v>
      </c>
      <c r="D57" s="40" t="s">
        <v>86</v>
      </c>
      <c r="E57" s="25">
        <v>441526</v>
      </c>
      <c r="F57" s="25"/>
      <c r="G57" s="25">
        <v>2031</v>
      </c>
      <c r="H57" s="25">
        <v>720</v>
      </c>
      <c r="I57" s="37">
        <f>(H57*15*0.027)*0.6</f>
        <v>174.96</v>
      </c>
      <c r="J57" s="38">
        <v>174.96</v>
      </c>
    </row>
    <row r="58" spans="1:12">
      <c r="A58" s="48" t="s">
        <v>596</v>
      </c>
      <c r="B58" s="485">
        <v>294899</v>
      </c>
      <c r="C58" s="36" t="s">
        <v>30</v>
      </c>
      <c r="D58" s="21" t="s">
        <v>24</v>
      </c>
      <c r="E58" s="22">
        <v>61016692</v>
      </c>
      <c r="F58" s="22"/>
      <c r="G58" s="25"/>
      <c r="H58" s="25">
        <v>565.55999999999995</v>
      </c>
      <c r="I58" s="37">
        <f>((H58/12)*3.5)*0.6</f>
        <v>98.972999999999985</v>
      </c>
      <c r="J58" s="38">
        <v>98.972999999999985</v>
      </c>
      <c r="K58" s="5" t="s">
        <v>44</v>
      </c>
    </row>
    <row r="59" spans="1:12">
      <c r="A59" s="48" t="s">
        <v>596</v>
      </c>
      <c r="B59" s="485">
        <v>793853</v>
      </c>
      <c r="C59" s="20" t="s">
        <v>514</v>
      </c>
      <c r="D59" s="21" t="s">
        <v>24</v>
      </c>
      <c r="E59" s="22">
        <v>61106432</v>
      </c>
      <c r="F59" s="22"/>
      <c r="G59" s="22"/>
      <c r="H59" s="22">
        <v>666</v>
      </c>
      <c r="I59" s="23">
        <f>((H59/12)*3.5)*0.6</f>
        <v>116.55</v>
      </c>
      <c r="J59" s="24">
        <v>116.55</v>
      </c>
      <c r="K59" t="s">
        <v>87</v>
      </c>
    </row>
    <row r="60" spans="1:12" s="6" customFormat="1">
      <c r="A60" s="48" t="s">
        <v>596</v>
      </c>
      <c r="B60" s="480">
        <v>876066</v>
      </c>
      <c r="C60" s="36" t="s">
        <v>31</v>
      </c>
      <c r="D60" s="32" t="s">
        <v>24</v>
      </c>
      <c r="E60" s="32">
        <v>61016793</v>
      </c>
      <c r="F60" s="32"/>
      <c r="G60" s="25"/>
      <c r="H60" s="25">
        <v>3032</v>
      </c>
      <c r="I60" s="37">
        <f>((H60/12)*3.5)*0.6</f>
        <v>530.59999999999991</v>
      </c>
      <c r="J60" s="38">
        <v>530.59999999999991</v>
      </c>
      <c r="K60" t="s">
        <v>91</v>
      </c>
    </row>
    <row r="61" spans="1:12" s="3" customFormat="1">
      <c r="A61" s="48" t="s">
        <v>596</v>
      </c>
      <c r="B61" s="485">
        <v>294392</v>
      </c>
      <c r="C61" s="26" t="s">
        <v>32</v>
      </c>
      <c r="D61" s="28" t="s">
        <v>90</v>
      </c>
      <c r="E61" s="28">
        <v>20333872</v>
      </c>
      <c r="F61" s="28"/>
      <c r="G61" s="28"/>
      <c r="H61" s="28">
        <v>151.30000000000001</v>
      </c>
      <c r="I61" s="29">
        <f>H61*8/100</f>
        <v>12.104000000000001</v>
      </c>
      <c r="J61" s="30">
        <v>19.2</v>
      </c>
      <c r="K61" s="3" t="s">
        <v>42</v>
      </c>
    </row>
    <row r="62" spans="1:12">
      <c r="A62" s="48" t="s">
        <v>596</v>
      </c>
      <c r="B62" s="483">
        <v>294775</v>
      </c>
      <c r="C62" s="36" t="s">
        <v>33</v>
      </c>
      <c r="D62" s="25" t="s">
        <v>3</v>
      </c>
      <c r="E62" s="25">
        <v>20334620</v>
      </c>
      <c r="F62" s="25"/>
      <c r="G62" s="25"/>
      <c r="H62" s="25">
        <v>1470.9</v>
      </c>
      <c r="I62" s="37">
        <f>(800*6/100)+(670.9*7/100)</f>
        <v>94.962999999999994</v>
      </c>
      <c r="J62" s="38">
        <v>94.962999999999994</v>
      </c>
      <c r="K62" s="5" t="s">
        <v>110</v>
      </c>
      <c r="L62" s="3"/>
    </row>
    <row r="63" spans="1:12">
      <c r="A63" s="437" t="s">
        <v>596</v>
      </c>
      <c r="B63" s="485">
        <v>294538</v>
      </c>
      <c r="C63" s="20" t="s">
        <v>34</v>
      </c>
      <c r="D63" s="22" t="s">
        <v>3</v>
      </c>
      <c r="E63" s="22">
        <v>20334005</v>
      </c>
      <c r="F63" s="22"/>
      <c r="G63" s="22"/>
      <c r="H63" s="22">
        <v>1120</v>
      </c>
      <c r="I63" s="23">
        <f>(800*6/100)+(320*7/100)</f>
        <v>70.400000000000006</v>
      </c>
      <c r="J63" s="24">
        <v>70.400000000000006</v>
      </c>
      <c r="K63" s="5"/>
    </row>
    <row r="64" spans="1:12" ht="15.75" thickBot="1">
      <c r="A64" s="55"/>
      <c r="B64" s="488"/>
      <c r="C64" s="41" t="s">
        <v>111</v>
      </c>
      <c r="D64" s="42"/>
      <c r="E64" s="42"/>
      <c r="F64" s="42"/>
      <c r="G64" s="42"/>
      <c r="H64" s="42"/>
      <c r="I64" s="43"/>
      <c r="J64" s="2" t="e">
        <f>#REF!/3</f>
        <v>#REF!</v>
      </c>
      <c r="K64" s="5"/>
    </row>
  </sheetData>
  <mergeCells count="1">
    <mergeCell ref="C1:K1"/>
  </mergeCells>
  <phoneticPr fontId="1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 xml:space="preserve">&amp;L&amp;8&amp;Z&amp;F&amp;C&amp;P&amp;RModfié le &amp;D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L65"/>
  <sheetViews>
    <sheetView topLeftCell="A7" zoomScaleNormal="100" workbookViewId="0">
      <selection activeCell="B48" sqref="B48"/>
    </sheetView>
    <sheetView workbookViewId="1"/>
    <sheetView workbookViewId="2"/>
  </sheetViews>
  <sheetFormatPr baseColWidth="10" defaultRowHeight="15"/>
  <cols>
    <col min="1" max="2" width="16" style="78" customWidth="1"/>
    <col min="3" max="3" width="25.5703125" style="7" customWidth="1"/>
    <col min="4" max="4" width="17.7109375" style="1" customWidth="1"/>
    <col min="5" max="5" width="24.7109375" style="1" customWidth="1"/>
    <col min="6" max="6" width="4.5703125" style="1" customWidth="1"/>
    <col min="7" max="7" width="9.28515625" style="1" customWidth="1"/>
    <col min="8" max="8" width="13.28515625" style="2" customWidth="1"/>
    <col min="9" max="10" width="12.42578125" style="2" customWidth="1"/>
    <col min="11" max="11" width="34.28515625" hidden="1" customWidth="1"/>
    <col min="12" max="12" width="11.5703125" customWidth="1"/>
  </cols>
  <sheetData>
    <row r="1" spans="1:11" ht="30" customHeight="1">
      <c r="C1" s="56"/>
      <c r="D1" s="57"/>
      <c r="E1" s="57"/>
      <c r="F1" s="477"/>
      <c r="G1" s="57"/>
      <c r="H1" s="58"/>
      <c r="I1" s="58"/>
      <c r="J1" s="58"/>
      <c r="K1" s="57"/>
    </row>
    <row r="2" spans="1:11" s="10" customFormat="1" ht="18.75" customHeight="1">
      <c r="A2" s="78"/>
      <c r="B2" s="78"/>
      <c r="C2" s="10" t="s">
        <v>229</v>
      </c>
      <c r="J2" s="10">
        <f>3*120</f>
        <v>360</v>
      </c>
    </row>
    <row r="3" spans="1:11" s="10" customFormat="1" ht="18.75" customHeight="1">
      <c r="A3" s="78"/>
      <c r="B3" s="78"/>
    </row>
    <row r="4" spans="1:11">
      <c r="C4" s="7" t="s">
        <v>189</v>
      </c>
      <c r="D4" s="9"/>
      <c r="E4" s="9" t="s">
        <v>190</v>
      </c>
      <c r="F4" s="9"/>
      <c r="G4" s="9" t="s">
        <v>208</v>
      </c>
      <c r="H4" s="10"/>
      <c r="I4" s="10"/>
      <c r="J4" s="10">
        <f>7*80</f>
        <v>560</v>
      </c>
      <c r="K4" s="9"/>
    </row>
    <row r="5" spans="1:11">
      <c r="D5" s="9"/>
      <c r="E5" s="9"/>
      <c r="F5" s="9"/>
      <c r="G5" s="9"/>
      <c r="H5" s="10"/>
      <c r="I5" s="10"/>
      <c r="J5" s="10"/>
      <c r="K5" s="9"/>
    </row>
    <row r="6" spans="1:11">
      <c r="C6" s="7" t="s">
        <v>70</v>
      </c>
      <c r="D6" s="9" t="s">
        <v>113</v>
      </c>
      <c r="E6" s="9"/>
      <c r="F6" s="9"/>
      <c r="G6" s="9"/>
      <c r="H6" s="10">
        <v>4426</v>
      </c>
      <c r="I6" s="10"/>
      <c r="J6" s="10">
        <f>H6*0.35</f>
        <v>1549.1</v>
      </c>
      <c r="K6" s="9"/>
    </row>
    <row r="7" spans="1:11">
      <c r="C7" s="7" t="s">
        <v>70</v>
      </c>
      <c r="D7" s="9" t="s">
        <v>164</v>
      </c>
      <c r="E7" s="9"/>
      <c r="F7" s="9"/>
      <c r="G7" s="9"/>
      <c r="H7" s="10">
        <v>4033</v>
      </c>
      <c r="I7" s="10"/>
      <c r="J7" s="10">
        <f>H7*0.35</f>
        <v>1411.55</v>
      </c>
      <c r="K7" s="9"/>
    </row>
    <row r="8" spans="1:11">
      <c r="C8" s="7" t="s">
        <v>70</v>
      </c>
      <c r="D8" s="9" t="s">
        <v>166</v>
      </c>
      <c r="E8" s="9"/>
      <c r="F8" s="9"/>
      <c r="G8" s="9"/>
      <c r="H8" s="10">
        <v>4017</v>
      </c>
      <c r="I8" s="10"/>
      <c r="J8" s="10">
        <f>H8*0.35</f>
        <v>1405.9499999999998</v>
      </c>
      <c r="K8" s="9"/>
    </row>
    <row r="9" spans="1:11">
      <c r="D9" s="9"/>
      <c r="E9" s="9"/>
      <c r="F9" s="9"/>
      <c r="G9" s="9"/>
      <c r="H9" s="10"/>
      <c r="I9" s="10"/>
      <c r="J9" s="10"/>
      <c r="K9" s="9"/>
    </row>
    <row r="10" spans="1:11">
      <c r="C10" s="7" t="s">
        <v>225</v>
      </c>
      <c r="D10" s="9"/>
      <c r="E10" s="9"/>
      <c r="F10" s="9"/>
      <c r="G10" s="9"/>
      <c r="H10" s="10"/>
      <c r="I10" s="10"/>
      <c r="J10" s="117">
        <f>SUM(J2:J8)</f>
        <v>5286.5999999999995</v>
      </c>
      <c r="K10" s="9"/>
    </row>
    <row r="11" spans="1:11" ht="15.75" thickBot="1">
      <c r="K11" s="11"/>
    </row>
    <row r="12" spans="1:11" ht="30">
      <c r="A12" s="79"/>
      <c r="B12" s="314" t="s">
        <v>412</v>
      </c>
      <c r="C12" s="70" t="s">
        <v>0</v>
      </c>
      <c r="D12" s="16" t="s">
        <v>50</v>
      </c>
      <c r="E12" s="16" t="s">
        <v>11</v>
      </c>
      <c r="F12" s="16" t="s">
        <v>423</v>
      </c>
      <c r="G12" s="16" t="s">
        <v>53</v>
      </c>
      <c r="H12" s="98" t="s">
        <v>74</v>
      </c>
      <c r="I12" s="90" t="s">
        <v>1</v>
      </c>
      <c r="J12" s="19" t="s">
        <v>92</v>
      </c>
    </row>
    <row r="13" spans="1:11">
      <c r="A13" s="80" t="s">
        <v>600</v>
      </c>
      <c r="B13" s="80">
        <v>773729</v>
      </c>
      <c r="C13" s="71" t="s">
        <v>27</v>
      </c>
      <c r="D13" s="21" t="s">
        <v>3</v>
      </c>
      <c r="E13" s="22">
        <v>20338273</v>
      </c>
      <c r="F13" s="22"/>
      <c r="G13" s="22"/>
      <c r="H13" s="24">
        <v>2450.92</v>
      </c>
      <c r="I13" s="91">
        <f>(800*6/100)+(800*7/100)+(850.92*8/100)</f>
        <v>172.0736</v>
      </c>
      <c r="J13" s="102">
        <v>172.0736</v>
      </c>
      <c r="K13" t="s">
        <v>159</v>
      </c>
    </row>
    <row r="14" spans="1:11">
      <c r="A14" s="80" t="s">
        <v>600</v>
      </c>
      <c r="B14" s="80">
        <v>296024</v>
      </c>
      <c r="C14" s="71" t="s">
        <v>114</v>
      </c>
      <c r="D14" s="21" t="s">
        <v>51</v>
      </c>
      <c r="E14" s="22">
        <v>20336097</v>
      </c>
      <c r="F14" s="22"/>
      <c r="G14" s="22"/>
      <c r="H14" s="24">
        <v>473.33</v>
      </c>
      <c r="I14" s="91">
        <f>H14*0.12</f>
        <v>56.799599999999998</v>
      </c>
      <c r="J14" s="24">
        <v>56.799599999999998</v>
      </c>
      <c r="K14" t="s">
        <v>161</v>
      </c>
    </row>
    <row r="15" spans="1:11">
      <c r="A15" s="80" t="s">
        <v>600</v>
      </c>
      <c r="B15" s="80">
        <v>294775</v>
      </c>
      <c r="C15" s="71" t="s">
        <v>115</v>
      </c>
      <c r="D15" s="21" t="s">
        <v>5</v>
      </c>
      <c r="E15" s="22">
        <v>20336579</v>
      </c>
      <c r="F15" s="22"/>
      <c r="G15" s="22"/>
      <c r="H15" s="24">
        <v>566.24</v>
      </c>
      <c r="I15" s="91">
        <f>H15*0.12</f>
        <v>67.948800000000006</v>
      </c>
      <c r="J15" s="24">
        <v>67.948800000000006</v>
      </c>
      <c r="K15" t="s">
        <v>160</v>
      </c>
    </row>
    <row r="16" spans="1:11">
      <c r="A16" s="80" t="s">
        <v>600</v>
      </c>
      <c r="B16" s="80">
        <v>294775</v>
      </c>
      <c r="C16" s="71" t="s">
        <v>115</v>
      </c>
      <c r="D16" s="21" t="s">
        <v>3</v>
      </c>
      <c r="E16" s="22">
        <v>20336583</v>
      </c>
      <c r="F16" s="22"/>
      <c r="G16" s="22"/>
      <c r="H16" s="24">
        <v>867.13</v>
      </c>
      <c r="I16" s="91">
        <f>(800*0.06)+(67.13*0.07)</f>
        <v>52.699100000000001</v>
      </c>
      <c r="J16" s="24">
        <v>52.699100000000001</v>
      </c>
      <c r="K16" t="s">
        <v>147</v>
      </c>
    </row>
    <row r="17" spans="1:11">
      <c r="A17" s="80" t="s">
        <v>600</v>
      </c>
      <c r="B17" s="80">
        <v>310263</v>
      </c>
      <c r="C17" s="71" t="s">
        <v>116</v>
      </c>
      <c r="D17" s="27" t="s">
        <v>62</v>
      </c>
      <c r="E17" s="22">
        <v>10726234</v>
      </c>
      <c r="F17" s="22"/>
      <c r="G17" s="22"/>
      <c r="H17" s="24">
        <v>110</v>
      </c>
      <c r="I17" s="91">
        <f>H17*0.15</f>
        <v>16.5</v>
      </c>
      <c r="J17" s="24">
        <v>16.5</v>
      </c>
      <c r="K17" t="s">
        <v>155</v>
      </c>
    </row>
    <row r="18" spans="1:11" s="62" customFormat="1" ht="30">
      <c r="A18" s="80" t="s">
        <v>600</v>
      </c>
      <c r="B18" s="81">
        <v>722631</v>
      </c>
      <c r="C18" s="72" t="s">
        <v>145</v>
      </c>
      <c r="D18" s="22" t="s">
        <v>51</v>
      </c>
      <c r="E18" s="22">
        <v>20339115</v>
      </c>
      <c r="F18" s="22"/>
      <c r="G18" s="22"/>
      <c r="H18" s="24">
        <v>1004.23</v>
      </c>
      <c r="I18" s="92">
        <f>H18*0.12</f>
        <v>120.5076</v>
      </c>
      <c r="J18" s="24">
        <v>120.5076</v>
      </c>
      <c r="K18" s="62" t="s">
        <v>146</v>
      </c>
    </row>
    <row r="19" spans="1:11">
      <c r="A19" s="80" t="s">
        <v>600</v>
      </c>
      <c r="B19" s="80">
        <v>296948</v>
      </c>
      <c r="C19" s="71" t="s">
        <v>118</v>
      </c>
      <c r="D19" s="21" t="s">
        <v>3</v>
      </c>
      <c r="E19" s="25">
        <v>20336800</v>
      </c>
      <c r="F19" s="25"/>
      <c r="G19" s="22"/>
      <c r="H19" s="24">
        <v>932.5</v>
      </c>
      <c r="I19" s="91">
        <f>(800*0.06)+(132.5*0.07)</f>
        <v>57.274999999999999</v>
      </c>
      <c r="J19" s="24">
        <v>57.274999999999999</v>
      </c>
      <c r="K19" t="s">
        <v>148</v>
      </c>
    </row>
    <row r="20" spans="1:11">
      <c r="A20" s="80" t="s">
        <v>600</v>
      </c>
      <c r="B20" s="80">
        <v>909120</v>
      </c>
      <c r="C20" s="71" t="s">
        <v>117</v>
      </c>
      <c r="D20" s="21" t="s">
        <v>5</v>
      </c>
      <c r="E20" s="28">
        <v>20336946</v>
      </c>
      <c r="F20" s="28"/>
      <c r="G20" s="28"/>
      <c r="H20" s="30">
        <v>817.13</v>
      </c>
      <c r="I20" s="93">
        <f>H20*0.12</f>
        <v>98.055599999999998</v>
      </c>
      <c r="J20" s="30">
        <v>98.055599999999998</v>
      </c>
      <c r="K20" t="s">
        <v>162</v>
      </c>
    </row>
    <row r="21" spans="1:11" s="6" customFormat="1">
      <c r="A21" s="80" t="s">
        <v>600</v>
      </c>
      <c r="B21" s="80">
        <v>909120</v>
      </c>
      <c r="C21" s="71" t="s">
        <v>117</v>
      </c>
      <c r="D21" s="31" t="s">
        <v>3</v>
      </c>
      <c r="E21" s="22">
        <v>20336953</v>
      </c>
      <c r="F21" s="22"/>
      <c r="G21" s="22"/>
      <c r="H21" s="24">
        <v>1035.5</v>
      </c>
      <c r="I21" s="91">
        <f>(800*0.06)+(235.5*0.07)</f>
        <v>64.484999999999999</v>
      </c>
      <c r="J21" s="24">
        <v>64.484999999999999</v>
      </c>
      <c r="K21" t="s">
        <v>149</v>
      </c>
    </row>
    <row r="22" spans="1:11">
      <c r="A22" s="80" t="s">
        <v>600</v>
      </c>
      <c r="B22" s="80">
        <v>896204</v>
      </c>
      <c r="C22" s="71" t="s">
        <v>120</v>
      </c>
      <c r="D22" s="21" t="s">
        <v>144</v>
      </c>
      <c r="E22" s="28">
        <v>20339275</v>
      </c>
      <c r="F22" s="28"/>
      <c r="G22" s="28"/>
      <c r="H22" s="30">
        <v>258.83</v>
      </c>
      <c r="I22" s="76">
        <f>(258.83*0.06)</f>
        <v>15.529799999999998</v>
      </c>
      <c r="J22" s="87">
        <v>15.529799999999998</v>
      </c>
      <c r="K22" t="s">
        <v>150</v>
      </c>
    </row>
    <row r="23" spans="1:11" s="6" customFormat="1">
      <c r="A23" s="80" t="s">
        <v>600</v>
      </c>
      <c r="B23" s="80">
        <v>465040</v>
      </c>
      <c r="C23" s="71" t="s">
        <v>40</v>
      </c>
      <c r="D23" s="21" t="s">
        <v>3</v>
      </c>
      <c r="E23" s="22">
        <v>2033792</v>
      </c>
      <c r="F23" s="22"/>
      <c r="G23" s="22"/>
      <c r="H23" s="24">
        <v>1796.88</v>
      </c>
      <c r="I23" s="122">
        <f>(800*0.06)+(800*0.07)+(196.88*0.8)</f>
        <v>261.50400000000002</v>
      </c>
      <c r="J23" s="24">
        <v>261.50400000000002</v>
      </c>
      <c r="K23" t="s">
        <v>151</v>
      </c>
    </row>
    <row r="24" spans="1:11">
      <c r="A24" s="80" t="s">
        <v>600</v>
      </c>
      <c r="B24" s="80">
        <v>465040</v>
      </c>
      <c r="C24" s="71" t="s">
        <v>40</v>
      </c>
      <c r="D24" s="21" t="s">
        <v>3</v>
      </c>
      <c r="E24" s="22">
        <v>20338410</v>
      </c>
      <c r="F24" s="22"/>
      <c r="G24" s="22"/>
      <c r="H24" s="24">
        <v>974.43</v>
      </c>
      <c r="I24" s="122">
        <f>(800*0.06)+(174.43*0.07)</f>
        <v>60.210100000000004</v>
      </c>
      <c r="J24" s="24">
        <v>60.210100000000004</v>
      </c>
      <c r="K24" t="s">
        <v>152</v>
      </c>
    </row>
    <row r="25" spans="1:11">
      <c r="A25" s="80" t="s">
        <v>600</v>
      </c>
      <c r="B25" s="80">
        <v>123338</v>
      </c>
      <c r="C25" s="71" t="s">
        <v>217</v>
      </c>
      <c r="D25" s="21" t="s">
        <v>89</v>
      </c>
      <c r="E25" s="22">
        <v>566566</v>
      </c>
      <c r="F25" s="22"/>
      <c r="G25" s="22"/>
      <c r="H25" s="30">
        <v>1028.94</v>
      </c>
      <c r="I25" s="91">
        <f>((800*0.06)+(228.94*0.07))*0.5</f>
        <v>32.012900000000002</v>
      </c>
      <c r="J25" s="24">
        <v>32.012900000000002</v>
      </c>
      <c r="K25" t="s">
        <v>153</v>
      </c>
    </row>
    <row r="26" spans="1:11">
      <c r="A26" s="80" t="s">
        <v>600</v>
      </c>
      <c r="B26" s="80">
        <v>123340</v>
      </c>
      <c r="C26" s="71" t="s">
        <v>193</v>
      </c>
      <c r="D26" s="21" t="s">
        <v>89</v>
      </c>
      <c r="E26" s="22">
        <v>353641</v>
      </c>
      <c r="F26" s="22"/>
      <c r="G26" s="22"/>
      <c r="H26" s="30">
        <v>1007.32</v>
      </c>
      <c r="I26" s="76">
        <f>((800*0.06)+(207.32*0.07))*0.5</f>
        <v>31.2562</v>
      </c>
      <c r="J26" s="24">
        <v>31.2562</v>
      </c>
      <c r="K26" t="s">
        <v>154</v>
      </c>
    </row>
    <row r="27" spans="1:11">
      <c r="A27" s="80" t="s">
        <v>600</v>
      </c>
      <c r="B27" s="80">
        <v>123340</v>
      </c>
      <c r="C27" s="71" t="s">
        <v>193</v>
      </c>
      <c r="D27" s="21" t="s">
        <v>218</v>
      </c>
      <c r="E27" s="65">
        <v>10116761</v>
      </c>
      <c r="F27" s="478"/>
      <c r="G27" s="22"/>
      <c r="H27" s="99">
        <v>763.06</v>
      </c>
      <c r="I27" s="94">
        <f>H27*0.12*0.5</f>
        <v>45.783599999999993</v>
      </c>
      <c r="J27" s="94">
        <v>45.783599999999993</v>
      </c>
      <c r="K27" t="s">
        <v>156</v>
      </c>
    </row>
    <row r="28" spans="1:11" s="6" customFormat="1">
      <c r="A28" s="80" t="s">
        <v>600</v>
      </c>
      <c r="B28" s="80">
        <v>842814</v>
      </c>
      <c r="C28" s="71" t="s">
        <v>119</v>
      </c>
      <c r="D28" s="21" t="s">
        <v>8</v>
      </c>
      <c r="E28" s="22" t="s">
        <v>212</v>
      </c>
      <c r="F28" s="22"/>
      <c r="G28" s="28"/>
      <c r="H28" s="30">
        <v>81000</v>
      </c>
      <c r="I28" s="93">
        <f>(H28*0.007)*0.6</f>
        <v>340.2</v>
      </c>
      <c r="J28" s="30">
        <v>340.2</v>
      </c>
      <c r="K28" t="s">
        <v>213</v>
      </c>
    </row>
    <row r="29" spans="1:11">
      <c r="A29" s="80" t="s">
        <v>600</v>
      </c>
      <c r="B29" s="80">
        <v>949962</v>
      </c>
      <c r="C29" s="71" t="s">
        <v>597</v>
      </c>
      <c r="D29" s="21" t="s">
        <v>121</v>
      </c>
      <c r="E29" s="65">
        <v>20339597</v>
      </c>
      <c r="F29" s="478"/>
      <c r="G29" s="22"/>
      <c r="H29" s="24">
        <v>91.7</v>
      </c>
      <c r="I29" s="91">
        <f>H29*0.12</f>
        <v>11.004</v>
      </c>
      <c r="J29" s="24">
        <v>11.004</v>
      </c>
      <c r="K29" t="s">
        <v>157</v>
      </c>
    </row>
    <row r="30" spans="1:11">
      <c r="A30" s="80" t="s">
        <v>600</v>
      </c>
      <c r="B30" s="80">
        <v>298136</v>
      </c>
      <c r="C30" s="71" t="s">
        <v>122</v>
      </c>
      <c r="D30" s="21" t="s">
        <v>121</v>
      </c>
      <c r="E30" s="22">
        <v>20338316</v>
      </c>
      <c r="F30" s="22"/>
      <c r="G30" s="22"/>
      <c r="H30" s="24">
        <v>91.7</v>
      </c>
      <c r="I30" s="91">
        <f>H30*0.12</f>
        <v>11.004</v>
      </c>
      <c r="J30" s="24">
        <v>11.004</v>
      </c>
      <c r="K30" t="s">
        <v>157</v>
      </c>
    </row>
    <row r="31" spans="1:11">
      <c r="A31" s="80" t="s">
        <v>600</v>
      </c>
      <c r="B31" s="80">
        <v>299445</v>
      </c>
      <c r="C31" s="71" t="s">
        <v>123</v>
      </c>
      <c r="D31" s="22" t="s">
        <v>69</v>
      </c>
      <c r="E31" s="22">
        <v>442127</v>
      </c>
      <c r="F31" s="22"/>
      <c r="G31" s="22">
        <v>2046</v>
      </c>
      <c r="H31" s="24">
        <v>531.91999999999996</v>
      </c>
      <c r="I31" s="91">
        <f>(H31*0.075)*0.6</f>
        <v>23.936399999999999</v>
      </c>
      <c r="J31" s="24">
        <v>23.936399999999999</v>
      </c>
      <c r="K31" t="s">
        <v>176</v>
      </c>
    </row>
    <row r="32" spans="1:11">
      <c r="A32" s="80" t="s">
        <v>600</v>
      </c>
      <c r="B32" s="80">
        <v>765719</v>
      </c>
      <c r="C32" s="71" t="s">
        <v>124</v>
      </c>
      <c r="D32" s="27" t="s">
        <v>62</v>
      </c>
      <c r="E32" s="22">
        <v>20310116</v>
      </c>
      <c r="F32" s="22"/>
      <c r="G32" s="22"/>
      <c r="H32" s="24">
        <v>110.88</v>
      </c>
      <c r="I32" s="91">
        <f>H32*0.15</f>
        <v>16.631999999999998</v>
      </c>
      <c r="J32" s="24">
        <f>H32*0.15</f>
        <v>16.631999999999998</v>
      </c>
      <c r="K32" t="s">
        <v>177</v>
      </c>
    </row>
    <row r="33" spans="1:11">
      <c r="A33" s="80" t="s">
        <v>600</v>
      </c>
      <c r="B33" s="80">
        <v>300245</v>
      </c>
      <c r="C33" s="71" t="s">
        <v>125</v>
      </c>
      <c r="D33" s="21" t="s">
        <v>126</v>
      </c>
      <c r="E33" s="22">
        <v>20340503</v>
      </c>
      <c r="F33" s="22"/>
      <c r="G33" s="22"/>
      <c r="H33" s="24">
        <v>166.92</v>
      </c>
      <c r="I33" s="91">
        <f>H33*0.12</f>
        <v>20.030399999999997</v>
      </c>
      <c r="J33" s="24">
        <v>20.030399999999997</v>
      </c>
      <c r="K33" t="s">
        <v>158</v>
      </c>
    </row>
    <row r="34" spans="1:11" s="6" customFormat="1" ht="15.75" thickBot="1">
      <c r="A34" s="80" t="s">
        <v>600</v>
      </c>
      <c r="B34" s="80">
        <v>848696</v>
      </c>
      <c r="C34" s="73" t="s">
        <v>598</v>
      </c>
      <c r="D34" s="51" t="s">
        <v>24</v>
      </c>
      <c r="E34" s="86">
        <v>61016707</v>
      </c>
      <c r="F34" s="86"/>
      <c r="G34" s="86"/>
      <c r="H34" s="87">
        <v>291.73</v>
      </c>
      <c r="I34" s="95">
        <f>(H34/12*3.5)*0.6</f>
        <v>51.052750000000003</v>
      </c>
      <c r="J34" s="87">
        <v>51.052750000000003</v>
      </c>
      <c r="K34" t="s">
        <v>163</v>
      </c>
    </row>
    <row r="35" spans="1:11">
      <c r="A35" s="82" t="s">
        <v>601</v>
      </c>
      <c r="B35" s="80">
        <v>299445</v>
      </c>
      <c r="C35" s="70" t="s">
        <v>123</v>
      </c>
      <c r="D35" s="16" t="s">
        <v>3</v>
      </c>
      <c r="E35" s="16">
        <v>203341836</v>
      </c>
      <c r="F35" s="16"/>
      <c r="G35" s="16"/>
      <c r="H35" s="19">
        <v>639.51</v>
      </c>
      <c r="I35" s="96">
        <f>639.51*0.06</f>
        <v>38.370599999999996</v>
      </c>
      <c r="J35" s="19">
        <v>38.370599999999996</v>
      </c>
      <c r="K35" s="5" t="s">
        <v>191</v>
      </c>
    </row>
    <row r="36" spans="1:11">
      <c r="A36" s="82" t="s">
        <v>601</v>
      </c>
      <c r="B36" s="80">
        <v>299445</v>
      </c>
      <c r="C36" s="71" t="s">
        <v>123</v>
      </c>
      <c r="D36" s="21" t="s">
        <v>121</v>
      </c>
      <c r="E36" s="22">
        <v>20341842</v>
      </c>
      <c r="F36" s="22"/>
      <c r="G36" s="22"/>
      <c r="H36" s="24">
        <v>182.24</v>
      </c>
      <c r="I36" s="91">
        <f>H36*0.12</f>
        <v>21.8688</v>
      </c>
      <c r="J36" s="24">
        <v>21.8688</v>
      </c>
      <c r="K36" s="5" t="s">
        <v>192</v>
      </c>
    </row>
    <row r="37" spans="1:11">
      <c r="A37" s="82" t="s">
        <v>601</v>
      </c>
      <c r="B37" s="80">
        <v>123340</v>
      </c>
      <c r="C37" s="71" t="s">
        <v>193</v>
      </c>
      <c r="D37" s="22" t="s">
        <v>62</v>
      </c>
      <c r="E37" s="22">
        <v>10116761</v>
      </c>
      <c r="F37" s="22"/>
      <c r="G37" s="22"/>
      <c r="H37" s="24">
        <v>110.88</v>
      </c>
      <c r="I37" s="92">
        <f>H37*0.15</f>
        <v>16.631999999999998</v>
      </c>
      <c r="J37" s="24">
        <v>16.631999999999998</v>
      </c>
      <c r="K37" s="5" t="s">
        <v>177</v>
      </c>
    </row>
    <row r="38" spans="1:11">
      <c r="A38" s="82" t="s">
        <v>601</v>
      </c>
      <c r="B38" s="80">
        <v>863855</v>
      </c>
      <c r="C38" s="71" t="s">
        <v>186</v>
      </c>
      <c r="D38" s="21" t="s">
        <v>187</v>
      </c>
      <c r="E38" s="22">
        <v>2020439</v>
      </c>
      <c r="F38" s="22" t="s">
        <v>379</v>
      </c>
      <c r="G38" s="22"/>
      <c r="H38" s="24">
        <v>1124.55</v>
      </c>
      <c r="I38" s="91">
        <f>((800*0.06)+(324.55*0.07))*0.5</f>
        <v>35.359250000000003</v>
      </c>
      <c r="J38" s="24">
        <v>35.359250000000003</v>
      </c>
      <c r="K38" s="75" t="s">
        <v>202</v>
      </c>
    </row>
    <row r="39" spans="1:11">
      <c r="A39" s="82" t="s">
        <v>601</v>
      </c>
      <c r="B39" s="80">
        <v>863855</v>
      </c>
      <c r="C39" s="71" t="s">
        <v>186</v>
      </c>
      <c r="D39" s="22" t="s">
        <v>599</v>
      </c>
      <c r="E39" s="22">
        <v>20199782</v>
      </c>
      <c r="F39" s="22"/>
      <c r="G39" s="22"/>
      <c r="H39" s="101">
        <v>319.55</v>
      </c>
      <c r="I39" s="91">
        <f>H39*0.12*0.5</f>
        <v>19.172999999999998</v>
      </c>
      <c r="J39" s="24">
        <v>19.172999999999998</v>
      </c>
      <c r="K39" s="4" t="s">
        <v>204</v>
      </c>
    </row>
    <row r="40" spans="1:11" s="4" customFormat="1">
      <c r="A40" s="82" t="s">
        <v>601</v>
      </c>
      <c r="B40" s="80">
        <v>863855</v>
      </c>
      <c r="C40" s="71" t="s">
        <v>186</v>
      </c>
      <c r="D40" s="31" t="s">
        <v>228</v>
      </c>
      <c r="E40" s="22">
        <v>20207893</v>
      </c>
      <c r="F40" s="22"/>
      <c r="G40" s="22"/>
      <c r="H40" s="24">
        <v>175.56</v>
      </c>
      <c r="I40" s="91">
        <f>H40*0.12*0.5</f>
        <v>10.5336</v>
      </c>
      <c r="J40" s="24">
        <v>10.5336</v>
      </c>
      <c r="K40" s="4" t="s">
        <v>203</v>
      </c>
    </row>
    <row r="41" spans="1:11" s="4" customFormat="1">
      <c r="A41" s="82" t="s">
        <v>601</v>
      </c>
      <c r="B41" s="80">
        <v>765719</v>
      </c>
      <c r="C41" s="74" t="s">
        <v>124</v>
      </c>
      <c r="D41" s="21" t="s">
        <v>3</v>
      </c>
      <c r="E41" s="25">
        <v>20342513</v>
      </c>
      <c r="F41" s="25"/>
      <c r="G41" s="25"/>
      <c r="H41" s="38">
        <v>1529.32</v>
      </c>
      <c r="I41" s="97">
        <f>(800*0.06)+(729.32*0.07)*0.5</f>
        <v>73.526200000000003</v>
      </c>
      <c r="J41" s="38">
        <v>99.052400000000006</v>
      </c>
      <c r="K41" s="75" t="s">
        <v>196</v>
      </c>
    </row>
    <row r="42" spans="1:11" s="4" customFormat="1">
      <c r="A42" s="82" t="s">
        <v>601</v>
      </c>
      <c r="B42" s="80">
        <v>860025</v>
      </c>
      <c r="C42" s="74" t="s">
        <v>182</v>
      </c>
      <c r="D42" s="21" t="s">
        <v>183</v>
      </c>
      <c r="E42" s="25">
        <v>20343756</v>
      </c>
      <c r="F42" s="25"/>
      <c r="G42" s="25"/>
      <c r="H42" s="38">
        <v>477.64</v>
      </c>
      <c r="I42" s="97">
        <f>H42*0.12</f>
        <v>57.316799999999994</v>
      </c>
      <c r="J42" s="38">
        <v>57.316799999999994</v>
      </c>
      <c r="K42" t="s">
        <v>197</v>
      </c>
    </row>
    <row r="43" spans="1:11" s="4" customFormat="1">
      <c r="A43" s="82" t="s">
        <v>601</v>
      </c>
      <c r="B43" s="80">
        <v>304341</v>
      </c>
      <c r="C43" s="74" t="s">
        <v>180</v>
      </c>
      <c r="D43" s="22" t="s">
        <v>62</v>
      </c>
      <c r="E43" s="25">
        <v>20183530</v>
      </c>
      <c r="F43" s="25"/>
      <c r="G43" s="25"/>
      <c r="H43" s="24">
        <v>110.88</v>
      </c>
      <c r="I43" s="92">
        <f>H43*0.15</f>
        <v>16.631999999999998</v>
      </c>
      <c r="J43" s="24">
        <v>16.631999999999998</v>
      </c>
      <c r="K43" s="4" t="s">
        <v>177</v>
      </c>
    </row>
    <row r="44" spans="1:11" ht="15.75" thickBot="1">
      <c r="A44" s="82" t="s">
        <v>601</v>
      </c>
      <c r="B44" s="82">
        <v>581798</v>
      </c>
      <c r="C44" s="73" t="s">
        <v>178</v>
      </c>
      <c r="D44" s="51" t="s">
        <v>8</v>
      </c>
      <c r="E44" s="52" t="s">
        <v>215</v>
      </c>
      <c r="F44" s="52"/>
      <c r="G44" s="52"/>
      <c r="H44" s="54">
        <v>100000</v>
      </c>
      <c r="I44" s="94">
        <f>(H44*0.007)*0.6</f>
        <v>420</v>
      </c>
      <c r="J44" s="54">
        <v>420</v>
      </c>
      <c r="K44" s="5" t="s">
        <v>214</v>
      </c>
    </row>
    <row r="45" spans="1:11">
      <c r="A45" s="82" t="s">
        <v>602</v>
      </c>
      <c r="B45" s="82">
        <v>931819</v>
      </c>
      <c r="C45" s="70" t="s">
        <v>219</v>
      </c>
      <c r="D45" s="89" t="s">
        <v>220</v>
      </c>
      <c r="E45" s="16">
        <v>442355</v>
      </c>
      <c r="F45" s="16"/>
      <c r="G45" s="16">
        <v>2026</v>
      </c>
      <c r="H45" s="19">
        <v>720</v>
      </c>
      <c r="I45" s="96">
        <f>(720*10*0.027)*0.6</f>
        <v>116.64</v>
      </c>
      <c r="J45" s="96">
        <f>(720*10*0.027)*0.6</f>
        <v>116.64</v>
      </c>
      <c r="K45" s="5" t="s">
        <v>194</v>
      </c>
    </row>
    <row r="46" spans="1:11" s="4" customFormat="1">
      <c r="A46" s="82" t="s">
        <v>602</v>
      </c>
      <c r="B46" s="82">
        <v>642719</v>
      </c>
      <c r="C46" s="112" t="s">
        <v>179</v>
      </c>
      <c r="D46" s="113" t="s">
        <v>56</v>
      </c>
      <c r="E46" s="114">
        <v>442382</v>
      </c>
      <c r="F46" s="114"/>
      <c r="G46" s="114"/>
      <c r="H46" s="115">
        <v>3200</v>
      </c>
      <c r="I46" s="116">
        <f>H46*14*0.02*0.6</f>
        <v>537.6</v>
      </c>
      <c r="J46" s="115">
        <v>537.6</v>
      </c>
      <c r="K46" s="5" t="s">
        <v>195</v>
      </c>
    </row>
    <row r="47" spans="1:11">
      <c r="A47" s="82" t="s">
        <v>602</v>
      </c>
      <c r="B47" s="82">
        <v>583445</v>
      </c>
      <c r="C47" s="74" t="s">
        <v>181</v>
      </c>
      <c r="D47" s="22" t="s">
        <v>24</v>
      </c>
      <c r="E47" s="25">
        <v>61017866</v>
      </c>
      <c r="F47" s="25"/>
      <c r="G47" s="25"/>
      <c r="H47" s="38">
        <v>1336.44</v>
      </c>
      <c r="I47" s="97">
        <f>(1336.44/12*3.5)*0.6</f>
        <v>233.87700000000001</v>
      </c>
      <c r="J47" s="38">
        <v>233.87700000000001</v>
      </c>
      <c r="K47" s="75" t="s">
        <v>199</v>
      </c>
    </row>
    <row r="48" spans="1:11">
      <c r="A48" s="82" t="s">
        <v>602</v>
      </c>
      <c r="B48" s="80">
        <v>228633</v>
      </c>
      <c r="C48" s="71" t="s">
        <v>198</v>
      </c>
      <c r="D48" s="21" t="s">
        <v>8</v>
      </c>
      <c r="E48" s="22" t="s">
        <v>216</v>
      </c>
      <c r="F48" s="22"/>
      <c r="G48" s="22"/>
      <c r="H48" s="24">
        <v>66000</v>
      </c>
      <c r="I48" s="91">
        <f>(66000*0.007)*0.6</f>
        <v>277.2</v>
      </c>
      <c r="J48" s="24">
        <v>277.2</v>
      </c>
      <c r="K48" s="75" t="s">
        <v>200</v>
      </c>
    </row>
    <row r="49" spans="1:12" s="6" customFormat="1">
      <c r="A49" s="82" t="s">
        <v>602</v>
      </c>
      <c r="B49" s="80">
        <v>210428</v>
      </c>
      <c r="C49" s="71" t="s">
        <v>184</v>
      </c>
      <c r="D49" s="22" t="s">
        <v>62</v>
      </c>
      <c r="E49" s="22">
        <v>20192987</v>
      </c>
      <c r="F49" s="22"/>
      <c r="G49" s="22"/>
      <c r="H49" s="102">
        <v>124.94</v>
      </c>
      <c r="I49" s="92">
        <f>124.94*0.15</f>
        <v>18.741</v>
      </c>
      <c r="J49" s="24">
        <v>18.741</v>
      </c>
      <c r="K49" s="75" t="s">
        <v>201</v>
      </c>
    </row>
    <row r="50" spans="1:12" s="6" customFormat="1">
      <c r="A50" s="82" t="s">
        <v>602</v>
      </c>
      <c r="B50" s="80">
        <v>367848</v>
      </c>
      <c r="C50" s="71" t="s">
        <v>221</v>
      </c>
      <c r="D50" s="21" t="s">
        <v>3</v>
      </c>
      <c r="E50" s="28">
        <v>20346925</v>
      </c>
      <c r="F50" s="28"/>
      <c r="G50" s="28"/>
      <c r="H50" s="30">
        <v>204.71</v>
      </c>
      <c r="I50" s="93">
        <f>204.71*0.06</f>
        <v>12.2826</v>
      </c>
      <c r="J50" s="30">
        <v>12.2826</v>
      </c>
      <c r="K50"/>
    </row>
    <row r="51" spans="1:12">
      <c r="A51" s="82" t="s">
        <v>602</v>
      </c>
      <c r="B51" s="80">
        <v>492356</v>
      </c>
      <c r="C51" s="71" t="s">
        <v>185</v>
      </c>
      <c r="D51" s="22" t="s">
        <v>183</v>
      </c>
      <c r="E51" s="22">
        <v>20347557</v>
      </c>
      <c r="F51" s="22"/>
      <c r="G51" s="22"/>
      <c r="H51" s="24">
        <v>175.55</v>
      </c>
      <c r="I51" s="91">
        <f>175.55*0.12</f>
        <v>21.065999999999999</v>
      </c>
      <c r="J51" s="24">
        <v>21.065999999999999</v>
      </c>
      <c r="K51" s="5" t="s">
        <v>211</v>
      </c>
    </row>
    <row r="52" spans="1:12" s="3" customFormat="1">
      <c r="A52" s="85" t="s">
        <v>603</v>
      </c>
      <c r="B52" s="80">
        <v>492356</v>
      </c>
      <c r="C52" s="71" t="s">
        <v>185</v>
      </c>
      <c r="D52" s="51" t="s">
        <v>8</v>
      </c>
      <c r="E52" s="22" t="s">
        <v>210</v>
      </c>
      <c r="F52" s="22"/>
      <c r="G52" s="22"/>
      <c r="H52" s="24">
        <v>60000</v>
      </c>
      <c r="I52" s="91">
        <f>(H52*0.007)*0.6</f>
        <v>252</v>
      </c>
      <c r="J52" s="24">
        <v>252</v>
      </c>
      <c r="K52" s="4" t="s">
        <v>205</v>
      </c>
    </row>
    <row r="53" spans="1:12" s="4" customFormat="1">
      <c r="A53" s="85" t="s">
        <v>603</v>
      </c>
      <c r="B53" s="80">
        <v>842814</v>
      </c>
      <c r="C53" s="74" t="s">
        <v>119</v>
      </c>
      <c r="D53" s="40" t="s">
        <v>56</v>
      </c>
      <c r="E53" s="25">
        <v>442829</v>
      </c>
      <c r="F53" s="25"/>
      <c r="G53" s="25">
        <v>2039</v>
      </c>
      <c r="H53" s="38">
        <v>1500</v>
      </c>
      <c r="I53" s="97">
        <f>H53*23*0.02*0.6</f>
        <v>414</v>
      </c>
      <c r="J53" s="38">
        <v>414</v>
      </c>
      <c r="K53" s="5" t="s">
        <v>206</v>
      </c>
      <c r="L53" s="3"/>
    </row>
    <row r="54" spans="1:12">
      <c r="A54" s="80" t="s">
        <v>602</v>
      </c>
      <c r="B54" s="80">
        <v>288653</v>
      </c>
      <c r="C54" s="77" t="s">
        <v>222</v>
      </c>
      <c r="D54" s="32" t="s">
        <v>3</v>
      </c>
      <c r="E54" s="25">
        <v>20347737</v>
      </c>
      <c r="F54" s="25"/>
      <c r="G54" s="35"/>
      <c r="H54" s="38">
        <v>1648.62</v>
      </c>
      <c r="I54" s="97">
        <f>(800*0.06)+(800*0.07)+(48.62*0.08)</f>
        <v>107.8896</v>
      </c>
      <c r="J54" s="38">
        <v>107.8896</v>
      </c>
      <c r="K54" s="5" t="s">
        <v>207</v>
      </c>
    </row>
    <row r="55" spans="1:12" ht="15.75" thickBot="1">
      <c r="A55" s="82" t="s">
        <v>602</v>
      </c>
      <c r="B55" s="80">
        <v>559422</v>
      </c>
      <c r="C55" s="105" t="s">
        <v>188</v>
      </c>
      <c r="D55" s="51" t="s">
        <v>8</v>
      </c>
      <c r="E55" s="52" t="s">
        <v>209</v>
      </c>
      <c r="F55" s="52"/>
      <c r="G55" s="106"/>
      <c r="H55" s="107">
        <v>42000</v>
      </c>
      <c r="I55" s="108">
        <f>(42000*0.007)*0.6</f>
        <v>176.4</v>
      </c>
      <c r="J55" s="107">
        <v>176.4</v>
      </c>
      <c r="K55" s="5"/>
    </row>
    <row r="56" spans="1:12" ht="15.75" thickBot="1">
      <c r="A56" s="103"/>
      <c r="B56" s="103"/>
      <c r="C56" s="118" t="s">
        <v>223</v>
      </c>
      <c r="D56" s="119"/>
      <c r="E56" s="119"/>
      <c r="F56" s="119"/>
      <c r="G56" s="119"/>
      <c r="H56" s="120"/>
      <c r="I56" s="121"/>
      <c r="J56" s="120">
        <f>SUM(J13:J55)</f>
        <v>4529.1350999999995</v>
      </c>
      <c r="K56" s="5"/>
    </row>
    <row r="57" spans="1:12">
      <c r="A57" s="83"/>
      <c r="B57" s="83"/>
      <c r="C57" s="109"/>
      <c r="D57" s="110"/>
      <c r="E57" s="110"/>
      <c r="F57" s="110"/>
      <c r="G57" s="110"/>
      <c r="H57" s="111"/>
      <c r="I57" s="116"/>
      <c r="J57" s="115"/>
      <c r="K57" s="5"/>
    </row>
    <row r="58" spans="1:12">
      <c r="A58" s="83"/>
      <c r="B58" s="83"/>
      <c r="C58" s="109" t="s">
        <v>226</v>
      </c>
      <c r="D58" s="110"/>
      <c r="E58" s="110"/>
      <c r="F58" s="110"/>
      <c r="G58" s="110"/>
      <c r="H58" s="111"/>
      <c r="I58" s="116"/>
      <c r="J58" s="115">
        <f>J10</f>
        <v>5286.5999999999995</v>
      </c>
      <c r="K58" s="5"/>
    </row>
    <row r="59" spans="1:12">
      <c r="A59" s="83"/>
      <c r="B59" s="83"/>
      <c r="C59" s="109" t="s">
        <v>224</v>
      </c>
      <c r="D59" s="110"/>
      <c r="E59" s="110"/>
      <c r="F59" s="110"/>
      <c r="G59" s="110"/>
      <c r="H59" s="111"/>
      <c r="I59" s="116"/>
      <c r="J59" s="115">
        <f>SUM(J56:J58)</f>
        <v>9815.7350999999981</v>
      </c>
      <c r="K59" s="5"/>
    </row>
    <row r="60" spans="1:12" s="67" customFormat="1" ht="15.75" thickBot="1">
      <c r="A60" s="83"/>
      <c r="B60" s="83"/>
      <c r="C60" s="104" t="s">
        <v>227</v>
      </c>
      <c r="D60" s="42"/>
      <c r="E60" s="42"/>
      <c r="F60" s="42"/>
      <c r="G60" s="42"/>
      <c r="H60" s="44"/>
      <c r="I60" s="91"/>
      <c r="J60" s="24">
        <f>J59/3</f>
        <v>3271.9116999999992</v>
      </c>
    </row>
    <row r="61" spans="1:12" s="63" customFormat="1">
      <c r="A61" s="83"/>
      <c r="B61" s="83"/>
      <c r="C61" s="64"/>
      <c r="D61" s="65"/>
      <c r="E61" s="65"/>
      <c r="F61" s="478"/>
      <c r="G61" s="65"/>
      <c r="H61" s="66"/>
      <c r="I61" s="68"/>
      <c r="J61" s="68"/>
    </row>
    <row r="62" spans="1:12" s="63" customFormat="1">
      <c r="A62" s="83"/>
      <c r="B62" s="83"/>
      <c r="C62" s="64"/>
      <c r="D62" s="65"/>
      <c r="E62" s="65"/>
      <c r="F62" s="478"/>
      <c r="G62" s="65"/>
      <c r="H62" s="66"/>
      <c r="I62" s="66"/>
      <c r="J62" s="66"/>
    </row>
    <row r="63" spans="1:12" s="63" customFormat="1">
      <c r="A63" s="83"/>
      <c r="B63" s="83"/>
      <c r="C63" s="64"/>
      <c r="D63" s="65"/>
      <c r="E63" s="65"/>
      <c r="F63" s="478"/>
      <c r="G63" s="65"/>
      <c r="H63" s="66"/>
      <c r="I63" s="66"/>
      <c r="J63" s="66"/>
    </row>
    <row r="64" spans="1:12" s="63" customFormat="1">
      <c r="A64" s="83"/>
      <c r="B64" s="83"/>
      <c r="C64" s="64"/>
      <c r="D64" s="65"/>
      <c r="E64" s="65"/>
      <c r="F64" s="478"/>
      <c r="G64" s="65"/>
      <c r="H64" s="66"/>
      <c r="I64" s="66"/>
      <c r="J64" s="66"/>
    </row>
    <row r="65" spans="3:10">
      <c r="C65" s="64"/>
      <c r="D65" s="65"/>
      <c r="E65" s="65"/>
      <c r="F65" s="478"/>
      <c r="G65" s="65"/>
      <c r="H65" s="66"/>
      <c r="I65" s="66"/>
      <c r="J65" s="66"/>
    </row>
  </sheetData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Header>&amp;C&amp;"-,Gras"&amp;14COMMISSION JEFF DERAPPE 3 ème TRIMESTRE</oddHeader>
    <oddFooter xml:space="preserve">&amp;L&amp;8&amp;Z&amp;F&amp;C&amp;7&amp;P/&amp;N&amp;RModfié le &amp;D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L99"/>
  <sheetViews>
    <sheetView topLeftCell="A40" zoomScaleNormal="100" workbookViewId="0">
      <selection activeCell="I49" sqref="I49"/>
    </sheetView>
    <sheetView workbookViewId="1"/>
    <sheetView workbookViewId="2"/>
  </sheetViews>
  <sheetFormatPr baseColWidth="10" defaultRowHeight="15"/>
  <cols>
    <col min="1" max="1" width="16" style="78" customWidth="1"/>
    <col min="2" max="2" width="11.85546875" style="78" customWidth="1"/>
    <col min="3" max="3" width="28" style="7" customWidth="1"/>
    <col min="4" max="4" width="21.7109375" style="1" customWidth="1"/>
    <col min="5" max="5" width="24.7109375" style="1" customWidth="1"/>
    <col min="6" max="6" width="8.140625" style="1" customWidth="1"/>
    <col min="7" max="7" width="10.5703125" style="1" customWidth="1"/>
    <col min="8" max="8" width="13.28515625" style="130" customWidth="1"/>
    <col min="9" max="9" width="12.42578125" style="127" customWidth="1"/>
    <col min="10" max="10" width="12.42578125" style="2" customWidth="1"/>
    <col min="11" max="11" width="34.28515625" hidden="1" customWidth="1"/>
    <col min="12" max="12" width="11.5703125" customWidth="1"/>
  </cols>
  <sheetData>
    <row r="1" spans="1:11" ht="30" customHeight="1">
      <c r="C1" s="123"/>
      <c r="D1" s="124"/>
      <c r="E1" s="123"/>
      <c r="F1" s="476"/>
      <c r="G1" s="174"/>
      <c r="H1" s="125"/>
      <c r="I1" s="125"/>
      <c r="J1" s="58"/>
      <c r="K1" s="124"/>
    </row>
    <row r="2" spans="1:11" s="10" customFormat="1" ht="18.75" customHeight="1">
      <c r="A2" s="78"/>
      <c r="B2" s="78"/>
      <c r="C2" s="10" t="s">
        <v>229</v>
      </c>
      <c r="E2" s="2"/>
      <c r="F2" s="2"/>
      <c r="G2" s="76"/>
      <c r="H2" s="126"/>
      <c r="I2" s="126"/>
      <c r="J2" s="10">
        <v>360</v>
      </c>
    </row>
    <row r="3" spans="1:11" s="10" customFormat="1" ht="18.75" customHeight="1">
      <c r="A3" s="78"/>
      <c r="B3" s="78"/>
      <c r="E3" s="2"/>
      <c r="F3" s="2"/>
      <c r="G3" s="76"/>
      <c r="H3" s="126"/>
      <c r="I3" s="126"/>
    </row>
    <row r="4" spans="1:11">
      <c r="C4" s="7" t="s">
        <v>189</v>
      </c>
      <c r="D4" s="9"/>
      <c r="E4" s="1" t="s">
        <v>290</v>
      </c>
      <c r="G4" s="11" t="s">
        <v>208</v>
      </c>
      <c r="H4" s="126"/>
      <c r="I4" s="126"/>
      <c r="J4" s="10">
        <v>640</v>
      </c>
      <c r="K4" s="9"/>
    </row>
    <row r="5" spans="1:11">
      <c r="D5" s="9"/>
      <c r="G5" s="11"/>
      <c r="H5" s="126"/>
      <c r="I5" s="126"/>
      <c r="J5" s="10"/>
      <c r="K5" s="9"/>
    </row>
    <row r="6" spans="1:11">
      <c r="C6" s="7" t="s">
        <v>70</v>
      </c>
      <c r="D6" s="9" t="s">
        <v>230</v>
      </c>
      <c r="G6" s="11"/>
      <c r="H6" s="126"/>
      <c r="I6" s="126"/>
      <c r="J6" s="10">
        <f>3999*0.35</f>
        <v>1399.6499999999999</v>
      </c>
      <c r="K6" s="9"/>
    </row>
    <row r="7" spans="1:11">
      <c r="C7" s="7" t="s">
        <v>70</v>
      </c>
      <c r="D7" s="9" t="s">
        <v>231</v>
      </c>
      <c r="G7" s="11"/>
      <c r="H7" s="126"/>
      <c r="I7" s="126"/>
      <c r="J7" s="10">
        <f>3980*0.35</f>
        <v>1393</v>
      </c>
      <c r="K7" s="9"/>
    </row>
    <row r="8" spans="1:11">
      <c r="C8" s="7" t="s">
        <v>70</v>
      </c>
      <c r="D8" s="9" t="s">
        <v>232</v>
      </c>
      <c r="G8" s="11"/>
      <c r="H8" s="126"/>
      <c r="I8" s="126"/>
      <c r="J8" s="10">
        <v>1386</v>
      </c>
      <c r="K8" s="9"/>
    </row>
    <row r="9" spans="1:11">
      <c r="D9" s="9"/>
      <c r="G9" s="11"/>
      <c r="H9" s="126"/>
      <c r="I9" s="126"/>
      <c r="J9" s="10"/>
      <c r="K9" s="9"/>
    </row>
    <row r="10" spans="1:11">
      <c r="C10" s="7" t="s">
        <v>225</v>
      </c>
      <c r="D10" s="9"/>
      <c r="G10" s="11"/>
      <c r="H10" s="126"/>
      <c r="I10" s="126"/>
      <c r="J10" s="117">
        <f>SUM(J2:J8)</f>
        <v>5178.6499999999996</v>
      </c>
      <c r="K10" s="9"/>
    </row>
    <row r="11" spans="1:11" ht="15.75" thickBot="1">
      <c r="K11" s="11"/>
    </row>
    <row r="12" spans="1:11" ht="30">
      <c r="A12" s="79"/>
      <c r="B12" s="79" t="s">
        <v>412</v>
      </c>
      <c r="C12" s="70" t="s">
        <v>0</v>
      </c>
      <c r="D12" s="16" t="s">
        <v>50</v>
      </c>
      <c r="E12" s="16" t="s">
        <v>11</v>
      </c>
      <c r="F12" s="214" t="s">
        <v>360</v>
      </c>
      <c r="G12" s="16" t="s">
        <v>53</v>
      </c>
      <c r="H12" s="128" t="s">
        <v>74</v>
      </c>
      <c r="I12" s="135" t="s">
        <v>1</v>
      </c>
      <c r="J12" s="19" t="s">
        <v>92</v>
      </c>
    </row>
    <row r="13" spans="1:11">
      <c r="A13" s="80" t="s">
        <v>603</v>
      </c>
      <c r="B13" s="80">
        <v>415134</v>
      </c>
      <c r="C13" s="71" t="s">
        <v>234</v>
      </c>
      <c r="D13" s="21" t="s">
        <v>233</v>
      </c>
      <c r="E13" s="22">
        <v>20350285</v>
      </c>
      <c r="F13" s="22"/>
      <c r="G13" s="22"/>
      <c r="H13" s="140">
        <v>1949.89</v>
      </c>
      <c r="I13" s="141">
        <f>(800*0.06)+(800*0.07)+(349.89*0.08)</f>
        <v>131.99119999999999</v>
      </c>
      <c r="J13" s="142">
        <f>I13</f>
        <v>131.99119999999999</v>
      </c>
      <c r="K13" t="s">
        <v>159</v>
      </c>
    </row>
    <row r="14" spans="1:11">
      <c r="A14" s="80" t="s">
        <v>603</v>
      </c>
      <c r="B14" s="80">
        <v>407702</v>
      </c>
      <c r="C14" s="71" t="s">
        <v>248</v>
      </c>
      <c r="D14" s="22" t="s">
        <v>249</v>
      </c>
      <c r="E14" s="22">
        <v>20350484</v>
      </c>
      <c r="F14" s="22"/>
      <c r="G14" s="22"/>
      <c r="H14" s="140">
        <v>2198.5700000000002</v>
      </c>
      <c r="I14" s="143">
        <f>H14*0.1</f>
        <v>219.85700000000003</v>
      </c>
      <c r="J14" s="144">
        <f>I14</f>
        <v>219.85700000000003</v>
      </c>
      <c r="K14" t="s">
        <v>161</v>
      </c>
    </row>
    <row r="15" spans="1:11">
      <c r="A15" s="80" t="s">
        <v>603</v>
      </c>
      <c r="B15" s="80">
        <v>407702</v>
      </c>
      <c r="C15" s="71" t="s">
        <v>248</v>
      </c>
      <c r="D15" s="21" t="s">
        <v>250</v>
      </c>
      <c r="E15" s="22">
        <v>203349652</v>
      </c>
      <c r="F15" s="22"/>
      <c r="G15" s="22"/>
      <c r="H15" s="140">
        <v>771.17</v>
      </c>
      <c r="I15" s="141">
        <f>H15*0.12</f>
        <v>92.540399999999991</v>
      </c>
      <c r="J15" s="144">
        <f>I15</f>
        <v>92.540399999999991</v>
      </c>
      <c r="K15" t="s">
        <v>160</v>
      </c>
    </row>
    <row r="16" spans="1:11">
      <c r="A16" s="80" t="s">
        <v>603</v>
      </c>
      <c r="B16" s="80">
        <v>411055</v>
      </c>
      <c r="C16" s="71" t="s">
        <v>320</v>
      </c>
      <c r="D16" s="21" t="s">
        <v>51</v>
      </c>
      <c r="E16" s="22">
        <v>20350380</v>
      </c>
      <c r="F16" s="22"/>
      <c r="G16" s="22"/>
      <c r="H16" s="140">
        <v>171.65</v>
      </c>
      <c r="I16" s="141">
        <f>H16*0.12</f>
        <v>20.597999999999999</v>
      </c>
      <c r="J16" s="144">
        <f>I16</f>
        <v>20.597999999999999</v>
      </c>
      <c r="K16" t="s">
        <v>147</v>
      </c>
    </row>
    <row r="17" spans="1:11">
      <c r="A17" s="80" t="s">
        <v>603</v>
      </c>
      <c r="B17" s="80">
        <v>473247</v>
      </c>
      <c r="C17" s="71" t="s">
        <v>255</v>
      </c>
      <c r="D17" s="21" t="s">
        <v>256</v>
      </c>
      <c r="E17" s="22">
        <v>61018896</v>
      </c>
      <c r="F17" s="22"/>
      <c r="G17" s="22"/>
      <c r="H17" s="140">
        <v>2427.65</v>
      </c>
      <c r="I17" s="141">
        <f>H17/12*3.5*0.6</f>
        <v>424.83874999999995</v>
      </c>
      <c r="J17" s="144">
        <f>I17</f>
        <v>424.83874999999995</v>
      </c>
      <c r="K17" t="s">
        <v>155</v>
      </c>
    </row>
    <row r="18" spans="1:11">
      <c r="A18" s="80"/>
      <c r="B18" s="80"/>
      <c r="C18" s="71"/>
      <c r="D18" s="21"/>
      <c r="E18" s="22"/>
      <c r="F18" s="22"/>
      <c r="G18" s="22"/>
      <c r="H18" s="140"/>
      <c r="I18" s="141"/>
      <c r="J18" s="150"/>
    </row>
    <row r="19" spans="1:11" s="62" customFormat="1" ht="15.75" thickBot="1">
      <c r="A19" s="81"/>
      <c r="B19" s="81"/>
      <c r="C19" s="72"/>
      <c r="D19" s="22"/>
      <c r="E19" s="22"/>
      <c r="F19" s="22"/>
      <c r="G19" s="22"/>
      <c r="H19" s="140"/>
      <c r="I19" s="143"/>
      <c r="J19" s="150"/>
      <c r="K19" s="62" t="s">
        <v>146</v>
      </c>
    </row>
    <row r="20" spans="1:11" s="6" customFormat="1" ht="15.75" thickBot="1">
      <c r="A20" s="80"/>
      <c r="B20" s="80"/>
      <c r="C20" s="145" t="s">
        <v>281</v>
      </c>
      <c r="D20" s="146"/>
      <c r="E20" s="147"/>
      <c r="F20" s="147"/>
      <c r="G20" s="147"/>
      <c r="H20" s="148"/>
      <c r="I20" s="149"/>
      <c r="J20" s="151">
        <f>SUM(J13:J19)</f>
        <v>889.82534999999996</v>
      </c>
      <c r="K20" t="s">
        <v>163</v>
      </c>
    </row>
    <row r="21" spans="1:11">
      <c r="A21" s="100" t="s">
        <v>604</v>
      </c>
      <c r="B21" s="88">
        <v>570348</v>
      </c>
      <c r="C21" s="70" t="s">
        <v>237</v>
      </c>
      <c r="D21" s="16" t="s">
        <v>233</v>
      </c>
      <c r="E21" s="16">
        <v>20352014</v>
      </c>
      <c r="F21" s="16"/>
      <c r="G21" s="16"/>
      <c r="H21" s="152">
        <v>1756.1</v>
      </c>
      <c r="I21" s="153">
        <f>(800*0.06)+(800*0.07)+(156.1*0.08)</f>
        <v>116.488</v>
      </c>
      <c r="J21" s="19">
        <f>I21</f>
        <v>116.488</v>
      </c>
      <c r="K21" s="5" t="s">
        <v>191</v>
      </c>
    </row>
    <row r="22" spans="1:11">
      <c r="A22" s="82" t="s">
        <v>604</v>
      </c>
      <c r="B22" s="80">
        <v>123340</v>
      </c>
      <c r="C22" s="71" t="s">
        <v>193</v>
      </c>
      <c r="D22" s="21" t="s">
        <v>238</v>
      </c>
      <c r="E22" s="22"/>
      <c r="F22" s="22"/>
      <c r="G22" s="22"/>
      <c r="H22" s="140">
        <v>19200</v>
      </c>
      <c r="I22" s="141"/>
      <c r="J22" s="24">
        <v>118.8</v>
      </c>
      <c r="K22" s="5" t="s">
        <v>192</v>
      </c>
    </row>
    <row r="23" spans="1:11">
      <c r="A23" s="82" t="s">
        <v>604</v>
      </c>
      <c r="B23" s="80">
        <v>434718</v>
      </c>
      <c r="C23" s="71" t="s">
        <v>241</v>
      </c>
      <c r="D23" s="21" t="s">
        <v>5</v>
      </c>
      <c r="E23" s="22">
        <v>20353181</v>
      </c>
      <c r="F23" s="22"/>
      <c r="G23" s="22"/>
      <c r="H23" s="140">
        <v>225.63</v>
      </c>
      <c r="I23" s="141">
        <f>H23*0.12</f>
        <v>27.075599999999998</v>
      </c>
      <c r="J23" s="24">
        <f t="shared" ref="J23:J34" si="0">I23</f>
        <v>27.075599999999998</v>
      </c>
      <c r="K23" s="5" t="s">
        <v>177</v>
      </c>
    </row>
    <row r="24" spans="1:11">
      <c r="A24" s="82" t="s">
        <v>604</v>
      </c>
      <c r="B24" s="80">
        <v>492261</v>
      </c>
      <c r="C24" s="71" t="s">
        <v>242</v>
      </c>
      <c r="D24" s="21" t="s">
        <v>233</v>
      </c>
      <c r="E24" s="22">
        <v>20055675</v>
      </c>
      <c r="F24" s="22"/>
      <c r="G24" s="22"/>
      <c r="H24" s="140">
        <v>1345.37</v>
      </c>
      <c r="I24" s="141">
        <f>800*0.06+545.37*0.07</f>
        <v>86.175900000000013</v>
      </c>
      <c r="J24" s="24">
        <f t="shared" si="0"/>
        <v>86.175900000000013</v>
      </c>
      <c r="K24" s="75" t="s">
        <v>202</v>
      </c>
    </row>
    <row r="25" spans="1:11">
      <c r="A25" s="82" t="s">
        <v>604</v>
      </c>
      <c r="B25" s="80">
        <v>492261</v>
      </c>
      <c r="C25" s="71" t="s">
        <v>242</v>
      </c>
      <c r="D25" s="22" t="s">
        <v>243</v>
      </c>
      <c r="E25" s="22">
        <v>10077528</v>
      </c>
      <c r="F25" s="22"/>
      <c r="G25" s="22"/>
      <c r="H25" s="154">
        <v>110.88</v>
      </c>
      <c r="I25" s="141">
        <f>H25*0.15</f>
        <v>16.631999999999998</v>
      </c>
      <c r="J25" s="24">
        <f t="shared" si="0"/>
        <v>16.631999999999998</v>
      </c>
      <c r="K25" s="4" t="s">
        <v>204</v>
      </c>
    </row>
    <row r="26" spans="1:11" s="4" customFormat="1">
      <c r="A26" s="82" t="s">
        <v>604</v>
      </c>
      <c r="B26" s="80">
        <v>492261</v>
      </c>
      <c r="C26" s="71" t="s">
        <v>242</v>
      </c>
      <c r="D26" s="31" t="s">
        <v>24</v>
      </c>
      <c r="E26" s="22">
        <v>60017923</v>
      </c>
      <c r="F26" s="22"/>
      <c r="G26" s="22"/>
      <c r="H26" s="140">
        <v>139.19999999999999</v>
      </c>
      <c r="I26" s="141">
        <f>H26*3.5*0.06</f>
        <v>29.231999999999996</v>
      </c>
      <c r="J26" s="24">
        <f t="shared" si="0"/>
        <v>29.231999999999996</v>
      </c>
      <c r="K26" s="4" t="s">
        <v>203</v>
      </c>
    </row>
    <row r="27" spans="1:11" s="4" customFormat="1">
      <c r="A27" s="82" t="s">
        <v>604</v>
      </c>
      <c r="B27" s="80">
        <v>492261</v>
      </c>
      <c r="C27" s="71" t="s">
        <v>242</v>
      </c>
      <c r="D27" s="21" t="s">
        <v>233</v>
      </c>
      <c r="E27" s="25">
        <v>20248970</v>
      </c>
      <c r="F27" s="25"/>
      <c r="G27" s="25"/>
      <c r="H27" s="155">
        <v>13.12</v>
      </c>
      <c r="I27" s="156">
        <f>H27*0.06</f>
        <v>0.7871999999999999</v>
      </c>
      <c r="J27" s="38">
        <f t="shared" si="0"/>
        <v>0.7871999999999999</v>
      </c>
      <c r="K27" s="75" t="s">
        <v>196</v>
      </c>
    </row>
    <row r="28" spans="1:11" s="4" customFormat="1">
      <c r="A28" s="82" t="s">
        <v>604</v>
      </c>
      <c r="B28" s="80">
        <v>492261</v>
      </c>
      <c r="C28" s="71" t="s">
        <v>242</v>
      </c>
      <c r="D28" s="21" t="s">
        <v>233</v>
      </c>
      <c r="E28" s="25">
        <v>20282387</v>
      </c>
      <c r="F28" s="25"/>
      <c r="G28" s="25"/>
      <c r="H28" s="155">
        <v>12.85</v>
      </c>
      <c r="I28" s="156">
        <f>H28*0.06</f>
        <v>0.77099999999999991</v>
      </c>
      <c r="J28" s="38">
        <f t="shared" si="0"/>
        <v>0.77099999999999991</v>
      </c>
      <c r="K28" s="75"/>
    </row>
    <row r="29" spans="1:11" s="4" customFormat="1">
      <c r="A29" s="82" t="s">
        <v>604</v>
      </c>
      <c r="B29" s="80">
        <v>492261</v>
      </c>
      <c r="C29" s="71" t="s">
        <v>242</v>
      </c>
      <c r="D29" s="21" t="s">
        <v>233</v>
      </c>
      <c r="E29" s="25">
        <v>20315056</v>
      </c>
      <c r="F29" s="25"/>
      <c r="G29" s="25"/>
      <c r="H29" s="155">
        <v>444.02</v>
      </c>
      <c r="I29" s="156">
        <f>H29*0.06</f>
        <v>26.641199999999998</v>
      </c>
      <c r="J29" s="38">
        <f t="shared" si="0"/>
        <v>26.641199999999998</v>
      </c>
      <c r="K29" t="s">
        <v>197</v>
      </c>
    </row>
    <row r="30" spans="1:11" s="4" customFormat="1">
      <c r="A30" s="82" t="s">
        <v>604</v>
      </c>
      <c r="B30" s="80">
        <v>492261</v>
      </c>
      <c r="C30" s="71" t="s">
        <v>242</v>
      </c>
      <c r="D30" s="22" t="s">
        <v>233</v>
      </c>
      <c r="E30" s="25">
        <v>20324039</v>
      </c>
      <c r="F30" s="25"/>
      <c r="G30" s="25"/>
      <c r="H30" s="140">
        <v>65.61</v>
      </c>
      <c r="I30" s="143">
        <f>H30*0.06</f>
        <v>3.9365999999999999</v>
      </c>
      <c r="J30" s="24">
        <f t="shared" si="0"/>
        <v>3.9365999999999999</v>
      </c>
      <c r="K30" s="4" t="s">
        <v>177</v>
      </c>
    </row>
    <row r="31" spans="1:11" s="4" customFormat="1">
      <c r="A31" s="82" t="s">
        <v>604</v>
      </c>
      <c r="B31" s="80">
        <v>492261</v>
      </c>
      <c r="C31" s="71" t="s">
        <v>242</v>
      </c>
      <c r="D31" s="21" t="s">
        <v>126</v>
      </c>
      <c r="E31" s="22">
        <v>20353689</v>
      </c>
      <c r="F31" s="22"/>
      <c r="G31" s="22"/>
      <c r="H31" s="140">
        <v>391.09</v>
      </c>
      <c r="I31" s="141">
        <f>H31*0.1</f>
        <v>39.109000000000002</v>
      </c>
      <c r="J31" s="24">
        <f t="shared" si="0"/>
        <v>39.109000000000002</v>
      </c>
    </row>
    <row r="32" spans="1:11" s="4" customFormat="1">
      <c r="A32" s="82" t="s">
        <v>604</v>
      </c>
      <c r="B32" s="80">
        <v>646798</v>
      </c>
      <c r="C32" s="71" t="s">
        <v>246</v>
      </c>
      <c r="D32" s="22" t="s">
        <v>233</v>
      </c>
      <c r="E32" s="25">
        <v>20352335</v>
      </c>
      <c r="F32" s="25"/>
      <c r="G32" s="25"/>
      <c r="H32" s="140">
        <v>939.69</v>
      </c>
      <c r="I32" s="143">
        <f>800*0.06+139.69*0.07</f>
        <v>57.778300000000002</v>
      </c>
      <c r="J32" s="24">
        <f t="shared" si="0"/>
        <v>57.778300000000002</v>
      </c>
    </row>
    <row r="33" spans="1:10" s="4" customFormat="1">
      <c r="A33" s="82" t="s">
        <v>604</v>
      </c>
      <c r="B33" s="80">
        <v>646798</v>
      </c>
      <c r="C33" s="71" t="s">
        <v>246</v>
      </c>
      <c r="D33" s="22" t="s">
        <v>5</v>
      </c>
      <c r="E33" s="25">
        <v>20353421</v>
      </c>
      <c r="F33" s="25"/>
      <c r="G33" s="25"/>
      <c r="H33" s="140">
        <v>287.01</v>
      </c>
      <c r="I33" s="143">
        <f>H33*0.12</f>
        <v>34.441199999999995</v>
      </c>
      <c r="J33" s="24">
        <f t="shared" si="0"/>
        <v>34.441199999999995</v>
      </c>
    </row>
    <row r="34" spans="1:10" s="4" customFormat="1">
      <c r="A34" s="82" t="s">
        <v>604</v>
      </c>
      <c r="B34" s="80">
        <v>450504</v>
      </c>
      <c r="C34" s="71" t="s">
        <v>247</v>
      </c>
      <c r="D34" s="22" t="s">
        <v>233</v>
      </c>
      <c r="E34" s="25">
        <v>20353051</v>
      </c>
      <c r="F34" s="25"/>
      <c r="G34" s="25"/>
      <c r="H34" s="140">
        <v>2744.55</v>
      </c>
      <c r="I34" s="143">
        <f>800*0.06+800*0.07+1144.55*0.08</f>
        <v>195.56399999999999</v>
      </c>
      <c r="J34" s="24">
        <f t="shared" si="0"/>
        <v>195.56399999999999</v>
      </c>
    </row>
    <row r="35" spans="1:10" s="4" customFormat="1">
      <c r="A35" s="82" t="s">
        <v>604</v>
      </c>
      <c r="B35" s="80">
        <v>288235</v>
      </c>
      <c r="C35" s="71" t="s">
        <v>254</v>
      </c>
      <c r="D35" s="22" t="s">
        <v>5</v>
      </c>
      <c r="E35" s="25">
        <v>20351006</v>
      </c>
      <c r="F35" s="25"/>
      <c r="G35" s="25"/>
      <c r="H35" s="140">
        <v>190.85</v>
      </c>
      <c r="I35" s="143">
        <f>H35*0.12</f>
        <v>22.901999999999997</v>
      </c>
      <c r="J35" s="24">
        <f t="shared" ref="J35:J49" si="1">I35</f>
        <v>22.901999999999997</v>
      </c>
    </row>
    <row r="36" spans="1:10" s="4" customFormat="1">
      <c r="A36" s="82" t="s">
        <v>604</v>
      </c>
      <c r="B36" s="80">
        <v>455519</v>
      </c>
      <c r="C36" s="71" t="s">
        <v>292</v>
      </c>
      <c r="D36" s="22" t="s">
        <v>233</v>
      </c>
      <c r="E36" s="25">
        <v>20354543</v>
      </c>
      <c r="F36" s="25"/>
      <c r="G36" s="25"/>
      <c r="H36" s="140">
        <v>1061.8399999999999</v>
      </c>
      <c r="I36" s="143">
        <f>800*0.06+261.84*0.07</f>
        <v>66.328800000000001</v>
      </c>
      <c r="J36" s="24">
        <f t="shared" si="1"/>
        <v>66.328800000000001</v>
      </c>
    </row>
    <row r="37" spans="1:10" s="4" customFormat="1">
      <c r="A37" s="82" t="s">
        <v>604</v>
      </c>
      <c r="B37" s="80">
        <v>455519</v>
      </c>
      <c r="C37" s="71" t="s">
        <v>292</v>
      </c>
      <c r="D37" s="22" t="s">
        <v>5</v>
      </c>
      <c r="E37" s="25">
        <v>20354539</v>
      </c>
      <c r="F37" s="25"/>
      <c r="G37" s="25"/>
      <c r="H37" s="140">
        <v>202.7</v>
      </c>
      <c r="I37" s="143">
        <f>H37*0.12</f>
        <v>24.323999999999998</v>
      </c>
      <c r="J37" s="24">
        <f t="shared" si="1"/>
        <v>24.323999999999998</v>
      </c>
    </row>
    <row r="38" spans="1:10" s="4" customFormat="1">
      <c r="A38" s="82" t="s">
        <v>604</v>
      </c>
      <c r="B38" s="80">
        <v>455519</v>
      </c>
      <c r="C38" s="71" t="s">
        <v>292</v>
      </c>
      <c r="D38" s="22" t="s">
        <v>243</v>
      </c>
      <c r="E38" s="25">
        <v>20354539</v>
      </c>
      <c r="F38" s="25"/>
      <c r="G38" s="25"/>
      <c r="H38" s="140">
        <v>111.71</v>
      </c>
      <c r="I38" s="143">
        <f>H38*0.15</f>
        <v>16.756499999999999</v>
      </c>
      <c r="J38" s="24">
        <f t="shared" si="1"/>
        <v>16.756499999999999</v>
      </c>
    </row>
    <row r="39" spans="1:10" s="4" customFormat="1">
      <c r="A39" s="82" t="s">
        <v>604</v>
      </c>
      <c r="B39" s="80">
        <v>778333</v>
      </c>
      <c r="C39" s="71" t="s">
        <v>257</v>
      </c>
      <c r="D39" s="22" t="s">
        <v>5</v>
      </c>
      <c r="E39" s="25">
        <v>20354013</v>
      </c>
      <c r="F39" s="25"/>
      <c r="G39" s="25"/>
      <c r="H39" s="140">
        <v>224.52</v>
      </c>
      <c r="I39" s="143">
        <f>H39*0.12</f>
        <v>26.942399999999999</v>
      </c>
      <c r="J39" s="24">
        <f t="shared" si="1"/>
        <v>26.942399999999999</v>
      </c>
    </row>
    <row r="40" spans="1:10" s="4" customFormat="1">
      <c r="A40" s="82" t="s">
        <v>604</v>
      </c>
      <c r="B40" s="80">
        <v>766988</v>
      </c>
      <c r="C40" s="71" t="s">
        <v>260</v>
      </c>
      <c r="D40" s="22" t="s">
        <v>233</v>
      </c>
      <c r="E40" s="25">
        <v>2112715</v>
      </c>
      <c r="F40" s="25"/>
      <c r="G40" s="25"/>
      <c r="H40" s="140">
        <v>1911.08</v>
      </c>
      <c r="I40" s="143">
        <f>800*0.06+800*0.07+311.08*0.08</f>
        <v>128.88640000000001</v>
      </c>
      <c r="J40" s="24">
        <f t="shared" si="1"/>
        <v>128.88640000000001</v>
      </c>
    </row>
    <row r="41" spans="1:10" s="4" customFormat="1">
      <c r="A41" s="82" t="s">
        <v>604</v>
      </c>
      <c r="B41" s="80">
        <v>766988</v>
      </c>
      <c r="C41" s="71" t="s">
        <v>261</v>
      </c>
      <c r="D41" s="22" t="s">
        <v>24</v>
      </c>
      <c r="E41" s="25">
        <v>60016647</v>
      </c>
      <c r="F41" s="25"/>
      <c r="G41" s="25"/>
      <c r="H41" s="140">
        <v>504.36</v>
      </c>
      <c r="I41" s="143">
        <f>H41/12*3.5*0.6</f>
        <v>88.263000000000005</v>
      </c>
      <c r="J41" s="24">
        <f t="shared" si="1"/>
        <v>88.263000000000005</v>
      </c>
    </row>
    <row r="42" spans="1:10" s="4" customFormat="1">
      <c r="A42" s="82" t="s">
        <v>604</v>
      </c>
      <c r="B42" s="80">
        <v>233039</v>
      </c>
      <c r="C42" s="71" t="s">
        <v>259</v>
      </c>
      <c r="D42" s="22" t="s">
        <v>233</v>
      </c>
      <c r="E42" s="25">
        <v>275914</v>
      </c>
      <c r="F42" s="25"/>
      <c r="G42" s="25"/>
      <c r="H42" s="140">
        <v>1151.8399999999999</v>
      </c>
      <c r="I42" s="143">
        <f>800*0.06+351.84*0.07</f>
        <v>72.628799999999998</v>
      </c>
      <c r="J42" s="24">
        <f t="shared" si="1"/>
        <v>72.628799999999998</v>
      </c>
    </row>
    <row r="43" spans="1:10" s="4" customFormat="1">
      <c r="A43" s="82" t="s">
        <v>604</v>
      </c>
      <c r="B43" s="80">
        <v>233039</v>
      </c>
      <c r="C43" s="71" t="s">
        <v>259</v>
      </c>
      <c r="D43" s="22" t="s">
        <v>233</v>
      </c>
      <c r="E43" s="25">
        <v>20249130</v>
      </c>
      <c r="F43" s="25"/>
      <c r="G43" s="25"/>
      <c r="H43" s="140">
        <v>590.35</v>
      </c>
      <c r="I43" s="143">
        <f>H43*0.06</f>
        <v>35.420999999999999</v>
      </c>
      <c r="J43" s="24">
        <f t="shared" si="1"/>
        <v>35.420999999999999</v>
      </c>
    </row>
    <row r="44" spans="1:10" s="4" customFormat="1">
      <c r="A44" s="82" t="s">
        <v>604</v>
      </c>
      <c r="B44" s="80">
        <v>233039</v>
      </c>
      <c r="C44" s="71" t="s">
        <v>259</v>
      </c>
      <c r="D44" s="22" t="s">
        <v>233</v>
      </c>
      <c r="E44" s="25">
        <v>647783</v>
      </c>
      <c r="F44" s="25"/>
      <c r="G44" s="25"/>
      <c r="H44" s="140">
        <v>1148.29</v>
      </c>
      <c r="I44" s="143">
        <f>800*0.06+348.29*0.07</f>
        <v>72.380300000000005</v>
      </c>
      <c r="J44" s="24">
        <f t="shared" si="1"/>
        <v>72.380300000000005</v>
      </c>
    </row>
    <row r="45" spans="1:10" s="4" customFormat="1">
      <c r="A45" s="82" t="s">
        <v>604</v>
      </c>
      <c r="B45" s="80">
        <v>233039</v>
      </c>
      <c r="C45" s="71" t="s">
        <v>259</v>
      </c>
      <c r="D45" s="22" t="s">
        <v>126</v>
      </c>
      <c r="E45" s="25">
        <v>20142663</v>
      </c>
      <c r="F45" s="25"/>
      <c r="G45" s="25"/>
      <c r="H45" s="140">
        <v>285.55</v>
      </c>
      <c r="I45" s="143">
        <f>H45*0.1</f>
        <v>28.555000000000003</v>
      </c>
      <c r="J45" s="24">
        <f t="shared" si="1"/>
        <v>28.555000000000003</v>
      </c>
    </row>
    <row r="46" spans="1:10" s="4" customFormat="1">
      <c r="A46" s="82" t="s">
        <v>604</v>
      </c>
      <c r="B46" s="80">
        <v>233039</v>
      </c>
      <c r="C46" s="71" t="s">
        <v>259</v>
      </c>
      <c r="D46" s="22" t="s">
        <v>24</v>
      </c>
      <c r="E46" s="25">
        <v>61001020</v>
      </c>
      <c r="F46" s="25"/>
      <c r="G46" s="32"/>
      <c r="H46" s="25">
        <v>292.44</v>
      </c>
      <c r="I46" s="143">
        <f>H46/12*3.5*0.6</f>
        <v>51.177</v>
      </c>
      <c r="J46" s="24">
        <f t="shared" si="1"/>
        <v>51.177</v>
      </c>
    </row>
    <row r="47" spans="1:10" s="4" customFormat="1">
      <c r="A47" s="82" t="s">
        <v>604</v>
      </c>
      <c r="B47" s="80">
        <v>839931</v>
      </c>
      <c r="C47" s="71" t="s">
        <v>267</v>
      </c>
      <c r="D47" s="22" t="s">
        <v>24</v>
      </c>
      <c r="E47" s="25">
        <v>61000124</v>
      </c>
      <c r="F47" s="25"/>
      <c r="G47" s="25"/>
      <c r="H47" s="140">
        <v>909.11</v>
      </c>
      <c r="I47" s="143">
        <f>H47/12*3.5*0.6</f>
        <v>159.09424999999999</v>
      </c>
      <c r="J47" s="24">
        <f t="shared" si="1"/>
        <v>159.09424999999999</v>
      </c>
    </row>
    <row r="48" spans="1:10" s="4" customFormat="1">
      <c r="A48" s="82" t="s">
        <v>604</v>
      </c>
      <c r="B48" s="80">
        <v>294392</v>
      </c>
      <c r="C48" s="71" t="s">
        <v>32</v>
      </c>
      <c r="D48" s="22" t="s">
        <v>233</v>
      </c>
      <c r="E48" s="25">
        <v>20352908</v>
      </c>
      <c r="F48" s="25"/>
      <c r="G48" s="25"/>
      <c r="H48" s="140">
        <v>1975.14</v>
      </c>
      <c r="I48" s="143">
        <f>800*0.06+800*0.07+375.14*0.08</f>
        <v>134.0112</v>
      </c>
      <c r="J48" s="24">
        <f t="shared" si="1"/>
        <v>134.0112</v>
      </c>
    </row>
    <row r="49" spans="1:12" s="4" customFormat="1">
      <c r="A49" s="82" t="s">
        <v>604</v>
      </c>
      <c r="B49" s="80">
        <v>862831</v>
      </c>
      <c r="C49" s="71" t="s">
        <v>272</v>
      </c>
      <c r="D49" s="22" t="s">
        <v>286</v>
      </c>
      <c r="E49" s="25">
        <v>439076</v>
      </c>
      <c r="F49" s="25"/>
      <c r="G49" s="25">
        <v>2025</v>
      </c>
      <c r="H49" s="140">
        <v>600</v>
      </c>
      <c r="I49" s="143">
        <f>H49*8*0.02*0.6</f>
        <v>57.599999999999994</v>
      </c>
      <c r="J49" s="24">
        <f t="shared" si="1"/>
        <v>57.599999999999994</v>
      </c>
    </row>
    <row r="50" spans="1:12" ht="15.75" thickBot="1">
      <c r="A50" s="469"/>
      <c r="B50" s="80"/>
      <c r="C50" s="145" t="s">
        <v>281</v>
      </c>
      <c r="D50" s="42"/>
      <c r="E50" s="42"/>
      <c r="F50" s="42"/>
      <c r="G50" s="42"/>
      <c r="H50" s="157"/>
      <c r="I50" s="158"/>
      <c r="J50" s="44">
        <f>SUM(J21:J49)</f>
        <v>1738.7026499999997</v>
      </c>
      <c r="K50" s="5" t="s">
        <v>214</v>
      </c>
    </row>
    <row r="51" spans="1:12">
      <c r="A51" s="100" t="s">
        <v>605</v>
      </c>
      <c r="B51" s="88">
        <v>819472</v>
      </c>
      <c r="C51" s="70" t="s">
        <v>235</v>
      </c>
      <c r="D51" s="89" t="s">
        <v>233</v>
      </c>
      <c r="E51" s="16">
        <v>20350299</v>
      </c>
      <c r="F51" s="16"/>
      <c r="G51" s="16"/>
      <c r="H51" s="152">
        <v>1561.16</v>
      </c>
      <c r="I51" s="153">
        <f>800*0.06+761.16*0.07</f>
        <v>101.28120000000001</v>
      </c>
      <c r="J51" s="19">
        <f t="shared" ref="J51:J59" si="2">I51</f>
        <v>101.28120000000001</v>
      </c>
      <c r="K51" s="5" t="s">
        <v>194</v>
      </c>
    </row>
    <row r="52" spans="1:12" s="4" customFormat="1">
      <c r="A52" s="82" t="s">
        <v>605</v>
      </c>
      <c r="B52" s="80">
        <v>492356</v>
      </c>
      <c r="C52" s="71" t="s">
        <v>185</v>
      </c>
      <c r="D52" s="21" t="s">
        <v>236</v>
      </c>
      <c r="E52" s="159">
        <v>443646</v>
      </c>
      <c r="F52" s="159"/>
      <c r="G52" s="22"/>
      <c r="H52" s="140">
        <v>8465</v>
      </c>
      <c r="I52" s="141">
        <f>H52*0.075*0.6</f>
        <v>380.92500000000001</v>
      </c>
      <c r="J52" s="24">
        <f t="shared" si="2"/>
        <v>380.92500000000001</v>
      </c>
      <c r="K52" s="5" t="s">
        <v>195</v>
      </c>
    </row>
    <row r="53" spans="1:12">
      <c r="A53" s="82" t="s">
        <v>605</v>
      </c>
      <c r="B53" s="80">
        <v>265570</v>
      </c>
      <c r="C53" s="74" t="s">
        <v>239</v>
      </c>
      <c r="D53" s="22" t="s">
        <v>233</v>
      </c>
      <c r="E53" s="25">
        <v>20350882</v>
      </c>
      <c r="F53" s="25"/>
      <c r="G53" s="25"/>
      <c r="H53" s="155">
        <v>2542.6</v>
      </c>
      <c r="I53" s="156">
        <f>800*0.06+800*0.07+942.6*0.08</f>
        <v>179.40800000000002</v>
      </c>
      <c r="J53" s="38">
        <f t="shared" si="2"/>
        <v>179.40800000000002</v>
      </c>
      <c r="K53" s="75" t="s">
        <v>199</v>
      </c>
    </row>
    <row r="54" spans="1:12">
      <c r="A54" s="82" t="s">
        <v>605</v>
      </c>
      <c r="B54" s="80">
        <v>566467</v>
      </c>
      <c r="C54" s="71" t="s">
        <v>240</v>
      </c>
      <c r="D54" s="22" t="s">
        <v>233</v>
      </c>
      <c r="E54" s="22">
        <v>20350674</v>
      </c>
      <c r="F54" s="22"/>
      <c r="G54" s="22"/>
      <c r="H54" s="140">
        <v>1476.91</v>
      </c>
      <c r="I54" s="141">
        <f>800*0.06+676.91*0.07</f>
        <v>95.383700000000005</v>
      </c>
      <c r="J54" s="24">
        <f t="shared" si="2"/>
        <v>95.383700000000005</v>
      </c>
      <c r="K54" s="75" t="s">
        <v>200</v>
      </c>
    </row>
    <row r="55" spans="1:12" s="6" customFormat="1">
      <c r="A55" s="82" t="s">
        <v>605</v>
      </c>
      <c r="B55" s="80">
        <v>566467</v>
      </c>
      <c r="C55" s="71" t="s">
        <v>240</v>
      </c>
      <c r="D55" s="22" t="s">
        <v>5</v>
      </c>
      <c r="E55" s="22">
        <v>20343414</v>
      </c>
      <c r="F55" s="22"/>
      <c r="G55" s="22"/>
      <c r="H55" s="160">
        <v>271</v>
      </c>
      <c r="I55" s="143">
        <f>H55-0.12</f>
        <v>270.88</v>
      </c>
      <c r="J55" s="24">
        <f t="shared" si="2"/>
        <v>270.88</v>
      </c>
      <c r="K55" s="75" t="s">
        <v>201</v>
      </c>
    </row>
    <row r="56" spans="1:12" s="6" customFormat="1">
      <c r="A56" s="82" t="s">
        <v>605</v>
      </c>
      <c r="B56" s="80">
        <v>434718</v>
      </c>
      <c r="C56" s="71" t="s">
        <v>241</v>
      </c>
      <c r="D56" s="21" t="s">
        <v>233</v>
      </c>
      <c r="E56" s="28">
        <v>20353172</v>
      </c>
      <c r="F56" s="28"/>
      <c r="G56" s="28"/>
      <c r="H56" s="161">
        <v>498.17</v>
      </c>
      <c r="I56" s="162">
        <f>H56*0.06</f>
        <v>29.8902</v>
      </c>
      <c r="J56" s="30">
        <f t="shared" si="2"/>
        <v>29.8902</v>
      </c>
      <c r="K56"/>
    </row>
    <row r="57" spans="1:12">
      <c r="A57" s="82" t="s">
        <v>605</v>
      </c>
      <c r="B57" s="80">
        <v>434718</v>
      </c>
      <c r="C57" s="71" t="s">
        <v>241</v>
      </c>
      <c r="D57" s="21" t="s">
        <v>233</v>
      </c>
      <c r="E57" s="22">
        <v>20353178</v>
      </c>
      <c r="F57" s="22"/>
      <c r="G57" s="22"/>
      <c r="H57" s="140">
        <v>628.82000000000005</v>
      </c>
      <c r="I57" s="141">
        <f>H57*0.06</f>
        <v>37.729199999999999</v>
      </c>
      <c r="J57" s="24">
        <f t="shared" si="2"/>
        <v>37.729199999999999</v>
      </c>
      <c r="K57" s="5" t="s">
        <v>211</v>
      </c>
    </row>
    <row r="58" spans="1:12" s="3" customFormat="1">
      <c r="A58" s="82" t="s">
        <v>605</v>
      </c>
      <c r="B58" s="80">
        <v>489073</v>
      </c>
      <c r="C58" s="77" t="s">
        <v>244</v>
      </c>
      <c r="D58" s="32" t="s">
        <v>252</v>
      </c>
      <c r="E58" s="25">
        <v>443800</v>
      </c>
      <c r="F58" s="25"/>
      <c r="G58" s="32">
        <v>2033</v>
      </c>
      <c r="H58" s="163">
        <v>1200</v>
      </c>
      <c r="I58" s="164">
        <f>H58*17*0.02*0.6</f>
        <v>244.79999999999998</v>
      </c>
      <c r="J58" s="165">
        <f t="shared" si="2"/>
        <v>244.79999999999998</v>
      </c>
      <c r="K58" s="4" t="s">
        <v>205</v>
      </c>
    </row>
    <row r="59" spans="1:12" s="4" customFormat="1">
      <c r="A59" s="82" t="s">
        <v>605</v>
      </c>
      <c r="B59" s="80">
        <v>859813</v>
      </c>
      <c r="C59" s="74" t="s">
        <v>245</v>
      </c>
      <c r="D59" s="32" t="s">
        <v>252</v>
      </c>
      <c r="E59" s="25">
        <v>443472</v>
      </c>
      <c r="F59" s="25"/>
      <c r="G59" s="25">
        <v>2034</v>
      </c>
      <c r="H59" s="155">
        <v>1500</v>
      </c>
      <c r="I59" s="156">
        <f>H59*17*0.02*0.6</f>
        <v>306</v>
      </c>
      <c r="J59" s="38">
        <f t="shared" si="2"/>
        <v>306</v>
      </c>
      <c r="K59" s="5" t="s">
        <v>206</v>
      </c>
      <c r="L59" s="3"/>
    </row>
    <row r="60" spans="1:12">
      <c r="A60" s="82" t="s">
        <v>605</v>
      </c>
      <c r="B60" s="80">
        <v>294523</v>
      </c>
      <c r="C60" s="77" t="s">
        <v>251</v>
      </c>
      <c r="D60" s="32" t="s">
        <v>5</v>
      </c>
      <c r="E60" s="25">
        <v>20350143</v>
      </c>
      <c r="F60" s="25"/>
      <c r="G60" s="35"/>
      <c r="H60" s="155">
        <v>198.4</v>
      </c>
      <c r="I60" s="156">
        <f>H60*0.12</f>
        <v>23.808</v>
      </c>
      <c r="J60" s="38">
        <f t="shared" ref="J60:J69" si="3">I60</f>
        <v>23.808</v>
      </c>
      <c r="K60" s="5" t="s">
        <v>207</v>
      </c>
    </row>
    <row r="61" spans="1:12">
      <c r="A61" s="82" t="s">
        <v>605</v>
      </c>
      <c r="B61" s="80">
        <v>294523</v>
      </c>
      <c r="C61" s="77" t="s">
        <v>251</v>
      </c>
      <c r="D61" s="21" t="s">
        <v>243</v>
      </c>
      <c r="E61" s="25">
        <v>20350143</v>
      </c>
      <c r="F61" s="25"/>
      <c r="G61" s="25"/>
      <c r="H61" s="155">
        <v>110.88</v>
      </c>
      <c r="I61" s="156">
        <f>H61*0.15</f>
        <v>16.631999999999998</v>
      </c>
      <c r="J61" s="38">
        <f t="shared" si="3"/>
        <v>16.631999999999998</v>
      </c>
      <c r="K61" s="5"/>
    </row>
    <row r="62" spans="1:12">
      <c r="A62" s="82" t="s">
        <v>605</v>
      </c>
      <c r="B62" s="80">
        <v>805394</v>
      </c>
      <c r="C62" s="77" t="s">
        <v>253</v>
      </c>
      <c r="D62" s="21" t="s">
        <v>24</v>
      </c>
      <c r="E62" s="25">
        <v>61002771</v>
      </c>
      <c r="F62" s="25"/>
      <c r="G62" s="25"/>
      <c r="H62" s="155">
        <v>307.08</v>
      </c>
      <c r="I62" s="156">
        <f>(H62/12*3.5)*0.6</f>
        <v>53.738999999999997</v>
      </c>
      <c r="J62" s="38">
        <f t="shared" si="3"/>
        <v>53.738999999999997</v>
      </c>
      <c r="K62" s="5"/>
    </row>
    <row r="63" spans="1:12">
      <c r="A63" s="82" t="s">
        <v>605</v>
      </c>
      <c r="B63" s="80">
        <v>480704</v>
      </c>
      <c r="C63" s="77" t="s">
        <v>258</v>
      </c>
      <c r="D63" s="21" t="s">
        <v>256</v>
      </c>
      <c r="E63" s="25">
        <v>61018913</v>
      </c>
      <c r="F63" s="25"/>
      <c r="G63" s="25"/>
      <c r="H63" s="155">
        <v>1314</v>
      </c>
      <c r="I63" s="156">
        <f>H63/12*3.5*0.6</f>
        <v>229.95</v>
      </c>
      <c r="J63" s="38">
        <f t="shared" si="3"/>
        <v>229.95</v>
      </c>
      <c r="K63" s="5"/>
    </row>
    <row r="64" spans="1:12">
      <c r="A64" s="82" t="s">
        <v>605</v>
      </c>
      <c r="B64" s="80">
        <v>278270</v>
      </c>
      <c r="C64" s="77" t="s">
        <v>262</v>
      </c>
      <c r="D64" s="21" t="s">
        <v>233</v>
      </c>
      <c r="E64" s="25">
        <v>20356191</v>
      </c>
      <c r="F64" s="25"/>
      <c r="G64" s="25"/>
      <c r="H64" s="155">
        <v>634.04999999999995</v>
      </c>
      <c r="I64" s="156">
        <f>H64*0.06</f>
        <v>38.042999999999999</v>
      </c>
      <c r="J64" s="38">
        <f t="shared" si="3"/>
        <v>38.042999999999999</v>
      </c>
      <c r="K64" s="5"/>
    </row>
    <row r="65" spans="1:11">
      <c r="A65" s="82" t="s">
        <v>605</v>
      </c>
      <c r="B65" s="80">
        <v>774166</v>
      </c>
      <c r="C65" s="77" t="s">
        <v>263</v>
      </c>
      <c r="D65" s="21" t="s">
        <v>5</v>
      </c>
      <c r="E65" s="25">
        <v>20356204</v>
      </c>
      <c r="F65" s="25"/>
      <c r="G65" s="25"/>
      <c r="H65" s="155">
        <v>647.49</v>
      </c>
      <c r="I65" s="156">
        <f>H65*0.12</f>
        <v>77.698799999999991</v>
      </c>
      <c r="J65" s="38">
        <f t="shared" si="3"/>
        <v>77.698799999999991</v>
      </c>
      <c r="K65" s="5"/>
    </row>
    <row r="66" spans="1:11">
      <c r="A66" s="82" t="s">
        <v>605</v>
      </c>
      <c r="B66" s="80">
        <v>399539</v>
      </c>
      <c r="C66" s="77" t="s">
        <v>264</v>
      </c>
      <c r="D66" s="21" t="s">
        <v>24</v>
      </c>
      <c r="E66" s="25">
        <v>61019120</v>
      </c>
      <c r="F66" s="25"/>
      <c r="G66" s="25"/>
      <c r="H66" s="155">
        <v>896.83</v>
      </c>
      <c r="I66" s="156">
        <f>H66/12*3.5*0.6</f>
        <v>156.94525000000002</v>
      </c>
      <c r="J66" s="38">
        <f t="shared" si="3"/>
        <v>156.94525000000002</v>
      </c>
      <c r="K66" s="5"/>
    </row>
    <row r="67" spans="1:11">
      <c r="A67" s="82" t="s">
        <v>605</v>
      </c>
      <c r="B67" s="80">
        <v>812252</v>
      </c>
      <c r="C67" s="77" t="s">
        <v>265</v>
      </c>
      <c r="D67" s="21" t="s">
        <v>252</v>
      </c>
      <c r="E67" s="25">
        <v>443948</v>
      </c>
      <c r="F67" s="25"/>
      <c r="G67" s="25">
        <v>2037</v>
      </c>
      <c r="H67" s="155">
        <v>1692</v>
      </c>
      <c r="I67" s="156">
        <f>H67*20*0.02*0.6</f>
        <v>406.08000000000004</v>
      </c>
      <c r="J67" s="38">
        <f t="shared" si="3"/>
        <v>406.08000000000004</v>
      </c>
      <c r="K67" s="5"/>
    </row>
    <row r="68" spans="1:11">
      <c r="A68" s="82" t="s">
        <v>605</v>
      </c>
      <c r="B68" s="80">
        <v>515179</v>
      </c>
      <c r="C68" s="77" t="s">
        <v>266</v>
      </c>
      <c r="D68" s="21" t="s">
        <v>236</v>
      </c>
      <c r="E68" s="25">
        <v>444044</v>
      </c>
      <c r="F68" s="25"/>
      <c r="G68" s="25"/>
      <c r="H68" s="155">
        <v>306.92</v>
      </c>
      <c r="I68" s="156">
        <f>H68*0.075*0.6</f>
        <v>13.811400000000001</v>
      </c>
      <c r="J68" s="38">
        <f t="shared" si="3"/>
        <v>13.811400000000001</v>
      </c>
      <c r="K68" s="5"/>
    </row>
    <row r="69" spans="1:11">
      <c r="A69" s="82" t="s">
        <v>605</v>
      </c>
      <c r="B69" s="80">
        <v>726792</v>
      </c>
      <c r="C69" s="77" t="s">
        <v>268</v>
      </c>
      <c r="D69" s="21" t="s">
        <v>252</v>
      </c>
      <c r="E69" s="25">
        <v>409453</v>
      </c>
      <c r="F69" s="25"/>
      <c r="G69" s="25">
        <v>2027</v>
      </c>
      <c r="H69" s="155">
        <v>1750</v>
      </c>
      <c r="I69" s="156">
        <f>H69*11*0.02*0.6</f>
        <v>231</v>
      </c>
      <c r="J69" s="38">
        <f t="shared" si="3"/>
        <v>231</v>
      </c>
      <c r="K69" s="5"/>
    </row>
    <row r="70" spans="1:11">
      <c r="A70" s="82" t="s">
        <v>605</v>
      </c>
      <c r="B70" s="80">
        <v>515456</v>
      </c>
      <c r="C70" s="77" t="s">
        <v>269</v>
      </c>
      <c r="D70" s="21" t="s">
        <v>233</v>
      </c>
      <c r="E70" s="25">
        <v>20358460</v>
      </c>
      <c r="F70" s="25"/>
      <c r="G70" s="25"/>
      <c r="H70" s="155">
        <v>1089.23</v>
      </c>
      <c r="I70" s="156">
        <f>800*0.06+289.23*0.07</f>
        <v>68.246099999999998</v>
      </c>
      <c r="J70" s="38">
        <f t="shared" ref="J70:J81" si="4">I70</f>
        <v>68.246099999999998</v>
      </c>
      <c r="K70" s="5"/>
    </row>
    <row r="71" spans="1:11">
      <c r="A71" s="82" t="s">
        <v>605</v>
      </c>
      <c r="B71" s="80">
        <v>498511</v>
      </c>
      <c r="C71" s="77" t="s">
        <v>270</v>
      </c>
      <c r="D71" s="21" t="s">
        <v>252</v>
      </c>
      <c r="E71" s="25">
        <v>444175</v>
      </c>
      <c r="F71" s="25"/>
      <c r="G71" s="25">
        <v>2041</v>
      </c>
      <c r="H71" s="155">
        <v>1500</v>
      </c>
      <c r="I71" s="156">
        <f>H71*25*0.02*0.6</f>
        <v>450</v>
      </c>
      <c r="J71" s="38">
        <f t="shared" si="4"/>
        <v>450</v>
      </c>
      <c r="K71" s="5"/>
    </row>
    <row r="72" spans="1:11">
      <c r="A72" s="82" t="s">
        <v>605</v>
      </c>
      <c r="B72" s="80">
        <v>792018</v>
      </c>
      <c r="C72" s="77" t="s">
        <v>271</v>
      </c>
      <c r="D72" s="21" t="s">
        <v>24</v>
      </c>
      <c r="E72" s="25">
        <v>60016648</v>
      </c>
      <c r="F72" s="25"/>
      <c r="G72" s="25"/>
      <c r="H72" s="155">
        <v>612.41</v>
      </c>
      <c r="I72" s="156">
        <f>H72/12*3.5*0.6</f>
        <v>107.17174999999999</v>
      </c>
      <c r="J72" s="38">
        <f t="shared" si="4"/>
        <v>107.17174999999999</v>
      </c>
      <c r="K72" s="5"/>
    </row>
    <row r="73" spans="1:11">
      <c r="A73" s="82" t="s">
        <v>605</v>
      </c>
      <c r="B73" s="80">
        <v>614914</v>
      </c>
      <c r="C73" s="77" t="s">
        <v>273</v>
      </c>
      <c r="D73" s="21" t="s">
        <v>236</v>
      </c>
      <c r="E73" s="25">
        <v>444043</v>
      </c>
      <c r="F73" s="25"/>
      <c r="G73" s="25">
        <v>2037</v>
      </c>
      <c r="H73" s="155">
        <v>253.04</v>
      </c>
      <c r="I73" s="156">
        <f>H73*0.075*0.6</f>
        <v>11.386799999999999</v>
      </c>
      <c r="J73" s="38">
        <f t="shared" si="4"/>
        <v>11.386799999999999</v>
      </c>
      <c r="K73" s="5"/>
    </row>
    <row r="74" spans="1:11">
      <c r="A74" s="82" t="s">
        <v>605</v>
      </c>
      <c r="B74" s="80">
        <v>798932</v>
      </c>
      <c r="C74" s="77" t="s">
        <v>274</v>
      </c>
      <c r="D74" s="21" t="s">
        <v>275</v>
      </c>
      <c r="E74" s="25">
        <v>20260294</v>
      </c>
      <c r="F74" s="25"/>
      <c r="G74" s="25"/>
      <c r="H74" s="155">
        <v>1704.18</v>
      </c>
      <c r="I74" s="156">
        <f>800*0.06+800*0.07+104.18*0.08*0.5</f>
        <v>108.16719999999999</v>
      </c>
      <c r="J74" s="38">
        <f t="shared" si="4"/>
        <v>108.16719999999999</v>
      </c>
      <c r="K74" s="5"/>
    </row>
    <row r="75" spans="1:11">
      <c r="A75" s="82" t="s">
        <v>605</v>
      </c>
      <c r="B75" s="80">
        <v>777026</v>
      </c>
      <c r="C75" s="77" t="s">
        <v>276</v>
      </c>
      <c r="D75" s="21" t="s">
        <v>252</v>
      </c>
      <c r="E75" s="25">
        <v>444155</v>
      </c>
      <c r="F75" s="25"/>
      <c r="G75" s="25">
        <v>2052</v>
      </c>
      <c r="H75" s="155">
        <v>1500</v>
      </c>
      <c r="I75" s="156">
        <f>H75*36*0.02*0.6</f>
        <v>648</v>
      </c>
      <c r="J75" s="38">
        <f t="shared" si="4"/>
        <v>648</v>
      </c>
      <c r="K75" s="5"/>
    </row>
    <row r="76" spans="1:11">
      <c r="A76" s="82" t="s">
        <v>605</v>
      </c>
      <c r="B76" s="80">
        <v>462817</v>
      </c>
      <c r="C76" s="77" t="s">
        <v>277</v>
      </c>
      <c r="D76" s="21" t="s">
        <v>233</v>
      </c>
      <c r="E76" s="25">
        <v>20354097</v>
      </c>
      <c r="F76" s="25"/>
      <c r="G76" s="25"/>
      <c r="H76" s="155">
        <v>1705.92</v>
      </c>
      <c r="I76" s="156">
        <f>800*0.06+800*0.07+105.92*0.08</f>
        <v>112.4736</v>
      </c>
      <c r="J76" s="38">
        <f t="shared" si="4"/>
        <v>112.4736</v>
      </c>
      <c r="K76" s="5"/>
    </row>
    <row r="77" spans="1:11">
      <c r="A77" s="82" t="s">
        <v>605</v>
      </c>
      <c r="B77" s="80">
        <v>462817</v>
      </c>
      <c r="C77" s="77" t="s">
        <v>277</v>
      </c>
      <c r="D77" s="21" t="s">
        <v>283</v>
      </c>
      <c r="E77" s="25">
        <v>8012702014</v>
      </c>
      <c r="F77" s="25"/>
      <c r="G77" s="25"/>
      <c r="H77" s="155">
        <v>600</v>
      </c>
      <c r="I77" s="156">
        <f>H77*20*0.025*0.6</f>
        <v>180</v>
      </c>
      <c r="J77" s="38">
        <f>I77</f>
        <v>180</v>
      </c>
      <c r="K77" s="5"/>
    </row>
    <row r="78" spans="1:11">
      <c r="A78" s="82" t="s">
        <v>605</v>
      </c>
      <c r="B78" s="80">
        <v>462817</v>
      </c>
      <c r="C78" s="77" t="s">
        <v>277</v>
      </c>
      <c r="D78" s="21" t="s">
        <v>5</v>
      </c>
      <c r="E78" s="25">
        <v>20357832</v>
      </c>
      <c r="F78" s="25"/>
      <c r="G78" s="25"/>
      <c r="H78" s="155">
        <v>236.5</v>
      </c>
      <c r="I78" s="156">
        <f>H78*0.12</f>
        <v>28.38</v>
      </c>
      <c r="J78" s="38">
        <f t="shared" si="4"/>
        <v>28.38</v>
      </c>
      <c r="K78" s="5"/>
    </row>
    <row r="79" spans="1:11">
      <c r="A79" s="82" t="s">
        <v>605</v>
      </c>
      <c r="B79" s="80">
        <v>531103</v>
      </c>
      <c r="C79" s="77" t="s">
        <v>278</v>
      </c>
      <c r="D79" s="21" t="s">
        <v>233</v>
      </c>
      <c r="E79" s="25">
        <v>20360225</v>
      </c>
      <c r="F79" s="25"/>
      <c r="G79" s="25"/>
      <c r="H79" s="155">
        <v>1024.33</v>
      </c>
      <c r="I79" s="156">
        <f>800*0.06+224.33*0.07</f>
        <v>63.703100000000006</v>
      </c>
      <c r="J79" s="38">
        <f t="shared" si="4"/>
        <v>63.703100000000006</v>
      </c>
      <c r="K79" s="5"/>
    </row>
    <row r="80" spans="1:11">
      <c r="A80" s="82" t="s">
        <v>605</v>
      </c>
      <c r="B80" s="80">
        <v>807737</v>
      </c>
      <c r="C80" s="77" t="s">
        <v>279</v>
      </c>
      <c r="D80" s="21" t="s">
        <v>243</v>
      </c>
      <c r="E80" s="25">
        <v>60017932</v>
      </c>
      <c r="F80" s="25"/>
      <c r="G80" s="25"/>
      <c r="H80" s="155">
        <v>145.08000000000001</v>
      </c>
      <c r="I80" s="156">
        <f>H80*0.15</f>
        <v>21.762</v>
      </c>
      <c r="J80" s="38">
        <f t="shared" si="4"/>
        <v>21.762</v>
      </c>
      <c r="K80" s="5"/>
    </row>
    <row r="81" spans="1:11">
      <c r="A81" s="82" t="s">
        <v>605</v>
      </c>
      <c r="B81" s="80">
        <v>292747</v>
      </c>
      <c r="C81" s="77" t="s">
        <v>280</v>
      </c>
      <c r="D81" s="21" t="s">
        <v>126</v>
      </c>
      <c r="E81" s="25">
        <v>20358950</v>
      </c>
      <c r="F81" s="25"/>
      <c r="G81" s="25"/>
      <c r="H81" s="155">
        <v>391.29</v>
      </c>
      <c r="I81" s="156">
        <f>H81*0.1</f>
        <v>39.129000000000005</v>
      </c>
      <c r="J81" s="38">
        <f t="shared" si="4"/>
        <v>39.129000000000005</v>
      </c>
      <c r="K81" s="5"/>
    </row>
    <row r="82" spans="1:11">
      <c r="A82" s="82" t="s">
        <v>605</v>
      </c>
      <c r="B82" s="80">
        <v>127021</v>
      </c>
      <c r="C82" s="47" t="s">
        <v>284</v>
      </c>
      <c r="D82" s="51" t="s">
        <v>252</v>
      </c>
      <c r="E82" s="106">
        <v>60219308</v>
      </c>
      <c r="F82" s="106"/>
      <c r="G82" s="106">
        <v>2026</v>
      </c>
      <c r="H82" s="170">
        <v>1200</v>
      </c>
      <c r="I82" s="171">
        <f>H82*9*0.02*0.6</f>
        <v>129.6</v>
      </c>
      <c r="J82" s="107">
        <f>I82</f>
        <v>129.6</v>
      </c>
      <c r="K82" s="5"/>
    </row>
    <row r="83" spans="1:11">
      <c r="A83" s="82" t="s">
        <v>605</v>
      </c>
      <c r="B83" s="80">
        <v>515456</v>
      </c>
      <c r="C83" s="47" t="s">
        <v>269</v>
      </c>
      <c r="D83" s="51" t="s">
        <v>5</v>
      </c>
      <c r="E83" s="106"/>
      <c r="F83" s="106"/>
      <c r="G83" s="106"/>
      <c r="H83" s="170">
        <v>240</v>
      </c>
      <c r="I83" s="171">
        <f>H83*0.12</f>
        <v>28.799999999999997</v>
      </c>
      <c r="J83" s="107">
        <f>I83</f>
        <v>28.799999999999997</v>
      </c>
      <c r="K83" s="5"/>
    </row>
    <row r="84" spans="1:11">
      <c r="A84" s="82" t="s">
        <v>605</v>
      </c>
      <c r="B84" s="80">
        <v>834160</v>
      </c>
      <c r="C84" s="47" t="s">
        <v>285</v>
      </c>
      <c r="D84" s="51" t="s">
        <v>243</v>
      </c>
      <c r="E84" s="106">
        <v>20236368</v>
      </c>
      <c r="F84" s="106"/>
      <c r="G84" s="106"/>
      <c r="H84" s="170">
        <v>110.88</v>
      </c>
      <c r="I84" s="171">
        <f>H84*0.15</f>
        <v>16.631999999999998</v>
      </c>
      <c r="J84" s="107">
        <f>I84</f>
        <v>16.631999999999998</v>
      </c>
      <c r="K84" s="5"/>
    </row>
    <row r="85" spans="1:11">
      <c r="A85" s="82" t="s">
        <v>605</v>
      </c>
      <c r="B85" s="80">
        <v>559422</v>
      </c>
      <c r="C85" s="47" t="s">
        <v>188</v>
      </c>
      <c r="D85" s="51" t="s">
        <v>8</v>
      </c>
      <c r="E85" s="106">
        <v>24628603</v>
      </c>
      <c r="F85" s="106"/>
      <c r="G85" s="106"/>
      <c r="H85" s="170">
        <v>42000</v>
      </c>
      <c r="I85" s="171">
        <f>H85*0.007*0.6</f>
        <v>176.4</v>
      </c>
      <c r="J85" s="107">
        <f>I85</f>
        <v>176.4</v>
      </c>
      <c r="K85" s="5"/>
    </row>
    <row r="86" spans="1:11">
      <c r="A86" s="80"/>
      <c r="B86" s="80"/>
      <c r="C86" s="47"/>
      <c r="D86" s="51"/>
      <c r="E86" s="106"/>
      <c r="F86" s="106"/>
      <c r="G86" s="106"/>
      <c r="H86" s="170"/>
      <c r="I86" s="171"/>
      <c r="J86" s="107"/>
      <c r="K86" s="5"/>
    </row>
    <row r="87" spans="1:11">
      <c r="A87" s="80"/>
      <c r="B87" s="80"/>
      <c r="C87" s="47"/>
      <c r="D87" s="51"/>
      <c r="E87" s="106"/>
      <c r="F87" s="106"/>
      <c r="G87" s="106"/>
      <c r="H87" s="170"/>
      <c r="I87" s="171"/>
      <c r="J87" s="107"/>
      <c r="K87" s="5"/>
    </row>
    <row r="88" spans="1:11" ht="15.75" thickBot="1">
      <c r="A88" s="80"/>
      <c r="B88" s="80"/>
      <c r="C88" s="172" t="s">
        <v>281</v>
      </c>
      <c r="D88" s="146"/>
      <c r="E88" s="166"/>
      <c r="F88" s="166"/>
      <c r="G88" s="166"/>
      <c r="H88" s="167"/>
      <c r="I88" s="168"/>
      <c r="J88" s="169">
        <f>SUM(J51:J84)</f>
        <v>4907.4562999999998</v>
      </c>
      <c r="K88" s="5"/>
    </row>
    <row r="89" spans="1:11" ht="15.75" thickBot="1">
      <c r="A89" s="80"/>
      <c r="B89" s="80"/>
      <c r="C89" s="176"/>
      <c r="D89" s="177"/>
      <c r="E89" s="178"/>
      <c r="F89" s="178"/>
      <c r="G89" s="178"/>
      <c r="H89" s="179"/>
      <c r="I89" s="180"/>
      <c r="J89" s="181"/>
      <c r="K89" s="5"/>
    </row>
    <row r="90" spans="1:11" ht="15.75" thickBot="1">
      <c r="A90" s="103"/>
      <c r="B90" s="103"/>
      <c r="C90" s="173" t="s">
        <v>282</v>
      </c>
      <c r="D90" s="119"/>
      <c r="E90" s="119"/>
      <c r="F90" s="119"/>
      <c r="G90" s="119"/>
      <c r="H90" s="131"/>
      <c r="I90" s="138"/>
      <c r="J90" s="120">
        <f>SUM(J20,J50,J88)</f>
        <v>7535.9843000000001</v>
      </c>
      <c r="K90" s="5"/>
    </row>
    <row r="91" spans="1:11">
      <c r="A91" s="83"/>
      <c r="B91" s="83"/>
      <c r="C91" s="109"/>
      <c r="D91" s="110"/>
      <c r="E91" s="110"/>
      <c r="F91" s="110"/>
      <c r="G91" s="110"/>
      <c r="H91" s="132"/>
      <c r="I91" s="137"/>
      <c r="J91" s="115"/>
      <c r="K91" s="5"/>
    </row>
    <row r="92" spans="1:11">
      <c r="A92" s="83"/>
      <c r="B92" s="83"/>
      <c r="C92" s="109" t="s">
        <v>226</v>
      </c>
      <c r="D92" s="110"/>
      <c r="E92" s="110"/>
      <c r="F92" s="110"/>
      <c r="G92" s="110"/>
      <c r="H92" s="132"/>
      <c r="I92" s="137"/>
      <c r="J92" s="115">
        <f>J10</f>
        <v>5178.6499999999996</v>
      </c>
      <c r="K92" s="5"/>
    </row>
    <row r="93" spans="1:11">
      <c r="A93" s="83"/>
      <c r="B93" s="83"/>
      <c r="C93" s="109" t="s">
        <v>224</v>
      </c>
      <c r="D93" s="110"/>
      <c r="E93" s="110"/>
      <c r="F93" s="110"/>
      <c r="G93" s="110"/>
      <c r="H93" s="132"/>
      <c r="I93" s="137"/>
      <c r="J93" s="115">
        <f>SUM(J90:J92)</f>
        <v>12714.6343</v>
      </c>
      <c r="K93" s="5"/>
    </row>
    <row r="94" spans="1:11" s="67" customFormat="1" ht="15.75" thickBot="1">
      <c r="A94" s="83"/>
      <c r="B94" s="83"/>
      <c r="C94" s="104" t="s">
        <v>227</v>
      </c>
      <c r="D94" s="42"/>
      <c r="E94" s="42"/>
      <c r="F94" s="42"/>
      <c r="G94" s="42"/>
      <c r="H94" s="133"/>
      <c r="I94" s="136"/>
      <c r="J94" s="24">
        <f>J93/3</f>
        <v>4238.2114333333329</v>
      </c>
    </row>
    <row r="95" spans="1:11" s="63" customFormat="1">
      <c r="A95" s="83"/>
      <c r="B95" s="83"/>
      <c r="C95" s="64"/>
      <c r="D95" s="65"/>
      <c r="E95" s="65"/>
      <c r="F95" s="478"/>
      <c r="G95" s="65"/>
      <c r="H95" s="134"/>
      <c r="I95" s="139"/>
      <c r="J95" s="68"/>
    </row>
    <row r="96" spans="1:11" s="63" customFormat="1">
      <c r="A96" s="83"/>
      <c r="B96" s="83"/>
      <c r="C96" s="64"/>
      <c r="D96" s="65"/>
      <c r="E96" s="65"/>
      <c r="F96" s="478"/>
      <c r="G96" s="65"/>
      <c r="H96" s="134"/>
      <c r="I96" s="129"/>
      <c r="J96" s="66"/>
    </row>
    <row r="97" spans="1:10" s="63" customFormat="1">
      <c r="A97" s="83"/>
      <c r="B97" s="83"/>
      <c r="C97" s="64"/>
      <c r="D97" s="65"/>
      <c r="E97" s="65"/>
      <c r="F97" s="478"/>
      <c r="G97" s="65"/>
      <c r="H97" s="134"/>
      <c r="I97" s="129"/>
      <c r="J97" s="66"/>
    </row>
    <row r="98" spans="1:10" s="63" customFormat="1">
      <c r="A98" s="83"/>
      <c r="B98" s="83"/>
      <c r="C98" s="64"/>
      <c r="D98" s="65"/>
      <c r="E98" s="65"/>
      <c r="F98" s="478"/>
      <c r="G98" s="65"/>
      <c r="H98" s="134"/>
      <c r="I98" s="129"/>
      <c r="J98" s="66"/>
    </row>
    <row r="99" spans="1:10">
      <c r="C99" s="64"/>
      <c r="D99" s="65"/>
      <c r="E99" s="65"/>
      <c r="F99" s="478"/>
      <c r="G99" s="65"/>
      <c r="H99" s="134"/>
      <c r="I99" s="129"/>
      <c r="J99" s="66"/>
    </row>
  </sheetData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Header>&amp;C&amp;"-,Gras"&amp;14COMMISSION JEFF DERAPPE 4 ème TRIMESTRE</oddHeader>
    <oddFooter xml:space="preserve">&amp;L&amp;8&amp;Z&amp;F&amp;C&amp;7&amp;P/&amp;N&amp;RModfié le &amp;D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94"/>
  <sheetViews>
    <sheetView topLeftCell="A43" zoomScale="150" zoomScaleNormal="150" workbookViewId="0">
      <selection activeCell="D59" sqref="D59"/>
    </sheetView>
    <sheetView workbookViewId="1"/>
    <sheetView workbookViewId="2"/>
  </sheetViews>
  <sheetFormatPr baseColWidth="10" defaultRowHeight="15"/>
  <cols>
    <col min="1" max="1" width="16" style="78" customWidth="1"/>
    <col min="2" max="2" width="10.42578125" style="78" customWidth="1"/>
    <col min="3" max="3" width="28" style="7" customWidth="1"/>
    <col min="4" max="4" width="21.7109375" style="1" customWidth="1"/>
    <col min="5" max="5" width="18.85546875" style="1" customWidth="1"/>
    <col min="6" max="6" width="8.42578125" style="210" customWidth="1"/>
    <col min="7" max="7" width="10.5703125" style="1" customWidth="1"/>
    <col min="8" max="8" width="13.28515625" style="130" customWidth="1"/>
    <col min="9" max="9" width="12.42578125" style="127" customWidth="1"/>
    <col min="10" max="10" width="12.42578125" style="2" customWidth="1"/>
    <col min="11" max="11" width="34.28515625" hidden="1" customWidth="1"/>
  </cols>
  <sheetData>
    <row r="1" spans="1:11" ht="30" customHeight="1">
      <c r="C1" s="182"/>
      <c r="D1" s="183"/>
      <c r="E1" s="182"/>
      <c r="F1" s="212"/>
      <c r="G1" s="174"/>
      <c r="H1" s="125"/>
      <c r="I1" s="125"/>
      <c r="J1" s="58"/>
      <c r="K1" s="183"/>
    </row>
    <row r="2" spans="1:11" s="10" customFormat="1" ht="18.75" customHeight="1">
      <c r="A2" s="78"/>
      <c r="B2" s="78"/>
      <c r="E2" s="1" t="s">
        <v>354</v>
      </c>
      <c r="F2" s="210"/>
      <c r="G2" s="11" t="s">
        <v>208</v>
      </c>
      <c r="H2" s="126"/>
      <c r="I2" s="126"/>
      <c r="J2" s="10">
        <f>6*80</f>
        <v>480</v>
      </c>
    </row>
    <row r="3" spans="1:11" s="10" customFormat="1" ht="18.75" customHeight="1">
      <c r="A3" s="78"/>
      <c r="B3" s="78"/>
      <c r="E3" s="2"/>
      <c r="F3" s="213"/>
      <c r="G3" s="76"/>
      <c r="H3" s="126"/>
      <c r="I3" s="126"/>
    </row>
    <row r="4" spans="1:11">
      <c r="C4" s="7" t="s">
        <v>189</v>
      </c>
      <c r="D4" s="9"/>
      <c r="G4" s="11"/>
      <c r="H4" s="126"/>
      <c r="I4" s="126"/>
      <c r="J4" s="10"/>
      <c r="K4" s="9"/>
    </row>
    <row r="5" spans="1:11">
      <c r="D5" s="9"/>
      <c r="G5" s="11"/>
      <c r="H5" s="126"/>
      <c r="I5" s="126"/>
      <c r="J5" s="10"/>
      <c r="K5" s="9"/>
    </row>
    <row r="6" spans="1:11">
      <c r="C6" s="7" t="s">
        <v>70</v>
      </c>
      <c r="D6" s="9" t="s">
        <v>293</v>
      </c>
      <c r="G6" s="11"/>
      <c r="H6" s="126"/>
      <c r="I6" s="126"/>
      <c r="J6" s="10">
        <v>1379</v>
      </c>
      <c r="K6" s="9"/>
    </row>
    <row r="7" spans="1:11">
      <c r="C7" s="7" t="s">
        <v>70</v>
      </c>
      <c r="D7" s="9" t="s">
        <v>294</v>
      </c>
      <c r="G7" s="11"/>
      <c r="H7" s="126"/>
      <c r="I7" s="126"/>
      <c r="J7" s="10">
        <v>1502.55</v>
      </c>
      <c r="K7" s="9"/>
    </row>
    <row r="8" spans="1:11">
      <c r="C8" s="7" t="s">
        <v>70</v>
      </c>
      <c r="D8" s="9" t="s">
        <v>295</v>
      </c>
      <c r="G8" s="11"/>
      <c r="H8" s="126"/>
      <c r="I8" s="126"/>
      <c r="J8" s="10">
        <v>1621.55</v>
      </c>
      <c r="K8" s="9"/>
    </row>
    <row r="9" spans="1:11">
      <c r="D9" s="9"/>
      <c r="G9" s="11"/>
      <c r="H9" s="126"/>
      <c r="I9" s="126"/>
      <c r="J9" s="10"/>
      <c r="K9" s="9"/>
    </row>
    <row r="10" spans="1:11">
      <c r="C10" s="7" t="s">
        <v>225</v>
      </c>
      <c r="D10" s="9"/>
      <c r="G10" s="11"/>
      <c r="H10" s="126"/>
      <c r="I10" s="126"/>
      <c r="J10" s="117">
        <f>SUM(J2:J8)</f>
        <v>4983.1000000000004</v>
      </c>
      <c r="K10" s="9"/>
    </row>
    <row r="11" spans="1:11" ht="15.75" thickBot="1">
      <c r="K11" s="11"/>
    </row>
    <row r="12" spans="1:11" ht="30">
      <c r="A12" s="79"/>
      <c r="B12" s="493" t="s">
        <v>592</v>
      </c>
      <c r="C12" s="15" t="s">
        <v>0</v>
      </c>
      <c r="D12" s="16" t="s">
        <v>50</v>
      </c>
      <c r="E12" s="16" t="s">
        <v>11</v>
      </c>
      <c r="F12" s="214" t="s">
        <v>360</v>
      </c>
      <c r="G12" s="16" t="s">
        <v>53</v>
      </c>
      <c r="H12" s="184" t="s">
        <v>74</v>
      </c>
      <c r="I12" s="185" t="s">
        <v>1</v>
      </c>
      <c r="J12" s="19" t="s">
        <v>92</v>
      </c>
    </row>
    <row r="13" spans="1:11">
      <c r="A13" s="80" t="s">
        <v>537</v>
      </c>
      <c r="B13" s="83">
        <v>294775</v>
      </c>
      <c r="C13" s="20" t="s">
        <v>300</v>
      </c>
      <c r="D13" s="22" t="s">
        <v>51</v>
      </c>
      <c r="E13" s="22">
        <v>20360895</v>
      </c>
      <c r="F13" s="35"/>
      <c r="G13" s="22"/>
      <c r="H13" s="140">
        <v>244.83</v>
      </c>
      <c r="I13" s="143">
        <f>H13*0.12</f>
        <v>29.3796</v>
      </c>
      <c r="J13" s="144">
        <f t="shared" ref="J13:J25" si="0">I13</f>
        <v>29.3796</v>
      </c>
      <c r="K13" t="s">
        <v>159</v>
      </c>
    </row>
    <row r="14" spans="1:11">
      <c r="A14" s="80" t="s">
        <v>537</v>
      </c>
      <c r="B14" s="83">
        <v>591383</v>
      </c>
      <c r="C14" s="20" t="s">
        <v>302</v>
      </c>
      <c r="D14" s="21" t="s">
        <v>303</v>
      </c>
      <c r="E14" s="22">
        <v>20364861</v>
      </c>
      <c r="F14" s="35"/>
      <c r="G14" s="22"/>
      <c r="H14" s="140">
        <v>914.77</v>
      </c>
      <c r="I14" s="141">
        <f>((800*0.06)+(114.77*0.07))</f>
        <v>56.033900000000003</v>
      </c>
      <c r="J14" s="144">
        <f t="shared" si="0"/>
        <v>56.033900000000003</v>
      </c>
      <c r="K14" t="s">
        <v>161</v>
      </c>
    </row>
    <row r="15" spans="1:11">
      <c r="A15" s="80" t="s">
        <v>537</v>
      </c>
      <c r="B15" s="83">
        <v>556862</v>
      </c>
      <c r="C15" s="20" t="s">
        <v>305</v>
      </c>
      <c r="D15" s="21" t="s">
        <v>304</v>
      </c>
      <c r="E15" s="22">
        <v>20363991</v>
      </c>
      <c r="F15" s="35"/>
      <c r="G15" s="22"/>
      <c r="H15" s="140">
        <v>199.62</v>
      </c>
      <c r="I15" s="141">
        <f>H15*0.12</f>
        <v>23.9544</v>
      </c>
      <c r="J15" s="144">
        <f t="shared" si="0"/>
        <v>23.9544</v>
      </c>
      <c r="K15" t="s">
        <v>160</v>
      </c>
    </row>
    <row r="16" spans="1:11">
      <c r="A16" s="80" t="s">
        <v>537</v>
      </c>
      <c r="B16" s="83">
        <v>556862</v>
      </c>
      <c r="C16" s="20" t="s">
        <v>305</v>
      </c>
      <c r="D16" s="21" t="s">
        <v>306</v>
      </c>
      <c r="E16" s="22">
        <v>61020478</v>
      </c>
      <c r="F16" s="35"/>
      <c r="G16" s="22"/>
      <c r="H16" s="140">
        <v>688.32</v>
      </c>
      <c r="I16" s="141">
        <f>(H16/12*3.5)*0.6</f>
        <v>120.456</v>
      </c>
      <c r="J16" s="150">
        <f t="shared" si="0"/>
        <v>120.456</v>
      </c>
      <c r="K16" t="s">
        <v>147</v>
      </c>
    </row>
    <row r="17" spans="1:12">
      <c r="A17" s="80" t="s">
        <v>537</v>
      </c>
      <c r="B17" s="83">
        <v>731291</v>
      </c>
      <c r="C17" s="20" t="s">
        <v>307</v>
      </c>
      <c r="D17" s="21" t="s">
        <v>299</v>
      </c>
      <c r="E17" s="22">
        <v>610729</v>
      </c>
      <c r="F17" s="35"/>
      <c r="G17" s="22">
        <v>2036</v>
      </c>
      <c r="H17" s="140">
        <v>1500</v>
      </c>
      <c r="I17" s="141">
        <f>(H17*19*0.02)*0.6</f>
        <v>342</v>
      </c>
      <c r="J17" s="150">
        <f t="shared" si="0"/>
        <v>342</v>
      </c>
      <c r="K17" t="s">
        <v>155</v>
      </c>
    </row>
    <row r="18" spans="1:12">
      <c r="A18" s="80" t="s">
        <v>537</v>
      </c>
      <c r="B18" s="83">
        <v>548742</v>
      </c>
      <c r="C18" s="20" t="s">
        <v>308</v>
      </c>
      <c r="D18" s="21" t="s">
        <v>5</v>
      </c>
      <c r="E18" s="22">
        <v>20362467</v>
      </c>
      <c r="F18" s="35"/>
      <c r="G18" s="22"/>
      <c r="H18" s="140">
        <v>208.59</v>
      </c>
      <c r="I18" s="141">
        <f>H18*0.12</f>
        <v>25.030799999999999</v>
      </c>
      <c r="J18" s="150">
        <f t="shared" si="0"/>
        <v>25.030799999999999</v>
      </c>
    </row>
    <row r="19" spans="1:12">
      <c r="A19" s="80" t="s">
        <v>537</v>
      </c>
      <c r="B19" s="83">
        <v>314323</v>
      </c>
      <c r="C19" s="20" t="s">
        <v>309</v>
      </c>
      <c r="D19" s="21" t="s">
        <v>306</v>
      </c>
      <c r="E19" s="22">
        <v>61019914</v>
      </c>
      <c r="F19" s="35"/>
      <c r="G19" s="22"/>
      <c r="H19" s="140">
        <v>1354.2</v>
      </c>
      <c r="I19" s="141">
        <f>(H19/12*3.5)*0.6</f>
        <v>236.98500000000001</v>
      </c>
      <c r="J19" s="150">
        <f t="shared" si="0"/>
        <v>236.98500000000001</v>
      </c>
    </row>
    <row r="20" spans="1:12">
      <c r="A20" s="80" t="s">
        <v>537</v>
      </c>
      <c r="B20" s="83">
        <v>597572</v>
      </c>
      <c r="C20" s="20" t="s">
        <v>311</v>
      </c>
      <c r="D20" s="21" t="s">
        <v>299</v>
      </c>
      <c r="E20" s="22">
        <v>610905</v>
      </c>
      <c r="F20" s="35"/>
      <c r="G20" s="22">
        <v>2028</v>
      </c>
      <c r="H20" s="140">
        <v>1200</v>
      </c>
      <c r="I20" s="141">
        <f>(H20*11*0.02)*0.6</f>
        <v>158.4</v>
      </c>
      <c r="J20" s="150">
        <f t="shared" si="0"/>
        <v>158.4</v>
      </c>
    </row>
    <row r="21" spans="1:12">
      <c r="A21" s="80" t="s">
        <v>537</v>
      </c>
      <c r="B21" s="83">
        <v>597551</v>
      </c>
      <c r="C21" s="20" t="s">
        <v>310</v>
      </c>
      <c r="D21" s="21" t="s">
        <v>299</v>
      </c>
      <c r="E21" s="22">
        <v>610917</v>
      </c>
      <c r="F21" s="35"/>
      <c r="G21" s="22">
        <v>2026</v>
      </c>
      <c r="H21" s="140">
        <v>1200</v>
      </c>
      <c r="I21" s="141">
        <f>(H21*9*0.02)*0.6</f>
        <v>129.6</v>
      </c>
      <c r="J21" s="150">
        <f t="shared" si="0"/>
        <v>129.6</v>
      </c>
    </row>
    <row r="22" spans="1:12">
      <c r="A22" s="80" t="s">
        <v>537</v>
      </c>
      <c r="B22" s="83">
        <v>819472</v>
      </c>
      <c r="C22" s="20" t="s">
        <v>312</v>
      </c>
      <c r="D22" s="21" t="s">
        <v>299</v>
      </c>
      <c r="E22" s="22">
        <v>610771</v>
      </c>
      <c r="F22" s="35"/>
      <c r="G22" s="22">
        <v>2030</v>
      </c>
      <c r="H22" s="140">
        <v>1100</v>
      </c>
      <c r="I22" s="141">
        <f>(H22*13*0.02)*0.6</f>
        <v>171.6</v>
      </c>
      <c r="J22" s="150">
        <f t="shared" si="0"/>
        <v>171.6</v>
      </c>
    </row>
    <row r="23" spans="1:12">
      <c r="A23" s="80" t="s">
        <v>537</v>
      </c>
      <c r="B23" s="83">
        <v>543930</v>
      </c>
      <c r="C23" s="20" t="s">
        <v>313</v>
      </c>
      <c r="D23" s="21" t="s">
        <v>314</v>
      </c>
      <c r="E23" s="22">
        <v>20362492</v>
      </c>
      <c r="F23" s="35"/>
      <c r="G23" s="22"/>
      <c r="H23" s="140">
        <v>156.69</v>
      </c>
      <c r="I23" s="141">
        <f>H23*0.12</f>
        <v>18.802799999999998</v>
      </c>
      <c r="J23" s="150">
        <f t="shared" si="0"/>
        <v>18.802799999999998</v>
      </c>
    </row>
    <row r="24" spans="1:12">
      <c r="A24" s="80" t="s">
        <v>537</v>
      </c>
      <c r="B24" s="83">
        <v>601423</v>
      </c>
      <c r="C24" s="33" t="s">
        <v>315</v>
      </c>
      <c r="D24" s="34" t="s">
        <v>303</v>
      </c>
      <c r="E24" s="35">
        <v>20365397</v>
      </c>
      <c r="F24" s="35"/>
      <c r="G24" s="35"/>
      <c r="H24" s="207">
        <v>1172.1500000000001</v>
      </c>
      <c r="I24" s="208">
        <f>(800*0.06)+(372.15*0.07)</f>
        <v>74.0505</v>
      </c>
      <c r="J24" s="150">
        <f t="shared" si="0"/>
        <v>74.0505</v>
      </c>
    </row>
    <row r="25" spans="1:12">
      <c r="A25" s="80" t="s">
        <v>537</v>
      </c>
      <c r="B25" s="83">
        <v>601423</v>
      </c>
      <c r="C25" s="33" t="s">
        <v>315</v>
      </c>
      <c r="D25" s="34" t="s">
        <v>5</v>
      </c>
      <c r="E25" s="35">
        <v>20365411</v>
      </c>
      <c r="F25" s="35"/>
      <c r="G25" s="35"/>
      <c r="H25" s="207">
        <v>130.66</v>
      </c>
      <c r="I25" s="208">
        <f>H25*0.12</f>
        <v>15.6792</v>
      </c>
      <c r="J25" s="150">
        <f t="shared" si="0"/>
        <v>15.6792</v>
      </c>
    </row>
    <row r="26" spans="1:12">
      <c r="A26" s="80" t="s">
        <v>537</v>
      </c>
      <c r="B26" s="83">
        <v>606245</v>
      </c>
      <c r="C26" s="20" t="s">
        <v>316</v>
      </c>
      <c r="D26" s="21" t="s">
        <v>5</v>
      </c>
      <c r="E26" s="22">
        <v>20365809</v>
      </c>
      <c r="F26" s="35"/>
      <c r="H26" s="22">
        <v>454.46</v>
      </c>
      <c r="I26" s="141">
        <f>H26*0.12</f>
        <v>54.535199999999996</v>
      </c>
      <c r="J26" s="150">
        <f>I26</f>
        <v>54.535199999999996</v>
      </c>
    </row>
    <row r="27" spans="1:12">
      <c r="A27" s="80" t="s">
        <v>537</v>
      </c>
      <c r="B27" s="83">
        <v>905099</v>
      </c>
      <c r="C27" s="20" t="s">
        <v>317</v>
      </c>
      <c r="D27" s="21" t="s">
        <v>62</v>
      </c>
      <c r="E27" s="22">
        <v>20248133</v>
      </c>
      <c r="F27" s="35"/>
      <c r="G27" s="22"/>
      <c r="H27" s="140">
        <v>111.71</v>
      </c>
      <c r="I27" s="141">
        <f>H27*0.15</f>
        <v>16.756499999999999</v>
      </c>
      <c r="J27" s="150">
        <f>I27</f>
        <v>16.756499999999999</v>
      </c>
    </row>
    <row r="28" spans="1:12">
      <c r="A28" s="80" t="s">
        <v>537</v>
      </c>
      <c r="B28" s="83">
        <v>705800</v>
      </c>
      <c r="C28" s="33" t="s">
        <v>353</v>
      </c>
      <c r="D28" s="34" t="s">
        <v>299</v>
      </c>
      <c r="E28" s="35">
        <v>611030</v>
      </c>
      <c r="F28" s="35"/>
      <c r="G28" s="35">
        <v>2039</v>
      </c>
      <c r="H28" s="207">
        <v>1692</v>
      </c>
      <c r="I28" s="208">
        <f>(H28*22*0.02)*0.6</f>
        <v>446.68799999999999</v>
      </c>
      <c r="J28" s="150">
        <f>I28</f>
        <v>446.68799999999999</v>
      </c>
      <c r="K28" s="3"/>
    </row>
    <row r="29" spans="1:12">
      <c r="A29" s="80" t="s">
        <v>537</v>
      </c>
      <c r="B29" s="83">
        <v>756960</v>
      </c>
      <c r="C29" s="20" t="s">
        <v>318</v>
      </c>
      <c r="D29" s="21" t="s">
        <v>306</v>
      </c>
      <c r="E29" s="22">
        <v>61020598</v>
      </c>
      <c r="F29" s="35"/>
      <c r="G29" s="22"/>
      <c r="H29" s="140">
        <v>663.96</v>
      </c>
      <c r="I29" s="141">
        <f>(H29/12*3.5)*0.6</f>
        <v>116.19300000000001</v>
      </c>
      <c r="J29" s="150">
        <f>I29</f>
        <v>116.19300000000001</v>
      </c>
    </row>
    <row r="30" spans="1:12" ht="15.75" thickBot="1">
      <c r="A30" s="80"/>
      <c r="B30" s="83"/>
      <c r="C30" s="195"/>
      <c r="D30" s="22"/>
      <c r="E30" s="22"/>
      <c r="F30" s="35"/>
      <c r="G30" s="22"/>
      <c r="H30" s="140"/>
      <c r="I30" s="143"/>
      <c r="J30" s="150"/>
    </row>
    <row r="31" spans="1:12" ht="15.75" thickBot="1">
      <c r="A31" s="218"/>
      <c r="B31" s="489"/>
      <c r="C31" s="196" t="s">
        <v>319</v>
      </c>
      <c r="D31" s="146"/>
      <c r="E31" s="147"/>
      <c r="F31" s="216"/>
      <c r="G31" s="147"/>
      <c r="H31" s="148"/>
      <c r="I31" s="149"/>
      <c r="J31" s="151">
        <f>SUM(J13:J30)</f>
        <v>2036.1449</v>
      </c>
    </row>
    <row r="32" spans="1:12">
      <c r="A32" s="88" t="s">
        <v>538</v>
      </c>
      <c r="B32" s="189">
        <v>411055</v>
      </c>
      <c r="C32" s="15" t="s">
        <v>320</v>
      </c>
      <c r="D32" s="16" t="s">
        <v>51</v>
      </c>
      <c r="E32" s="16">
        <v>20350380</v>
      </c>
      <c r="F32" s="214"/>
      <c r="G32" s="16"/>
      <c r="H32" s="152">
        <v>172.9</v>
      </c>
      <c r="I32" s="153">
        <f>H32*0.12</f>
        <v>20.748000000000001</v>
      </c>
      <c r="J32" s="19">
        <f t="shared" ref="J32:J37" si="1">I32</f>
        <v>20.748000000000001</v>
      </c>
      <c r="K32" s="62" t="s">
        <v>146</v>
      </c>
      <c r="L32" s="62"/>
    </row>
    <row r="33" spans="1:12" s="62" customFormat="1">
      <c r="A33" s="1" t="s">
        <v>538</v>
      </c>
      <c r="B33" s="501">
        <v>848696</v>
      </c>
      <c r="C33" s="494" t="s">
        <v>606</v>
      </c>
      <c r="D33" s="495" t="s">
        <v>306</v>
      </c>
      <c r="E33" s="496" t="s">
        <v>609</v>
      </c>
      <c r="F33" s="496"/>
      <c r="G33" s="496"/>
      <c r="H33" s="497">
        <v>1470.84</v>
      </c>
      <c r="I33" s="498">
        <f>(H33/12*3.5)*0.6</f>
        <v>257.39699999999999</v>
      </c>
      <c r="J33" s="499">
        <f t="shared" si="1"/>
        <v>257.39699999999999</v>
      </c>
      <c r="K33" s="500" t="s">
        <v>163</v>
      </c>
      <c r="L33" s="6"/>
    </row>
    <row r="34" spans="1:12" s="6" customFormat="1">
      <c r="A34" s="80" t="s">
        <v>538</v>
      </c>
      <c r="B34" s="286">
        <v>848696</v>
      </c>
      <c r="C34" s="20" t="s">
        <v>607</v>
      </c>
      <c r="D34" s="21" t="s">
        <v>306</v>
      </c>
      <c r="E34" s="22">
        <v>61020956</v>
      </c>
      <c r="F34" s="35"/>
      <c r="G34" s="22"/>
      <c r="H34" s="140">
        <v>663.96</v>
      </c>
      <c r="I34" s="141">
        <f>(H34/12*3.5)*0.6</f>
        <v>116.19300000000001</v>
      </c>
      <c r="J34" s="24">
        <f t="shared" si="1"/>
        <v>116.19300000000001</v>
      </c>
      <c r="K34" s="5" t="s">
        <v>191</v>
      </c>
      <c r="L34"/>
    </row>
    <row r="35" spans="1:12">
      <c r="A35" s="80" t="s">
        <v>538</v>
      </c>
      <c r="B35" s="83">
        <v>621969</v>
      </c>
      <c r="C35" s="36" t="s">
        <v>321</v>
      </c>
      <c r="D35" s="32" t="s">
        <v>322</v>
      </c>
      <c r="E35" s="25">
        <v>610986</v>
      </c>
      <c r="F35" s="25"/>
      <c r="G35" s="25">
        <v>2048</v>
      </c>
      <c r="H35" s="155">
        <v>1200</v>
      </c>
      <c r="I35" s="156">
        <f>(H35*31*0.02)*0.6</f>
        <v>446.4</v>
      </c>
      <c r="J35" s="38">
        <f t="shared" si="1"/>
        <v>446.4</v>
      </c>
      <c r="K35" s="5" t="s">
        <v>192</v>
      </c>
    </row>
    <row r="36" spans="1:12">
      <c r="A36" s="84" t="s">
        <v>538</v>
      </c>
      <c r="B36" s="83">
        <v>623396</v>
      </c>
      <c r="C36" s="20" t="s">
        <v>323</v>
      </c>
      <c r="D36" s="22" t="s">
        <v>51</v>
      </c>
      <c r="E36" s="22">
        <v>20367851</v>
      </c>
      <c r="F36" s="35"/>
      <c r="G36" s="22"/>
      <c r="H36" s="154">
        <v>263.11</v>
      </c>
      <c r="I36" s="141">
        <f>H36*0.12</f>
        <v>31.5732</v>
      </c>
      <c r="J36" s="24">
        <f t="shared" si="1"/>
        <v>31.5732</v>
      </c>
      <c r="K36" s="5" t="s">
        <v>177</v>
      </c>
    </row>
    <row r="37" spans="1:12">
      <c r="A37" s="78" t="s">
        <v>538</v>
      </c>
      <c r="B37" s="78">
        <v>606245</v>
      </c>
      <c r="C37" s="20" t="s">
        <v>324</v>
      </c>
      <c r="D37" s="31" t="s">
        <v>3</v>
      </c>
      <c r="E37" s="22">
        <v>20368089</v>
      </c>
      <c r="F37" s="35"/>
      <c r="G37" s="22"/>
      <c r="H37" s="140">
        <v>520.71</v>
      </c>
      <c r="I37" s="141">
        <f>H37*0.06</f>
        <v>31.242599999999999</v>
      </c>
      <c r="J37" s="24">
        <f t="shared" si="1"/>
        <v>31.242599999999999</v>
      </c>
      <c r="K37" s="75" t="s">
        <v>202</v>
      </c>
    </row>
    <row r="38" spans="1:12" ht="22.5">
      <c r="A38" s="84" t="s">
        <v>538</v>
      </c>
      <c r="B38" s="78">
        <v>606245</v>
      </c>
      <c r="C38" s="20" t="s">
        <v>324</v>
      </c>
      <c r="D38" s="31" t="s">
        <v>5</v>
      </c>
      <c r="E38" s="22">
        <v>20370530</v>
      </c>
      <c r="F38" s="35"/>
      <c r="G38" s="211" t="s">
        <v>359</v>
      </c>
      <c r="H38" s="140"/>
      <c r="I38" s="141">
        <f>H38*0.12</f>
        <v>0</v>
      </c>
      <c r="J38" s="24"/>
      <c r="K38" s="4" t="s">
        <v>204</v>
      </c>
    </row>
    <row r="39" spans="1:12">
      <c r="A39" s="84" t="s">
        <v>538</v>
      </c>
      <c r="B39" s="83">
        <v>653485</v>
      </c>
      <c r="C39" s="20" t="s">
        <v>325</v>
      </c>
      <c r="D39" s="31" t="s">
        <v>3</v>
      </c>
      <c r="E39" s="25">
        <v>20368897</v>
      </c>
      <c r="F39" s="35"/>
      <c r="G39" s="25"/>
      <c r="H39" s="155">
        <v>1715.24</v>
      </c>
      <c r="I39" s="156">
        <f>(800*0.06)+(800*0.07)+(115*0.08)</f>
        <v>113.2</v>
      </c>
      <c r="J39" s="38">
        <f t="shared" ref="J39:J52" si="2">I39</f>
        <v>113.2</v>
      </c>
      <c r="K39" s="4" t="s">
        <v>203</v>
      </c>
      <c r="L39" s="4"/>
    </row>
    <row r="40" spans="1:12" s="4" customFormat="1">
      <c r="A40" s="80" t="s">
        <v>538</v>
      </c>
      <c r="B40" s="83">
        <v>653485</v>
      </c>
      <c r="C40" s="20" t="s">
        <v>325</v>
      </c>
      <c r="D40" s="21" t="s">
        <v>5</v>
      </c>
      <c r="E40" s="25">
        <v>20369764</v>
      </c>
      <c r="F40" s="35"/>
      <c r="G40" s="25"/>
      <c r="H40" s="155">
        <v>209.95</v>
      </c>
      <c r="I40" s="156">
        <f>H40*0.12</f>
        <v>25.193999999999999</v>
      </c>
      <c r="J40" s="38">
        <f t="shared" si="2"/>
        <v>25.193999999999999</v>
      </c>
    </row>
    <row r="41" spans="1:12" s="4" customFormat="1">
      <c r="A41" s="80" t="s">
        <v>538</v>
      </c>
      <c r="B41" s="83">
        <v>465040</v>
      </c>
      <c r="C41" s="20" t="s">
        <v>40</v>
      </c>
      <c r="D41" s="21" t="s">
        <v>3</v>
      </c>
      <c r="E41" s="25">
        <v>20368838</v>
      </c>
      <c r="F41" s="35"/>
      <c r="G41" s="25"/>
      <c r="H41" s="155">
        <v>1446.15</v>
      </c>
      <c r="I41" s="156">
        <f>(800*0.06)+(646.15*0.07)</f>
        <v>93.230500000000006</v>
      </c>
      <c r="J41" s="38">
        <f t="shared" si="2"/>
        <v>93.230500000000006</v>
      </c>
      <c r="K41" s="75" t="s">
        <v>196</v>
      </c>
    </row>
    <row r="42" spans="1:12" s="4" customFormat="1">
      <c r="A42" s="80" t="s">
        <v>538</v>
      </c>
      <c r="B42" s="83">
        <v>119792</v>
      </c>
      <c r="C42" s="20" t="s">
        <v>326</v>
      </c>
      <c r="D42" s="21" t="s">
        <v>252</v>
      </c>
      <c r="E42" s="22">
        <v>445819</v>
      </c>
      <c r="F42" s="35"/>
      <c r="G42" s="22">
        <v>2029</v>
      </c>
      <c r="H42" s="140">
        <v>3200</v>
      </c>
      <c r="I42" s="141">
        <f>(H42*12*0.02)*0.6</f>
        <v>460.79999999999995</v>
      </c>
      <c r="J42" s="24">
        <f t="shared" si="2"/>
        <v>460.79999999999995</v>
      </c>
      <c r="K42" s="75"/>
    </row>
    <row r="43" spans="1:12" s="4" customFormat="1">
      <c r="A43" s="80" t="s">
        <v>538</v>
      </c>
      <c r="B43" s="83">
        <v>397325</v>
      </c>
      <c r="C43" s="20" t="s">
        <v>327</v>
      </c>
      <c r="D43" s="22" t="s">
        <v>299</v>
      </c>
      <c r="E43" s="25">
        <v>611082</v>
      </c>
      <c r="F43" s="35"/>
      <c r="G43" s="25">
        <v>2038</v>
      </c>
      <c r="H43" s="140">
        <v>1200</v>
      </c>
      <c r="I43" s="143">
        <f>(H43*21*0.02)*0.6</f>
        <v>302.39999999999998</v>
      </c>
      <c r="J43" s="24">
        <f t="shared" si="2"/>
        <v>302.39999999999998</v>
      </c>
      <c r="K43" t="s">
        <v>197</v>
      </c>
    </row>
    <row r="44" spans="1:12" s="4" customFormat="1">
      <c r="A44" s="80" t="s">
        <v>538</v>
      </c>
      <c r="B44" s="83">
        <v>857776</v>
      </c>
      <c r="C44" s="20" t="s">
        <v>329</v>
      </c>
      <c r="D44" s="22" t="s">
        <v>306</v>
      </c>
      <c r="E44" s="25">
        <v>61020955</v>
      </c>
      <c r="F44" s="35"/>
      <c r="G44" s="25"/>
      <c r="H44" s="140">
        <v>700.08</v>
      </c>
      <c r="I44" s="141">
        <f>(H44/12*3.5)*0.6</f>
        <v>122.514</v>
      </c>
      <c r="J44" s="24">
        <f t="shared" si="2"/>
        <v>122.514</v>
      </c>
      <c r="K44" s="4" t="s">
        <v>177</v>
      </c>
    </row>
    <row r="45" spans="1:12" s="4" customFormat="1">
      <c r="A45" s="80" t="s">
        <v>538</v>
      </c>
      <c r="B45" s="83">
        <v>857776</v>
      </c>
      <c r="C45" s="20" t="s">
        <v>329</v>
      </c>
      <c r="D45" s="22" t="s">
        <v>337</v>
      </c>
      <c r="E45" s="25">
        <v>20191996</v>
      </c>
      <c r="F45" s="35" t="s">
        <v>379</v>
      </c>
      <c r="G45" s="35"/>
      <c r="H45" s="140">
        <v>1677.16</v>
      </c>
      <c r="I45" s="143">
        <f>((800*0.06)+(800*0.07)+(77.16*0.08))*0.5</f>
        <v>55.086399999999998</v>
      </c>
      <c r="J45" s="24">
        <f t="shared" si="2"/>
        <v>55.086399999999998</v>
      </c>
    </row>
    <row r="46" spans="1:12" s="4" customFormat="1">
      <c r="A46" s="80" t="s">
        <v>538</v>
      </c>
      <c r="B46" s="83">
        <v>358802</v>
      </c>
      <c r="C46" s="20" t="s">
        <v>330</v>
      </c>
      <c r="D46" s="22" t="s">
        <v>3</v>
      </c>
      <c r="E46" s="25">
        <v>20368677</v>
      </c>
      <c r="F46" s="35"/>
      <c r="G46" s="25"/>
      <c r="H46" s="140">
        <v>1605.23</v>
      </c>
      <c r="I46" s="143">
        <f>((800*0.06)+(800*0.07)+(5.23*0.08))</f>
        <v>104.41840000000001</v>
      </c>
      <c r="J46" s="24">
        <f t="shared" si="2"/>
        <v>104.41840000000001</v>
      </c>
    </row>
    <row r="47" spans="1:12" s="4" customFormat="1">
      <c r="A47" s="80" t="s">
        <v>538</v>
      </c>
      <c r="B47" s="83">
        <v>515456</v>
      </c>
      <c r="C47" s="20" t="s">
        <v>331</v>
      </c>
      <c r="D47" s="22" t="s">
        <v>5</v>
      </c>
      <c r="E47" s="25">
        <v>20371620</v>
      </c>
      <c r="F47" s="35"/>
      <c r="G47" s="25"/>
      <c r="H47" s="140">
        <v>235.26</v>
      </c>
      <c r="I47" s="143">
        <f>H47*0.12</f>
        <v>28.231199999999998</v>
      </c>
      <c r="J47" s="24">
        <f t="shared" si="2"/>
        <v>28.231199999999998</v>
      </c>
    </row>
    <row r="48" spans="1:12" s="4" customFormat="1">
      <c r="A48" s="80" t="s">
        <v>538</v>
      </c>
      <c r="B48" s="83">
        <v>672695</v>
      </c>
      <c r="C48" s="20" t="s">
        <v>332</v>
      </c>
      <c r="D48" s="22" t="s">
        <v>3</v>
      </c>
      <c r="E48" s="25">
        <v>20370552</v>
      </c>
      <c r="F48" s="35"/>
      <c r="G48" s="25"/>
      <c r="H48" s="140">
        <v>1286.92</v>
      </c>
      <c r="I48" s="143">
        <f>(800*0.06)+(486.92*0.07)</f>
        <v>82.084400000000002</v>
      </c>
      <c r="J48" s="24">
        <f t="shared" si="2"/>
        <v>82.084400000000002</v>
      </c>
    </row>
    <row r="49" spans="1:12" s="4" customFormat="1">
      <c r="A49" s="80" t="s">
        <v>538</v>
      </c>
      <c r="B49" s="83">
        <v>727461</v>
      </c>
      <c r="C49" s="20" t="s">
        <v>333</v>
      </c>
      <c r="D49" s="22" t="s">
        <v>8</v>
      </c>
      <c r="E49" s="25"/>
      <c r="F49" s="35"/>
      <c r="G49" s="25"/>
      <c r="H49" s="140">
        <v>40000</v>
      </c>
      <c r="I49" s="143">
        <f>(H49*0.007)*0.6</f>
        <v>168</v>
      </c>
      <c r="J49" s="24">
        <f t="shared" si="2"/>
        <v>168</v>
      </c>
    </row>
    <row r="50" spans="1:12" s="4" customFormat="1">
      <c r="A50" s="80" t="s">
        <v>538</v>
      </c>
      <c r="B50" s="83">
        <v>784374</v>
      </c>
      <c r="C50" s="20" t="s">
        <v>334</v>
      </c>
      <c r="D50" s="22" t="s">
        <v>8</v>
      </c>
      <c r="E50" s="25"/>
      <c r="F50" s="35"/>
      <c r="G50" s="25"/>
      <c r="H50" s="140">
        <v>40000</v>
      </c>
      <c r="I50" s="143">
        <f>(H50*0.007)*0.6</f>
        <v>168</v>
      </c>
      <c r="J50" s="24">
        <f t="shared" si="2"/>
        <v>168</v>
      </c>
    </row>
    <row r="51" spans="1:12" s="4" customFormat="1">
      <c r="A51" s="80" t="s">
        <v>538</v>
      </c>
      <c r="B51" s="502">
        <v>904456</v>
      </c>
      <c r="C51" s="503" t="s">
        <v>335</v>
      </c>
      <c r="D51" s="504" t="s">
        <v>306</v>
      </c>
      <c r="E51" s="504" t="s">
        <v>608</v>
      </c>
      <c r="F51" s="504"/>
      <c r="G51" s="504"/>
      <c r="H51" s="505">
        <v>847.82</v>
      </c>
      <c r="I51" s="506">
        <f>(H51/12*3.5)*0.6</f>
        <v>148.36850000000001</v>
      </c>
      <c r="J51" s="507">
        <f t="shared" si="2"/>
        <v>148.36850000000001</v>
      </c>
    </row>
    <row r="52" spans="1:12" s="4" customFormat="1">
      <c r="A52" s="80"/>
      <c r="B52" s="83"/>
      <c r="C52" s="20"/>
      <c r="D52" s="22"/>
      <c r="E52" s="25"/>
      <c r="F52" s="35"/>
      <c r="G52" s="25"/>
      <c r="H52" s="140"/>
      <c r="I52" s="143"/>
      <c r="J52" s="24">
        <f t="shared" si="2"/>
        <v>0</v>
      </c>
    </row>
    <row r="53" spans="1:12" s="4" customFormat="1" ht="15.75" thickBot="1">
      <c r="A53" s="80"/>
      <c r="B53" s="83"/>
      <c r="C53" s="20"/>
      <c r="D53" s="22"/>
      <c r="E53" s="25"/>
      <c r="F53" s="35"/>
      <c r="G53" s="25"/>
      <c r="H53" s="140"/>
      <c r="I53" s="143"/>
      <c r="J53" s="54"/>
    </row>
    <row r="54" spans="1:12" s="4" customFormat="1" ht="15.75" thickBot="1">
      <c r="A54" s="80"/>
      <c r="B54" s="83"/>
      <c r="C54" s="196" t="s">
        <v>356</v>
      </c>
      <c r="D54" s="42"/>
      <c r="E54" s="42"/>
      <c r="F54" s="216"/>
      <c r="G54" s="42"/>
      <c r="H54" s="157"/>
      <c r="I54" s="203"/>
      <c r="J54" s="204">
        <f>SUM(J32:J53)</f>
        <v>2775.0812000000001</v>
      </c>
    </row>
    <row r="55" spans="1:12" s="4" customFormat="1">
      <c r="A55" s="512" t="s">
        <v>539</v>
      </c>
      <c r="B55" s="490">
        <v>243203</v>
      </c>
      <c r="C55" s="15" t="s">
        <v>336</v>
      </c>
      <c r="D55" s="89" t="s">
        <v>337</v>
      </c>
      <c r="E55" s="16">
        <v>59210</v>
      </c>
      <c r="F55" s="214" t="s">
        <v>379</v>
      </c>
      <c r="G55" s="16"/>
      <c r="H55" s="152">
        <v>1562.9</v>
      </c>
      <c r="I55" s="191">
        <f>((800*0.06)+(762.9*0.07))*0.5</f>
        <v>50.701500000000003</v>
      </c>
      <c r="J55" s="19">
        <f t="shared" ref="J55:J70" si="3">I55</f>
        <v>50.701500000000003</v>
      </c>
    </row>
    <row r="56" spans="1:12" s="4" customFormat="1">
      <c r="A56" s="511" t="s">
        <v>539</v>
      </c>
      <c r="B56" s="508">
        <v>555120</v>
      </c>
      <c r="C56" s="20" t="s">
        <v>338</v>
      </c>
      <c r="D56" s="21" t="s">
        <v>337</v>
      </c>
      <c r="E56" s="159">
        <v>20156908</v>
      </c>
      <c r="F56" s="219" t="s">
        <v>379</v>
      </c>
      <c r="G56" s="22"/>
      <c r="H56" s="140">
        <v>2254.79</v>
      </c>
      <c r="I56" s="156">
        <f>((800*0.06)+(800*0.07)+(654.79*0.08))*0.5</f>
        <v>78.191599999999994</v>
      </c>
      <c r="J56" s="24">
        <f t="shared" si="3"/>
        <v>78.191599999999994</v>
      </c>
      <c r="L56"/>
    </row>
    <row r="57" spans="1:12" s="4" customFormat="1">
      <c r="A57" s="446" t="s">
        <v>539</v>
      </c>
      <c r="B57" s="491">
        <v>591621</v>
      </c>
      <c r="C57" s="20" t="s">
        <v>339</v>
      </c>
      <c r="D57" s="22" t="s">
        <v>306</v>
      </c>
      <c r="E57" s="22">
        <v>61021085</v>
      </c>
      <c r="F57" s="35"/>
      <c r="G57" s="22"/>
      <c r="H57" s="140">
        <v>565.55999999999995</v>
      </c>
      <c r="I57" s="141">
        <f>(H57/12*3.5)*0.6</f>
        <v>98.972999999999985</v>
      </c>
      <c r="J57" s="24">
        <f t="shared" si="3"/>
        <v>98.972999999999985</v>
      </c>
      <c r="K57" s="5" t="s">
        <v>214</v>
      </c>
      <c r="L57"/>
    </row>
    <row r="58" spans="1:12">
      <c r="A58" s="446" t="s">
        <v>539</v>
      </c>
      <c r="B58" s="491">
        <v>672533</v>
      </c>
      <c r="C58" s="20" t="s">
        <v>340</v>
      </c>
      <c r="D58" s="21" t="s">
        <v>243</v>
      </c>
      <c r="E58" s="28">
        <v>10103536</v>
      </c>
      <c r="F58" s="35"/>
      <c r="G58" s="22"/>
      <c r="H58" s="140">
        <v>112.51</v>
      </c>
      <c r="I58" s="156">
        <f>H58*0.15</f>
        <v>16.8765</v>
      </c>
      <c r="J58" s="24">
        <f t="shared" si="3"/>
        <v>16.8765</v>
      </c>
      <c r="K58" s="5" t="s">
        <v>194</v>
      </c>
      <c r="L58" s="4"/>
    </row>
    <row r="59" spans="1:12">
      <c r="A59" s="509" t="s">
        <v>539</v>
      </c>
      <c r="B59" s="491">
        <v>683835</v>
      </c>
      <c r="C59" s="192" t="s">
        <v>341</v>
      </c>
      <c r="D59" s="32" t="s">
        <v>299</v>
      </c>
      <c r="E59" s="25">
        <v>611145</v>
      </c>
      <c r="F59" s="25"/>
      <c r="G59" s="32">
        <v>2035</v>
      </c>
      <c r="H59" s="163">
        <v>1764.72</v>
      </c>
      <c r="I59" s="164">
        <f>(H59*18*0.02)*0.6</f>
        <v>381.17952000000002</v>
      </c>
      <c r="J59" s="165">
        <f t="shared" si="3"/>
        <v>381.17952000000002</v>
      </c>
      <c r="K59" s="5" t="s">
        <v>195</v>
      </c>
    </row>
    <row r="60" spans="1:12" s="4" customFormat="1">
      <c r="A60" s="510" t="s">
        <v>539</v>
      </c>
      <c r="B60" s="491">
        <v>944900</v>
      </c>
      <c r="C60" s="36" t="s">
        <v>342</v>
      </c>
      <c r="D60" s="32" t="s">
        <v>3</v>
      </c>
      <c r="E60" s="25">
        <v>20370995</v>
      </c>
      <c r="F60" s="35"/>
      <c r="G60" s="25"/>
      <c r="H60" s="155">
        <v>675.22</v>
      </c>
      <c r="I60" s="156">
        <f>H60*0.06</f>
        <v>40.513199999999998</v>
      </c>
      <c r="J60" s="38">
        <f t="shared" si="3"/>
        <v>40.513199999999998</v>
      </c>
      <c r="K60" s="75" t="s">
        <v>199</v>
      </c>
      <c r="L60"/>
    </row>
    <row r="61" spans="1:12">
      <c r="A61" s="446" t="s">
        <v>539</v>
      </c>
      <c r="B61" s="491">
        <v>662380</v>
      </c>
      <c r="C61" s="192" t="s">
        <v>301</v>
      </c>
      <c r="D61" s="32" t="s">
        <v>361</v>
      </c>
      <c r="E61" s="25">
        <v>445892</v>
      </c>
      <c r="F61" s="35"/>
      <c r="G61" s="25">
        <v>2022</v>
      </c>
      <c r="H61" s="155">
        <v>6562.68</v>
      </c>
      <c r="I61" s="156">
        <f>(H61*5*0.018)*0.6</f>
        <v>354.38472000000002</v>
      </c>
      <c r="J61" s="38">
        <f t="shared" si="3"/>
        <v>354.38472000000002</v>
      </c>
      <c r="K61" s="75" t="s">
        <v>200</v>
      </c>
      <c r="L61" s="6"/>
    </row>
    <row r="62" spans="1:12">
      <c r="A62" s="446" t="s">
        <v>539</v>
      </c>
      <c r="B62" s="491">
        <v>603592</v>
      </c>
      <c r="C62" s="192" t="s">
        <v>343</v>
      </c>
      <c r="D62" s="21" t="s">
        <v>144</v>
      </c>
      <c r="E62" s="25">
        <v>20372499</v>
      </c>
      <c r="F62" s="35"/>
      <c r="G62" s="25"/>
      <c r="H62" s="155">
        <v>819.85</v>
      </c>
      <c r="I62" s="156">
        <f>(800*0.06)+(19.85*0.07)</f>
        <v>49.389499999999998</v>
      </c>
      <c r="J62" s="38">
        <f t="shared" si="3"/>
        <v>49.389499999999998</v>
      </c>
      <c r="K62" s="75" t="s">
        <v>201</v>
      </c>
      <c r="L62" s="6"/>
    </row>
    <row r="63" spans="1:12" s="6" customFormat="1">
      <c r="A63" s="446" t="s">
        <v>539</v>
      </c>
      <c r="B63" s="491">
        <v>603592</v>
      </c>
      <c r="C63" s="192" t="s">
        <v>343</v>
      </c>
      <c r="D63" s="21" t="s">
        <v>183</v>
      </c>
      <c r="E63" s="25">
        <v>20370742</v>
      </c>
      <c r="F63" s="35"/>
      <c r="G63" s="25"/>
      <c r="H63" s="155">
        <v>546.23</v>
      </c>
      <c r="I63" s="156">
        <f>H63*0.12</f>
        <v>65.547600000000003</v>
      </c>
      <c r="J63" s="38">
        <f t="shared" si="3"/>
        <v>65.547600000000003</v>
      </c>
      <c r="K63"/>
      <c r="L63"/>
    </row>
    <row r="64" spans="1:12" s="6" customFormat="1">
      <c r="A64" s="446" t="s">
        <v>539</v>
      </c>
      <c r="B64" s="491">
        <v>737949</v>
      </c>
      <c r="C64" s="192" t="s">
        <v>344</v>
      </c>
      <c r="D64" s="21" t="s">
        <v>306</v>
      </c>
      <c r="E64" s="25">
        <v>61021492</v>
      </c>
      <c r="F64" s="35"/>
      <c r="G64" s="25"/>
      <c r="H64" s="155">
        <v>1764.86</v>
      </c>
      <c r="I64" s="156">
        <f>(H64/12*3.5)*0.6</f>
        <v>308.85049999999995</v>
      </c>
      <c r="J64" s="38">
        <f t="shared" si="3"/>
        <v>308.85049999999995</v>
      </c>
      <c r="K64" s="5" t="s">
        <v>211</v>
      </c>
      <c r="L64" s="3"/>
    </row>
    <row r="65" spans="1:12">
      <c r="A65" s="446" t="s">
        <v>539</v>
      </c>
      <c r="B65" s="491">
        <v>297299</v>
      </c>
      <c r="C65" s="192" t="s">
        <v>345</v>
      </c>
      <c r="D65" s="21" t="s">
        <v>5</v>
      </c>
      <c r="E65" s="25">
        <v>20370435</v>
      </c>
      <c r="F65" s="35"/>
      <c r="G65" s="25"/>
      <c r="H65" s="155">
        <v>224.81</v>
      </c>
      <c r="I65" s="156">
        <f>H65*0.12</f>
        <v>26.9772</v>
      </c>
      <c r="J65" s="38">
        <f t="shared" si="3"/>
        <v>26.9772</v>
      </c>
      <c r="K65" s="4" t="s">
        <v>205</v>
      </c>
      <c r="L65" s="4"/>
    </row>
    <row r="66" spans="1:12" s="3" customFormat="1">
      <c r="A66" s="446" t="s">
        <v>539</v>
      </c>
      <c r="B66" s="491">
        <v>297299</v>
      </c>
      <c r="C66" s="192" t="s">
        <v>345</v>
      </c>
      <c r="D66" s="21" t="s">
        <v>243</v>
      </c>
      <c r="E66" s="25">
        <v>20370435</v>
      </c>
      <c r="F66" s="35"/>
      <c r="G66" s="25"/>
      <c r="H66" s="155">
        <v>112.09</v>
      </c>
      <c r="I66" s="156">
        <f>H66*0.15</f>
        <v>16.813500000000001</v>
      </c>
      <c r="J66" s="38">
        <f t="shared" si="3"/>
        <v>16.813500000000001</v>
      </c>
      <c r="K66" s="5" t="s">
        <v>206</v>
      </c>
      <c r="L66"/>
    </row>
    <row r="67" spans="1:12" s="4" customFormat="1">
      <c r="A67" s="446" t="s">
        <v>539</v>
      </c>
      <c r="B67" s="491">
        <v>773729</v>
      </c>
      <c r="C67" s="192" t="s">
        <v>27</v>
      </c>
      <c r="D67" s="21" t="s">
        <v>3</v>
      </c>
      <c r="E67" s="25">
        <v>20335402</v>
      </c>
      <c r="F67" s="35"/>
      <c r="G67" s="25"/>
      <c r="H67" s="155">
        <v>2206.29</v>
      </c>
      <c r="I67" s="156">
        <f>(800*0.06)+(800*0.07)+(606.29*0.08)</f>
        <v>152.50319999999999</v>
      </c>
      <c r="J67" s="38">
        <f t="shared" si="3"/>
        <v>152.50319999999999</v>
      </c>
      <c r="K67" s="5" t="s">
        <v>207</v>
      </c>
      <c r="L67"/>
    </row>
    <row r="68" spans="1:12">
      <c r="A68" s="446" t="s">
        <v>539</v>
      </c>
      <c r="B68" s="491">
        <v>693701</v>
      </c>
      <c r="C68" s="192" t="s">
        <v>346</v>
      </c>
      <c r="D68" s="21" t="s">
        <v>3</v>
      </c>
      <c r="E68" s="25">
        <v>20372078</v>
      </c>
      <c r="F68" s="35"/>
      <c r="G68" s="25"/>
      <c r="H68" s="155">
        <v>1224.58</v>
      </c>
      <c r="I68" s="143">
        <f>(800*0.06)+(424.58*0.07)</f>
        <v>77.720600000000005</v>
      </c>
      <c r="J68" s="38">
        <f t="shared" si="3"/>
        <v>77.720600000000005</v>
      </c>
      <c r="K68" s="5"/>
    </row>
    <row r="69" spans="1:12">
      <c r="A69" s="446" t="s">
        <v>539</v>
      </c>
      <c r="B69" s="491">
        <v>792018</v>
      </c>
      <c r="C69" s="192" t="s">
        <v>271</v>
      </c>
      <c r="D69" s="21" t="s">
        <v>5</v>
      </c>
      <c r="E69" s="25">
        <v>20373413</v>
      </c>
      <c r="F69" s="35"/>
      <c r="G69" s="25"/>
      <c r="H69" s="155">
        <v>35.33</v>
      </c>
      <c r="I69" s="156">
        <f>H69*0.12</f>
        <v>4.2395999999999994</v>
      </c>
      <c r="J69" s="38">
        <f t="shared" si="3"/>
        <v>4.2395999999999994</v>
      </c>
      <c r="K69" s="5"/>
    </row>
    <row r="70" spans="1:12">
      <c r="A70" s="446" t="s">
        <v>539</v>
      </c>
      <c r="B70" s="491">
        <v>581937</v>
      </c>
      <c r="C70" s="192" t="s">
        <v>347</v>
      </c>
      <c r="D70" s="32" t="s">
        <v>3</v>
      </c>
      <c r="E70" s="25">
        <v>20366282</v>
      </c>
      <c r="F70" s="25"/>
      <c r="G70" s="25"/>
      <c r="H70" s="155">
        <v>880.61</v>
      </c>
      <c r="I70" s="345">
        <f>(800*0.06)+(80.61*0.07)</f>
        <v>53.642699999999998</v>
      </c>
      <c r="J70" s="38">
        <f t="shared" si="3"/>
        <v>53.642699999999998</v>
      </c>
      <c r="K70" s="5"/>
    </row>
    <row r="71" spans="1:12">
      <c r="A71" s="446" t="s">
        <v>539</v>
      </c>
      <c r="B71" s="491">
        <v>702294</v>
      </c>
      <c r="C71" s="192" t="s">
        <v>348</v>
      </c>
      <c r="D71" s="21" t="s">
        <v>3</v>
      </c>
      <c r="E71" s="25">
        <v>20372620</v>
      </c>
      <c r="F71" s="35"/>
      <c r="G71" s="25"/>
      <c r="H71" s="155">
        <v>1475.18</v>
      </c>
      <c r="I71" s="143">
        <f>(800*0.06)+(675.18*0.07)</f>
        <v>95.262599999999992</v>
      </c>
      <c r="J71" s="38">
        <f>I71</f>
        <v>95.262599999999992</v>
      </c>
      <c r="K71" s="5"/>
    </row>
    <row r="72" spans="1:12">
      <c r="A72" s="446" t="s">
        <v>539</v>
      </c>
      <c r="B72" s="491">
        <v>693638</v>
      </c>
      <c r="C72" s="192" t="s">
        <v>349</v>
      </c>
      <c r="D72" s="21" t="s">
        <v>3</v>
      </c>
      <c r="E72" s="25">
        <v>20372075</v>
      </c>
      <c r="F72" s="35"/>
      <c r="G72" s="25"/>
      <c r="H72" s="155">
        <v>1461.33</v>
      </c>
      <c r="I72" s="143">
        <f>(800*0.06)+(661.33*0.07)</f>
        <v>94.29310000000001</v>
      </c>
      <c r="J72" s="38">
        <f>I72</f>
        <v>94.29310000000001</v>
      </c>
      <c r="K72" s="5"/>
    </row>
    <row r="73" spans="1:12">
      <c r="A73" s="446" t="s">
        <v>539</v>
      </c>
      <c r="B73" s="491">
        <v>727461</v>
      </c>
      <c r="C73" s="192" t="s">
        <v>350</v>
      </c>
      <c r="D73" s="21" t="s">
        <v>5</v>
      </c>
      <c r="E73" s="25">
        <v>20373685</v>
      </c>
      <c r="F73" s="35"/>
      <c r="G73" s="25"/>
      <c r="H73" s="155">
        <v>184.71</v>
      </c>
      <c r="I73" s="156">
        <f>H73*0.12</f>
        <v>22.165199999999999</v>
      </c>
      <c r="J73" s="38">
        <f>I73</f>
        <v>22.165199999999999</v>
      </c>
      <c r="K73" s="5"/>
    </row>
    <row r="74" spans="1:12" ht="15.75" thickBot="1">
      <c r="A74" s="430"/>
      <c r="B74" s="491"/>
      <c r="C74" s="192"/>
      <c r="D74" s="21"/>
      <c r="E74" s="25"/>
      <c r="F74" s="35"/>
      <c r="G74" s="25"/>
      <c r="H74" s="155"/>
      <c r="I74" s="156"/>
      <c r="J74" s="107"/>
      <c r="K74" s="5"/>
    </row>
    <row r="75" spans="1:12" ht="15.75" thickBot="1">
      <c r="A75" s="193"/>
      <c r="B75" s="492"/>
      <c r="C75" s="194" t="s">
        <v>357</v>
      </c>
      <c r="D75" s="146"/>
      <c r="E75" s="166"/>
      <c r="F75" s="216"/>
      <c r="G75" s="166"/>
      <c r="H75" s="167"/>
      <c r="I75" s="205"/>
      <c r="J75" s="206">
        <f>SUM(J55:J73)</f>
        <v>1988.2253400000002</v>
      </c>
      <c r="K75" s="5"/>
    </row>
    <row r="76" spans="1:12">
      <c r="A76" s="189"/>
      <c r="B76" s="189"/>
      <c r="C76" s="187" t="s">
        <v>282</v>
      </c>
      <c r="D76" s="16"/>
      <c r="E76" s="16"/>
      <c r="F76" s="214"/>
      <c r="G76" s="16"/>
      <c r="H76" s="152"/>
      <c r="I76" s="153"/>
      <c r="J76" s="19">
        <f>SUM(J31,J54,J75)</f>
        <v>6799.4514399999998</v>
      </c>
      <c r="K76" s="5"/>
    </row>
    <row r="77" spans="1:12">
      <c r="A77" s="190"/>
      <c r="B77" s="83"/>
      <c r="C77" s="71"/>
      <c r="D77" s="22"/>
      <c r="E77" s="22"/>
      <c r="F77" s="35"/>
      <c r="G77" s="22"/>
      <c r="H77" s="140"/>
      <c r="I77" s="141"/>
      <c r="J77" s="24"/>
      <c r="K77" s="5"/>
    </row>
    <row r="78" spans="1:12">
      <c r="A78" s="83"/>
      <c r="B78" s="83"/>
      <c r="C78" s="71" t="s">
        <v>226</v>
      </c>
      <c r="D78" s="22"/>
      <c r="E78" s="22"/>
      <c r="F78" s="35"/>
      <c r="G78" s="22"/>
      <c r="H78" s="140"/>
      <c r="I78" s="141"/>
      <c r="J78" s="24">
        <f>J10</f>
        <v>4983.1000000000004</v>
      </c>
      <c r="K78" s="5"/>
    </row>
    <row r="79" spans="1:12">
      <c r="A79" s="83"/>
      <c r="B79" s="83"/>
      <c r="C79" s="71" t="s">
        <v>224</v>
      </c>
      <c r="D79" s="22"/>
      <c r="E79" s="22"/>
      <c r="F79" s="35"/>
      <c r="G79" s="22"/>
      <c r="H79" s="140"/>
      <c r="I79" s="141"/>
      <c r="J79" s="24">
        <f>SUM(J76:J78)</f>
        <v>11782.551439999999</v>
      </c>
      <c r="K79" s="5"/>
    </row>
    <row r="80" spans="1:12" ht="15.75" thickBot="1">
      <c r="A80" s="83"/>
      <c r="B80" s="83"/>
      <c r="C80" s="104" t="s">
        <v>227</v>
      </c>
      <c r="D80" s="42"/>
      <c r="E80" s="42"/>
      <c r="F80" s="216"/>
      <c r="G80" s="42"/>
      <c r="H80" s="157"/>
      <c r="I80" s="188"/>
      <c r="J80" s="44">
        <f>J79/3</f>
        <v>3927.5171466666666</v>
      </c>
      <c r="K80" s="5"/>
    </row>
    <row r="81" spans="1:12">
      <c r="A81" s="83"/>
      <c r="B81" s="83"/>
      <c r="C81" s="64"/>
      <c r="D81" s="65"/>
      <c r="E81" s="65"/>
      <c r="F81" s="215"/>
      <c r="G81" s="65"/>
      <c r="H81" s="134"/>
      <c r="I81" s="129"/>
      <c r="J81" s="66"/>
      <c r="K81" s="5"/>
    </row>
    <row r="82" spans="1:12">
      <c r="A82" s="83"/>
      <c r="B82" s="83"/>
      <c r="C82" s="64"/>
      <c r="D82" s="65"/>
      <c r="E82" s="65"/>
      <c r="F82" s="215"/>
      <c r="G82" s="65"/>
      <c r="H82" s="134"/>
      <c r="I82" s="129"/>
      <c r="J82" s="66"/>
      <c r="K82" s="5"/>
    </row>
    <row r="83" spans="1:12">
      <c r="A83" s="83"/>
      <c r="B83" s="83"/>
      <c r="C83" s="64"/>
      <c r="D83" s="65"/>
      <c r="E83" s="65"/>
      <c r="F83" s="215"/>
      <c r="G83" s="65"/>
      <c r="H83" s="134"/>
      <c r="I83" s="129"/>
      <c r="J83" s="66"/>
      <c r="K83" s="5"/>
    </row>
    <row r="84" spans="1:12">
      <c r="A84" s="83"/>
      <c r="B84" s="83"/>
      <c r="C84" s="64"/>
      <c r="D84" s="65"/>
      <c r="E84" s="65"/>
      <c r="F84" s="215"/>
      <c r="G84" s="65"/>
      <c r="H84" s="134"/>
      <c r="I84" s="129"/>
      <c r="J84" s="66"/>
      <c r="K84" s="5"/>
    </row>
    <row r="85" spans="1:12">
      <c r="A85" s="83"/>
      <c r="B85" s="83"/>
      <c r="C85" s="64"/>
      <c r="D85" s="65"/>
      <c r="E85" s="65"/>
      <c r="F85" s="215"/>
      <c r="G85" s="65"/>
      <c r="H85" s="134"/>
      <c r="I85" s="129"/>
      <c r="J85" s="66"/>
      <c r="K85" s="5"/>
    </row>
    <row r="86" spans="1:12">
      <c r="K86" s="67"/>
      <c r="L86" s="67"/>
    </row>
    <row r="87" spans="1:12">
      <c r="K87" s="63"/>
      <c r="L87" s="63"/>
    </row>
    <row r="88" spans="1:12">
      <c r="K88" s="63"/>
      <c r="L88" s="63"/>
    </row>
    <row r="89" spans="1:12">
      <c r="K89" s="63"/>
      <c r="L89" s="63"/>
    </row>
    <row r="90" spans="1:12" s="67" customFormat="1">
      <c r="A90" s="78"/>
      <c r="B90" s="78"/>
      <c r="C90" s="7"/>
      <c r="D90" s="1"/>
      <c r="E90" s="1"/>
      <c r="F90" s="210"/>
      <c r="G90" s="1"/>
      <c r="H90" s="130"/>
      <c r="I90" s="127"/>
      <c r="J90" s="2"/>
      <c r="K90" s="63"/>
      <c r="L90" s="63"/>
    </row>
    <row r="91" spans="1:12" s="63" customFormat="1">
      <c r="A91" s="78"/>
      <c r="B91" s="78"/>
      <c r="C91" s="7"/>
      <c r="D91" s="1"/>
      <c r="E91" s="1"/>
      <c r="F91" s="210"/>
      <c r="G91" s="1"/>
      <c r="H91" s="130"/>
      <c r="I91" s="127"/>
      <c r="J91" s="2"/>
      <c r="K91"/>
      <c r="L91"/>
    </row>
    <row r="92" spans="1:12" s="63" customFormat="1">
      <c r="A92" s="78"/>
      <c r="B92" s="78"/>
      <c r="C92" s="7"/>
      <c r="D92" s="1"/>
      <c r="E92" s="1"/>
      <c r="F92" s="210"/>
      <c r="G92" s="1"/>
      <c r="H92" s="130"/>
      <c r="I92" s="127"/>
      <c r="J92" s="2"/>
      <c r="K92"/>
      <c r="L92"/>
    </row>
    <row r="93" spans="1:12" s="63" customFormat="1">
      <c r="A93" s="78"/>
      <c r="B93" s="78"/>
      <c r="C93" s="7"/>
      <c r="D93" s="1"/>
      <c r="E93" s="1"/>
      <c r="F93" s="210"/>
      <c r="G93" s="1"/>
      <c r="H93" s="130"/>
      <c r="I93" s="127"/>
      <c r="J93" s="2"/>
      <c r="K93"/>
      <c r="L93"/>
    </row>
    <row r="94" spans="1:12" s="63" customFormat="1">
      <c r="A94" s="78"/>
      <c r="B94" s="78"/>
      <c r="C94" s="7"/>
      <c r="D94" s="1"/>
      <c r="E94" s="1"/>
      <c r="F94" s="210"/>
      <c r="G94" s="1"/>
      <c r="H94" s="130"/>
      <c r="I94" s="127"/>
      <c r="J94" s="2"/>
      <c r="K94"/>
      <c r="L94"/>
    </row>
  </sheetData>
  <printOptions gridLines="1"/>
  <pageMargins left="0.23622047244094491" right="0.23622047244094491" top="0.74803149606299213" bottom="0.74803149606299213" header="0.31496062992125984" footer="0.31496062992125984"/>
  <pageSetup paperSize="9" scale="91" orientation="landscape" r:id="rId1"/>
  <headerFooter>
    <oddHeader>&amp;C&amp;"-,Gras"&amp;14COMMISSION JEFF DERAPPE 1ER TRIMESTRE 2017</oddHeader>
    <oddFooter xml:space="preserve">&amp;L&amp;8&amp;Z&amp;F&amp;C&amp;7&amp;P/&amp;N&amp;RModfié le &amp;D </oddFooter>
  </headerFooter>
  <rowBreaks count="3" manualBreakCount="3">
    <brk id="31" max="10" man="1"/>
    <brk id="54" max="10" man="1"/>
    <brk id="75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M88"/>
  <sheetViews>
    <sheetView topLeftCell="A25" zoomScaleNormal="100" workbookViewId="0">
      <selection activeCell="I39" sqref="I39"/>
    </sheetView>
    <sheetView workbookViewId="1"/>
    <sheetView workbookViewId="2"/>
  </sheetViews>
  <sheetFormatPr baseColWidth="10" defaultRowHeight="15"/>
  <cols>
    <col min="1" max="1" width="9.28515625" style="6" customWidth="1"/>
    <col min="2" max="2" width="14.5703125" style="286" customWidth="1"/>
    <col min="3" max="3" width="28" style="298" customWidth="1"/>
    <col min="4" max="4" width="22.28515625" style="1" customWidth="1"/>
    <col min="5" max="5" width="16.85546875" style="1" customWidth="1"/>
    <col min="6" max="6" width="10.7109375" style="238" customWidth="1"/>
    <col min="7" max="7" width="10.5703125" style="1" customWidth="1"/>
    <col min="8" max="8" width="13.28515625" style="130" customWidth="1"/>
    <col min="9" max="9" width="12.42578125" style="127" customWidth="1"/>
    <col min="10" max="10" width="13.5703125" style="2" customWidth="1"/>
    <col min="11" max="11" width="2.28515625" hidden="1" customWidth="1"/>
    <col min="12" max="12" width="7" hidden="1" customWidth="1"/>
  </cols>
  <sheetData>
    <row r="1" spans="1:12">
      <c r="C1" s="298" t="s">
        <v>189</v>
      </c>
      <c r="D1" s="62"/>
      <c r="F1" s="1" t="s">
        <v>409</v>
      </c>
      <c r="G1" s="210"/>
      <c r="H1" s="11" t="s">
        <v>208</v>
      </c>
      <c r="I1" s="126"/>
      <c r="J1" s="10">
        <f>5*80</f>
        <v>400</v>
      </c>
      <c r="K1" s="9"/>
    </row>
    <row r="2" spans="1:12">
      <c r="D2" s="62"/>
      <c r="G2" s="11"/>
      <c r="I2" s="126"/>
      <c r="J2" s="10"/>
      <c r="K2" s="9"/>
    </row>
    <row r="3" spans="1:12">
      <c r="C3" s="298" t="s">
        <v>70</v>
      </c>
      <c r="D3" s="62" t="s">
        <v>71</v>
      </c>
      <c r="G3" s="11"/>
      <c r="I3" s="126"/>
      <c r="J3" s="10">
        <v>1506</v>
      </c>
      <c r="K3" s="9"/>
    </row>
    <row r="4" spans="1:12">
      <c r="C4" s="298" t="s">
        <v>70</v>
      </c>
      <c r="D4" s="62" t="s">
        <v>73</v>
      </c>
      <c r="G4" s="11"/>
      <c r="I4" s="126"/>
      <c r="J4" s="10">
        <v>1621.2</v>
      </c>
      <c r="K4" s="9"/>
    </row>
    <row r="5" spans="1:12">
      <c r="C5" s="298" t="s">
        <v>70</v>
      </c>
      <c r="D5" s="62" t="s">
        <v>72</v>
      </c>
      <c r="G5" s="11"/>
      <c r="I5" s="126"/>
      <c r="J5" s="10">
        <v>1488.9</v>
      </c>
      <c r="K5" s="9"/>
    </row>
    <row r="6" spans="1:12">
      <c r="D6" s="62"/>
      <c r="G6" s="11"/>
      <c r="I6" s="126"/>
      <c r="J6" s="10"/>
      <c r="K6" s="9"/>
    </row>
    <row r="7" spans="1:12">
      <c r="C7" s="298" t="s">
        <v>225</v>
      </c>
      <c r="D7" s="62"/>
      <c r="G7" s="11"/>
      <c r="I7" s="126"/>
      <c r="J7" s="117">
        <f>SUM(J1:J5)</f>
        <v>5016.1000000000004</v>
      </c>
      <c r="K7" s="9"/>
    </row>
    <row r="8" spans="1:12" ht="15.75" thickBot="1">
      <c r="K8" s="11"/>
    </row>
    <row r="9" spans="1:12" ht="30.75" thickBot="1">
      <c r="B9" s="287"/>
      <c r="C9" s="299" t="s">
        <v>0</v>
      </c>
      <c r="D9" s="16" t="s">
        <v>50</v>
      </c>
      <c r="E9" s="16" t="s">
        <v>11</v>
      </c>
      <c r="F9" s="214" t="s">
        <v>362</v>
      </c>
      <c r="G9" s="16" t="s">
        <v>53</v>
      </c>
      <c r="H9" s="186" t="s">
        <v>74</v>
      </c>
      <c r="I9" s="185" t="s">
        <v>1</v>
      </c>
      <c r="J9" s="226" t="s">
        <v>92</v>
      </c>
      <c r="K9" s="227"/>
      <c r="L9" s="217" t="s">
        <v>358</v>
      </c>
    </row>
    <row r="10" spans="1:12">
      <c r="A10" s="513" t="s">
        <v>540</v>
      </c>
      <c r="B10" s="288">
        <v>838612</v>
      </c>
      <c r="C10" s="294" t="s">
        <v>351</v>
      </c>
      <c r="D10" s="22" t="s">
        <v>299</v>
      </c>
      <c r="E10" s="25">
        <v>611420</v>
      </c>
      <c r="F10" s="240"/>
      <c r="G10" s="25">
        <v>2050</v>
      </c>
      <c r="H10" s="155">
        <v>1200</v>
      </c>
      <c r="I10" s="156">
        <f>(H10*34*0.02)*0.6</f>
        <v>489.59999999999997</v>
      </c>
      <c r="J10" s="59">
        <f t="shared" ref="J10:J16" si="0">I10</f>
        <v>489.59999999999997</v>
      </c>
      <c r="K10" s="227"/>
      <c r="L10" s="221"/>
    </row>
    <row r="11" spans="1:12">
      <c r="A11" s="622" t="s">
        <v>540</v>
      </c>
      <c r="B11" s="623">
        <v>533374</v>
      </c>
      <c r="C11" s="624" t="s">
        <v>370</v>
      </c>
      <c r="D11" s="613" t="s">
        <v>299</v>
      </c>
      <c r="E11" s="613" t="s">
        <v>623</v>
      </c>
      <c r="F11" s="504"/>
      <c r="G11" s="613">
        <v>2041</v>
      </c>
      <c r="H11" s="614">
        <v>1500</v>
      </c>
      <c r="I11" s="615">
        <f>(H11*24*0.02)*0.6</f>
        <v>432</v>
      </c>
      <c r="J11" s="59">
        <f t="shared" si="0"/>
        <v>432</v>
      </c>
      <c r="K11" s="227"/>
      <c r="L11" s="221"/>
    </row>
    <row r="12" spans="1:12">
      <c r="A12" s="518" t="s">
        <v>540</v>
      </c>
      <c r="B12" s="202">
        <v>760929</v>
      </c>
      <c r="C12" s="294" t="s">
        <v>355</v>
      </c>
      <c r="D12" s="22" t="s">
        <v>299</v>
      </c>
      <c r="E12" s="25">
        <v>611355</v>
      </c>
      <c r="F12" s="240"/>
      <c r="G12" s="25">
        <v>2047</v>
      </c>
      <c r="H12" s="155">
        <v>1200</v>
      </c>
      <c r="I12" s="156">
        <f>(H12*30*0.02)*0.6</f>
        <v>432</v>
      </c>
      <c r="J12" s="59">
        <f t="shared" si="0"/>
        <v>432</v>
      </c>
      <c r="K12" s="227"/>
      <c r="L12" s="221"/>
    </row>
    <row r="13" spans="1:12">
      <c r="A13" s="518" t="s">
        <v>540</v>
      </c>
      <c r="B13" s="202">
        <v>646798</v>
      </c>
      <c r="C13" s="294" t="s">
        <v>246</v>
      </c>
      <c r="D13" s="22" t="s">
        <v>299</v>
      </c>
      <c r="E13" s="25">
        <v>611307</v>
      </c>
      <c r="F13" s="240"/>
      <c r="G13" s="25">
        <v>2039</v>
      </c>
      <c r="H13" s="155">
        <v>1200</v>
      </c>
      <c r="I13" s="156">
        <f>(H13*22*0.02)*0.6</f>
        <v>316.8</v>
      </c>
      <c r="J13" s="59">
        <f t="shared" si="0"/>
        <v>316.8</v>
      </c>
      <c r="K13" s="227"/>
      <c r="L13" s="221"/>
    </row>
    <row r="14" spans="1:12">
      <c r="A14" s="518" t="s">
        <v>540</v>
      </c>
      <c r="B14" s="202">
        <v>760929</v>
      </c>
      <c r="C14" s="294" t="s">
        <v>355</v>
      </c>
      <c r="D14" s="22" t="s">
        <v>306</v>
      </c>
      <c r="E14" s="25">
        <v>61021546</v>
      </c>
      <c r="F14" s="240"/>
      <c r="G14" s="25"/>
      <c r="H14" s="155">
        <v>711.72</v>
      </c>
      <c r="I14" s="156">
        <f>(H14/12*3.5)*0.6</f>
        <v>124.551</v>
      </c>
      <c r="J14" s="59">
        <f t="shared" si="0"/>
        <v>124.551</v>
      </c>
      <c r="K14" s="227"/>
      <c r="L14" s="221"/>
    </row>
    <row r="15" spans="1:12">
      <c r="A15" s="518" t="s">
        <v>540</v>
      </c>
      <c r="B15" s="202">
        <v>760929</v>
      </c>
      <c r="C15" s="294" t="s">
        <v>355</v>
      </c>
      <c r="D15" s="22" t="s">
        <v>328</v>
      </c>
      <c r="E15" s="22">
        <v>20074789</v>
      </c>
      <c r="F15" s="240" t="s">
        <v>379</v>
      </c>
      <c r="G15" s="22"/>
      <c r="H15" s="140">
        <v>1455.59</v>
      </c>
      <c r="I15" s="143">
        <f>((800*0.06)+(655.59*0.07))*0.5</f>
        <v>46.945650000000001</v>
      </c>
      <c r="J15" s="59">
        <f t="shared" si="0"/>
        <v>46.945650000000001</v>
      </c>
      <c r="K15" s="227"/>
      <c r="L15" s="221"/>
    </row>
    <row r="16" spans="1:12">
      <c r="A16" s="518" t="s">
        <v>540</v>
      </c>
      <c r="B16" s="202">
        <v>569553</v>
      </c>
      <c r="C16" s="294" t="s">
        <v>352</v>
      </c>
      <c r="D16" s="22" t="s">
        <v>59</v>
      </c>
      <c r="E16" s="25">
        <v>20375548</v>
      </c>
      <c r="F16" s="240"/>
      <c r="G16" s="25"/>
      <c r="H16" s="155">
        <v>378.97</v>
      </c>
      <c r="I16" s="156">
        <f>H16*0.15</f>
        <v>56.845500000000001</v>
      </c>
      <c r="J16" s="59">
        <f t="shared" si="0"/>
        <v>56.845500000000001</v>
      </c>
      <c r="K16" s="227"/>
      <c r="L16" s="221"/>
    </row>
    <row r="17" spans="1:13">
      <c r="A17" s="518" t="s">
        <v>540</v>
      </c>
      <c r="B17" s="202">
        <v>117637</v>
      </c>
      <c r="C17" s="300" t="s">
        <v>404</v>
      </c>
      <c r="D17" s="114" t="s">
        <v>5</v>
      </c>
      <c r="E17" s="114">
        <v>20377154</v>
      </c>
      <c r="F17" s="241"/>
      <c r="G17" s="114"/>
      <c r="H17" s="232">
        <v>331.3</v>
      </c>
      <c r="I17" s="156">
        <f>H17*0.12</f>
        <v>39.756</v>
      </c>
      <c r="J17" s="59">
        <f>I17</f>
        <v>39.756</v>
      </c>
      <c r="K17" s="227" t="s">
        <v>147</v>
      </c>
      <c r="L17" s="221"/>
    </row>
    <row r="18" spans="1:13">
      <c r="A18" s="518" t="s">
        <v>540</v>
      </c>
      <c r="B18" s="202">
        <v>789065</v>
      </c>
      <c r="C18" s="300" t="s">
        <v>405</v>
      </c>
      <c r="D18" s="114" t="s">
        <v>5</v>
      </c>
      <c r="E18" s="114">
        <v>20379299</v>
      </c>
      <c r="F18" s="241"/>
      <c r="G18" s="114"/>
      <c r="H18" s="232">
        <v>498.15</v>
      </c>
      <c r="I18" s="156">
        <f>H18*0.12</f>
        <v>59.777999999999992</v>
      </c>
      <c r="J18" s="59">
        <f>I18</f>
        <v>59.777999999999992</v>
      </c>
      <c r="K18" s="227"/>
      <c r="L18" s="221"/>
    </row>
    <row r="19" spans="1:13">
      <c r="A19" s="518" t="s">
        <v>540</v>
      </c>
      <c r="B19" s="202">
        <v>521956</v>
      </c>
      <c r="C19" s="300" t="s">
        <v>406</v>
      </c>
      <c r="D19" s="114" t="s">
        <v>3</v>
      </c>
      <c r="E19" s="114">
        <v>20379246</v>
      </c>
      <c r="F19" s="241"/>
      <c r="G19" s="114"/>
      <c r="H19" s="232">
        <v>288.8</v>
      </c>
      <c r="I19" s="198">
        <f>H19*0.06</f>
        <v>17.327999999999999</v>
      </c>
      <c r="J19" s="59">
        <f>I19</f>
        <v>17.327999999999999</v>
      </c>
      <c r="K19" s="227" t="s">
        <v>155</v>
      </c>
      <c r="L19" s="221"/>
    </row>
    <row r="20" spans="1:13">
      <c r="A20" s="518" t="s">
        <v>540</v>
      </c>
      <c r="B20" s="202">
        <v>521956</v>
      </c>
      <c r="C20" s="300" t="s">
        <v>406</v>
      </c>
      <c r="D20" s="114" t="s">
        <v>3</v>
      </c>
      <c r="E20" s="114">
        <v>20379254</v>
      </c>
      <c r="F20" s="241"/>
      <c r="G20" s="114"/>
      <c r="H20" s="232">
        <v>676.62</v>
      </c>
      <c r="I20" s="198">
        <f>H20*0.06</f>
        <v>40.597200000000001</v>
      </c>
      <c r="J20" s="59">
        <f>I20</f>
        <v>40.597200000000001</v>
      </c>
      <c r="K20" s="227"/>
      <c r="L20" s="221"/>
    </row>
    <row r="21" spans="1:13">
      <c r="A21" s="514"/>
      <c r="B21" s="202"/>
      <c r="C21" s="295"/>
      <c r="D21" s="22"/>
      <c r="E21" s="25"/>
      <c r="F21" s="240"/>
      <c r="G21" s="25"/>
      <c r="H21" s="155"/>
      <c r="I21" s="156"/>
      <c r="J21" s="59"/>
      <c r="K21" s="228"/>
      <c r="L21" s="221"/>
    </row>
    <row r="22" spans="1:13">
      <c r="A22" s="514"/>
      <c r="B22" s="202"/>
      <c r="C22" s="295"/>
      <c r="D22" s="22"/>
      <c r="E22" s="25"/>
      <c r="F22" s="240"/>
      <c r="G22" s="25"/>
      <c r="H22" s="155"/>
      <c r="I22" s="156"/>
      <c r="J22" s="59"/>
      <c r="K22" s="228"/>
      <c r="L22" s="221"/>
    </row>
    <row r="23" spans="1:13">
      <c r="A23" s="514"/>
      <c r="B23" s="202"/>
      <c r="C23" s="295"/>
      <c r="D23" s="22"/>
      <c r="E23" s="25"/>
      <c r="F23" s="240"/>
      <c r="G23" s="25"/>
      <c r="H23" s="155"/>
      <c r="I23" s="156"/>
      <c r="J23" s="59"/>
      <c r="K23" s="228"/>
      <c r="L23" s="221"/>
    </row>
    <row r="24" spans="1:13" ht="15.75" thickBot="1">
      <c r="A24" s="515"/>
      <c r="B24" s="285"/>
      <c r="C24" s="301" t="s">
        <v>378</v>
      </c>
      <c r="D24" s="42"/>
      <c r="E24" s="166"/>
      <c r="F24" s="242"/>
      <c r="G24" s="166"/>
      <c r="H24" s="167"/>
      <c r="I24" s="168"/>
      <c r="J24" s="235">
        <f>SUM(J10:J23)</f>
        <v>2056.2013499999998</v>
      </c>
      <c r="K24" s="236"/>
      <c r="L24" s="225"/>
    </row>
    <row r="25" spans="1:13" ht="21">
      <c r="A25" s="519" t="s">
        <v>544</v>
      </c>
      <c r="B25" s="289">
        <v>773696</v>
      </c>
      <c r="C25" s="296" t="s">
        <v>363</v>
      </c>
      <c r="D25" s="16" t="s">
        <v>252</v>
      </c>
      <c r="E25" s="272">
        <v>441443</v>
      </c>
      <c r="F25" s="239"/>
      <c r="G25" s="272">
        <v>2026</v>
      </c>
      <c r="H25" s="273">
        <v>600</v>
      </c>
      <c r="I25" s="274">
        <f>(H25*9*0.02)*0.6</f>
        <v>64.8</v>
      </c>
      <c r="J25" s="191">
        <f>I25</f>
        <v>64.8</v>
      </c>
      <c r="K25" s="275"/>
      <c r="L25" s="220"/>
      <c r="M25" s="389" t="s">
        <v>524</v>
      </c>
    </row>
    <row r="26" spans="1:13" ht="15.75">
      <c r="A26" s="522" t="s">
        <v>544</v>
      </c>
      <c r="B26" s="202">
        <v>857776</v>
      </c>
      <c r="C26" s="302" t="s">
        <v>329</v>
      </c>
      <c r="D26" s="114" t="s">
        <v>5</v>
      </c>
      <c r="E26" s="22">
        <v>20379483</v>
      </c>
      <c r="F26" s="240"/>
      <c r="G26" s="22"/>
      <c r="H26" s="140">
        <v>210.07</v>
      </c>
      <c r="I26" s="156">
        <f>H26*0.12</f>
        <v>25.208399999999997</v>
      </c>
      <c r="J26" s="229">
        <f>I26</f>
        <v>25.208399999999997</v>
      </c>
      <c r="K26" s="227"/>
      <c r="L26" s="221"/>
    </row>
    <row r="27" spans="1:13" ht="15.75">
      <c r="A27" s="522" t="s">
        <v>544</v>
      </c>
      <c r="B27" s="202">
        <v>414852</v>
      </c>
      <c r="C27" s="302" t="s">
        <v>371</v>
      </c>
      <c r="D27" s="22" t="s">
        <v>306</v>
      </c>
      <c r="E27" s="22">
        <v>60010792</v>
      </c>
      <c r="F27" s="240"/>
      <c r="G27" s="22"/>
      <c r="H27" s="140">
        <v>145.80000000000001</v>
      </c>
      <c r="I27" s="141">
        <f>(H27/12*3.5)*0.6</f>
        <v>25.514999999999997</v>
      </c>
      <c r="J27" s="229">
        <f t="shared" ref="J27:J52" si="1">I27</f>
        <v>25.514999999999997</v>
      </c>
      <c r="K27" s="228" t="s">
        <v>191</v>
      </c>
      <c r="L27" s="221"/>
    </row>
    <row r="28" spans="1:13" ht="15.75">
      <c r="A28" s="522" t="s">
        <v>544</v>
      </c>
      <c r="B28" s="202">
        <v>813408</v>
      </c>
      <c r="C28" s="302" t="s">
        <v>366</v>
      </c>
      <c r="D28" s="22" t="s">
        <v>337</v>
      </c>
      <c r="E28" s="22">
        <v>20380382</v>
      </c>
      <c r="F28" s="240"/>
      <c r="G28" s="22"/>
      <c r="H28" s="140">
        <v>2089.09</v>
      </c>
      <c r="I28" s="141">
        <f>(800*0.06)+(800*0.07)+(489.09*0.08)</f>
        <v>143.12720000000002</v>
      </c>
      <c r="J28" s="229">
        <f t="shared" si="1"/>
        <v>143.12720000000002</v>
      </c>
      <c r="K28" s="228" t="s">
        <v>192</v>
      </c>
      <c r="L28" s="221"/>
    </row>
    <row r="29" spans="1:13" ht="15.75">
      <c r="A29" s="522" t="s">
        <v>544</v>
      </c>
      <c r="B29" s="202">
        <v>797110</v>
      </c>
      <c r="C29" s="302" t="s">
        <v>367</v>
      </c>
      <c r="D29" s="22" t="s">
        <v>337</v>
      </c>
      <c r="E29" s="22">
        <v>20379837</v>
      </c>
      <c r="F29" s="240"/>
      <c r="G29" s="22"/>
      <c r="H29" s="140">
        <v>2217.1799999999998</v>
      </c>
      <c r="I29" s="141">
        <f>(800*0.06)+(800*0.07)+(617.18*0.08)</f>
        <v>153.37439999999998</v>
      </c>
      <c r="J29" s="229">
        <f t="shared" si="1"/>
        <v>153.37439999999998</v>
      </c>
      <c r="K29" s="228"/>
      <c r="L29" s="221"/>
    </row>
    <row r="30" spans="1:13" ht="15.75">
      <c r="A30" s="522" t="s">
        <v>544</v>
      </c>
      <c r="B30" s="202">
        <v>843169</v>
      </c>
      <c r="C30" s="302" t="s">
        <v>364</v>
      </c>
      <c r="D30" s="22" t="s">
        <v>59</v>
      </c>
      <c r="E30" s="22">
        <v>20379488</v>
      </c>
      <c r="F30" s="240"/>
      <c r="G30" s="22"/>
      <c r="H30" s="140">
        <v>201.93</v>
      </c>
      <c r="I30" s="156">
        <f>H30*0.15</f>
        <v>30.2895</v>
      </c>
      <c r="J30" s="229">
        <f t="shared" si="1"/>
        <v>30.2895</v>
      </c>
      <c r="K30" s="228"/>
      <c r="L30" s="221"/>
    </row>
    <row r="31" spans="1:13" s="4" customFormat="1" ht="15.75">
      <c r="A31" s="522" t="s">
        <v>544</v>
      </c>
      <c r="B31" s="202">
        <v>294016</v>
      </c>
      <c r="C31" s="302" t="s">
        <v>368</v>
      </c>
      <c r="D31" s="22" t="s">
        <v>5</v>
      </c>
      <c r="E31" s="22">
        <v>20380292</v>
      </c>
      <c r="F31" s="240"/>
      <c r="G31" s="22"/>
      <c r="H31" s="140">
        <v>298.23</v>
      </c>
      <c r="I31" s="156">
        <f>H31*0.12</f>
        <v>35.787599999999998</v>
      </c>
      <c r="J31" s="229">
        <f t="shared" si="1"/>
        <v>35.787599999999998</v>
      </c>
      <c r="K31" s="228"/>
      <c r="L31" s="221"/>
    </row>
    <row r="32" spans="1:13" s="4" customFormat="1" ht="15.75">
      <c r="A32" s="522" t="s">
        <v>544</v>
      </c>
      <c r="B32" s="202">
        <v>294016</v>
      </c>
      <c r="C32" s="302" t="s">
        <v>368</v>
      </c>
      <c r="D32" s="22" t="s">
        <v>59</v>
      </c>
      <c r="E32" s="22">
        <v>20380292</v>
      </c>
      <c r="F32" s="240"/>
      <c r="G32" s="22"/>
      <c r="H32" s="140">
        <v>112.52</v>
      </c>
      <c r="I32" s="156">
        <f>H32*0.15</f>
        <v>16.878</v>
      </c>
      <c r="J32" s="229">
        <f t="shared" si="1"/>
        <v>16.878</v>
      </c>
      <c r="K32" s="228"/>
      <c r="L32" s="221"/>
    </row>
    <row r="33" spans="1:12" s="4" customFormat="1" ht="15" customHeight="1">
      <c r="A33" s="522" t="s">
        <v>544</v>
      </c>
      <c r="B33" s="202">
        <v>294016</v>
      </c>
      <c r="C33" s="302" t="s">
        <v>368</v>
      </c>
      <c r="D33" s="22" t="s">
        <v>365</v>
      </c>
      <c r="E33" s="22">
        <v>441468</v>
      </c>
      <c r="F33" s="237" t="s">
        <v>372</v>
      </c>
      <c r="G33" s="22">
        <v>2026</v>
      </c>
      <c r="H33" s="140">
        <v>600</v>
      </c>
      <c r="I33" s="156">
        <f>(H33*9*0.025*0.6)*0.5</f>
        <v>40.5</v>
      </c>
      <c r="J33" s="229">
        <f t="shared" si="1"/>
        <v>40.5</v>
      </c>
      <c r="K33" s="228"/>
      <c r="L33" s="221"/>
    </row>
    <row r="34" spans="1:12" s="4" customFormat="1" ht="15.75">
      <c r="A34" s="522" t="s">
        <v>544</v>
      </c>
      <c r="B34" s="202">
        <v>751934</v>
      </c>
      <c r="C34" s="302" t="s">
        <v>369</v>
      </c>
      <c r="D34" s="22" t="s">
        <v>3</v>
      </c>
      <c r="E34" s="22">
        <v>20377707</v>
      </c>
      <c r="F34" s="240"/>
      <c r="G34" s="22"/>
      <c r="H34" s="140">
        <v>1075.8900000000001</v>
      </c>
      <c r="I34" s="141">
        <f>(800*0.06)+(275.89*0.07)</f>
        <v>67.312299999999993</v>
      </c>
      <c r="J34" s="229">
        <f t="shared" si="1"/>
        <v>67.312299999999993</v>
      </c>
      <c r="K34" s="228" t="s">
        <v>177</v>
      </c>
      <c r="L34" s="221"/>
    </row>
    <row r="35" spans="1:12" s="4" customFormat="1" ht="15.75">
      <c r="A35" s="522" t="s">
        <v>544</v>
      </c>
      <c r="B35" s="202">
        <v>659424</v>
      </c>
      <c r="C35" s="302" t="s">
        <v>373</v>
      </c>
      <c r="D35" s="22" t="s">
        <v>299</v>
      </c>
      <c r="E35" s="22">
        <v>611437</v>
      </c>
      <c r="F35" s="240"/>
      <c r="G35" s="22">
        <v>2036</v>
      </c>
      <c r="H35" s="140">
        <v>1020</v>
      </c>
      <c r="I35" s="164">
        <f>(H35*22*0.02)*0.6</f>
        <v>269.27999999999997</v>
      </c>
      <c r="J35" s="229">
        <f t="shared" si="1"/>
        <v>269.27999999999997</v>
      </c>
      <c r="K35" s="230" t="s">
        <v>202</v>
      </c>
      <c r="L35" s="221"/>
    </row>
    <row r="36" spans="1:12" s="4" customFormat="1" ht="15.75">
      <c r="A36" s="522" t="s">
        <v>544</v>
      </c>
      <c r="B36" s="202">
        <v>659426</v>
      </c>
      <c r="C36" s="302" t="s">
        <v>374</v>
      </c>
      <c r="D36" s="22" t="s">
        <v>299</v>
      </c>
      <c r="E36" s="22">
        <v>611438</v>
      </c>
      <c r="F36" s="240"/>
      <c r="G36" s="22">
        <v>2039</v>
      </c>
      <c r="H36" s="140">
        <v>720</v>
      </c>
      <c r="I36" s="164">
        <f>(H36*19*0.02)*0.6</f>
        <v>164.16</v>
      </c>
      <c r="J36" s="229">
        <f t="shared" si="1"/>
        <v>164.16</v>
      </c>
      <c r="K36" s="231" t="s">
        <v>204</v>
      </c>
      <c r="L36" s="221"/>
    </row>
    <row r="37" spans="1:12" s="4" customFormat="1" ht="15.75">
      <c r="A37" s="522" t="s">
        <v>544</v>
      </c>
      <c r="B37" s="202">
        <v>611396</v>
      </c>
      <c r="C37" s="303" t="s">
        <v>375</v>
      </c>
      <c r="D37" s="22" t="s">
        <v>306</v>
      </c>
      <c r="E37" s="22" t="s">
        <v>627</v>
      </c>
      <c r="F37" s="240"/>
      <c r="G37" s="22"/>
      <c r="H37" s="140">
        <v>854.06</v>
      </c>
      <c r="I37" s="246">
        <f>(H37/12*3.5)*0.6</f>
        <v>149.4605</v>
      </c>
      <c r="J37" s="144">
        <f t="shared" si="1"/>
        <v>149.4605</v>
      </c>
      <c r="K37" s="231" t="s">
        <v>203</v>
      </c>
      <c r="L37" s="247"/>
    </row>
    <row r="38" spans="1:12" s="4" customFormat="1" ht="14.25" customHeight="1">
      <c r="A38" s="522" t="s">
        <v>544</v>
      </c>
      <c r="B38" s="202">
        <v>849012</v>
      </c>
      <c r="C38" s="304" t="s">
        <v>380</v>
      </c>
      <c r="D38" s="52" t="s">
        <v>5</v>
      </c>
      <c r="E38" s="52">
        <v>20288250</v>
      </c>
      <c r="F38" s="243" t="s">
        <v>379</v>
      </c>
      <c r="G38" s="52"/>
      <c r="H38" s="233">
        <v>241.33</v>
      </c>
      <c r="I38" s="156">
        <f>(H38*0.12)*0.5</f>
        <v>14.479800000000001</v>
      </c>
      <c r="J38" s="144">
        <f t="shared" si="1"/>
        <v>14.479800000000001</v>
      </c>
      <c r="K38" s="197"/>
      <c r="L38" s="223"/>
    </row>
    <row r="39" spans="1:12" s="4" customFormat="1" ht="14.25" customHeight="1">
      <c r="A39" s="522" t="s">
        <v>544</v>
      </c>
      <c r="B39" s="202">
        <v>849012</v>
      </c>
      <c r="C39" s="304" t="s">
        <v>380</v>
      </c>
      <c r="D39" s="52" t="s">
        <v>381</v>
      </c>
      <c r="E39" s="52">
        <v>425327</v>
      </c>
      <c r="F39" s="243" t="s">
        <v>379</v>
      </c>
      <c r="G39" s="52"/>
      <c r="H39" s="233">
        <v>1501</v>
      </c>
      <c r="I39" s="91">
        <f>((H39*0.075)*0.6)*0.5</f>
        <v>33.772500000000001</v>
      </c>
      <c r="J39" s="144">
        <f t="shared" si="1"/>
        <v>33.772500000000001</v>
      </c>
      <c r="K39" s="197"/>
      <c r="L39" s="223"/>
    </row>
    <row r="40" spans="1:12" s="4" customFormat="1" ht="14.25" customHeight="1">
      <c r="A40" s="522" t="s">
        <v>544</v>
      </c>
      <c r="B40" s="202">
        <v>848696</v>
      </c>
      <c r="C40" s="304" t="s">
        <v>606</v>
      </c>
      <c r="D40" s="52" t="s">
        <v>306</v>
      </c>
      <c r="E40" s="52">
        <v>61012022</v>
      </c>
      <c r="F40" s="243"/>
      <c r="G40" s="52"/>
      <c r="H40" s="233">
        <v>1423.56</v>
      </c>
      <c r="I40" s="156">
        <f>(H40/12*3.5)*0.6</f>
        <v>249.12299999999999</v>
      </c>
      <c r="J40" s="144">
        <f t="shared" si="1"/>
        <v>249.12299999999999</v>
      </c>
      <c r="K40" s="197"/>
      <c r="L40" s="223"/>
    </row>
    <row r="41" spans="1:12" s="4" customFormat="1" ht="14.25" customHeight="1">
      <c r="A41" s="537" t="s">
        <v>544</v>
      </c>
      <c r="B41" s="538">
        <v>848696</v>
      </c>
      <c r="C41" s="539" t="s">
        <v>611</v>
      </c>
      <c r="D41" s="536" t="s">
        <v>306</v>
      </c>
      <c r="E41" s="536" t="s">
        <v>612</v>
      </c>
      <c r="F41" s="536"/>
      <c r="G41" s="536"/>
      <c r="H41" s="540">
        <v>760.2</v>
      </c>
      <c r="I41" s="541">
        <f>(H41/12*3.5)*0.6</f>
        <v>133.035</v>
      </c>
      <c r="J41" s="542">
        <f t="shared" si="1"/>
        <v>133.035</v>
      </c>
      <c r="K41" s="197"/>
      <c r="L41" s="223"/>
    </row>
    <row r="42" spans="1:12" s="4" customFormat="1" ht="14.25" customHeight="1">
      <c r="A42" s="522" t="s">
        <v>544</v>
      </c>
      <c r="B42" s="202">
        <v>526276</v>
      </c>
      <c r="C42" s="304" t="s">
        <v>382</v>
      </c>
      <c r="D42" s="52" t="s">
        <v>306</v>
      </c>
      <c r="E42" s="52">
        <v>61022143</v>
      </c>
      <c r="F42" s="243"/>
      <c r="G42" s="52"/>
      <c r="H42" s="233">
        <v>1083.96</v>
      </c>
      <c r="I42" s="156">
        <f>(H42/12*3.5)*0.6</f>
        <v>189.69299999999998</v>
      </c>
      <c r="J42" s="144">
        <f t="shared" si="1"/>
        <v>189.69299999999998</v>
      </c>
      <c r="K42" s="197"/>
      <c r="L42" s="223"/>
    </row>
    <row r="43" spans="1:12" s="4" customFormat="1" ht="14.25" customHeight="1">
      <c r="A43" s="522" t="s">
        <v>544</v>
      </c>
      <c r="B43" s="202">
        <v>850489</v>
      </c>
      <c r="C43" s="304" t="s">
        <v>383</v>
      </c>
      <c r="D43" s="52" t="s">
        <v>306</v>
      </c>
      <c r="E43" s="52" t="s">
        <v>626</v>
      </c>
      <c r="F43" s="243"/>
      <c r="G43" s="52"/>
      <c r="H43" s="233">
        <v>709.99</v>
      </c>
      <c r="I43" s="156">
        <f>(H43/12*3.5)*0.6</f>
        <v>124.24824999999998</v>
      </c>
      <c r="J43" s="144">
        <f t="shared" si="1"/>
        <v>124.24824999999998</v>
      </c>
      <c r="K43" s="197"/>
      <c r="L43" s="223"/>
    </row>
    <row r="44" spans="1:12" s="4" customFormat="1" ht="14.25" customHeight="1">
      <c r="A44" s="522" t="s">
        <v>544</v>
      </c>
      <c r="B44" s="202">
        <v>839223</v>
      </c>
      <c r="C44" s="304" t="s">
        <v>384</v>
      </c>
      <c r="D44" s="52" t="s">
        <v>5</v>
      </c>
      <c r="E44" s="52">
        <v>20382192</v>
      </c>
      <c r="F44" s="243"/>
      <c r="G44" s="52"/>
      <c r="H44" s="233">
        <v>190.17</v>
      </c>
      <c r="I44" s="156">
        <f>H44*0.12</f>
        <v>22.820399999999999</v>
      </c>
      <c r="J44" s="144">
        <f t="shared" si="1"/>
        <v>22.820399999999999</v>
      </c>
      <c r="K44" s="197"/>
      <c r="L44" s="223"/>
    </row>
    <row r="45" spans="1:12" s="4" customFormat="1" ht="14.25" customHeight="1">
      <c r="A45" s="522" t="s">
        <v>544</v>
      </c>
      <c r="B45" s="202">
        <v>841184</v>
      </c>
      <c r="C45" s="304" t="s">
        <v>385</v>
      </c>
      <c r="D45" s="52" t="s">
        <v>3</v>
      </c>
      <c r="E45" s="52">
        <v>20381768</v>
      </c>
      <c r="F45" s="243"/>
      <c r="G45" s="52"/>
      <c r="H45" s="233">
        <v>1141.46</v>
      </c>
      <c r="I45" s="249">
        <f>(800*0.06)+(341.46*0.07)</f>
        <v>71.902199999999993</v>
      </c>
      <c r="J45" s="144">
        <f t="shared" si="1"/>
        <v>71.902199999999993</v>
      </c>
      <c r="K45" s="197"/>
      <c r="L45" s="223"/>
    </row>
    <row r="46" spans="1:12" s="4" customFormat="1" ht="14.25" customHeight="1">
      <c r="A46" s="522" t="s">
        <v>544</v>
      </c>
      <c r="B46" s="202">
        <v>841184</v>
      </c>
      <c r="C46" s="304" t="s">
        <v>385</v>
      </c>
      <c r="D46" s="52" t="s">
        <v>386</v>
      </c>
      <c r="E46" s="52"/>
      <c r="F46" s="243"/>
      <c r="G46" s="52"/>
      <c r="H46" s="233"/>
      <c r="I46" s="249"/>
      <c r="J46" s="144">
        <f t="shared" si="1"/>
        <v>0</v>
      </c>
      <c r="K46" s="197"/>
      <c r="L46" s="223"/>
    </row>
    <row r="47" spans="1:12" s="4" customFormat="1" ht="14.25" customHeight="1">
      <c r="A47" s="522" t="s">
        <v>544</v>
      </c>
      <c r="B47" s="202">
        <v>851740</v>
      </c>
      <c r="C47" s="304" t="s">
        <v>403</v>
      </c>
      <c r="D47" s="52" t="s">
        <v>5</v>
      </c>
      <c r="E47" s="52">
        <v>20382263</v>
      </c>
      <c r="F47" s="243"/>
      <c r="G47" s="52"/>
      <c r="H47" s="233">
        <v>200.81</v>
      </c>
      <c r="I47" s="156">
        <f>H47*0.12</f>
        <v>24.097200000000001</v>
      </c>
      <c r="J47" s="144">
        <f t="shared" si="1"/>
        <v>24.097200000000001</v>
      </c>
      <c r="K47" s="197"/>
      <c r="L47" s="223"/>
    </row>
    <row r="48" spans="1:12" s="4" customFormat="1" ht="14.25" customHeight="1">
      <c r="A48" s="522" t="s">
        <v>544</v>
      </c>
      <c r="B48" s="202">
        <v>715253</v>
      </c>
      <c r="C48" s="304" t="s">
        <v>387</v>
      </c>
      <c r="D48" s="52" t="s">
        <v>183</v>
      </c>
      <c r="E48" s="52">
        <v>20381465</v>
      </c>
      <c r="F48" s="243"/>
      <c r="G48" s="52"/>
      <c r="H48" s="233">
        <v>906.39</v>
      </c>
      <c r="I48" s="156">
        <f>H48*0.12</f>
        <v>108.76679999999999</v>
      </c>
      <c r="J48" s="144">
        <f t="shared" si="1"/>
        <v>108.76679999999999</v>
      </c>
      <c r="K48" s="197"/>
      <c r="L48" s="223"/>
    </row>
    <row r="49" spans="1:13" s="4" customFormat="1" ht="14.25" customHeight="1">
      <c r="A49" s="522" t="s">
        <v>544</v>
      </c>
      <c r="B49" s="202">
        <v>715253</v>
      </c>
      <c r="C49" s="304" t="s">
        <v>387</v>
      </c>
      <c r="D49" s="52" t="s">
        <v>183</v>
      </c>
      <c r="E49" s="52">
        <v>20381470</v>
      </c>
      <c r="F49" s="243"/>
      <c r="G49" s="52"/>
      <c r="H49" s="233">
        <v>447.08</v>
      </c>
      <c r="I49" s="156">
        <f>H49*0.12</f>
        <v>53.6496</v>
      </c>
      <c r="J49" s="144">
        <f t="shared" si="1"/>
        <v>53.6496</v>
      </c>
      <c r="K49" s="197"/>
      <c r="L49" s="223"/>
    </row>
    <row r="50" spans="1:13" s="4" customFormat="1" ht="12.75" customHeight="1">
      <c r="A50" s="520"/>
      <c r="B50" s="202"/>
      <c r="C50" s="304"/>
      <c r="D50" s="52"/>
      <c r="E50" s="52"/>
      <c r="F50" s="243"/>
      <c r="G50" s="52"/>
      <c r="H50" s="233"/>
      <c r="I50" s="249"/>
      <c r="J50" s="144">
        <f t="shared" si="1"/>
        <v>0</v>
      </c>
      <c r="K50" s="197"/>
      <c r="L50" s="223"/>
    </row>
    <row r="51" spans="1:13" s="4" customFormat="1" ht="12.75" customHeight="1">
      <c r="A51" s="520"/>
      <c r="B51" s="202"/>
      <c r="C51" s="304"/>
      <c r="D51" s="52"/>
      <c r="E51" s="52"/>
      <c r="F51" s="243"/>
      <c r="G51" s="52"/>
      <c r="H51" s="233"/>
      <c r="I51" s="249"/>
      <c r="J51" s="144">
        <f t="shared" si="1"/>
        <v>0</v>
      </c>
      <c r="K51" s="197"/>
      <c r="L51" s="223"/>
    </row>
    <row r="52" spans="1:13" s="4" customFormat="1" ht="12.75" customHeight="1">
      <c r="A52" s="520"/>
      <c r="B52" s="202"/>
      <c r="C52" s="304"/>
      <c r="D52" s="52"/>
      <c r="E52" s="52"/>
      <c r="F52" s="243"/>
      <c r="G52" s="52"/>
      <c r="H52" s="233"/>
      <c r="I52" s="249"/>
      <c r="J52" s="144">
        <f t="shared" si="1"/>
        <v>0</v>
      </c>
      <c r="K52" s="197"/>
      <c r="L52" s="223"/>
    </row>
    <row r="53" spans="1:13" ht="15.75" thickBot="1">
      <c r="A53" s="521"/>
      <c r="B53" s="290"/>
      <c r="C53" s="301" t="s">
        <v>376</v>
      </c>
      <c r="D53" s="42"/>
      <c r="E53" s="147"/>
      <c r="F53" s="242"/>
      <c r="G53" s="147"/>
      <c r="H53" s="148"/>
      <c r="I53" s="149"/>
      <c r="J53" s="276">
        <f>SUM(J25:J52)</f>
        <v>2211.2806500000006</v>
      </c>
      <c r="K53" s="277" t="s">
        <v>196</v>
      </c>
      <c r="L53" s="283"/>
    </row>
    <row r="54" spans="1:13" s="3" customFormat="1">
      <c r="A54" s="518" t="s">
        <v>545</v>
      </c>
      <c r="B54" s="312">
        <v>761980</v>
      </c>
      <c r="C54" s="199" t="s">
        <v>297</v>
      </c>
      <c r="D54" s="114" t="s">
        <v>3</v>
      </c>
      <c r="E54" s="114">
        <v>20083422</v>
      </c>
      <c r="F54" s="241"/>
      <c r="G54" s="114"/>
      <c r="H54" s="271">
        <v>1493.83</v>
      </c>
      <c r="I54" s="248">
        <f>(800*0.06)+(693.83*0.07)</f>
        <v>96.568100000000015</v>
      </c>
      <c r="J54" s="115">
        <f t="shared" ref="J54:J66" si="2">I54</f>
        <v>96.568100000000015</v>
      </c>
      <c r="K54" s="5" t="s">
        <v>194</v>
      </c>
      <c r="L54" s="234"/>
    </row>
    <row r="55" spans="1:13" ht="14.25" customHeight="1">
      <c r="A55" s="518" t="s">
        <v>545</v>
      </c>
      <c r="B55" s="202">
        <v>603592</v>
      </c>
      <c r="C55" s="200" t="s">
        <v>388</v>
      </c>
      <c r="D55" s="22" t="s">
        <v>183</v>
      </c>
      <c r="E55" s="28">
        <v>20370742</v>
      </c>
      <c r="F55" s="240"/>
      <c r="G55" s="28"/>
      <c r="H55" s="161">
        <v>552.97</v>
      </c>
      <c r="I55" s="162">
        <f>H55*0.12</f>
        <v>66.356400000000008</v>
      </c>
      <c r="J55" s="30">
        <f t="shared" si="2"/>
        <v>66.356400000000008</v>
      </c>
      <c r="L55" s="222">
        <v>20.079999999999998</v>
      </c>
    </row>
    <row r="56" spans="1:13" ht="14.25" customHeight="1">
      <c r="A56" s="518" t="s">
        <v>545</v>
      </c>
      <c r="B56" s="202">
        <v>951455</v>
      </c>
      <c r="C56" s="200" t="s">
        <v>389</v>
      </c>
      <c r="D56" s="22" t="s">
        <v>51</v>
      </c>
      <c r="E56" s="22">
        <v>20384573</v>
      </c>
      <c r="F56" s="240"/>
      <c r="G56" s="22"/>
      <c r="H56" s="140">
        <v>319.19</v>
      </c>
      <c r="I56" s="162">
        <f t="shared" ref="I56:I57" si="3">H56*0.12</f>
        <v>38.302799999999998</v>
      </c>
      <c r="J56" s="24">
        <f t="shared" si="2"/>
        <v>38.302799999999998</v>
      </c>
      <c r="K56" s="5" t="s">
        <v>211</v>
      </c>
      <c r="L56" s="221"/>
    </row>
    <row r="57" spans="1:13" ht="14.25" customHeight="1">
      <c r="A57" s="518" t="s">
        <v>545</v>
      </c>
      <c r="B57" s="202">
        <v>524936</v>
      </c>
      <c r="C57" s="201" t="s">
        <v>390</v>
      </c>
      <c r="D57" s="22" t="s">
        <v>51</v>
      </c>
      <c r="E57" s="25">
        <v>20360252</v>
      </c>
      <c r="F57" s="240"/>
      <c r="G57" s="32"/>
      <c r="H57" s="155">
        <v>1463.39</v>
      </c>
      <c r="I57" s="162">
        <f t="shared" si="3"/>
        <v>175.60679999999999</v>
      </c>
      <c r="J57" s="165">
        <f t="shared" si="2"/>
        <v>175.60679999999999</v>
      </c>
      <c r="K57" s="4" t="s">
        <v>205</v>
      </c>
      <c r="L57" s="224">
        <v>558.57000000000005</v>
      </c>
      <c r="M57" s="238" t="s">
        <v>524</v>
      </c>
    </row>
    <row r="58" spans="1:13" ht="14.25" customHeight="1">
      <c r="A58" s="518" t="s">
        <v>545</v>
      </c>
      <c r="B58" s="202">
        <v>546111</v>
      </c>
      <c r="C58" s="201" t="s">
        <v>391</v>
      </c>
      <c r="D58" s="25" t="s">
        <v>3</v>
      </c>
      <c r="E58" s="25">
        <v>20385017</v>
      </c>
      <c r="F58" s="240"/>
      <c r="G58" s="25"/>
      <c r="H58" s="155">
        <v>1814.16</v>
      </c>
      <c r="I58" s="248">
        <f>(800*0.06)+(800*0.07)+(214.16*0.08)</f>
        <v>121.1328</v>
      </c>
      <c r="J58" s="38">
        <f t="shared" si="2"/>
        <v>121.1328</v>
      </c>
      <c r="K58" s="5" t="s">
        <v>206</v>
      </c>
      <c r="L58" s="224"/>
    </row>
    <row r="59" spans="1:13" ht="14.25" customHeight="1">
      <c r="A59" s="518" t="s">
        <v>545</v>
      </c>
      <c r="B59" s="202">
        <v>763711</v>
      </c>
      <c r="C59" s="201" t="s">
        <v>400</v>
      </c>
      <c r="D59" s="22" t="s">
        <v>306</v>
      </c>
      <c r="E59" s="25">
        <v>61022702</v>
      </c>
      <c r="F59" s="240"/>
      <c r="G59" s="25"/>
      <c r="H59" s="155">
        <v>688.32</v>
      </c>
      <c r="I59" s="156">
        <f>(H59/12*3.5)*0.6</f>
        <v>120.456</v>
      </c>
      <c r="J59" s="38">
        <f t="shared" si="2"/>
        <v>120.456</v>
      </c>
      <c r="K59" s="5"/>
      <c r="L59" s="221"/>
    </row>
    <row r="60" spans="1:13" ht="14.25" customHeight="1">
      <c r="A60" s="518" t="s">
        <v>545</v>
      </c>
      <c r="B60" s="202">
        <v>586459</v>
      </c>
      <c r="C60" s="201" t="s">
        <v>392</v>
      </c>
      <c r="D60" s="22" t="s">
        <v>306</v>
      </c>
      <c r="E60" s="25">
        <v>61022815</v>
      </c>
      <c r="F60" s="240"/>
      <c r="G60" s="25"/>
      <c r="H60" s="155">
        <v>2518.8000000000002</v>
      </c>
      <c r="I60" s="156">
        <f>(H60/12*3.5)*0.6</f>
        <v>440.78999999999996</v>
      </c>
      <c r="J60" s="38">
        <f t="shared" si="2"/>
        <v>440.78999999999996</v>
      </c>
      <c r="K60" s="5"/>
      <c r="L60" s="221"/>
    </row>
    <row r="61" spans="1:13" ht="14.25" customHeight="1">
      <c r="A61" s="518" t="s">
        <v>545</v>
      </c>
      <c r="B61" s="202">
        <v>526276</v>
      </c>
      <c r="C61" s="201" t="s">
        <v>382</v>
      </c>
      <c r="D61" s="22" t="s">
        <v>394</v>
      </c>
      <c r="E61" s="25">
        <v>807618</v>
      </c>
      <c r="F61" s="240"/>
      <c r="G61" s="25">
        <v>2033</v>
      </c>
      <c r="H61" s="155">
        <v>600</v>
      </c>
      <c r="I61" s="164">
        <f>(H61*16*0.02)*0.6</f>
        <v>115.19999999999999</v>
      </c>
      <c r="J61" s="38">
        <f t="shared" si="2"/>
        <v>115.19999999999999</v>
      </c>
      <c r="K61" s="5"/>
      <c r="L61" s="221"/>
    </row>
    <row r="62" spans="1:13" ht="14.25" customHeight="1">
      <c r="A62" s="518" t="s">
        <v>545</v>
      </c>
      <c r="B62" s="202">
        <v>855692</v>
      </c>
      <c r="C62" s="201" t="s">
        <v>393</v>
      </c>
      <c r="D62" s="22" t="s">
        <v>306</v>
      </c>
      <c r="E62" s="25">
        <v>61022909</v>
      </c>
      <c r="F62" s="240"/>
      <c r="G62" s="25"/>
      <c r="H62" s="155">
        <v>145.08000000000001</v>
      </c>
      <c r="I62" s="156">
        <f>(H62/12*3.5)*0.6</f>
        <v>25.389000000000003</v>
      </c>
      <c r="J62" s="38">
        <f>I62</f>
        <v>25.389000000000003</v>
      </c>
      <c r="K62" s="5"/>
      <c r="L62" s="221"/>
    </row>
    <row r="63" spans="1:13" ht="14.25" customHeight="1">
      <c r="A63" s="518" t="s">
        <v>545</v>
      </c>
      <c r="B63" s="202">
        <v>855692</v>
      </c>
      <c r="C63" s="201" t="s">
        <v>393</v>
      </c>
      <c r="D63" s="22" t="s">
        <v>299</v>
      </c>
      <c r="E63" s="25">
        <v>806101</v>
      </c>
      <c r="F63" s="240"/>
      <c r="G63" s="25">
        <v>2045</v>
      </c>
      <c r="H63" s="155">
        <v>1200</v>
      </c>
      <c r="I63" s="164">
        <f>(H63*28*0.02)*0.6</f>
        <v>403.2</v>
      </c>
      <c r="J63" s="38">
        <f t="shared" si="2"/>
        <v>403.2</v>
      </c>
      <c r="K63" s="5"/>
      <c r="L63" s="221"/>
    </row>
    <row r="64" spans="1:13" ht="14.25" customHeight="1">
      <c r="A64" s="518" t="s">
        <v>545</v>
      </c>
      <c r="B64" s="202">
        <v>789809</v>
      </c>
      <c r="C64" s="201" t="s">
        <v>395</v>
      </c>
      <c r="D64" s="22" t="s">
        <v>306</v>
      </c>
      <c r="E64" s="25">
        <v>61022957</v>
      </c>
      <c r="F64" s="240"/>
      <c r="G64" s="25"/>
      <c r="H64" s="155">
        <v>766.65</v>
      </c>
      <c r="I64" s="156">
        <f>(H64/12*3.5)*0.6</f>
        <v>134.16374999999999</v>
      </c>
      <c r="J64" s="38">
        <f t="shared" si="2"/>
        <v>134.16374999999999</v>
      </c>
      <c r="K64" s="5"/>
      <c r="L64" s="221"/>
    </row>
    <row r="65" spans="1:13" ht="14.25" customHeight="1">
      <c r="A65" s="518" t="s">
        <v>545</v>
      </c>
      <c r="B65" s="202">
        <v>261094</v>
      </c>
      <c r="C65" s="201" t="s">
        <v>396</v>
      </c>
      <c r="D65" s="22" t="s">
        <v>303</v>
      </c>
      <c r="E65" s="25">
        <v>20386931</v>
      </c>
      <c r="F65" s="240"/>
      <c r="G65" s="25"/>
      <c r="H65" s="155">
        <v>1228.42</v>
      </c>
      <c r="I65" s="156">
        <f>(800*0.06)+(428.43*0.07)</f>
        <v>77.990099999999998</v>
      </c>
      <c r="J65" s="38">
        <f t="shared" si="2"/>
        <v>77.990099999999998</v>
      </c>
      <c r="K65" s="5"/>
      <c r="L65" s="221"/>
    </row>
    <row r="66" spans="1:13" ht="14.25" customHeight="1">
      <c r="A66" s="518" t="s">
        <v>545</v>
      </c>
      <c r="B66" s="202">
        <v>583445</v>
      </c>
      <c r="C66" s="201" t="s">
        <v>181</v>
      </c>
      <c r="D66" s="22" t="s">
        <v>306</v>
      </c>
      <c r="E66" s="25">
        <v>61017866</v>
      </c>
      <c r="F66" s="240"/>
      <c r="G66" s="25"/>
      <c r="H66" s="155">
        <v>1056.3599999999999</v>
      </c>
      <c r="I66" s="156">
        <f>(H66/12*3.5)*0.6</f>
        <v>184.86299999999997</v>
      </c>
      <c r="J66" s="38">
        <f t="shared" si="2"/>
        <v>184.86299999999997</v>
      </c>
      <c r="K66" s="5"/>
      <c r="L66" s="221"/>
    </row>
    <row r="67" spans="1:13" ht="14.25" customHeight="1">
      <c r="A67" s="518" t="s">
        <v>545</v>
      </c>
      <c r="B67" s="81">
        <v>559803</v>
      </c>
      <c r="C67" s="313" t="s">
        <v>397</v>
      </c>
      <c r="D67" s="52" t="s">
        <v>5</v>
      </c>
      <c r="E67" s="52">
        <v>20388053</v>
      </c>
      <c r="F67" s="243"/>
      <c r="G67" s="106"/>
      <c r="H67" s="170">
        <v>201.3</v>
      </c>
      <c r="I67" s="162">
        <f t="shared" ref="I67" si="4">H67*0.12</f>
        <v>24.155999999999999</v>
      </c>
      <c r="J67" s="107">
        <f>I67</f>
        <v>24.155999999999999</v>
      </c>
      <c r="K67" s="5"/>
      <c r="L67" s="221"/>
    </row>
    <row r="68" spans="1:13" ht="14.25" customHeight="1">
      <c r="A68" s="518" t="s">
        <v>545</v>
      </c>
      <c r="B68" s="202">
        <v>707630</v>
      </c>
      <c r="C68" s="311" t="s">
        <v>401</v>
      </c>
      <c r="D68" s="52" t="s">
        <v>306</v>
      </c>
      <c r="E68" s="106">
        <v>60015776</v>
      </c>
      <c r="F68" s="243"/>
      <c r="G68" s="106"/>
      <c r="H68" s="170">
        <v>145.08000000000001</v>
      </c>
      <c r="I68" s="156">
        <f>(H68/12*3.5)*0.6</f>
        <v>25.389000000000003</v>
      </c>
      <c r="J68" s="107">
        <f>I68</f>
        <v>25.389000000000003</v>
      </c>
      <c r="K68" s="5"/>
      <c r="L68" s="221"/>
    </row>
    <row r="69" spans="1:13" ht="12.75" customHeight="1">
      <c r="A69" s="518" t="s">
        <v>545</v>
      </c>
      <c r="B69" s="202">
        <v>782333</v>
      </c>
      <c r="C69" s="391" t="s">
        <v>402</v>
      </c>
      <c r="D69" s="392" t="s">
        <v>299</v>
      </c>
      <c r="E69" s="106" t="s">
        <v>621</v>
      </c>
      <c r="F69" s="393"/>
      <c r="G69" s="106">
        <v>2033</v>
      </c>
      <c r="H69" s="170">
        <v>1100</v>
      </c>
      <c r="I69" s="155">
        <f>(H69*16*0.02)*0.6</f>
        <v>211.2</v>
      </c>
      <c r="J69" s="394">
        <f t="shared" ref="J69:J73" si="5">I69</f>
        <v>211.2</v>
      </c>
      <c r="K69" s="5"/>
      <c r="L69" s="221"/>
      <c r="M69" s="390" t="s">
        <v>524</v>
      </c>
    </row>
    <row r="70" spans="1:13" ht="14.25" customHeight="1">
      <c r="A70" s="518" t="s">
        <v>545</v>
      </c>
      <c r="B70" s="202">
        <v>782333</v>
      </c>
      <c r="C70" s="311" t="s">
        <v>402</v>
      </c>
      <c r="D70" s="52" t="s">
        <v>8</v>
      </c>
      <c r="E70" s="106" t="s">
        <v>398</v>
      </c>
      <c r="F70" s="243"/>
      <c r="G70" s="106"/>
      <c r="H70" s="170">
        <v>45000</v>
      </c>
      <c r="I70" s="143">
        <f>(H70*0.007)*0.6</f>
        <v>189</v>
      </c>
      <c r="J70" s="107">
        <f t="shared" si="5"/>
        <v>189</v>
      </c>
      <c r="K70" s="5"/>
      <c r="L70" s="221"/>
    </row>
    <row r="71" spans="1:13" ht="14.25" customHeight="1">
      <c r="A71" s="518" t="s">
        <v>545</v>
      </c>
      <c r="B71" s="202">
        <v>782329</v>
      </c>
      <c r="C71" s="311" t="s">
        <v>408</v>
      </c>
      <c r="D71" s="52" t="s">
        <v>299</v>
      </c>
      <c r="E71" s="106">
        <v>821833</v>
      </c>
      <c r="F71" s="243"/>
      <c r="G71" s="106">
        <v>2040</v>
      </c>
      <c r="H71" s="170">
        <v>1700</v>
      </c>
      <c r="I71" s="164">
        <f>(H71*23*0.02)*0.6</f>
        <v>469.2</v>
      </c>
      <c r="J71" s="107">
        <f t="shared" si="5"/>
        <v>469.2</v>
      </c>
      <c r="K71" s="5"/>
      <c r="L71" s="221"/>
    </row>
    <row r="72" spans="1:13" ht="14.25" customHeight="1">
      <c r="A72" s="518" t="s">
        <v>545</v>
      </c>
      <c r="B72" s="202">
        <v>782329</v>
      </c>
      <c r="C72" s="311" t="s">
        <v>408</v>
      </c>
      <c r="D72" s="52" t="s">
        <v>8</v>
      </c>
      <c r="E72" s="106" t="s">
        <v>399</v>
      </c>
      <c r="F72" s="243"/>
      <c r="G72" s="106"/>
      <c r="H72" s="170">
        <v>45000</v>
      </c>
      <c r="I72" s="143">
        <f>(H72*0.007)*0.6</f>
        <v>189</v>
      </c>
      <c r="J72" s="107">
        <f t="shared" si="5"/>
        <v>189</v>
      </c>
      <c r="K72" s="5"/>
      <c r="L72" s="221"/>
    </row>
    <row r="73" spans="1:13" ht="14.25" customHeight="1">
      <c r="A73" s="518" t="s">
        <v>545</v>
      </c>
      <c r="B73" s="202">
        <v>760929</v>
      </c>
      <c r="C73" s="311" t="s">
        <v>355</v>
      </c>
      <c r="D73" s="52" t="s">
        <v>3</v>
      </c>
      <c r="E73" s="106">
        <v>20388622</v>
      </c>
      <c r="F73" s="243"/>
      <c r="G73" s="106"/>
      <c r="H73" s="170">
        <v>1073.3</v>
      </c>
      <c r="I73" s="171">
        <f>(800*0.06)+(273.3*0.07)</f>
        <v>67.131</v>
      </c>
      <c r="J73" s="107">
        <f t="shared" si="5"/>
        <v>67.131</v>
      </c>
      <c r="K73" s="5"/>
      <c r="L73" s="221"/>
    </row>
    <row r="74" spans="1:13" ht="14.25" customHeight="1">
      <c r="A74" s="518" t="s">
        <v>545</v>
      </c>
      <c r="B74" s="202">
        <v>157437</v>
      </c>
      <c r="C74" s="311" t="s">
        <v>407</v>
      </c>
      <c r="D74" s="52" t="s">
        <v>3</v>
      </c>
      <c r="E74" s="106">
        <v>20388379</v>
      </c>
      <c r="F74" s="243"/>
      <c r="G74" s="106"/>
      <c r="H74" s="170">
        <v>93</v>
      </c>
      <c r="I74" s="171">
        <f>93*0.06</f>
        <v>5.58</v>
      </c>
      <c r="J74" s="107">
        <f>I74</f>
        <v>5.58</v>
      </c>
      <c r="K74" s="5"/>
      <c r="L74" s="221"/>
    </row>
    <row r="75" spans="1:13" ht="14.25" customHeight="1">
      <c r="A75" s="523"/>
      <c r="B75" s="202"/>
      <c r="C75" s="311"/>
      <c r="D75" s="52"/>
      <c r="E75" s="106"/>
      <c r="F75" s="243"/>
      <c r="G75" s="106"/>
      <c r="H75" s="170"/>
      <c r="I75" s="171"/>
      <c r="J75" s="107">
        <f>I75</f>
        <v>0</v>
      </c>
      <c r="K75" s="5"/>
      <c r="L75" s="221"/>
    </row>
    <row r="76" spans="1:13" ht="14.25" customHeight="1">
      <c r="A76" s="523"/>
      <c r="B76" s="202"/>
      <c r="C76" s="311"/>
      <c r="D76" s="52"/>
      <c r="E76" s="106"/>
      <c r="F76" s="243"/>
      <c r="G76" s="106"/>
      <c r="H76" s="170"/>
      <c r="I76" s="171"/>
      <c r="J76" s="107"/>
      <c r="K76" s="5"/>
      <c r="L76" s="221"/>
    </row>
    <row r="77" spans="1:13" s="67" customFormat="1" ht="14.25" customHeight="1" thickBot="1">
      <c r="A77" s="523"/>
      <c r="B77" s="202"/>
      <c r="C77" s="311"/>
      <c r="D77" s="52"/>
      <c r="E77" s="106"/>
      <c r="F77" s="243"/>
      <c r="G77" s="106"/>
      <c r="H77" s="170"/>
      <c r="I77" s="171"/>
      <c r="J77" s="107"/>
      <c r="K77" s="5"/>
      <c r="L77" s="225"/>
    </row>
    <row r="78" spans="1:13" s="63" customFormat="1" ht="15.75" thickBot="1">
      <c r="A78" s="524"/>
      <c r="B78" s="291"/>
      <c r="C78" s="297" t="s">
        <v>377</v>
      </c>
      <c r="D78" s="119"/>
      <c r="E78" s="278"/>
      <c r="F78" s="244"/>
      <c r="G78" s="278"/>
      <c r="H78" s="279"/>
      <c r="I78" s="280"/>
      <c r="J78" s="281">
        <f>SUM(J54:J77)</f>
        <v>3180.6747499999992</v>
      </c>
      <c r="K78" s="5"/>
      <c r="L78" s="282"/>
    </row>
    <row r="79" spans="1:13" s="63" customFormat="1" ht="15.75" thickBot="1">
      <c r="A79" s="516"/>
      <c r="B79" s="290"/>
      <c r="C79" s="305" t="s">
        <v>282</v>
      </c>
      <c r="D79" s="270"/>
      <c r="E79" s="266"/>
      <c r="F79" s="267"/>
      <c r="G79" s="266"/>
      <c r="H79" s="268"/>
      <c r="I79" s="138"/>
      <c r="J79" s="120">
        <f>SUM(J24,J53,J78)</f>
        <v>7448.1567499999992</v>
      </c>
      <c r="K79" s="5"/>
      <c r="L79"/>
    </row>
    <row r="80" spans="1:13" s="63" customFormat="1" ht="15.75" thickBot="1">
      <c r="A80" s="517"/>
      <c r="B80" s="292"/>
      <c r="C80" s="306"/>
      <c r="D80" s="266"/>
      <c r="E80" s="266"/>
      <c r="F80" s="267"/>
      <c r="G80" s="266"/>
      <c r="H80" s="268"/>
      <c r="I80" s="269"/>
      <c r="J80" s="262"/>
      <c r="K80" s="5"/>
      <c r="L80"/>
    </row>
    <row r="81" spans="1:12" s="63" customFormat="1">
      <c r="A81" s="517"/>
      <c r="B81" s="293"/>
      <c r="C81" s="307" t="s">
        <v>226</v>
      </c>
      <c r="D81" s="254"/>
      <c r="E81" s="254"/>
      <c r="F81" s="255"/>
      <c r="G81" s="254"/>
      <c r="H81" s="256"/>
      <c r="I81" s="257"/>
      <c r="J81" s="263">
        <f>J7</f>
        <v>5016.1000000000004</v>
      </c>
      <c r="K81" s="5"/>
      <c r="L81"/>
    </row>
    <row r="82" spans="1:12">
      <c r="B82" s="293"/>
      <c r="C82" s="308" t="s">
        <v>224</v>
      </c>
      <c r="D82" s="258"/>
      <c r="E82" s="258"/>
      <c r="F82" s="259"/>
      <c r="G82" s="258"/>
      <c r="H82" s="260"/>
      <c r="I82" s="253"/>
      <c r="J82" s="264">
        <f>SUM(J79,J81)</f>
        <v>12464.25675</v>
      </c>
      <c r="K82" s="5"/>
      <c r="L82" s="63"/>
    </row>
    <row r="83" spans="1:12" ht="15.75" thickBot="1">
      <c r="B83" s="293"/>
      <c r="C83" s="309" t="s">
        <v>227</v>
      </c>
      <c r="D83" s="250"/>
      <c r="E83" s="250"/>
      <c r="F83" s="251"/>
      <c r="G83" s="250"/>
      <c r="H83" s="252"/>
      <c r="I83" s="261"/>
      <c r="J83" s="265">
        <f>J82/3</f>
        <v>4154.7522500000005</v>
      </c>
      <c r="K83" s="67"/>
      <c r="L83" s="63"/>
    </row>
    <row r="84" spans="1:12">
      <c r="B84" s="293"/>
      <c r="C84" s="310"/>
      <c r="D84" s="284"/>
      <c r="E84" s="65"/>
      <c r="F84" s="245"/>
      <c r="G84" s="65"/>
      <c r="H84" s="134"/>
      <c r="I84" s="129"/>
      <c r="J84" s="66"/>
      <c r="K84" s="63"/>
      <c r="L84" s="63"/>
    </row>
    <row r="85" spans="1:12">
      <c r="B85" s="293"/>
      <c r="C85" s="310"/>
      <c r="D85" s="284"/>
      <c r="E85" s="65"/>
      <c r="F85" s="245"/>
      <c r="G85" s="65"/>
      <c r="H85" s="134"/>
      <c r="I85" s="129"/>
      <c r="J85" s="66"/>
      <c r="K85" s="63"/>
      <c r="L85" s="63"/>
    </row>
    <row r="86" spans="1:12">
      <c r="B86" s="293"/>
      <c r="C86" s="310"/>
      <c r="D86" s="284"/>
      <c r="E86" s="65"/>
      <c r="F86" s="245"/>
      <c r="G86" s="65"/>
      <c r="H86" s="134"/>
      <c r="I86" s="129"/>
      <c r="J86" s="66"/>
      <c r="K86" s="63"/>
      <c r="L86" s="63"/>
    </row>
    <row r="87" spans="1:12">
      <c r="B87" s="293"/>
      <c r="C87" s="310"/>
      <c r="D87" s="284"/>
      <c r="E87" s="65"/>
      <c r="F87" s="245"/>
      <c r="G87" s="65"/>
      <c r="H87" s="134"/>
      <c r="I87" s="129"/>
      <c r="J87" s="66"/>
      <c r="K87" s="63"/>
      <c r="L87" s="63"/>
    </row>
    <row r="88" spans="1:12">
      <c r="C88" s="310"/>
      <c r="D88" s="284"/>
      <c r="E88" s="65"/>
      <c r="F88" s="245"/>
      <c r="G88" s="65"/>
      <c r="H88" s="134"/>
      <c r="I88" s="129"/>
      <c r="J88" s="66"/>
    </row>
  </sheetData>
  <printOptions horizontalCentered="1" verticalCentered="1" gridLines="1"/>
  <pageMargins left="0.23622047244094491" right="0.23622047244094491" top="0.39370078740157483" bottom="0.39370078740157483" header="0.31496062992125984" footer="0.31496062992125984"/>
  <pageSetup paperSize="9" scale="81" orientation="landscape" r:id="rId1"/>
  <headerFooter>
    <oddHeader>&amp;C&amp;"-,Gras"&amp;14COMMISSION JEFF DERAPPE 2èmeTRIMESTRE 2017</oddHeader>
    <oddFooter xml:space="preserve">&amp;L&amp;8&amp;Z&amp;F&amp;C&amp;7&amp;P/&amp;N&amp;RModfié le &amp;D </oddFooter>
  </headerFooter>
  <rowBreaks count="2" manualBreakCount="2">
    <brk id="24" max="16383" man="1"/>
    <brk id="53" max="1638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N96"/>
  <sheetViews>
    <sheetView topLeftCell="A51" zoomScaleNormal="100" workbookViewId="0">
      <selection activeCell="I58" sqref="I58"/>
    </sheetView>
    <sheetView topLeftCell="A42" workbookViewId="1">
      <selection activeCell="I70" sqref="I70"/>
    </sheetView>
    <sheetView workbookViewId="2"/>
  </sheetViews>
  <sheetFormatPr baseColWidth="10" defaultRowHeight="18.75"/>
  <cols>
    <col min="1" max="1" width="10.7109375" style="78" customWidth="1"/>
    <col min="2" max="2" width="17.42578125" style="78" customWidth="1"/>
    <col min="3" max="3" width="28" style="7" customWidth="1"/>
    <col min="4" max="4" width="21.7109375" style="336" customWidth="1"/>
    <col min="5" max="5" width="24.7109375" style="357" customWidth="1"/>
    <col min="6" max="6" width="3.7109375" style="212" customWidth="1"/>
    <col min="7" max="7" width="10.5703125" style="1" customWidth="1"/>
    <col min="8" max="8" width="13.28515625" style="130" customWidth="1"/>
    <col min="9" max="9" width="12.42578125" style="127" customWidth="1"/>
    <col min="10" max="10" width="12.42578125" style="2" customWidth="1"/>
    <col min="11" max="11" width="34.28515625" hidden="1" customWidth="1"/>
    <col min="12" max="12" width="11.5703125" hidden="1" customWidth="1"/>
  </cols>
  <sheetData>
    <row r="1" spans="1:11">
      <c r="A1" s="78">
        <v>2017</v>
      </c>
      <c r="C1" s="324" t="s">
        <v>189</v>
      </c>
      <c r="D1" s="372"/>
      <c r="G1" s="1" t="s">
        <v>468</v>
      </c>
      <c r="H1" s="1" t="s">
        <v>208</v>
      </c>
      <c r="J1" s="130">
        <f>8.5*80</f>
        <v>680</v>
      </c>
      <c r="K1" s="9"/>
    </row>
    <row r="2" spans="1:11">
      <c r="C2" s="324" t="s">
        <v>467</v>
      </c>
      <c r="D2" s="372"/>
      <c r="E2" s="357" t="s">
        <v>469</v>
      </c>
      <c r="G2" s="1" t="s">
        <v>470</v>
      </c>
      <c r="H2" s="357" t="s">
        <v>471</v>
      </c>
      <c r="I2" s="126"/>
      <c r="J2" s="130">
        <f>7.66*96</f>
        <v>735.36</v>
      </c>
      <c r="K2" s="9"/>
    </row>
    <row r="3" spans="1:11">
      <c r="C3" s="324" t="s">
        <v>70</v>
      </c>
      <c r="D3" s="372" t="s">
        <v>113</v>
      </c>
      <c r="G3" s="11"/>
      <c r="H3" s="126"/>
      <c r="I3" s="126"/>
      <c r="J3" s="126">
        <v>1802.5</v>
      </c>
      <c r="K3" s="9"/>
    </row>
    <row r="4" spans="1:11">
      <c r="C4" s="324" t="s">
        <v>70</v>
      </c>
      <c r="D4" s="372" t="s">
        <v>164</v>
      </c>
      <c r="G4" s="11"/>
      <c r="H4" s="126"/>
      <c r="I4" s="126"/>
      <c r="J4" s="126">
        <v>1758.4</v>
      </c>
      <c r="K4" s="9"/>
    </row>
    <row r="5" spans="1:11">
      <c r="C5" s="324" t="s">
        <v>70</v>
      </c>
      <c r="D5" s="372" t="s">
        <v>166</v>
      </c>
      <c r="G5" s="11"/>
      <c r="H5" s="126"/>
      <c r="I5" s="126"/>
      <c r="J5" s="126">
        <v>1622.95</v>
      </c>
      <c r="K5" s="9"/>
    </row>
    <row r="6" spans="1:11" ht="19.5" thickBot="1">
      <c r="C6" s="377" t="s">
        <v>465</v>
      </c>
      <c r="D6" s="378" t="s">
        <v>466</v>
      </c>
      <c r="G6" s="11"/>
      <c r="H6" s="126"/>
      <c r="I6" s="126"/>
      <c r="J6" s="10"/>
      <c r="K6" s="9"/>
    </row>
    <row r="7" spans="1:11" ht="19.5" thickBot="1">
      <c r="C7" s="379" t="s">
        <v>225</v>
      </c>
      <c r="D7" s="380"/>
      <c r="G7" s="11"/>
      <c r="H7" s="126"/>
      <c r="I7" s="126"/>
      <c r="J7" s="381">
        <f>SUM(J1:J5)</f>
        <v>6599.21</v>
      </c>
      <c r="K7" s="9"/>
    </row>
    <row r="8" spans="1:11" ht="19.5" thickBot="1">
      <c r="K8" s="11"/>
    </row>
    <row r="9" spans="1:11" ht="30">
      <c r="A9" s="314" t="s">
        <v>411</v>
      </c>
      <c r="B9" s="314" t="s">
        <v>412</v>
      </c>
      <c r="C9" s="315" t="s">
        <v>0</v>
      </c>
      <c r="D9" s="337" t="s">
        <v>50</v>
      </c>
      <c r="E9" s="358" t="s">
        <v>410</v>
      </c>
      <c r="F9" s="316" t="s">
        <v>423</v>
      </c>
      <c r="G9" s="16" t="s">
        <v>53</v>
      </c>
      <c r="H9" s="184" t="s">
        <v>74</v>
      </c>
      <c r="I9" s="135" t="s">
        <v>1</v>
      </c>
      <c r="J9" s="19" t="s">
        <v>92</v>
      </c>
    </row>
    <row r="10" spans="1:11" hidden="1">
      <c r="A10" s="81"/>
      <c r="B10" s="81" t="s">
        <v>426</v>
      </c>
      <c r="C10" s="326" t="s">
        <v>434</v>
      </c>
      <c r="D10" s="334" t="s">
        <v>435</v>
      </c>
      <c r="E10" s="359" t="s">
        <v>425</v>
      </c>
      <c r="F10" s="327"/>
      <c r="G10" s="22"/>
      <c r="H10" s="140">
        <v>100</v>
      </c>
      <c r="I10" s="143"/>
      <c r="J10" s="330">
        <f>I10</f>
        <v>0</v>
      </c>
    </row>
    <row r="11" spans="1:11" hidden="1">
      <c r="A11" s="81"/>
      <c r="B11" s="81" t="s">
        <v>426</v>
      </c>
      <c r="C11" s="326" t="s">
        <v>434</v>
      </c>
      <c r="D11" s="334" t="s">
        <v>441</v>
      </c>
      <c r="E11" s="359" t="s">
        <v>425</v>
      </c>
      <c r="F11" s="327"/>
      <c r="G11" s="22"/>
      <c r="H11" s="140">
        <v>100</v>
      </c>
      <c r="I11" s="143"/>
      <c r="J11" s="330">
        <f t="shared" ref="J11:J29" si="0">I11</f>
        <v>0</v>
      </c>
    </row>
    <row r="12" spans="1:11" hidden="1">
      <c r="A12" s="81"/>
      <c r="B12" s="81" t="s">
        <v>426</v>
      </c>
      <c r="C12" s="326" t="s">
        <v>434</v>
      </c>
      <c r="D12" s="334" t="s">
        <v>436</v>
      </c>
      <c r="E12" s="359" t="s">
        <v>425</v>
      </c>
      <c r="F12" s="327"/>
      <c r="G12" s="22"/>
      <c r="H12" s="140">
        <v>100</v>
      </c>
      <c r="I12" s="143">
        <f>H12*0.12</f>
        <v>12</v>
      </c>
      <c r="J12" s="330">
        <f t="shared" si="0"/>
        <v>12</v>
      </c>
    </row>
    <row r="13" spans="1:11" hidden="1">
      <c r="A13" s="81"/>
      <c r="B13" s="81" t="s">
        <v>426</v>
      </c>
      <c r="C13" s="326" t="s">
        <v>426</v>
      </c>
      <c r="D13" s="334" t="s">
        <v>437</v>
      </c>
      <c r="E13" s="359" t="s">
        <v>425</v>
      </c>
      <c r="F13" s="327"/>
      <c r="G13" s="22"/>
      <c r="H13" s="140">
        <v>100</v>
      </c>
      <c r="I13" s="143">
        <f>H13*0.15</f>
        <v>15</v>
      </c>
      <c r="J13" s="330">
        <f t="shared" si="0"/>
        <v>15</v>
      </c>
    </row>
    <row r="14" spans="1:11" hidden="1">
      <c r="A14" s="81"/>
      <c r="B14" s="81" t="s">
        <v>426</v>
      </c>
      <c r="C14" s="326" t="s">
        <v>426</v>
      </c>
      <c r="D14" s="334" t="s">
        <v>438</v>
      </c>
      <c r="E14" s="359" t="s">
        <v>425</v>
      </c>
      <c r="F14" s="327"/>
      <c r="G14" s="22"/>
      <c r="H14" s="140">
        <v>100</v>
      </c>
      <c r="I14" s="143">
        <f>H14*0.12</f>
        <v>12</v>
      </c>
      <c r="J14" s="330">
        <f t="shared" si="0"/>
        <v>12</v>
      </c>
    </row>
    <row r="15" spans="1:11" hidden="1">
      <c r="A15" s="81"/>
      <c r="B15" s="81" t="s">
        <v>426</v>
      </c>
      <c r="C15" s="326" t="s">
        <v>426</v>
      </c>
      <c r="D15" s="334" t="s">
        <v>439</v>
      </c>
      <c r="E15" s="359" t="s">
        <v>425</v>
      </c>
      <c r="F15" s="327"/>
      <c r="G15" s="22"/>
      <c r="H15" s="140">
        <v>100</v>
      </c>
      <c r="I15" s="143">
        <f>H15*0.12</f>
        <v>12</v>
      </c>
      <c r="J15" s="330">
        <f t="shared" si="0"/>
        <v>12</v>
      </c>
    </row>
    <row r="16" spans="1:11" hidden="1">
      <c r="A16" s="81"/>
      <c r="B16" s="81" t="s">
        <v>426</v>
      </c>
      <c r="C16" s="326" t="s">
        <v>426</v>
      </c>
      <c r="D16" s="334" t="s">
        <v>183</v>
      </c>
      <c r="E16" s="359" t="s">
        <v>425</v>
      </c>
      <c r="F16" s="327"/>
      <c r="G16" s="22"/>
      <c r="H16" s="140">
        <v>100</v>
      </c>
      <c r="I16" s="143">
        <f>H16*0.12</f>
        <v>12</v>
      </c>
      <c r="J16" s="330">
        <f t="shared" si="0"/>
        <v>12</v>
      </c>
    </row>
    <row r="17" spans="1:11" hidden="1">
      <c r="A17" s="81"/>
      <c r="B17" s="81" t="s">
        <v>426</v>
      </c>
      <c r="C17" s="326" t="s">
        <v>426</v>
      </c>
      <c r="D17" s="334" t="s">
        <v>306</v>
      </c>
      <c r="E17" s="359" t="s">
        <v>425</v>
      </c>
      <c r="F17" s="327"/>
      <c r="G17" s="114"/>
      <c r="H17" s="140">
        <v>100</v>
      </c>
      <c r="I17" s="329">
        <f>((H17/12)*3.5)*0.6</f>
        <v>17.5</v>
      </c>
      <c r="J17" s="330">
        <f t="shared" si="0"/>
        <v>17.5</v>
      </c>
    </row>
    <row r="18" spans="1:11" hidden="1">
      <c r="A18" s="81"/>
      <c r="B18" s="81" t="s">
        <v>426</v>
      </c>
      <c r="C18" s="326" t="s">
        <v>426</v>
      </c>
      <c r="D18" s="334" t="s">
        <v>440</v>
      </c>
      <c r="E18" s="359" t="s">
        <v>425</v>
      </c>
      <c r="F18" s="327"/>
      <c r="G18" s="114"/>
      <c r="H18" s="140">
        <v>100</v>
      </c>
      <c r="I18" s="143">
        <f>H18*0.12</f>
        <v>12</v>
      </c>
      <c r="J18" s="330">
        <f t="shared" si="0"/>
        <v>12</v>
      </c>
    </row>
    <row r="19" spans="1:11" hidden="1">
      <c r="A19" s="81"/>
      <c r="B19" s="81" t="s">
        <v>426</v>
      </c>
      <c r="C19" s="326" t="s">
        <v>426</v>
      </c>
      <c r="D19" s="334" t="s">
        <v>414</v>
      </c>
      <c r="E19" s="359" t="s">
        <v>425</v>
      </c>
      <c r="F19" s="327"/>
      <c r="G19" s="114"/>
      <c r="H19" s="140">
        <v>100</v>
      </c>
      <c r="I19" s="143">
        <f>H19*0.12</f>
        <v>12</v>
      </c>
      <c r="J19" s="330">
        <f t="shared" si="0"/>
        <v>12</v>
      </c>
    </row>
    <row r="20" spans="1:11" hidden="1">
      <c r="A20" s="81"/>
      <c r="B20" s="81" t="s">
        <v>426</v>
      </c>
      <c r="C20" s="326" t="s">
        <v>426</v>
      </c>
      <c r="D20" s="334" t="s">
        <v>428</v>
      </c>
      <c r="E20" s="359" t="s">
        <v>425</v>
      </c>
      <c r="F20" s="327"/>
      <c r="G20" s="114">
        <v>2050</v>
      </c>
      <c r="H20" s="328">
        <v>1000</v>
      </c>
      <c r="I20" s="329" t="e">
        <f>(H20*#REF!*0.027)*0.6</f>
        <v>#REF!</v>
      </c>
      <c r="J20" s="330" t="e">
        <f t="shared" si="0"/>
        <v>#REF!</v>
      </c>
    </row>
    <row r="21" spans="1:11" hidden="1">
      <c r="A21" s="81"/>
      <c r="B21" s="81" t="s">
        <v>426</v>
      </c>
      <c r="C21" s="326" t="s">
        <v>426</v>
      </c>
      <c r="D21" s="334" t="s">
        <v>442</v>
      </c>
      <c r="E21" s="359" t="s">
        <v>425</v>
      </c>
      <c r="F21" s="327"/>
      <c r="G21" s="114">
        <v>2050</v>
      </c>
      <c r="H21" s="328">
        <v>1000</v>
      </c>
      <c r="I21" s="329" t="e">
        <f>(H21*#REF!*0.018)*0.6</f>
        <v>#REF!</v>
      </c>
      <c r="J21" s="330" t="e">
        <f t="shared" si="0"/>
        <v>#REF!</v>
      </c>
    </row>
    <row r="22" spans="1:11" hidden="1">
      <c r="A22" s="81"/>
      <c r="B22" s="81" t="s">
        <v>426</v>
      </c>
      <c r="C22" s="326" t="s">
        <v>426</v>
      </c>
      <c r="D22" s="334" t="s">
        <v>427</v>
      </c>
      <c r="E22" s="359" t="s">
        <v>425</v>
      </c>
      <c r="F22" s="327"/>
      <c r="G22" s="114">
        <v>2050</v>
      </c>
      <c r="H22" s="328">
        <v>1000</v>
      </c>
      <c r="I22" s="329" t="e">
        <f>(H22*#REF!*0.02)*0.6</f>
        <v>#REF!</v>
      </c>
      <c r="J22" s="330" t="e">
        <f t="shared" si="0"/>
        <v>#REF!</v>
      </c>
    </row>
    <row r="23" spans="1:11" hidden="1">
      <c r="A23" s="81"/>
      <c r="B23" s="81" t="s">
        <v>426</v>
      </c>
      <c r="C23" s="326" t="s">
        <v>426</v>
      </c>
      <c r="D23" s="334" t="s">
        <v>430</v>
      </c>
      <c r="E23" s="359" t="s">
        <v>425</v>
      </c>
      <c r="F23" s="327"/>
      <c r="G23" s="114">
        <v>2050</v>
      </c>
      <c r="H23" s="328">
        <v>1000</v>
      </c>
      <c r="I23" s="329" t="e">
        <f>(H23*#REF!*0.02)*0.6</f>
        <v>#REF!</v>
      </c>
      <c r="J23" s="330" t="e">
        <f t="shared" si="0"/>
        <v>#REF!</v>
      </c>
    </row>
    <row r="24" spans="1:11" hidden="1">
      <c r="A24" s="81"/>
      <c r="B24" s="81" t="s">
        <v>426</v>
      </c>
      <c r="C24" s="326" t="s">
        <v>426</v>
      </c>
      <c r="D24" s="334" t="s">
        <v>429</v>
      </c>
      <c r="E24" s="359" t="s">
        <v>425</v>
      </c>
      <c r="F24" s="327"/>
      <c r="G24" s="114">
        <v>2050</v>
      </c>
      <c r="H24" s="328">
        <v>1000</v>
      </c>
      <c r="I24" s="329" t="e">
        <f>(H24*#REF!*0.02)*0.6</f>
        <v>#REF!</v>
      </c>
      <c r="J24" s="330" t="e">
        <f t="shared" si="0"/>
        <v>#REF!</v>
      </c>
    </row>
    <row r="25" spans="1:11" hidden="1">
      <c r="A25" s="81"/>
      <c r="B25" s="81" t="s">
        <v>426</v>
      </c>
      <c r="C25" s="326" t="s">
        <v>426</v>
      </c>
      <c r="D25" s="334" t="s">
        <v>431</v>
      </c>
      <c r="E25" s="359" t="s">
        <v>425</v>
      </c>
      <c r="F25" s="327"/>
      <c r="G25" s="114">
        <v>2050</v>
      </c>
      <c r="H25" s="328">
        <v>1000</v>
      </c>
      <c r="I25" s="329" t="e">
        <f>(H25*#REF!*0.027)*0.6</f>
        <v>#REF!</v>
      </c>
      <c r="J25" s="330" t="e">
        <f t="shared" si="0"/>
        <v>#REF!</v>
      </c>
    </row>
    <row r="26" spans="1:11" hidden="1">
      <c r="A26" s="81"/>
      <c r="B26" s="81" t="s">
        <v>426</v>
      </c>
      <c r="C26" s="326" t="s">
        <v>426</v>
      </c>
      <c r="D26" s="334" t="s">
        <v>432</v>
      </c>
      <c r="E26" s="359" t="s">
        <v>425</v>
      </c>
      <c r="F26" s="327"/>
      <c r="G26" s="114">
        <v>2050</v>
      </c>
      <c r="H26" s="328">
        <v>1000</v>
      </c>
      <c r="I26" s="329" t="e">
        <f>(H26*#REF!*0.026)*0.6</f>
        <v>#REF!</v>
      </c>
      <c r="J26" s="330" t="e">
        <f t="shared" si="0"/>
        <v>#REF!</v>
      </c>
    </row>
    <row r="27" spans="1:11" hidden="1">
      <c r="A27" s="81"/>
      <c r="B27" s="81" t="s">
        <v>426</v>
      </c>
      <c r="C27" s="326" t="s">
        <v>426</v>
      </c>
      <c r="D27" s="334" t="s">
        <v>433</v>
      </c>
      <c r="E27" s="359" t="s">
        <v>425</v>
      </c>
      <c r="F27" s="327"/>
      <c r="G27" s="114"/>
      <c r="H27" s="328">
        <v>10000</v>
      </c>
      <c r="I27" s="329">
        <f>H27*0.075*0.6</f>
        <v>450</v>
      </c>
      <c r="J27" s="330">
        <f t="shared" si="0"/>
        <v>450</v>
      </c>
    </row>
    <row r="28" spans="1:11" hidden="1">
      <c r="A28" s="81"/>
      <c r="B28" s="81" t="s">
        <v>426</v>
      </c>
      <c r="C28" s="326" t="s">
        <v>426</v>
      </c>
      <c r="D28" s="334" t="s">
        <v>365</v>
      </c>
      <c r="E28" s="359" t="s">
        <v>425</v>
      </c>
      <c r="F28" s="327"/>
      <c r="G28" s="114">
        <v>2050</v>
      </c>
      <c r="H28" s="328">
        <v>1000</v>
      </c>
      <c r="I28" s="329" t="e">
        <f>(H28*#REF!*0.025)*0.6</f>
        <v>#REF!</v>
      </c>
      <c r="J28" s="330" t="e">
        <f t="shared" si="0"/>
        <v>#REF!</v>
      </c>
    </row>
    <row r="29" spans="1:11" hidden="1">
      <c r="A29" s="81"/>
      <c r="B29" s="81" t="s">
        <v>426</v>
      </c>
      <c r="C29" s="326" t="s">
        <v>426</v>
      </c>
      <c r="D29" s="334" t="s">
        <v>443</v>
      </c>
      <c r="E29" s="359" t="s">
        <v>425</v>
      </c>
      <c r="F29" s="327"/>
      <c r="G29" s="114"/>
      <c r="H29" s="328">
        <v>150000</v>
      </c>
      <c r="I29" s="143">
        <f>(H29*0.007)*0.6</f>
        <v>630</v>
      </c>
      <c r="J29" s="330">
        <f t="shared" si="0"/>
        <v>630</v>
      </c>
    </row>
    <row r="30" spans="1:11">
      <c r="A30" s="80" t="s">
        <v>546</v>
      </c>
      <c r="B30" s="80">
        <v>960341</v>
      </c>
      <c r="C30" s="71" t="s">
        <v>413</v>
      </c>
      <c r="D30" s="338" t="s">
        <v>5</v>
      </c>
      <c r="E30" s="360">
        <v>20393259</v>
      </c>
      <c r="F30" s="237"/>
      <c r="G30" s="22"/>
      <c r="H30" s="140">
        <v>204.72</v>
      </c>
      <c r="I30" s="141">
        <f>H30*0.12</f>
        <v>24.566399999999998</v>
      </c>
      <c r="J30" s="142">
        <f>I30</f>
        <v>24.566399999999998</v>
      </c>
      <c r="K30" t="s">
        <v>159</v>
      </c>
    </row>
    <row r="31" spans="1:11" ht="18" customHeight="1">
      <c r="A31" s="80" t="s">
        <v>546</v>
      </c>
      <c r="B31" s="80">
        <v>960341</v>
      </c>
      <c r="C31" s="71" t="s">
        <v>413</v>
      </c>
      <c r="D31" s="338" t="s">
        <v>303</v>
      </c>
      <c r="E31" s="360">
        <v>20391907</v>
      </c>
      <c r="F31" s="237"/>
      <c r="G31" s="22"/>
      <c r="H31" s="140">
        <v>1884.52</v>
      </c>
      <c r="I31" s="143">
        <f>(800*0.06)+(800*0.07)+(284*0.08)</f>
        <v>126.72</v>
      </c>
      <c r="J31" s="142">
        <f t="shared" ref="J31:J45" si="1">I31</f>
        <v>126.72</v>
      </c>
      <c r="K31" t="s">
        <v>161</v>
      </c>
    </row>
    <row r="32" spans="1:11" ht="18" customHeight="1">
      <c r="A32" s="80" t="s">
        <v>546</v>
      </c>
      <c r="B32" s="80">
        <v>960341</v>
      </c>
      <c r="C32" s="71" t="s">
        <v>413</v>
      </c>
      <c r="D32" s="338" t="s">
        <v>414</v>
      </c>
      <c r="E32" s="360">
        <v>20389779</v>
      </c>
      <c r="F32" s="237"/>
      <c r="G32" s="22"/>
      <c r="H32" s="140">
        <v>27.49</v>
      </c>
      <c r="I32" s="141">
        <f>H32*0.12</f>
        <v>3.2987999999999995</v>
      </c>
      <c r="J32" s="142">
        <f t="shared" si="1"/>
        <v>3.2987999999999995</v>
      </c>
    </row>
    <row r="33" spans="1:11" ht="18" customHeight="1">
      <c r="A33" s="80" t="s">
        <v>546</v>
      </c>
      <c r="B33" s="80">
        <v>944900</v>
      </c>
      <c r="C33" s="71" t="s">
        <v>342</v>
      </c>
      <c r="D33" s="338" t="s">
        <v>5</v>
      </c>
      <c r="E33" s="360">
        <v>20389877</v>
      </c>
      <c r="F33" s="237"/>
      <c r="G33" s="22"/>
      <c r="H33" s="140">
        <v>247.54</v>
      </c>
      <c r="I33" s="141">
        <f>H33*0.12</f>
        <v>29.704799999999999</v>
      </c>
      <c r="J33" s="142">
        <f t="shared" si="1"/>
        <v>29.704799999999999</v>
      </c>
      <c r="K33" t="s">
        <v>160</v>
      </c>
    </row>
    <row r="34" spans="1:11" ht="18" customHeight="1">
      <c r="A34" s="80" t="s">
        <v>546</v>
      </c>
      <c r="B34" s="80">
        <v>960430</v>
      </c>
      <c r="C34" s="71" t="s">
        <v>415</v>
      </c>
      <c r="D34" s="338" t="s">
        <v>303</v>
      </c>
      <c r="E34" s="360">
        <v>20390775</v>
      </c>
      <c r="F34" s="237"/>
      <c r="G34" s="22"/>
      <c r="H34" s="140">
        <v>1920.78</v>
      </c>
      <c r="I34" s="143">
        <f>(800*0.06)+(800*0.07)+(320.78*0.08)</f>
        <v>129.66239999999999</v>
      </c>
      <c r="J34" s="142">
        <f t="shared" si="1"/>
        <v>129.66239999999999</v>
      </c>
    </row>
    <row r="35" spans="1:11" ht="18" customHeight="1">
      <c r="A35" s="80" t="s">
        <v>546</v>
      </c>
      <c r="B35" s="80">
        <v>960430</v>
      </c>
      <c r="C35" s="71" t="s">
        <v>415</v>
      </c>
      <c r="D35" s="338" t="s">
        <v>5</v>
      </c>
      <c r="E35" s="360">
        <v>20390162</v>
      </c>
      <c r="F35" s="237"/>
      <c r="G35" s="22"/>
      <c r="H35" s="140">
        <v>298.55</v>
      </c>
      <c r="I35" s="141">
        <f>H35*0.12</f>
        <v>35.826000000000001</v>
      </c>
      <c r="J35" s="142">
        <f t="shared" si="1"/>
        <v>35.826000000000001</v>
      </c>
      <c r="K35" t="s">
        <v>147</v>
      </c>
    </row>
    <row r="36" spans="1:11" ht="18" customHeight="1">
      <c r="A36" s="80" t="s">
        <v>546</v>
      </c>
      <c r="B36" s="80">
        <v>849012</v>
      </c>
      <c r="C36" s="71" t="s">
        <v>380</v>
      </c>
      <c r="D36" s="338" t="s">
        <v>306</v>
      </c>
      <c r="E36" s="360">
        <v>610223166</v>
      </c>
      <c r="F36" s="237"/>
      <c r="G36" s="22"/>
      <c r="H36" s="140">
        <v>760.2</v>
      </c>
      <c r="I36" s="141">
        <f>(H36/12*3.5)*0.6</f>
        <v>133.035</v>
      </c>
      <c r="J36" s="142">
        <f t="shared" si="1"/>
        <v>133.035</v>
      </c>
    </row>
    <row r="37" spans="1:11" ht="18" customHeight="1">
      <c r="A37" s="616" t="s">
        <v>546</v>
      </c>
      <c r="B37" s="616">
        <v>849012</v>
      </c>
      <c r="C37" s="617" t="s">
        <v>380</v>
      </c>
      <c r="D37" s="543" t="s">
        <v>5</v>
      </c>
      <c r="E37" s="618" t="s">
        <v>619</v>
      </c>
      <c r="F37" s="612"/>
      <c r="G37" s="504"/>
      <c r="H37" s="505">
        <v>229.08</v>
      </c>
      <c r="I37" s="541">
        <f>H37*0.12</f>
        <v>27.489599999999999</v>
      </c>
      <c r="J37" s="142">
        <f t="shared" si="1"/>
        <v>27.489599999999999</v>
      </c>
    </row>
    <row r="38" spans="1:11" ht="18" customHeight="1">
      <c r="A38" s="80" t="s">
        <v>546</v>
      </c>
      <c r="B38" s="80">
        <v>869731</v>
      </c>
      <c r="C38" s="71" t="s">
        <v>416</v>
      </c>
      <c r="D38" s="338" t="s">
        <v>306</v>
      </c>
      <c r="E38" s="360">
        <v>61023303</v>
      </c>
      <c r="F38" s="237"/>
      <c r="G38" s="22"/>
      <c r="H38" s="140">
        <v>145.08000000000001</v>
      </c>
      <c r="I38" s="141">
        <f>(H38/12*3.5)*0.6</f>
        <v>25.389000000000003</v>
      </c>
      <c r="J38" s="142">
        <f t="shared" si="1"/>
        <v>25.389000000000003</v>
      </c>
    </row>
    <row r="39" spans="1:11" ht="18" customHeight="1">
      <c r="A39" s="80" t="s">
        <v>546</v>
      </c>
      <c r="B39" s="82">
        <v>711633</v>
      </c>
      <c r="C39" s="71" t="s">
        <v>417</v>
      </c>
      <c r="D39" s="336" t="s">
        <v>299</v>
      </c>
      <c r="E39" s="80">
        <v>806103</v>
      </c>
      <c r="F39" s="317"/>
      <c r="G39" s="22">
        <v>2041</v>
      </c>
      <c r="H39" s="140">
        <v>1700</v>
      </c>
      <c r="I39" s="156">
        <f>(H39*24*0.02)*0.6</f>
        <v>489.59999999999997</v>
      </c>
      <c r="J39" s="142">
        <f t="shared" si="1"/>
        <v>489.59999999999997</v>
      </c>
    </row>
    <row r="40" spans="1:11" ht="18" customHeight="1">
      <c r="A40" s="80" t="s">
        <v>546</v>
      </c>
      <c r="B40" s="80">
        <v>782333</v>
      </c>
      <c r="C40" s="71" t="s">
        <v>402</v>
      </c>
      <c r="D40" s="336" t="s">
        <v>299</v>
      </c>
      <c r="E40" s="360">
        <v>822500</v>
      </c>
      <c r="F40" s="237"/>
      <c r="G40" s="22">
        <v>2036</v>
      </c>
      <c r="H40" s="140">
        <v>1100</v>
      </c>
      <c r="I40" s="156">
        <f>(H40*19*0.02)*0.6</f>
        <v>250.79999999999998</v>
      </c>
      <c r="J40" s="142">
        <f t="shared" si="1"/>
        <v>250.79999999999998</v>
      </c>
    </row>
    <row r="41" spans="1:11" ht="18" customHeight="1">
      <c r="A41" s="80" t="s">
        <v>546</v>
      </c>
      <c r="B41" s="80">
        <v>789809</v>
      </c>
      <c r="C41" s="71" t="s">
        <v>419</v>
      </c>
      <c r="D41" s="338" t="s">
        <v>256</v>
      </c>
      <c r="E41" s="360">
        <v>61022957</v>
      </c>
      <c r="F41" s="237"/>
      <c r="G41" s="22"/>
      <c r="H41" s="140">
        <v>766.65</v>
      </c>
      <c r="I41" s="141">
        <f>(H41/12*3.5)*0.6</f>
        <v>134.16374999999999</v>
      </c>
      <c r="J41" s="142">
        <f t="shared" si="1"/>
        <v>134.16374999999999</v>
      </c>
      <c r="K41" t="s">
        <v>155</v>
      </c>
    </row>
    <row r="42" spans="1:11" ht="18" customHeight="1">
      <c r="A42" s="80" t="s">
        <v>546</v>
      </c>
      <c r="B42" s="80">
        <v>674507</v>
      </c>
      <c r="C42" s="71" t="s">
        <v>420</v>
      </c>
      <c r="D42" s="338" t="s">
        <v>5</v>
      </c>
      <c r="E42" s="360">
        <v>20393955</v>
      </c>
      <c r="F42" s="237"/>
      <c r="G42" s="22"/>
      <c r="H42" s="140">
        <v>171.79</v>
      </c>
      <c r="I42" s="141">
        <f>H42*0.12</f>
        <v>20.614799999999999</v>
      </c>
      <c r="J42" s="142">
        <f t="shared" si="1"/>
        <v>20.614799999999999</v>
      </c>
    </row>
    <row r="43" spans="1:11" ht="18" customHeight="1">
      <c r="A43" s="80" t="s">
        <v>546</v>
      </c>
      <c r="B43" s="80">
        <v>674507</v>
      </c>
      <c r="C43" s="71" t="s">
        <v>420</v>
      </c>
      <c r="D43" s="338" t="s">
        <v>59</v>
      </c>
      <c r="E43" s="360">
        <v>20393956</v>
      </c>
      <c r="F43" s="237"/>
      <c r="G43" s="22"/>
      <c r="H43" s="140">
        <v>112.72</v>
      </c>
      <c r="I43" s="141">
        <f>H43*0.15</f>
        <v>16.907999999999998</v>
      </c>
      <c r="J43" s="142">
        <f t="shared" si="1"/>
        <v>16.907999999999998</v>
      </c>
    </row>
    <row r="44" spans="1:11" ht="18" customHeight="1">
      <c r="A44" s="80" t="s">
        <v>546</v>
      </c>
      <c r="B44" s="80">
        <v>520444</v>
      </c>
      <c r="C44" s="71" t="s">
        <v>421</v>
      </c>
      <c r="D44" s="338" t="s">
        <v>303</v>
      </c>
      <c r="E44" s="360">
        <v>20393603</v>
      </c>
      <c r="F44" s="237"/>
      <c r="G44" s="22"/>
      <c r="H44" s="140">
        <v>1036.6099999999999</v>
      </c>
      <c r="I44" s="143">
        <f>(800*0.06)+(263.61*0.07)</f>
        <v>66.452700000000007</v>
      </c>
      <c r="J44" s="142">
        <f t="shared" si="1"/>
        <v>66.452700000000007</v>
      </c>
    </row>
    <row r="45" spans="1:11" ht="18" customHeight="1" thickBot="1">
      <c r="A45" s="80" t="s">
        <v>546</v>
      </c>
      <c r="B45" s="80">
        <v>492267</v>
      </c>
      <c r="C45" s="71" t="s">
        <v>422</v>
      </c>
      <c r="D45" s="338" t="s">
        <v>218</v>
      </c>
      <c r="E45" s="360">
        <v>10881831</v>
      </c>
      <c r="F45" s="237" t="s">
        <v>379</v>
      </c>
      <c r="G45" s="22"/>
      <c r="H45" s="140">
        <v>239.89</v>
      </c>
      <c r="I45" s="141">
        <f>H45*0.12*0.5</f>
        <v>14.393399999999998</v>
      </c>
      <c r="J45" s="142">
        <f t="shared" si="1"/>
        <v>14.393399999999998</v>
      </c>
    </row>
    <row r="46" spans="1:11" s="6" customFormat="1" ht="19.5" thickBot="1">
      <c r="A46" s="374" t="s">
        <v>113</v>
      </c>
      <c r="B46" s="80"/>
      <c r="C46" s="145" t="s">
        <v>296</v>
      </c>
      <c r="D46" s="339"/>
      <c r="E46" s="361"/>
      <c r="F46" s="318"/>
      <c r="G46" s="147"/>
      <c r="H46" s="148"/>
      <c r="I46" s="149"/>
      <c r="J46" s="151">
        <f>SUM(J30:J45)</f>
        <v>1528.6246499999997</v>
      </c>
      <c r="K46" t="s">
        <v>163</v>
      </c>
    </row>
    <row r="47" spans="1:11" ht="19.5" thickBot="1">
      <c r="A47" s="88" t="s">
        <v>547</v>
      </c>
      <c r="B47" s="88">
        <v>431621</v>
      </c>
      <c r="C47" s="70" t="s">
        <v>444</v>
      </c>
      <c r="D47" s="338" t="s">
        <v>437</v>
      </c>
      <c r="E47" s="358">
        <v>10058471</v>
      </c>
      <c r="F47" s="316"/>
      <c r="G47" s="16"/>
      <c r="H47" s="185">
        <v>113.12</v>
      </c>
      <c r="I47" s="143">
        <f t="shared" ref="I47:I48" si="2">H47*0.15</f>
        <v>16.968</v>
      </c>
      <c r="J47" s="19">
        <f t="shared" ref="J47:J52" si="3">I47</f>
        <v>16.968</v>
      </c>
      <c r="K47" s="5" t="s">
        <v>191</v>
      </c>
    </row>
    <row r="48" spans="1:11">
      <c r="A48" s="80" t="s">
        <v>547</v>
      </c>
      <c r="B48" s="80">
        <v>664441</v>
      </c>
      <c r="C48" s="71" t="s">
        <v>418</v>
      </c>
      <c r="D48" s="338" t="s">
        <v>437</v>
      </c>
      <c r="E48" s="360">
        <v>10098758</v>
      </c>
      <c r="F48" s="237"/>
      <c r="G48" s="22"/>
      <c r="H48" s="143">
        <v>113.12</v>
      </c>
      <c r="I48" s="143">
        <f t="shared" si="2"/>
        <v>16.968</v>
      </c>
      <c r="J48" s="19">
        <f t="shared" si="3"/>
        <v>16.968</v>
      </c>
      <c r="K48" s="5" t="s">
        <v>192</v>
      </c>
    </row>
    <row r="49" spans="1:13">
      <c r="A49" s="84" t="s">
        <v>547</v>
      </c>
      <c r="B49" s="80">
        <v>963163</v>
      </c>
      <c r="C49" s="71" t="s">
        <v>445</v>
      </c>
      <c r="D49" s="335" t="s">
        <v>427</v>
      </c>
      <c r="E49" s="360">
        <v>823305</v>
      </c>
      <c r="F49" s="237"/>
      <c r="G49" s="22">
        <v>2033</v>
      </c>
      <c r="H49" s="143">
        <v>1200</v>
      </c>
      <c r="I49" s="345">
        <f>(H49*16*0.02)*0.6</f>
        <v>230.39999999999998</v>
      </c>
      <c r="J49" s="24">
        <f t="shared" si="3"/>
        <v>230.39999999999998</v>
      </c>
      <c r="K49" s="75" t="s">
        <v>202</v>
      </c>
      <c r="L49" t="s">
        <v>446</v>
      </c>
    </row>
    <row r="50" spans="1:13" s="4" customFormat="1">
      <c r="A50" s="84" t="s">
        <v>547</v>
      </c>
      <c r="B50" s="80">
        <v>932605</v>
      </c>
      <c r="C50" s="71" t="s">
        <v>448</v>
      </c>
      <c r="D50" s="335" t="s">
        <v>447</v>
      </c>
      <c r="E50" s="360">
        <v>806104</v>
      </c>
      <c r="F50" s="237"/>
      <c r="G50" s="22">
        <v>2056</v>
      </c>
      <c r="H50" s="143">
        <v>840</v>
      </c>
      <c r="I50" s="345">
        <f>(H50*39*0.02)*0.6</f>
        <v>393.12</v>
      </c>
      <c r="J50" s="24">
        <f t="shared" si="3"/>
        <v>393.12</v>
      </c>
      <c r="K50" s="4" t="s">
        <v>203</v>
      </c>
    </row>
    <row r="51" spans="1:13" s="4" customFormat="1">
      <c r="A51" s="80" t="s">
        <v>547</v>
      </c>
      <c r="B51" s="80">
        <v>964206</v>
      </c>
      <c r="C51" s="71" t="s">
        <v>449</v>
      </c>
      <c r="D51" s="335" t="s">
        <v>435</v>
      </c>
      <c r="E51" s="362">
        <v>20394708</v>
      </c>
      <c r="F51" s="237"/>
      <c r="G51" s="25"/>
      <c r="H51" s="345">
        <v>1131.73</v>
      </c>
      <c r="I51" s="345">
        <f>(800*0.06)+(331.73*0.07)</f>
        <v>71.221100000000007</v>
      </c>
      <c r="J51" s="38">
        <f t="shared" si="3"/>
        <v>71.221100000000007</v>
      </c>
      <c r="K51" s="75"/>
    </row>
    <row r="52" spans="1:13" s="4" customFormat="1">
      <c r="A52" s="80" t="s">
        <v>547</v>
      </c>
      <c r="B52" s="80">
        <v>300245</v>
      </c>
      <c r="C52" s="71" t="s">
        <v>125</v>
      </c>
      <c r="D52" s="335" t="s">
        <v>447</v>
      </c>
      <c r="E52" s="362">
        <v>806105</v>
      </c>
      <c r="F52" s="237"/>
      <c r="G52" s="25">
        <v>2052</v>
      </c>
      <c r="H52" s="345">
        <v>600</v>
      </c>
      <c r="I52" s="345">
        <f>(H52*35*0.02)*0.6</f>
        <v>252</v>
      </c>
      <c r="J52" s="38">
        <f t="shared" si="3"/>
        <v>252</v>
      </c>
      <c r="K52" s="75"/>
    </row>
    <row r="53" spans="1:13" s="4" customFormat="1">
      <c r="A53" s="80" t="s">
        <v>547</v>
      </c>
      <c r="B53" s="80">
        <v>548742</v>
      </c>
      <c r="C53" s="71" t="s">
        <v>308</v>
      </c>
      <c r="D53" s="335" t="s">
        <v>435</v>
      </c>
      <c r="E53" s="362">
        <v>20396984</v>
      </c>
      <c r="F53" s="237"/>
      <c r="G53" s="25"/>
      <c r="H53" s="345">
        <v>738.99</v>
      </c>
      <c r="I53" s="345">
        <f>H53*0.06</f>
        <v>44.339399999999998</v>
      </c>
      <c r="J53" s="38">
        <f t="shared" ref="J53:J58" si="4">I53</f>
        <v>44.339399999999998</v>
      </c>
      <c r="K53" t="s">
        <v>197</v>
      </c>
    </row>
    <row r="54" spans="1:13" s="4" customFormat="1">
      <c r="A54" s="82" t="s">
        <v>547</v>
      </c>
      <c r="B54" s="80">
        <v>548743</v>
      </c>
      <c r="C54" s="71" t="s">
        <v>308</v>
      </c>
      <c r="D54" s="335" t="s">
        <v>435</v>
      </c>
      <c r="E54" s="362">
        <v>20397882</v>
      </c>
      <c r="F54" s="237"/>
      <c r="G54" s="25"/>
      <c r="H54" s="143">
        <v>995.63</v>
      </c>
      <c r="I54" s="143">
        <f>(800*0.06)+(195.63*0.07)</f>
        <v>61.694099999999999</v>
      </c>
      <c r="J54" s="24">
        <f t="shared" si="4"/>
        <v>61.694099999999999</v>
      </c>
      <c r="K54" s="4" t="s">
        <v>177</v>
      </c>
    </row>
    <row r="55" spans="1:13" s="4" customFormat="1">
      <c r="A55" s="80" t="s">
        <v>547</v>
      </c>
      <c r="B55" s="80">
        <v>674507</v>
      </c>
      <c r="C55" s="71" t="s">
        <v>454</v>
      </c>
      <c r="D55" s="335" t="s">
        <v>447</v>
      </c>
      <c r="E55" s="360">
        <v>823670</v>
      </c>
      <c r="F55" s="237"/>
      <c r="G55" s="22">
        <v>2047</v>
      </c>
      <c r="H55" s="143">
        <v>840</v>
      </c>
      <c r="I55" s="345">
        <f>(H55*30*0.02)*0.6</f>
        <v>302.39999999999998</v>
      </c>
      <c r="J55" s="24">
        <f t="shared" si="4"/>
        <v>302.39999999999998</v>
      </c>
    </row>
    <row r="56" spans="1:13" s="4" customFormat="1">
      <c r="A56" s="80" t="s">
        <v>547</v>
      </c>
      <c r="B56" s="80">
        <v>960341</v>
      </c>
      <c r="C56" s="71" t="s">
        <v>413</v>
      </c>
      <c r="D56" s="335" t="s">
        <v>447</v>
      </c>
      <c r="E56" s="362">
        <v>823575</v>
      </c>
      <c r="F56" s="237"/>
      <c r="G56" s="25">
        <v>2050</v>
      </c>
      <c r="H56" s="143">
        <v>1200</v>
      </c>
      <c r="I56" s="345">
        <f>(H56*33*0.02)*0.6</f>
        <v>475.2</v>
      </c>
      <c r="J56" s="24">
        <f t="shared" si="4"/>
        <v>475.2</v>
      </c>
    </row>
    <row r="57" spans="1:13" s="4" customFormat="1">
      <c r="A57" s="80" t="s">
        <v>547</v>
      </c>
      <c r="B57" s="80">
        <v>961947</v>
      </c>
      <c r="C57" s="71" t="s">
        <v>450</v>
      </c>
      <c r="D57" s="335" t="s">
        <v>435</v>
      </c>
      <c r="E57" s="362">
        <v>20391946</v>
      </c>
      <c r="F57" s="237"/>
      <c r="G57" s="25"/>
      <c r="H57" s="143">
        <v>1161.0999999999999</v>
      </c>
      <c r="I57" s="345">
        <f>(800*0.06)+(361.1*0.07)</f>
        <v>73.277000000000001</v>
      </c>
      <c r="J57" s="24">
        <f t="shared" si="4"/>
        <v>73.277000000000001</v>
      </c>
    </row>
    <row r="58" spans="1:13" s="4" customFormat="1">
      <c r="A58" s="80" t="s">
        <v>547</v>
      </c>
      <c r="B58" s="80">
        <v>616905</v>
      </c>
      <c r="C58" s="71" t="s">
        <v>452</v>
      </c>
      <c r="D58" s="335" t="s">
        <v>306</v>
      </c>
      <c r="E58" s="362">
        <v>60004666</v>
      </c>
      <c r="F58" s="237" t="s">
        <v>379</v>
      </c>
      <c r="G58" s="25"/>
      <c r="H58" s="143">
        <v>1022.73</v>
      </c>
      <c r="I58" s="345">
        <f>(H58/12*3.5)*0.6*0.5</f>
        <v>89.488875000000007</v>
      </c>
      <c r="J58" s="24">
        <f t="shared" si="4"/>
        <v>89.488875000000007</v>
      </c>
    </row>
    <row r="59" spans="1:13" ht="19.5" thickBot="1">
      <c r="A59" s="376" t="s">
        <v>164</v>
      </c>
      <c r="B59" s="80"/>
      <c r="C59" s="145" t="s">
        <v>281</v>
      </c>
      <c r="D59" s="339"/>
      <c r="E59" s="363"/>
      <c r="F59" s="318"/>
      <c r="G59" s="42"/>
      <c r="H59" s="158"/>
      <c r="I59" s="158"/>
      <c r="J59" s="276">
        <f>SUM(J47:J58)</f>
        <v>2027.0764750000001</v>
      </c>
      <c r="K59" s="5" t="s">
        <v>214</v>
      </c>
    </row>
    <row r="60" spans="1:13">
      <c r="A60" s="88" t="s">
        <v>548</v>
      </c>
      <c r="B60" s="88">
        <v>968621</v>
      </c>
      <c r="C60" s="70" t="s">
        <v>455</v>
      </c>
      <c r="D60" s="340" t="s">
        <v>303</v>
      </c>
      <c r="E60" s="358">
        <v>20399997</v>
      </c>
      <c r="F60" s="316"/>
      <c r="G60" s="16"/>
      <c r="H60" s="185">
        <v>1337.97</v>
      </c>
      <c r="I60" s="345">
        <f>(800*0.06)+(537.97*0.07)</f>
        <v>85.657900000000012</v>
      </c>
      <c r="J60" s="19">
        <f t="shared" ref="J60:J84" si="5">I60</f>
        <v>85.657900000000012</v>
      </c>
      <c r="K60" s="5" t="s">
        <v>194</v>
      </c>
      <c r="L60" t="s">
        <v>298</v>
      </c>
    </row>
    <row r="61" spans="1:13" s="4" customFormat="1">
      <c r="A61" s="80" t="s">
        <v>548</v>
      </c>
      <c r="B61" s="80">
        <v>260070</v>
      </c>
      <c r="C61" s="71" t="s">
        <v>456</v>
      </c>
      <c r="D61" s="338" t="s">
        <v>183</v>
      </c>
      <c r="E61" s="360">
        <v>20406003</v>
      </c>
      <c r="F61" s="319"/>
      <c r="G61" s="22"/>
      <c r="H61" s="143">
        <v>94.95</v>
      </c>
      <c r="I61" s="143">
        <f>H61*0.12</f>
        <v>11.394</v>
      </c>
      <c r="J61" s="24">
        <f t="shared" si="5"/>
        <v>11.394</v>
      </c>
      <c r="K61" s="5" t="s">
        <v>195</v>
      </c>
    </row>
    <row r="62" spans="1:13">
      <c r="A62" s="80" t="s">
        <v>548</v>
      </c>
      <c r="B62" s="80">
        <v>260070</v>
      </c>
      <c r="C62" s="71" t="s">
        <v>456</v>
      </c>
      <c r="D62" s="338" t="s">
        <v>441</v>
      </c>
      <c r="E62" s="362">
        <v>20402456</v>
      </c>
      <c r="F62" s="237"/>
      <c r="G62" s="25"/>
      <c r="H62" s="345">
        <v>611.69000000000005</v>
      </c>
      <c r="I62" s="345">
        <f>(611.69*0.06)</f>
        <v>36.7014</v>
      </c>
      <c r="J62" s="38">
        <f t="shared" si="5"/>
        <v>36.7014</v>
      </c>
      <c r="K62" s="75" t="s">
        <v>199</v>
      </c>
    </row>
    <row r="63" spans="1:13">
      <c r="A63" s="80" t="s">
        <v>548</v>
      </c>
      <c r="B63" s="80">
        <v>729789</v>
      </c>
      <c r="C63" s="71" t="s">
        <v>457</v>
      </c>
      <c r="D63" s="338" t="s">
        <v>432</v>
      </c>
      <c r="E63" s="360">
        <v>611756</v>
      </c>
      <c r="F63" s="237"/>
      <c r="G63" s="22">
        <v>2032</v>
      </c>
      <c r="H63" s="143">
        <v>600</v>
      </c>
      <c r="I63" s="345">
        <f>(H63*15*0.027)*0.6</f>
        <v>145.79999999999998</v>
      </c>
      <c r="J63" s="24">
        <f t="shared" si="5"/>
        <v>145.79999999999998</v>
      </c>
      <c r="K63" s="75" t="s">
        <v>200</v>
      </c>
      <c r="M63" s="395" t="s">
        <v>524</v>
      </c>
    </row>
    <row r="64" spans="1:13" s="6" customFormat="1">
      <c r="A64" s="80" t="s">
        <v>548</v>
      </c>
      <c r="B64" s="80">
        <v>729790</v>
      </c>
      <c r="C64" s="71" t="s">
        <v>457</v>
      </c>
      <c r="D64" s="338" t="s">
        <v>437</v>
      </c>
      <c r="E64" s="364">
        <v>20380756</v>
      </c>
      <c r="F64" s="237" t="s">
        <v>379</v>
      </c>
      <c r="G64" s="22"/>
      <c r="H64" s="143">
        <v>113.82</v>
      </c>
      <c r="I64" s="345">
        <f>H64*0.15*0.5</f>
        <v>8.5364999999999984</v>
      </c>
      <c r="J64" s="24">
        <f>I64</f>
        <v>8.5364999999999984</v>
      </c>
      <c r="K64" s="75"/>
    </row>
    <row r="65" spans="1:13" s="6" customFormat="1">
      <c r="A65" s="80" t="s">
        <v>548</v>
      </c>
      <c r="B65" s="80">
        <v>729790</v>
      </c>
      <c r="C65" s="71" t="s">
        <v>457</v>
      </c>
      <c r="D65" s="338" t="s">
        <v>126</v>
      </c>
      <c r="E65" s="364">
        <v>20380756</v>
      </c>
      <c r="F65" s="237" t="s">
        <v>379</v>
      </c>
      <c r="G65" s="22"/>
      <c r="H65" s="143">
        <v>128.85</v>
      </c>
      <c r="I65" s="345">
        <f>H65*0.1*0.5</f>
        <v>6.4424999999999999</v>
      </c>
      <c r="J65" s="24">
        <f>I65</f>
        <v>6.4424999999999999</v>
      </c>
      <c r="K65" s="75"/>
    </row>
    <row r="66" spans="1:13" s="6" customFormat="1">
      <c r="A66" s="80" t="s">
        <v>548</v>
      </c>
      <c r="B66" s="80">
        <v>729789</v>
      </c>
      <c r="C66" s="71" t="s">
        <v>457</v>
      </c>
      <c r="D66" s="338" t="s">
        <v>436</v>
      </c>
      <c r="E66" s="364">
        <v>20380756</v>
      </c>
      <c r="F66" s="237" t="s">
        <v>379</v>
      </c>
      <c r="G66" s="28"/>
      <c r="H66" s="346">
        <v>322.57</v>
      </c>
      <c r="I66" s="346">
        <f>H66*0.12*0.5</f>
        <v>19.354199999999999</v>
      </c>
      <c r="J66" s="30">
        <f t="shared" si="5"/>
        <v>19.354199999999999</v>
      </c>
      <c r="K66"/>
    </row>
    <row r="67" spans="1:13">
      <c r="A67" s="84" t="s">
        <v>548</v>
      </c>
      <c r="B67" s="80">
        <v>729789</v>
      </c>
      <c r="C67" s="71" t="s">
        <v>457</v>
      </c>
      <c r="D67" s="338" t="s">
        <v>435</v>
      </c>
      <c r="E67" s="360">
        <v>20380742</v>
      </c>
      <c r="F67" s="237" t="s">
        <v>379</v>
      </c>
      <c r="G67" s="22"/>
      <c r="H67" s="143">
        <v>2476.73</v>
      </c>
      <c r="I67" s="345">
        <f>((800*0.06)+(800*0.07)+(876.73*0.08))*0.5</f>
        <v>87.069199999999995</v>
      </c>
      <c r="J67" s="24">
        <f t="shared" si="5"/>
        <v>87.069199999999995</v>
      </c>
      <c r="K67" s="5" t="s">
        <v>211</v>
      </c>
    </row>
    <row r="68" spans="1:13" s="3" customFormat="1">
      <c r="A68" s="370" t="s">
        <v>548</v>
      </c>
      <c r="B68" s="80">
        <v>611396</v>
      </c>
      <c r="C68" s="77" t="s">
        <v>375</v>
      </c>
      <c r="D68" s="338" t="s">
        <v>436</v>
      </c>
      <c r="E68" s="362">
        <v>20401766</v>
      </c>
      <c r="F68" s="237"/>
      <c r="G68" s="32"/>
      <c r="H68" s="345">
        <v>254.78</v>
      </c>
      <c r="I68" s="345">
        <f>H68*0.12</f>
        <v>30.573599999999999</v>
      </c>
      <c r="J68" s="352">
        <f t="shared" si="5"/>
        <v>30.573599999999999</v>
      </c>
      <c r="K68" s="4" t="s">
        <v>205</v>
      </c>
    </row>
    <row r="69" spans="1:13" s="3" customFormat="1">
      <c r="A69" s="85" t="s">
        <v>548</v>
      </c>
      <c r="B69" s="80">
        <v>611396</v>
      </c>
      <c r="C69" s="77" t="s">
        <v>375</v>
      </c>
      <c r="D69" s="338" t="s">
        <v>437</v>
      </c>
      <c r="E69" s="362">
        <v>20401766</v>
      </c>
      <c r="F69" s="237"/>
      <c r="G69" s="32"/>
      <c r="H69" s="345">
        <v>113.12</v>
      </c>
      <c r="I69" s="345">
        <f>H69*0.15</f>
        <v>16.968</v>
      </c>
      <c r="J69" s="352">
        <f>I69</f>
        <v>16.968</v>
      </c>
      <c r="K69" s="4"/>
    </row>
    <row r="70" spans="1:13" s="4" customFormat="1">
      <c r="A70" s="80" t="s">
        <v>548</v>
      </c>
      <c r="B70" s="80">
        <v>957574</v>
      </c>
      <c r="C70" s="74" t="s">
        <v>464</v>
      </c>
      <c r="D70" s="338" t="s">
        <v>433</v>
      </c>
      <c r="E70" s="362">
        <v>449631</v>
      </c>
      <c r="F70" s="237"/>
      <c r="G70" s="25">
        <v>2041</v>
      </c>
      <c r="H70" s="345">
        <v>523.96</v>
      </c>
      <c r="I70" s="92">
        <f>(H70*0.075)*0.6</f>
        <v>23.578200000000002</v>
      </c>
      <c r="J70" s="38">
        <f t="shared" si="5"/>
        <v>23.578200000000002</v>
      </c>
      <c r="K70" s="5" t="s">
        <v>206</v>
      </c>
      <c r="L70" s="3"/>
    </row>
    <row r="71" spans="1:13">
      <c r="A71" s="80" t="s">
        <v>548</v>
      </c>
      <c r="B71" s="80">
        <v>957574</v>
      </c>
      <c r="C71" s="74" t="s">
        <v>464</v>
      </c>
      <c r="D71" s="338" t="s">
        <v>433</v>
      </c>
      <c r="E71" s="362">
        <v>449632</v>
      </c>
      <c r="F71" s="237"/>
      <c r="G71" s="613">
        <v>2041</v>
      </c>
      <c r="H71" s="345">
        <v>17840.318060990001</v>
      </c>
      <c r="I71" s="92">
        <f>(H71*0.075)*0.6</f>
        <v>802.81431274454997</v>
      </c>
      <c r="J71" s="38">
        <f t="shared" si="5"/>
        <v>802.81431274454997</v>
      </c>
      <c r="K71" s="5" t="s">
        <v>207</v>
      </c>
    </row>
    <row r="72" spans="1:13">
      <c r="A72" s="80" t="s">
        <v>548</v>
      </c>
      <c r="B72" s="80">
        <v>273587</v>
      </c>
      <c r="C72" s="77" t="s">
        <v>458</v>
      </c>
      <c r="D72" s="338" t="s">
        <v>183</v>
      </c>
      <c r="E72" s="362">
        <v>20405665</v>
      </c>
      <c r="F72" s="237"/>
      <c r="G72" s="25"/>
      <c r="H72" s="345">
        <v>602.57000000000005</v>
      </c>
      <c r="I72" s="345">
        <f>H72*0.12</f>
        <v>72.308400000000006</v>
      </c>
      <c r="J72" s="38">
        <f t="shared" si="5"/>
        <v>72.308400000000006</v>
      </c>
      <c r="K72" s="5"/>
    </row>
    <row r="73" spans="1:13">
      <c r="A73" s="80" t="s">
        <v>548</v>
      </c>
      <c r="B73" s="80">
        <v>273587</v>
      </c>
      <c r="C73" s="77" t="s">
        <v>458</v>
      </c>
      <c r="D73" s="338" t="s">
        <v>441</v>
      </c>
      <c r="E73" s="362">
        <v>20406329</v>
      </c>
      <c r="F73" s="237"/>
      <c r="G73" s="25"/>
      <c r="H73" s="345">
        <v>394.07</v>
      </c>
      <c r="I73" s="345">
        <f>H73*0.06</f>
        <v>23.644199999999998</v>
      </c>
      <c r="J73" s="38">
        <f t="shared" si="5"/>
        <v>23.644199999999998</v>
      </c>
      <c r="K73" s="5"/>
    </row>
    <row r="74" spans="1:13">
      <c r="A74" s="80" t="s">
        <v>548</v>
      </c>
      <c r="B74" s="80">
        <v>644354</v>
      </c>
      <c r="C74" s="77" t="s">
        <v>459</v>
      </c>
      <c r="D74" s="338" t="s">
        <v>436</v>
      </c>
      <c r="E74" s="362">
        <v>20402700</v>
      </c>
      <c r="F74" s="237"/>
      <c r="G74" s="25"/>
      <c r="H74" s="345">
        <v>188.58</v>
      </c>
      <c r="I74" s="345">
        <f>H74*0.12</f>
        <v>22.6296</v>
      </c>
      <c r="J74" s="38">
        <f t="shared" si="5"/>
        <v>22.6296</v>
      </c>
      <c r="K74" s="5"/>
    </row>
    <row r="75" spans="1:13">
      <c r="A75" s="80" t="s">
        <v>548</v>
      </c>
      <c r="B75" s="80">
        <v>644354</v>
      </c>
      <c r="C75" s="77" t="s">
        <v>459</v>
      </c>
      <c r="D75" s="338" t="s">
        <v>437</v>
      </c>
      <c r="E75" s="362">
        <v>20402700</v>
      </c>
      <c r="F75" s="237"/>
      <c r="G75" s="25"/>
      <c r="H75" s="345">
        <v>113.12</v>
      </c>
      <c r="I75" s="345">
        <f>H75*0.15</f>
        <v>16.968</v>
      </c>
      <c r="J75" s="38">
        <f>I75</f>
        <v>16.968</v>
      </c>
      <c r="K75" s="5"/>
    </row>
    <row r="76" spans="1:13">
      <c r="A76" s="80" t="s">
        <v>548</v>
      </c>
      <c r="B76" s="80">
        <v>228411</v>
      </c>
      <c r="C76" s="77" t="s">
        <v>460</v>
      </c>
      <c r="D76" s="338" t="s">
        <v>436</v>
      </c>
      <c r="E76" s="362">
        <v>10864094</v>
      </c>
      <c r="F76" s="237" t="s">
        <v>379</v>
      </c>
      <c r="G76" s="25"/>
      <c r="H76" s="345">
        <v>505.43</v>
      </c>
      <c r="I76" s="345">
        <f>H76*0.12*0.5</f>
        <v>30.325800000000001</v>
      </c>
      <c r="J76" s="38">
        <f t="shared" si="5"/>
        <v>30.325800000000001</v>
      </c>
      <c r="K76" s="5"/>
    </row>
    <row r="77" spans="1:13">
      <c r="A77" s="80" t="s">
        <v>548</v>
      </c>
      <c r="B77" s="80">
        <v>842467</v>
      </c>
      <c r="C77" s="77" t="s">
        <v>461</v>
      </c>
      <c r="D77" s="338" t="s">
        <v>436</v>
      </c>
      <c r="E77" s="362">
        <v>20293822</v>
      </c>
      <c r="F77" s="237" t="s">
        <v>379</v>
      </c>
      <c r="G77" s="25"/>
      <c r="H77" s="345">
        <v>1010</v>
      </c>
      <c r="I77" s="345">
        <f>H77*0.12*0.5</f>
        <v>60.599999999999994</v>
      </c>
      <c r="J77" s="38">
        <f t="shared" si="5"/>
        <v>60.599999999999994</v>
      </c>
      <c r="K77" s="5"/>
    </row>
    <row r="78" spans="1:13">
      <c r="A78" s="80" t="s">
        <v>548</v>
      </c>
      <c r="B78" s="80">
        <v>964206</v>
      </c>
      <c r="C78" s="77" t="s">
        <v>462</v>
      </c>
      <c r="D78" s="338" t="s">
        <v>436</v>
      </c>
      <c r="E78" s="362">
        <v>20402584</v>
      </c>
      <c r="F78" s="237"/>
      <c r="G78" s="25"/>
      <c r="H78" s="345">
        <v>373.67</v>
      </c>
      <c r="I78" s="345">
        <f>H78*0.12</f>
        <v>44.840400000000002</v>
      </c>
      <c r="J78" s="38">
        <f t="shared" si="5"/>
        <v>44.840400000000002</v>
      </c>
      <c r="K78" s="5"/>
    </row>
    <row r="79" spans="1:13">
      <c r="A79" s="80" t="s">
        <v>548</v>
      </c>
      <c r="B79" s="80">
        <v>492261</v>
      </c>
      <c r="C79" s="77" t="s">
        <v>463</v>
      </c>
      <c r="D79" s="338" t="s">
        <v>306</v>
      </c>
      <c r="E79" s="362">
        <v>60017923</v>
      </c>
      <c r="F79" s="237"/>
      <c r="G79" s="25"/>
      <c r="H79" s="345">
        <v>145.08000000000001</v>
      </c>
      <c r="I79" s="345">
        <f>(H79/12*3.5)*0.6</f>
        <v>25.389000000000003</v>
      </c>
      <c r="J79" s="38">
        <f t="shared" si="5"/>
        <v>25.389000000000003</v>
      </c>
      <c r="K79" s="5"/>
    </row>
    <row r="80" spans="1:13">
      <c r="A80" s="80" t="s">
        <v>548</v>
      </c>
      <c r="B80" s="80">
        <v>741050</v>
      </c>
      <c r="C80" s="77" t="s">
        <v>453</v>
      </c>
      <c r="D80" s="338" t="s">
        <v>432</v>
      </c>
      <c r="E80" s="362">
        <v>611788</v>
      </c>
      <c r="F80" s="237"/>
      <c r="G80" s="25">
        <v>2032</v>
      </c>
      <c r="H80" s="345">
        <v>600</v>
      </c>
      <c r="I80" s="345">
        <f>(H80*15*0.027)*0.6</f>
        <v>145.79999999999998</v>
      </c>
      <c r="J80" s="38">
        <f t="shared" si="5"/>
        <v>145.79999999999998</v>
      </c>
      <c r="K80" s="5"/>
      <c r="M80" s="3" t="s">
        <v>528</v>
      </c>
    </row>
    <row r="81" spans="1:14">
      <c r="A81" s="80" t="s">
        <v>548</v>
      </c>
      <c r="B81" s="80">
        <v>741050</v>
      </c>
      <c r="C81" s="77" t="s">
        <v>453</v>
      </c>
      <c r="D81" s="338" t="s">
        <v>414</v>
      </c>
      <c r="E81" s="362">
        <v>20388862</v>
      </c>
      <c r="F81" s="237" t="s">
        <v>379</v>
      </c>
      <c r="G81" s="25"/>
      <c r="H81" s="345">
        <v>71.739999999999995</v>
      </c>
      <c r="I81" s="345">
        <f>H81*0.12*0.5</f>
        <v>4.3043999999999993</v>
      </c>
      <c r="J81" s="38">
        <f t="shared" si="5"/>
        <v>4.3043999999999993</v>
      </c>
      <c r="K81" s="5"/>
    </row>
    <row r="82" spans="1:14">
      <c r="A82" s="80" t="s">
        <v>548</v>
      </c>
      <c r="B82" s="80">
        <v>741050</v>
      </c>
      <c r="C82" s="77" t="s">
        <v>453</v>
      </c>
      <c r="D82" s="338" t="s">
        <v>435</v>
      </c>
      <c r="E82" s="362">
        <v>20388862</v>
      </c>
      <c r="F82" s="237" t="s">
        <v>379</v>
      </c>
      <c r="G82" s="25"/>
      <c r="H82" s="345">
        <v>1726.05</v>
      </c>
      <c r="I82" s="345">
        <f>((800*0.06)+(800*0.07)+(126.05*0.08))*0.5</f>
        <v>57.042000000000002</v>
      </c>
      <c r="J82" s="38">
        <f t="shared" si="5"/>
        <v>57.042000000000002</v>
      </c>
      <c r="K82" s="5"/>
    </row>
    <row r="83" spans="1:14">
      <c r="A83" s="80"/>
      <c r="B83" s="80"/>
      <c r="C83" s="77"/>
      <c r="D83" s="338"/>
      <c r="E83" s="362"/>
      <c r="F83" s="237"/>
      <c r="G83" s="25"/>
      <c r="H83" s="345"/>
      <c r="I83" s="345"/>
      <c r="J83" s="38">
        <f t="shared" si="5"/>
        <v>0</v>
      </c>
      <c r="K83" s="5"/>
      <c r="N83" s="383"/>
    </row>
    <row r="84" spans="1:14">
      <c r="A84" s="80"/>
      <c r="B84" s="80"/>
      <c r="C84" s="77"/>
      <c r="D84" s="338"/>
      <c r="E84" s="362"/>
      <c r="F84" s="237"/>
      <c r="G84" s="25"/>
      <c r="H84" s="345"/>
      <c r="I84" s="345"/>
      <c r="J84" s="38">
        <f t="shared" si="5"/>
        <v>0</v>
      </c>
      <c r="K84" s="5"/>
    </row>
    <row r="85" spans="1:14" ht="19.5" thickBot="1">
      <c r="A85" s="375" t="s">
        <v>166</v>
      </c>
      <c r="B85" s="80"/>
      <c r="C85" s="172" t="s">
        <v>281</v>
      </c>
      <c r="D85" s="339"/>
      <c r="E85" s="365"/>
      <c r="F85" s="318"/>
      <c r="G85" s="166"/>
      <c r="H85" s="347"/>
      <c r="I85" s="347"/>
      <c r="J85" s="373">
        <f>SUM(J60:J84)</f>
        <v>1778.7416127445497</v>
      </c>
      <c r="K85" s="5"/>
    </row>
    <row r="86" spans="1:14" ht="19.5" thickBot="1">
      <c r="A86" s="80"/>
      <c r="B86" s="80"/>
      <c r="C86" s="176"/>
      <c r="D86" s="341"/>
      <c r="E86" s="366"/>
      <c r="F86" s="320"/>
      <c r="G86" s="178"/>
      <c r="H86" s="348"/>
      <c r="I86" s="353"/>
      <c r="J86" s="181"/>
      <c r="K86" s="5"/>
    </row>
    <row r="87" spans="1:14" ht="19.5" thickBot="1">
      <c r="A87" s="103"/>
      <c r="B87" s="103"/>
      <c r="C87" s="173" t="s">
        <v>282</v>
      </c>
      <c r="D87" s="342"/>
      <c r="E87" s="367"/>
      <c r="F87" s="321"/>
      <c r="G87" s="119"/>
      <c r="H87" s="349"/>
      <c r="I87" s="354"/>
      <c r="J87" s="120">
        <f>SUM(J46,J59,J85)</f>
        <v>5334.442737744549</v>
      </c>
      <c r="K87" s="5"/>
    </row>
    <row r="88" spans="1:14">
      <c r="A88" s="83"/>
      <c r="B88" s="83"/>
      <c r="C88" s="109"/>
      <c r="D88" s="343"/>
      <c r="E88" s="368"/>
      <c r="F88" s="322"/>
      <c r="G88" s="110"/>
      <c r="H88" s="350"/>
      <c r="I88" s="329"/>
      <c r="J88" s="115"/>
      <c r="K88" s="5"/>
    </row>
    <row r="89" spans="1:14">
      <c r="A89" s="83"/>
      <c r="B89" s="83"/>
      <c r="C89" s="109" t="s">
        <v>226</v>
      </c>
      <c r="D89" s="343"/>
      <c r="E89" s="368"/>
      <c r="F89" s="322"/>
      <c r="G89" s="110"/>
      <c r="H89" s="350"/>
      <c r="I89" s="329"/>
      <c r="J89" s="115">
        <f>J7</f>
        <v>6599.21</v>
      </c>
      <c r="K89" s="5"/>
    </row>
    <row r="90" spans="1:14" ht="19.5" thickBot="1">
      <c r="A90" s="83"/>
      <c r="B90" s="83"/>
      <c r="C90" s="109" t="s">
        <v>224</v>
      </c>
      <c r="D90" s="343"/>
      <c r="E90" s="368"/>
      <c r="F90" s="322"/>
      <c r="G90" s="110"/>
      <c r="H90" s="350"/>
      <c r="I90" s="329"/>
      <c r="J90" s="111">
        <f>SUM(J87:J89)</f>
        <v>11933.652737744549</v>
      </c>
      <c r="K90" s="5"/>
    </row>
    <row r="91" spans="1:14" s="67" customFormat="1" ht="19.5" thickBot="1">
      <c r="A91" s="83"/>
      <c r="B91" s="83"/>
      <c r="C91" s="104" t="s">
        <v>227</v>
      </c>
      <c r="D91" s="339"/>
      <c r="E91" s="363"/>
      <c r="F91" s="318"/>
      <c r="G91" s="42"/>
      <c r="H91" s="351"/>
      <c r="I91" s="382"/>
      <c r="J91" s="204">
        <f>J90/3</f>
        <v>3977.8842459148495</v>
      </c>
    </row>
    <row r="92" spans="1:14" s="63" customFormat="1">
      <c r="A92" s="83"/>
      <c r="B92" s="83"/>
      <c r="C92" s="64"/>
      <c r="D92" s="344"/>
      <c r="E92" s="369"/>
      <c r="F92" s="323"/>
      <c r="G92" s="65"/>
      <c r="H92" s="134"/>
      <c r="I92" s="139"/>
      <c r="J92" s="66"/>
    </row>
    <row r="93" spans="1:14" s="63" customFormat="1">
      <c r="A93" s="83"/>
      <c r="B93" s="83"/>
      <c r="C93" s="64"/>
      <c r="D93" s="344"/>
      <c r="E93" s="369"/>
      <c r="F93" s="323"/>
      <c r="G93" s="65"/>
      <c r="H93" s="134"/>
      <c r="I93" s="129"/>
      <c r="J93" s="66"/>
    </row>
    <row r="94" spans="1:14" s="63" customFormat="1">
      <c r="A94" s="83"/>
      <c r="B94" s="83"/>
      <c r="C94" s="64"/>
      <c r="D94" s="344"/>
      <c r="E94" s="369"/>
      <c r="F94" s="323"/>
      <c r="G94" s="65"/>
      <c r="H94" s="134"/>
      <c r="I94" s="129"/>
      <c r="J94" s="66"/>
    </row>
    <row r="95" spans="1:14" s="63" customFormat="1">
      <c r="A95" s="83"/>
      <c r="B95" s="83"/>
      <c r="C95" s="64"/>
      <c r="D95" s="344"/>
      <c r="E95" s="369"/>
      <c r="F95" s="323"/>
      <c r="G95" s="65"/>
      <c r="H95" s="134"/>
      <c r="I95" s="129"/>
      <c r="J95" s="66"/>
    </row>
    <row r="96" spans="1:14">
      <c r="C96" s="64"/>
      <c r="D96" s="344"/>
      <c r="E96" s="369"/>
      <c r="F96" s="323"/>
      <c r="G96" s="65"/>
      <c r="H96" s="134"/>
      <c r="I96" s="129"/>
      <c r="J96" s="66"/>
    </row>
  </sheetData>
  <dataValidations xWindow="583" yWindow="975" count="5">
    <dataValidation type="list" allowBlank="1" showInputMessage="1" showErrorMessage="1" prompt="Liste choix" sqref="C96">
      <formula1>"REEBOU FAMILY,MOBILE 2016,PACK REEBOU FAMILY,MEDICIS,HORIZONT INVEST,RC ENSEIGNANT"</formula1>
    </dataValidation>
    <dataValidation type="list" allowBlank="1" showInputMessage="1" showErrorMessage="1" prompt="Liste choix" sqref="D66:D84 D47:D48 D60:D64">
      <formula1>"MOBILE2016,MOBILE Regio,REEBOU Family,REEBOU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Liste choix" sqref="D65">
      <formula1>"MOBILE2016,MOBILE Regio,REEBOU Family,P.J.,REEBOU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CHOIX PRODUIT" sqref="D49 D10:D29">
      <formula1>"MOBILE2016,MOBILE Regio,REEBOU Family,REEBOU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CHOIX PRODUIT" sqref="D50:D58">
      <formula1>"MOBILE2016,MOBILE Regio,REEBOUfamily,REEBOUpack,REEBOUpro,REEBOUinvest,LOGGIA,MEDICIS,RC,RC ENSEIGN,ZENITH60op100,ZENITH60op25,HORIZONT60invest,HORIZONT60protect,HORIZONT60capi,HELIOS100protect,HELIOS60invest,HELIOS100invest,FOCUS,NOVA,BSH"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67" orientation="landscape" r:id="rId1"/>
  <headerFooter>
    <oddHeader xml:space="preserve">&amp;C&amp;"-,Gras"&amp;14COMMISSION JEFF DERAPPE 3èmeTRIMESTRE 2017
</oddHeader>
    <oddFooter xml:space="preserve">&amp;L&amp;8&amp;Z&amp;F&amp;C&amp;7&amp;P/&amp;N&amp;RModfié le &amp;D </oddFooter>
  </headerFooter>
  <rowBreaks count="3" manualBreakCount="3">
    <brk id="46" max="9" man="1"/>
    <brk id="59" max="9" man="1"/>
    <brk id="85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L104"/>
  <sheetViews>
    <sheetView topLeftCell="A33" zoomScaleNormal="100" workbookViewId="0">
      <selection activeCell="E43" sqref="E43"/>
    </sheetView>
    <sheetView topLeftCell="A84" workbookViewId="1">
      <selection activeCell="C9" sqref="C9"/>
    </sheetView>
    <sheetView workbookViewId="2"/>
  </sheetViews>
  <sheetFormatPr baseColWidth="10" defaultRowHeight="18.75"/>
  <cols>
    <col min="1" max="1" width="11.42578125" style="78" customWidth="1"/>
    <col min="2" max="2" width="17.42578125" style="78" customWidth="1"/>
    <col min="3" max="3" width="30.42578125" style="7" customWidth="1"/>
    <col min="4" max="4" width="21.7109375" style="336" customWidth="1"/>
    <col min="5" max="5" width="24.7109375" style="357" customWidth="1"/>
    <col min="6" max="6" width="3.7109375" style="212" customWidth="1"/>
    <col min="7" max="7" width="10.140625" style="1" customWidth="1"/>
    <col min="8" max="8" width="13.140625" style="130" customWidth="1"/>
    <col min="9" max="9" width="12.42578125" style="127" customWidth="1"/>
    <col min="10" max="10" width="12.140625" style="2" customWidth="1"/>
    <col min="11" max="11" width="17.7109375" style="396" customWidth="1"/>
    <col min="12" max="13" width="9.28515625" customWidth="1"/>
  </cols>
  <sheetData>
    <row r="1" spans="1:11">
      <c r="A1" s="78">
        <v>2017</v>
      </c>
      <c r="C1" s="20" t="s">
        <v>189</v>
      </c>
      <c r="D1" s="338">
        <v>3</v>
      </c>
      <c r="E1" s="7"/>
      <c r="G1" s="1" t="s">
        <v>521</v>
      </c>
      <c r="H1" s="1" t="s">
        <v>208</v>
      </c>
      <c r="J1" s="10">
        <f>3*80</f>
        <v>240</v>
      </c>
    </row>
    <row r="2" spans="1:11">
      <c r="C2" s="20" t="s">
        <v>467</v>
      </c>
      <c r="D2" s="338"/>
      <c r="E2" s="357" t="s">
        <v>523</v>
      </c>
      <c r="G2" s="1">
        <f>7*8</f>
        <v>56</v>
      </c>
      <c r="H2" s="357" t="s">
        <v>471</v>
      </c>
      <c r="I2" s="126"/>
      <c r="J2" s="10">
        <f>56*7.66</f>
        <v>428.96000000000004</v>
      </c>
    </row>
    <row r="3" spans="1:11">
      <c r="C3" s="20" t="s">
        <v>70</v>
      </c>
      <c r="D3" s="338" t="s">
        <v>230</v>
      </c>
      <c r="G3" s="11"/>
      <c r="H3" s="126"/>
      <c r="I3" s="126"/>
      <c r="J3" s="10">
        <v>1806.7</v>
      </c>
    </row>
    <row r="4" spans="1:11">
      <c r="C4" s="20" t="s">
        <v>70</v>
      </c>
      <c r="D4" s="338" t="s">
        <v>231</v>
      </c>
      <c r="G4" s="11"/>
      <c r="H4" s="126"/>
      <c r="I4" s="126"/>
      <c r="J4" s="10">
        <v>1825.95</v>
      </c>
    </row>
    <row r="5" spans="1:11">
      <c r="C5" s="20" t="s">
        <v>70</v>
      </c>
      <c r="D5" s="338" t="s">
        <v>232</v>
      </c>
      <c r="G5" s="11"/>
      <c r="H5" s="126"/>
      <c r="I5" s="126"/>
      <c r="J5" s="10">
        <v>1827.7</v>
      </c>
    </row>
    <row r="6" spans="1:11">
      <c r="C6" s="20" t="s">
        <v>465</v>
      </c>
      <c r="D6" s="385" t="s">
        <v>522</v>
      </c>
      <c r="E6" s="7"/>
      <c r="G6" s="11"/>
      <c r="H6" s="126"/>
      <c r="I6" s="126"/>
      <c r="J6" s="10"/>
    </row>
    <row r="7" spans="1:11">
      <c r="C7" s="20" t="s">
        <v>225</v>
      </c>
      <c r="D7" s="338"/>
      <c r="G7" s="11"/>
      <c r="H7" s="126"/>
      <c r="I7" s="126"/>
      <c r="J7" s="117">
        <f>SUM(J1:J5)</f>
        <v>6129.3099999999995</v>
      </c>
    </row>
    <row r="8" spans="1:11" ht="19.5" thickBot="1">
      <c r="K8" s="397"/>
    </row>
    <row r="9" spans="1:11" ht="30">
      <c r="A9" s="314" t="s">
        <v>411</v>
      </c>
      <c r="B9" s="314" t="s">
        <v>412</v>
      </c>
      <c r="C9" s="315" t="s">
        <v>0</v>
      </c>
      <c r="D9" s="337" t="s">
        <v>50</v>
      </c>
      <c r="E9" s="358" t="s">
        <v>410</v>
      </c>
      <c r="F9" s="316" t="s">
        <v>423</v>
      </c>
      <c r="G9" s="16" t="s">
        <v>53</v>
      </c>
      <c r="H9" s="184" t="s">
        <v>74</v>
      </c>
      <c r="I9" s="135" t="s">
        <v>1</v>
      </c>
      <c r="J9" s="19" t="s">
        <v>92</v>
      </c>
    </row>
    <row r="10" spans="1:11" hidden="1">
      <c r="A10" s="81"/>
      <c r="B10" s="81" t="s">
        <v>426</v>
      </c>
      <c r="C10" s="326" t="s">
        <v>434</v>
      </c>
      <c r="D10" s="334" t="s">
        <v>435</v>
      </c>
      <c r="E10" s="359" t="s">
        <v>425</v>
      </c>
      <c r="F10" s="327"/>
      <c r="G10" s="22"/>
      <c r="H10" s="140">
        <v>100</v>
      </c>
      <c r="I10" s="143"/>
      <c r="J10" s="330">
        <f>I10</f>
        <v>0</v>
      </c>
    </row>
    <row r="11" spans="1:11" hidden="1">
      <c r="A11" s="81"/>
      <c r="B11" s="81" t="s">
        <v>426</v>
      </c>
      <c r="C11" s="326" t="s">
        <v>434</v>
      </c>
      <c r="D11" s="334" t="s">
        <v>441</v>
      </c>
      <c r="E11" s="359" t="s">
        <v>425</v>
      </c>
      <c r="F11" s="327"/>
      <c r="G11" s="22"/>
      <c r="H11" s="140">
        <v>100</v>
      </c>
      <c r="I11" s="143"/>
      <c r="J11" s="330">
        <f t="shared" ref="J11:J30" si="0">I11</f>
        <v>0</v>
      </c>
    </row>
    <row r="12" spans="1:11" hidden="1">
      <c r="A12" s="81"/>
      <c r="B12" s="81" t="s">
        <v>426</v>
      </c>
      <c r="C12" s="326" t="s">
        <v>434</v>
      </c>
      <c r="D12" s="334" t="s">
        <v>436</v>
      </c>
      <c r="E12" s="359" t="s">
        <v>425</v>
      </c>
      <c r="F12" s="327"/>
      <c r="G12" s="22"/>
      <c r="H12" s="140">
        <v>100</v>
      </c>
      <c r="I12" s="143">
        <f>H12*0.12</f>
        <v>12</v>
      </c>
      <c r="J12" s="330">
        <f t="shared" si="0"/>
        <v>12</v>
      </c>
    </row>
    <row r="13" spans="1:11" hidden="1">
      <c r="A13" s="81"/>
      <c r="B13" s="81" t="s">
        <v>426</v>
      </c>
      <c r="C13" s="326" t="s">
        <v>426</v>
      </c>
      <c r="D13" s="334" t="s">
        <v>437</v>
      </c>
      <c r="E13" s="359" t="s">
        <v>425</v>
      </c>
      <c r="F13" s="327"/>
      <c r="G13" s="22"/>
      <c r="H13" s="140">
        <v>100</v>
      </c>
      <c r="I13" s="143">
        <f>H13*0.15</f>
        <v>15</v>
      </c>
      <c r="J13" s="330">
        <f t="shared" si="0"/>
        <v>15</v>
      </c>
    </row>
    <row r="14" spans="1:11" hidden="1">
      <c r="A14" s="81"/>
      <c r="B14" s="81" t="s">
        <v>426</v>
      </c>
      <c r="C14" s="326" t="s">
        <v>426</v>
      </c>
      <c r="D14" s="334" t="s">
        <v>438</v>
      </c>
      <c r="E14" s="359" t="s">
        <v>425</v>
      </c>
      <c r="F14" s="327"/>
      <c r="G14" s="22"/>
      <c r="H14" s="140">
        <v>100</v>
      </c>
      <c r="I14" s="143">
        <f>H14*0.12</f>
        <v>12</v>
      </c>
      <c r="J14" s="330">
        <f t="shared" si="0"/>
        <v>12</v>
      </c>
    </row>
    <row r="15" spans="1:11" hidden="1">
      <c r="A15" s="81"/>
      <c r="B15" s="81" t="s">
        <v>426</v>
      </c>
      <c r="C15" s="326" t="s">
        <v>426</v>
      </c>
      <c r="D15" s="334" t="s">
        <v>439</v>
      </c>
      <c r="E15" s="359" t="s">
        <v>425</v>
      </c>
      <c r="F15" s="327"/>
      <c r="G15" s="22"/>
      <c r="H15" s="140">
        <v>100</v>
      </c>
      <c r="I15" s="143">
        <f>H15*0.12</f>
        <v>12</v>
      </c>
      <c r="J15" s="330">
        <f t="shared" si="0"/>
        <v>12</v>
      </c>
    </row>
    <row r="16" spans="1:11" hidden="1">
      <c r="A16" s="81"/>
      <c r="B16" s="81" t="s">
        <v>426</v>
      </c>
      <c r="C16" s="326" t="s">
        <v>426</v>
      </c>
      <c r="D16" s="334" t="s">
        <v>183</v>
      </c>
      <c r="E16" s="359" t="s">
        <v>425</v>
      </c>
      <c r="F16" s="327"/>
      <c r="G16" s="22"/>
      <c r="H16" s="140">
        <v>100</v>
      </c>
      <c r="I16" s="143">
        <f>H16*0.12</f>
        <v>12</v>
      </c>
      <c r="J16" s="330">
        <f t="shared" si="0"/>
        <v>12</v>
      </c>
    </row>
    <row r="17" spans="1:10" hidden="1">
      <c r="A17" s="81"/>
      <c r="B17" s="81" t="s">
        <v>426</v>
      </c>
      <c r="C17" s="326" t="s">
        <v>426</v>
      </c>
      <c r="D17" s="334" t="s">
        <v>306</v>
      </c>
      <c r="E17" s="359" t="s">
        <v>425</v>
      </c>
      <c r="F17" s="327"/>
      <c r="G17" s="114"/>
      <c r="H17" s="140">
        <v>100</v>
      </c>
      <c r="I17" s="329">
        <f>((H17/12)*3.5)*0.6</f>
        <v>17.5</v>
      </c>
      <c r="J17" s="330">
        <f t="shared" si="0"/>
        <v>17.5</v>
      </c>
    </row>
    <row r="18" spans="1:10" hidden="1">
      <c r="A18" s="81"/>
      <c r="B18" s="81" t="s">
        <v>426</v>
      </c>
      <c r="C18" s="326" t="s">
        <v>426</v>
      </c>
      <c r="D18" s="334" t="s">
        <v>440</v>
      </c>
      <c r="E18" s="359" t="s">
        <v>425</v>
      </c>
      <c r="F18" s="327"/>
      <c r="G18" s="114"/>
      <c r="H18" s="140">
        <v>100</v>
      </c>
      <c r="I18" s="143">
        <f>H18*0.12</f>
        <v>12</v>
      </c>
      <c r="J18" s="330">
        <f t="shared" si="0"/>
        <v>12</v>
      </c>
    </row>
    <row r="19" spans="1:10" hidden="1">
      <c r="A19" s="81"/>
      <c r="B19" s="81" t="s">
        <v>426</v>
      </c>
      <c r="C19" s="326" t="s">
        <v>426</v>
      </c>
      <c r="D19" s="334" t="s">
        <v>414</v>
      </c>
      <c r="E19" s="359" t="s">
        <v>425</v>
      </c>
      <c r="F19" s="327"/>
      <c r="G19" s="114"/>
      <c r="H19" s="140">
        <v>100</v>
      </c>
      <c r="I19" s="143">
        <f>H19*0.12</f>
        <v>12</v>
      </c>
      <c r="J19" s="330">
        <f t="shared" si="0"/>
        <v>12</v>
      </c>
    </row>
    <row r="20" spans="1:10" hidden="1">
      <c r="A20" s="81"/>
      <c r="B20" s="81" t="s">
        <v>426</v>
      </c>
      <c r="C20" s="326" t="s">
        <v>426</v>
      </c>
      <c r="D20" s="334" t="s">
        <v>428</v>
      </c>
      <c r="E20" s="359" t="s">
        <v>425</v>
      </c>
      <c r="F20" s="327"/>
      <c r="G20" s="114">
        <v>2050</v>
      </c>
      <c r="H20" s="328">
        <v>1000</v>
      </c>
      <c r="I20" s="329" t="e">
        <f>(H20*#REF!*0.027)*0.6</f>
        <v>#REF!</v>
      </c>
      <c r="J20" s="330" t="e">
        <f t="shared" si="0"/>
        <v>#REF!</v>
      </c>
    </row>
    <row r="21" spans="1:10" hidden="1">
      <c r="A21" s="81"/>
      <c r="B21" s="81" t="s">
        <v>426</v>
      </c>
      <c r="C21" s="326" t="s">
        <v>426</v>
      </c>
      <c r="D21" s="334" t="s">
        <v>442</v>
      </c>
      <c r="E21" s="359" t="s">
        <v>425</v>
      </c>
      <c r="F21" s="327"/>
      <c r="G21" s="114">
        <v>2050</v>
      </c>
      <c r="H21" s="328">
        <v>1000</v>
      </c>
      <c r="I21" s="329" t="e">
        <f>(H21*#REF!*0.018)*0.6</f>
        <v>#REF!</v>
      </c>
      <c r="J21" s="330" t="e">
        <f t="shared" si="0"/>
        <v>#REF!</v>
      </c>
    </row>
    <row r="22" spans="1:10" hidden="1">
      <c r="A22" s="81"/>
      <c r="B22" s="81" t="s">
        <v>426</v>
      </c>
      <c r="C22" s="326" t="s">
        <v>426</v>
      </c>
      <c r="D22" s="334" t="s">
        <v>427</v>
      </c>
      <c r="E22" s="359" t="s">
        <v>425</v>
      </c>
      <c r="F22" s="327"/>
      <c r="G22" s="114">
        <v>2050</v>
      </c>
      <c r="H22" s="328">
        <v>1000</v>
      </c>
      <c r="I22" s="329" t="e">
        <f>(H22*#REF!*0.02)*0.6</f>
        <v>#REF!</v>
      </c>
      <c r="J22" s="330" t="e">
        <f t="shared" si="0"/>
        <v>#REF!</v>
      </c>
    </row>
    <row r="23" spans="1:10" hidden="1">
      <c r="A23" s="81"/>
      <c r="B23" s="81" t="s">
        <v>426</v>
      </c>
      <c r="C23" s="326" t="s">
        <v>426</v>
      </c>
      <c r="D23" s="334" t="s">
        <v>430</v>
      </c>
      <c r="E23" s="359" t="s">
        <v>425</v>
      </c>
      <c r="F23" s="327"/>
      <c r="G23" s="114">
        <v>2050</v>
      </c>
      <c r="H23" s="328">
        <v>1000</v>
      </c>
      <c r="I23" s="329" t="e">
        <f>(H23*#REF!*0.02)*0.6</f>
        <v>#REF!</v>
      </c>
      <c r="J23" s="330" t="e">
        <f t="shared" si="0"/>
        <v>#REF!</v>
      </c>
    </row>
    <row r="24" spans="1:10" hidden="1">
      <c r="A24" s="81"/>
      <c r="B24" s="81" t="s">
        <v>426</v>
      </c>
      <c r="C24" s="326" t="s">
        <v>426</v>
      </c>
      <c r="D24" s="334" t="s">
        <v>429</v>
      </c>
      <c r="E24" s="359" t="s">
        <v>425</v>
      </c>
      <c r="F24" s="327"/>
      <c r="G24" s="114">
        <v>2050</v>
      </c>
      <c r="H24" s="328">
        <v>1000</v>
      </c>
      <c r="I24" s="329" t="e">
        <f>(H24*#REF!*0.02)*0.6</f>
        <v>#REF!</v>
      </c>
      <c r="J24" s="330" t="e">
        <f t="shared" si="0"/>
        <v>#REF!</v>
      </c>
    </row>
    <row r="25" spans="1:10" hidden="1">
      <c r="A25" s="81"/>
      <c r="B25" s="81" t="s">
        <v>426</v>
      </c>
      <c r="C25" s="326" t="s">
        <v>426</v>
      </c>
      <c r="D25" s="334" t="s">
        <v>431</v>
      </c>
      <c r="E25" s="359" t="s">
        <v>425</v>
      </c>
      <c r="F25" s="327"/>
      <c r="G25" s="114">
        <v>2050</v>
      </c>
      <c r="H25" s="328">
        <v>1000</v>
      </c>
      <c r="I25" s="329" t="e">
        <f>(H25*#REF!*0.027)*0.6</f>
        <v>#REF!</v>
      </c>
      <c r="J25" s="330" t="e">
        <f t="shared" si="0"/>
        <v>#REF!</v>
      </c>
    </row>
    <row r="26" spans="1:10" hidden="1">
      <c r="A26" s="81"/>
      <c r="B26" s="81" t="s">
        <v>426</v>
      </c>
      <c r="C26" s="326" t="s">
        <v>426</v>
      </c>
      <c r="D26" s="334" t="s">
        <v>432</v>
      </c>
      <c r="E26" s="359" t="s">
        <v>425</v>
      </c>
      <c r="F26" s="327"/>
      <c r="G26" s="114">
        <v>2050</v>
      </c>
      <c r="H26" s="328">
        <v>1000</v>
      </c>
      <c r="I26" s="329" t="e">
        <f>(H26*#REF!*0.026)*0.6</f>
        <v>#REF!</v>
      </c>
      <c r="J26" s="330" t="e">
        <f t="shared" si="0"/>
        <v>#REF!</v>
      </c>
    </row>
    <row r="27" spans="1:10" hidden="1">
      <c r="A27" s="81"/>
      <c r="B27" s="81" t="s">
        <v>426</v>
      </c>
      <c r="C27" s="326" t="s">
        <v>426</v>
      </c>
      <c r="D27" s="334" t="s">
        <v>433</v>
      </c>
      <c r="E27" s="359" t="s">
        <v>425</v>
      </c>
      <c r="F27" s="327"/>
      <c r="G27" s="114"/>
      <c r="H27" s="328">
        <v>10000</v>
      </c>
      <c r="I27" s="329">
        <f>H27*0.075*0.6</f>
        <v>450</v>
      </c>
      <c r="J27" s="330">
        <f t="shared" si="0"/>
        <v>450</v>
      </c>
    </row>
    <row r="28" spans="1:10" hidden="1">
      <c r="A28" s="81"/>
      <c r="B28" s="81" t="s">
        <v>426</v>
      </c>
      <c r="C28" s="326" t="s">
        <v>426</v>
      </c>
      <c r="D28" s="334" t="s">
        <v>365</v>
      </c>
      <c r="E28" s="359" t="s">
        <v>425</v>
      </c>
      <c r="F28" s="327"/>
      <c r="G28" s="114">
        <v>2050</v>
      </c>
      <c r="H28" s="328">
        <v>1000</v>
      </c>
      <c r="I28" s="329" t="e">
        <f>(H28*#REF!*0.025)*0.6</f>
        <v>#REF!</v>
      </c>
      <c r="J28" s="330" t="e">
        <f t="shared" si="0"/>
        <v>#REF!</v>
      </c>
    </row>
    <row r="29" spans="1:10" hidden="1">
      <c r="A29" s="81"/>
      <c r="B29" s="81" t="s">
        <v>426</v>
      </c>
      <c r="C29" s="326" t="s">
        <v>426</v>
      </c>
      <c r="D29" s="334" t="s">
        <v>443</v>
      </c>
      <c r="E29" s="359" t="s">
        <v>425</v>
      </c>
      <c r="F29" s="327"/>
      <c r="G29" s="114"/>
      <c r="H29" s="328">
        <v>150000</v>
      </c>
      <c r="I29" s="143">
        <f>(H29*0.007)*0.6</f>
        <v>630</v>
      </c>
      <c r="J29" s="330">
        <f t="shared" si="0"/>
        <v>630</v>
      </c>
    </row>
    <row r="30" spans="1:10">
      <c r="A30" s="416" t="s">
        <v>531</v>
      </c>
      <c r="B30" s="416">
        <v>967212</v>
      </c>
      <c r="C30" s="71" t="s">
        <v>451</v>
      </c>
      <c r="D30" s="335" t="s">
        <v>435</v>
      </c>
      <c r="E30" s="362">
        <v>20398312</v>
      </c>
      <c r="F30" s="237"/>
      <c r="G30" s="25"/>
      <c r="H30" s="143">
        <v>914.95</v>
      </c>
      <c r="I30" s="345">
        <f>(800*0.06)+(114.95*0.07)</f>
        <v>56.046500000000002</v>
      </c>
      <c r="J30" s="24">
        <f t="shared" si="0"/>
        <v>56.046500000000002</v>
      </c>
    </row>
    <row r="31" spans="1:10" ht="18" customHeight="1">
      <c r="A31" s="416" t="s">
        <v>531</v>
      </c>
      <c r="B31" s="416">
        <v>969675</v>
      </c>
      <c r="C31" s="71" t="s">
        <v>472</v>
      </c>
      <c r="D31" s="338" t="s">
        <v>474</v>
      </c>
      <c r="E31" s="360">
        <v>20402715</v>
      </c>
      <c r="F31" s="237"/>
      <c r="G31" s="22"/>
      <c r="H31" s="140">
        <v>433.75</v>
      </c>
      <c r="I31" s="141">
        <f>H31*0.06</f>
        <v>26.024999999999999</v>
      </c>
      <c r="J31" s="142">
        <f>I31</f>
        <v>26.024999999999999</v>
      </c>
    </row>
    <row r="32" spans="1:10" ht="18" customHeight="1">
      <c r="A32" s="416" t="s">
        <v>531</v>
      </c>
      <c r="B32" s="416">
        <v>964321</v>
      </c>
      <c r="C32" s="71" t="s">
        <v>476</v>
      </c>
      <c r="D32" s="338" t="s">
        <v>306</v>
      </c>
      <c r="E32" s="360">
        <v>61023856</v>
      </c>
      <c r="F32" s="237"/>
      <c r="G32" s="22"/>
      <c r="H32" s="140">
        <v>892.44</v>
      </c>
      <c r="I32" s="141">
        <f>(H32/12*3.5)*0.6</f>
        <v>156.17699999999999</v>
      </c>
      <c r="J32" s="142">
        <f t="shared" ref="J32:J47" si="1">I32</f>
        <v>156.17699999999999</v>
      </c>
    </row>
    <row r="33" spans="1:10" ht="18" customHeight="1">
      <c r="A33" s="416" t="s">
        <v>531</v>
      </c>
      <c r="B33" s="416">
        <v>965877</v>
      </c>
      <c r="C33" s="71" t="s">
        <v>475</v>
      </c>
      <c r="D33" s="338" t="s">
        <v>435</v>
      </c>
      <c r="E33" s="360">
        <v>20406261</v>
      </c>
      <c r="F33" s="237"/>
      <c r="G33" s="22"/>
      <c r="H33" s="140">
        <v>238.07</v>
      </c>
      <c r="I33" s="141">
        <f>H33*0.06</f>
        <v>14.284199999999998</v>
      </c>
      <c r="J33" s="142">
        <f t="shared" si="1"/>
        <v>14.284199999999998</v>
      </c>
    </row>
    <row r="34" spans="1:10" ht="18" customHeight="1">
      <c r="A34" s="416" t="s">
        <v>531</v>
      </c>
      <c r="B34" s="416">
        <v>965877</v>
      </c>
      <c r="C34" s="71" t="s">
        <v>475</v>
      </c>
      <c r="D34" s="338" t="s">
        <v>435</v>
      </c>
      <c r="E34" s="360">
        <v>20406289</v>
      </c>
      <c r="F34" s="237"/>
      <c r="G34" s="22"/>
      <c r="H34" s="140">
        <v>528.16</v>
      </c>
      <c r="I34" s="141">
        <f>H34*0.06</f>
        <v>31.689599999999999</v>
      </c>
      <c r="J34" s="142">
        <f t="shared" si="1"/>
        <v>31.689599999999999</v>
      </c>
    </row>
    <row r="35" spans="1:10" ht="18" customHeight="1">
      <c r="A35" s="416" t="s">
        <v>531</v>
      </c>
      <c r="B35" s="416">
        <v>965877</v>
      </c>
      <c r="C35" s="71" t="s">
        <v>475</v>
      </c>
      <c r="D35" s="338" t="s">
        <v>436</v>
      </c>
      <c r="E35" s="360">
        <v>20406294</v>
      </c>
      <c r="F35" s="237"/>
      <c r="G35" s="22"/>
      <c r="H35" s="140">
        <v>197.57</v>
      </c>
      <c r="I35" s="143">
        <f>H35*0.12</f>
        <v>23.708399999999997</v>
      </c>
      <c r="J35" s="142">
        <f t="shared" si="1"/>
        <v>23.708399999999997</v>
      </c>
    </row>
    <row r="36" spans="1:10" ht="18" customHeight="1">
      <c r="A36" s="416" t="s">
        <v>531</v>
      </c>
      <c r="B36" s="416">
        <v>278619</v>
      </c>
      <c r="C36" s="71" t="s">
        <v>477</v>
      </c>
      <c r="D36" s="338" t="s">
        <v>427</v>
      </c>
      <c r="E36" s="360">
        <v>806159</v>
      </c>
      <c r="F36" s="237"/>
      <c r="G36" s="22">
        <v>2032</v>
      </c>
      <c r="H36" s="140">
        <v>1500</v>
      </c>
      <c r="I36" s="345">
        <f>(H36*15*0.02)*0.6</f>
        <v>270</v>
      </c>
      <c r="J36" s="142">
        <f t="shared" si="1"/>
        <v>270</v>
      </c>
    </row>
    <row r="37" spans="1:10" ht="18" customHeight="1">
      <c r="A37" s="416" t="s">
        <v>531</v>
      </c>
      <c r="B37" s="416">
        <v>299582</v>
      </c>
      <c r="C37" s="71" t="s">
        <v>478</v>
      </c>
      <c r="D37" s="338" t="s">
        <v>427</v>
      </c>
      <c r="E37" s="360">
        <v>806158</v>
      </c>
      <c r="F37" s="237"/>
      <c r="G37" s="22">
        <v>2043</v>
      </c>
      <c r="H37" s="140">
        <v>1500</v>
      </c>
      <c r="I37" s="345">
        <f>(H37*26*0.02)*0.6</f>
        <v>468</v>
      </c>
      <c r="J37" s="142">
        <f t="shared" si="1"/>
        <v>468</v>
      </c>
    </row>
    <row r="38" spans="1:10" ht="18" customHeight="1">
      <c r="A38" s="416" t="s">
        <v>531</v>
      </c>
      <c r="B38" s="416">
        <v>693638</v>
      </c>
      <c r="C38" s="71" t="s">
        <v>479</v>
      </c>
      <c r="D38" s="338" t="s">
        <v>436</v>
      </c>
      <c r="E38" s="360">
        <v>20404939</v>
      </c>
      <c r="F38" s="237"/>
      <c r="G38" s="22"/>
      <c r="H38" s="140">
        <v>256.49</v>
      </c>
      <c r="I38" s="143">
        <f>H38*0.12</f>
        <v>30.7788</v>
      </c>
      <c r="J38" s="142">
        <f t="shared" si="1"/>
        <v>30.7788</v>
      </c>
    </row>
    <row r="39" spans="1:10" ht="18" customHeight="1">
      <c r="A39" s="416" t="s">
        <v>531</v>
      </c>
      <c r="B39" s="416">
        <v>273601</v>
      </c>
      <c r="C39" s="71" t="s">
        <v>480</v>
      </c>
      <c r="D39" s="338" t="s">
        <v>441</v>
      </c>
      <c r="E39" s="360">
        <v>20406326</v>
      </c>
      <c r="F39" s="237"/>
      <c r="G39" s="22"/>
      <c r="H39" s="140">
        <v>658.13</v>
      </c>
      <c r="I39" s="141">
        <f>H39*0.06</f>
        <v>39.4878</v>
      </c>
      <c r="J39" s="142">
        <f t="shared" si="1"/>
        <v>39.4878</v>
      </c>
    </row>
    <row r="40" spans="1:10" ht="18" customHeight="1">
      <c r="A40" s="416" t="s">
        <v>531</v>
      </c>
      <c r="B40" s="416">
        <v>880049</v>
      </c>
      <c r="C40" s="71" t="s">
        <v>519</v>
      </c>
      <c r="D40" s="338" t="s">
        <v>443</v>
      </c>
      <c r="E40" s="325" t="s">
        <v>486</v>
      </c>
      <c r="F40" s="371"/>
      <c r="G40" s="22"/>
      <c r="H40" s="140">
        <v>60000</v>
      </c>
      <c r="I40" s="143">
        <f>(H40*0.007)*0.6</f>
        <v>252</v>
      </c>
      <c r="J40" s="142">
        <f t="shared" si="1"/>
        <v>252</v>
      </c>
    </row>
    <row r="41" spans="1:10" ht="18" customHeight="1">
      <c r="A41" s="416" t="s">
        <v>531</v>
      </c>
      <c r="B41" s="416">
        <v>880049</v>
      </c>
      <c r="C41" s="71" t="s">
        <v>519</v>
      </c>
      <c r="D41" s="338" t="s">
        <v>443</v>
      </c>
      <c r="E41" s="360" t="s">
        <v>487</v>
      </c>
      <c r="F41" s="237"/>
      <c r="G41" s="22"/>
      <c r="H41" s="140">
        <v>60000</v>
      </c>
      <c r="I41" s="143">
        <f>(H41*0.007)*0.6</f>
        <v>252</v>
      </c>
      <c r="J41" s="142">
        <f t="shared" si="1"/>
        <v>252</v>
      </c>
    </row>
    <row r="42" spans="1:10" ht="18" customHeight="1">
      <c r="A42" s="416" t="s">
        <v>531</v>
      </c>
      <c r="B42" s="416">
        <v>880049</v>
      </c>
      <c r="C42" s="71" t="s">
        <v>519</v>
      </c>
      <c r="D42" s="338" t="s">
        <v>443</v>
      </c>
      <c r="E42" s="360" t="s">
        <v>488</v>
      </c>
      <c r="F42" s="237"/>
      <c r="G42" s="22"/>
      <c r="H42" s="140">
        <v>60000</v>
      </c>
      <c r="I42" s="143">
        <f>(H42*0.007)*0.6</f>
        <v>252</v>
      </c>
      <c r="J42" s="142">
        <f t="shared" si="1"/>
        <v>252</v>
      </c>
    </row>
    <row r="43" spans="1:10" ht="18" customHeight="1">
      <c r="A43" s="416" t="s">
        <v>531</v>
      </c>
      <c r="B43" s="416">
        <v>481859</v>
      </c>
      <c r="C43" s="71" t="s">
        <v>481</v>
      </c>
      <c r="D43" s="338" t="s">
        <v>427</v>
      </c>
      <c r="E43" s="360">
        <v>807016</v>
      </c>
      <c r="F43" s="237"/>
      <c r="G43" s="22">
        <v>2035</v>
      </c>
      <c r="H43" s="140">
        <v>1200</v>
      </c>
      <c r="I43" s="345">
        <f>(H43*18*0.02)*0.6</f>
        <v>259.2</v>
      </c>
      <c r="J43" s="144">
        <f t="shared" si="1"/>
        <v>259.2</v>
      </c>
    </row>
    <row r="44" spans="1:10" ht="18" customHeight="1">
      <c r="A44" s="416" t="s">
        <v>531</v>
      </c>
      <c r="B44" s="416">
        <v>523424</v>
      </c>
      <c r="C44" s="71" t="s">
        <v>482</v>
      </c>
      <c r="D44" s="338" t="s">
        <v>427</v>
      </c>
      <c r="E44" s="360">
        <v>807015</v>
      </c>
      <c r="F44" s="237"/>
      <c r="G44" s="22">
        <v>2031</v>
      </c>
      <c r="H44" s="140">
        <v>1104</v>
      </c>
      <c r="I44" s="345">
        <f>(H44*14*0.02)*0.6</f>
        <v>185.47200000000001</v>
      </c>
      <c r="J44" s="144">
        <f t="shared" si="1"/>
        <v>185.47200000000001</v>
      </c>
    </row>
    <row r="45" spans="1:10" ht="18" customHeight="1">
      <c r="A45" s="416" t="s">
        <v>531</v>
      </c>
      <c r="B45" s="416">
        <v>837955</v>
      </c>
      <c r="C45" s="71" t="s">
        <v>483</v>
      </c>
      <c r="D45" s="338" t="s">
        <v>436</v>
      </c>
      <c r="E45" s="360">
        <v>20406981</v>
      </c>
      <c r="F45" s="237"/>
      <c r="G45" s="22"/>
      <c r="H45" s="140">
        <v>308.58999999999997</v>
      </c>
      <c r="I45" s="143">
        <f>H45*0.12</f>
        <v>37.030799999999992</v>
      </c>
      <c r="J45" s="144">
        <f t="shared" si="1"/>
        <v>37.030799999999992</v>
      </c>
    </row>
    <row r="46" spans="1:10" ht="18" customHeight="1">
      <c r="A46" s="416" t="s">
        <v>531</v>
      </c>
      <c r="B46" s="416">
        <v>729789</v>
      </c>
      <c r="C46" s="71" t="s">
        <v>484</v>
      </c>
      <c r="D46" s="338" t="s">
        <v>306</v>
      </c>
      <c r="E46" s="360">
        <v>61024785</v>
      </c>
      <c r="F46" s="237"/>
      <c r="G46" s="22"/>
      <c r="H46" s="140">
        <v>688.32</v>
      </c>
      <c r="I46" s="141">
        <f>(H46/12*3.5)*0.6</f>
        <v>120.456</v>
      </c>
      <c r="J46" s="144">
        <f t="shared" si="1"/>
        <v>120.456</v>
      </c>
    </row>
    <row r="47" spans="1:10" ht="18" customHeight="1">
      <c r="A47" s="416" t="s">
        <v>531</v>
      </c>
      <c r="B47" s="416">
        <v>348319</v>
      </c>
      <c r="C47" s="71" t="s">
        <v>485</v>
      </c>
      <c r="D47" s="338" t="s">
        <v>436</v>
      </c>
      <c r="E47" s="360">
        <v>20405030</v>
      </c>
      <c r="F47" s="237"/>
      <c r="G47" s="22"/>
      <c r="H47" s="140">
        <v>152.77000000000001</v>
      </c>
      <c r="I47" s="143">
        <f>H47*0.12</f>
        <v>18.3324</v>
      </c>
      <c r="J47" s="144">
        <f t="shared" si="1"/>
        <v>18.3324</v>
      </c>
    </row>
    <row r="48" spans="1:10" ht="18" customHeight="1" thickBot="1">
      <c r="A48" s="418"/>
      <c r="B48" s="416"/>
      <c r="C48" s="71"/>
      <c r="D48" s="338"/>
      <c r="E48" s="360"/>
      <c r="F48" s="237"/>
      <c r="G48" s="22"/>
      <c r="H48" s="140"/>
      <c r="I48" s="141"/>
      <c r="J48" s="142"/>
    </row>
    <row r="49" spans="1:12" s="6" customFormat="1" ht="19.5" thickBot="1">
      <c r="A49" s="374" t="s">
        <v>531</v>
      </c>
      <c r="B49" s="417"/>
      <c r="C49" s="145" t="s">
        <v>296</v>
      </c>
      <c r="D49" s="339"/>
      <c r="E49" s="361"/>
      <c r="F49" s="318"/>
      <c r="G49" s="147"/>
      <c r="H49" s="148"/>
      <c r="I49" s="149"/>
      <c r="J49" s="151">
        <f>SUM(J30,J31:J48)</f>
        <v>2492.6885000000002</v>
      </c>
      <c r="K49" s="396"/>
    </row>
    <row r="50" spans="1:12" ht="19.5" thickBot="1">
      <c r="A50" s="88" t="s">
        <v>532</v>
      </c>
      <c r="B50" s="80">
        <v>299582</v>
      </c>
      <c r="C50" s="71" t="s">
        <v>478</v>
      </c>
      <c r="D50" s="338" t="s">
        <v>443</v>
      </c>
      <c r="E50" s="358" t="s">
        <v>489</v>
      </c>
      <c r="F50" s="316"/>
      <c r="G50" s="16"/>
      <c r="H50" s="185">
        <v>110000</v>
      </c>
      <c r="I50" s="143">
        <f>(H50*0.007)*0.6</f>
        <v>462</v>
      </c>
      <c r="J50" s="19">
        <f>I50</f>
        <v>462</v>
      </c>
      <c r="K50" s="398"/>
    </row>
    <row r="51" spans="1:12" ht="19.5" thickBot="1">
      <c r="A51" s="88" t="s">
        <v>532</v>
      </c>
      <c r="B51" s="80">
        <v>834437</v>
      </c>
      <c r="C51" s="71" t="s">
        <v>14</v>
      </c>
      <c r="D51" s="338" t="s">
        <v>427</v>
      </c>
      <c r="E51" s="360">
        <v>807080</v>
      </c>
      <c r="F51" s="237"/>
      <c r="G51" s="22">
        <v>2049</v>
      </c>
      <c r="H51" s="143">
        <v>1704</v>
      </c>
      <c r="I51" s="345">
        <f>(H51*32*0.02)*0.6</f>
        <v>654.3359999999999</v>
      </c>
      <c r="J51" s="24">
        <f t="shared" ref="J51:J69" si="2">I51</f>
        <v>654.3359999999999</v>
      </c>
      <c r="K51" s="399"/>
      <c r="L51" t="s">
        <v>510</v>
      </c>
    </row>
    <row r="52" spans="1:12" s="4" customFormat="1" ht="19.5" thickBot="1">
      <c r="A52" s="88" t="s">
        <v>532</v>
      </c>
      <c r="B52" s="80">
        <v>739606</v>
      </c>
      <c r="C52" s="71" t="s">
        <v>490</v>
      </c>
      <c r="D52" s="338" t="s">
        <v>427</v>
      </c>
      <c r="E52" s="360">
        <v>807875</v>
      </c>
      <c r="F52" s="237"/>
      <c r="G52" s="22">
        <v>2043</v>
      </c>
      <c r="H52" s="143">
        <v>1704</v>
      </c>
      <c r="I52" s="345">
        <f>(H52*26*0.02)*0.6</f>
        <v>531.64800000000002</v>
      </c>
      <c r="J52" s="24">
        <f t="shared" si="2"/>
        <v>531.64800000000002</v>
      </c>
      <c r="K52" s="400"/>
    </row>
    <row r="53" spans="1:12" s="4" customFormat="1" ht="19.5" thickBot="1">
      <c r="A53" s="88" t="s">
        <v>532</v>
      </c>
      <c r="B53" s="80">
        <v>523259</v>
      </c>
      <c r="C53" s="71" t="s">
        <v>491</v>
      </c>
      <c r="D53" s="338" t="s">
        <v>435</v>
      </c>
      <c r="E53" s="362">
        <v>20406126</v>
      </c>
      <c r="F53" s="237"/>
      <c r="G53" s="25"/>
      <c r="H53" s="345">
        <v>1687.02</v>
      </c>
      <c r="I53" s="345">
        <f>(800*0.06)+(800*0.07)+(87*0.08)</f>
        <v>110.96</v>
      </c>
      <c r="J53" s="38">
        <f t="shared" si="2"/>
        <v>110.96</v>
      </c>
      <c r="K53" s="399"/>
    </row>
    <row r="54" spans="1:12" s="4" customFormat="1" ht="19.5" thickBot="1">
      <c r="A54" s="88" t="s">
        <v>532</v>
      </c>
      <c r="B54" s="80">
        <v>716291</v>
      </c>
      <c r="C54" s="71" t="s">
        <v>492</v>
      </c>
      <c r="D54" s="338" t="s">
        <v>431</v>
      </c>
      <c r="E54" s="362">
        <v>827015</v>
      </c>
      <c r="F54" s="237"/>
      <c r="G54" s="25">
        <v>2027</v>
      </c>
      <c r="H54" s="345">
        <v>600</v>
      </c>
      <c r="I54" s="345">
        <f>(H54*10*0.02)*0.6</f>
        <v>72</v>
      </c>
      <c r="J54" s="38">
        <f t="shared" si="2"/>
        <v>72</v>
      </c>
      <c r="K54" s="399"/>
    </row>
    <row r="55" spans="1:12" s="4" customFormat="1" ht="19.5" thickBot="1">
      <c r="A55" s="88" t="s">
        <v>532</v>
      </c>
      <c r="B55" s="80">
        <v>970170</v>
      </c>
      <c r="C55" s="71" t="s">
        <v>493</v>
      </c>
      <c r="D55" s="338" t="s">
        <v>436</v>
      </c>
      <c r="E55" s="209">
        <v>20409518</v>
      </c>
      <c r="F55" s="237"/>
      <c r="G55" s="25"/>
      <c r="I55" s="345"/>
      <c r="J55" s="38">
        <f t="shared" si="2"/>
        <v>0</v>
      </c>
      <c r="K55" s="396"/>
    </row>
    <row r="56" spans="1:12" s="4" customFormat="1" ht="19.5" thickBot="1">
      <c r="A56" s="88" t="s">
        <v>532</v>
      </c>
      <c r="B56" s="80">
        <v>945980</v>
      </c>
      <c r="C56" s="71" t="s">
        <v>501</v>
      </c>
      <c r="D56" s="338" t="s">
        <v>443</v>
      </c>
      <c r="E56" s="362" t="s">
        <v>500</v>
      </c>
      <c r="F56" s="237"/>
      <c r="G56" s="25"/>
      <c r="H56" s="345">
        <v>45000</v>
      </c>
      <c r="I56" s="143">
        <f>(H56*0.007)*0.6</f>
        <v>189</v>
      </c>
      <c r="J56" s="24">
        <f t="shared" si="2"/>
        <v>189</v>
      </c>
      <c r="K56" s="400"/>
    </row>
    <row r="57" spans="1:12" s="4" customFormat="1" ht="19.5" thickBot="1">
      <c r="A57" s="88" t="s">
        <v>532</v>
      </c>
      <c r="B57" s="80">
        <v>787557</v>
      </c>
      <c r="C57" s="71" t="s">
        <v>494</v>
      </c>
      <c r="D57" s="338" t="s">
        <v>435</v>
      </c>
      <c r="E57" s="362">
        <v>20409995</v>
      </c>
      <c r="F57" s="237"/>
      <c r="H57" s="25">
        <v>1786.72</v>
      </c>
      <c r="I57" s="345">
        <f>(800*0.06)+(800*0.07)+(186.72*0.08)</f>
        <v>118.9376</v>
      </c>
      <c r="J57" s="24">
        <f t="shared" si="2"/>
        <v>118.9376</v>
      </c>
      <c r="K57" s="400"/>
    </row>
    <row r="58" spans="1:12" s="4" customFormat="1" ht="19.5" thickBot="1">
      <c r="A58" s="88" t="s">
        <v>532</v>
      </c>
      <c r="B58" s="80">
        <v>787557</v>
      </c>
      <c r="C58" s="71" t="s">
        <v>494</v>
      </c>
      <c r="D58" s="338" t="s">
        <v>427</v>
      </c>
      <c r="E58" s="362">
        <v>822390</v>
      </c>
      <c r="F58" s="237"/>
      <c r="G58" s="25">
        <v>2043</v>
      </c>
      <c r="H58" s="143">
        <v>1200</v>
      </c>
      <c r="I58" s="345">
        <f>(H58*26*0.02)*0.6</f>
        <v>374.4</v>
      </c>
      <c r="J58" s="24">
        <f t="shared" si="2"/>
        <v>374.4</v>
      </c>
      <c r="K58" s="400"/>
    </row>
    <row r="59" spans="1:12" s="4" customFormat="1" ht="19.5" thickBot="1">
      <c r="A59" s="88" t="s">
        <v>532</v>
      </c>
      <c r="B59" s="80">
        <v>849012</v>
      </c>
      <c r="C59" s="71" t="s">
        <v>380</v>
      </c>
      <c r="D59" s="338" t="s">
        <v>436</v>
      </c>
      <c r="E59" s="362">
        <v>20410192</v>
      </c>
      <c r="F59" s="237"/>
      <c r="G59" s="25"/>
      <c r="H59" s="143">
        <v>287.08</v>
      </c>
      <c r="I59" s="143">
        <f>H59*0.12</f>
        <v>34.449599999999997</v>
      </c>
      <c r="J59" s="24">
        <f t="shared" si="2"/>
        <v>34.449599999999997</v>
      </c>
      <c r="K59" s="400"/>
    </row>
    <row r="60" spans="1:12" s="4" customFormat="1" ht="19.5" thickBot="1">
      <c r="A60" s="88" t="s">
        <v>532</v>
      </c>
      <c r="B60" s="80">
        <v>429665</v>
      </c>
      <c r="C60" s="71" t="s">
        <v>495</v>
      </c>
      <c r="D60" s="338" t="s">
        <v>427</v>
      </c>
      <c r="E60" s="362">
        <v>821974</v>
      </c>
      <c r="F60" s="237"/>
      <c r="G60" s="25">
        <v>2036</v>
      </c>
      <c r="H60" s="143">
        <v>900</v>
      </c>
      <c r="I60" s="345">
        <f>(H60*19*0.02)*0.6</f>
        <v>205.2</v>
      </c>
      <c r="J60" s="24">
        <f t="shared" si="2"/>
        <v>205.2</v>
      </c>
      <c r="K60" s="400"/>
    </row>
    <row r="61" spans="1:12" s="4" customFormat="1" ht="19.5" thickBot="1">
      <c r="A61" s="88" t="s">
        <v>532</v>
      </c>
      <c r="B61" s="80">
        <v>848696</v>
      </c>
      <c r="C61" s="71" t="s">
        <v>520</v>
      </c>
      <c r="D61" s="338" t="s">
        <v>306</v>
      </c>
      <c r="E61" s="362">
        <v>60016299</v>
      </c>
      <c r="F61" s="237" t="s">
        <v>379</v>
      </c>
      <c r="G61" s="25"/>
      <c r="H61" s="143">
        <v>731.76</v>
      </c>
      <c r="I61" s="141">
        <f>((H61/12*3.5)*0.6)*0.5</f>
        <v>64.028999999999996</v>
      </c>
      <c r="J61" s="24">
        <f t="shared" si="2"/>
        <v>64.028999999999996</v>
      </c>
      <c r="K61" s="400"/>
    </row>
    <row r="62" spans="1:12" s="4" customFormat="1" ht="19.5" thickBot="1">
      <c r="A62" s="88" t="s">
        <v>532</v>
      </c>
      <c r="B62" s="80">
        <v>971770</v>
      </c>
      <c r="C62" s="71" t="s">
        <v>496</v>
      </c>
      <c r="D62" s="338" t="s">
        <v>435</v>
      </c>
      <c r="E62" s="362">
        <v>20411305</v>
      </c>
      <c r="F62" s="237"/>
      <c r="G62" s="25"/>
      <c r="H62" s="143">
        <v>980.08</v>
      </c>
      <c r="I62" s="345">
        <f>(800*0.06)+(180.08*0.07)</f>
        <v>60.605600000000003</v>
      </c>
      <c r="J62" s="24">
        <f t="shared" si="2"/>
        <v>60.605600000000003</v>
      </c>
      <c r="K62" s="400"/>
    </row>
    <row r="63" spans="1:12" s="4" customFormat="1" ht="19.5" thickBot="1">
      <c r="A63" s="88" t="s">
        <v>532</v>
      </c>
      <c r="B63" s="80">
        <v>411055</v>
      </c>
      <c r="C63" s="71" t="s">
        <v>320</v>
      </c>
      <c r="D63" s="338" t="s">
        <v>438</v>
      </c>
      <c r="E63" s="362">
        <v>20412802</v>
      </c>
      <c r="F63" s="237"/>
      <c r="G63" s="25"/>
      <c r="H63" s="143">
        <v>514.48</v>
      </c>
      <c r="I63" s="143">
        <f>H63*0.12</f>
        <v>61.7376</v>
      </c>
      <c r="J63" s="24">
        <f t="shared" si="2"/>
        <v>61.7376</v>
      </c>
      <c r="K63" s="400"/>
    </row>
    <row r="64" spans="1:12" s="4" customFormat="1" ht="19.5" thickBot="1">
      <c r="A64" s="88" t="s">
        <v>532</v>
      </c>
      <c r="B64" s="80">
        <v>411056</v>
      </c>
      <c r="C64" s="71" t="s">
        <v>320</v>
      </c>
      <c r="D64" s="338" t="s">
        <v>438</v>
      </c>
      <c r="E64" s="362">
        <v>20412809</v>
      </c>
      <c r="F64" s="237"/>
      <c r="G64" s="25"/>
      <c r="H64" s="143">
        <v>129.22999999999999</v>
      </c>
      <c r="I64" s="143">
        <f>H64*0.12</f>
        <v>15.507599999999998</v>
      </c>
      <c r="J64" s="24">
        <f t="shared" si="2"/>
        <v>15.507599999999998</v>
      </c>
      <c r="K64" s="400"/>
    </row>
    <row r="65" spans="1:12" s="4" customFormat="1" ht="19.5" thickBot="1">
      <c r="A65" s="88" t="s">
        <v>532</v>
      </c>
      <c r="B65" s="80">
        <v>811892</v>
      </c>
      <c r="C65" s="71" t="s">
        <v>497</v>
      </c>
      <c r="D65" s="338" t="s">
        <v>436</v>
      </c>
      <c r="E65" s="362">
        <v>20412738</v>
      </c>
      <c r="F65" s="237"/>
      <c r="G65" s="25"/>
      <c r="H65" s="143">
        <v>418.98</v>
      </c>
      <c r="I65" s="143">
        <f>H65*0.12</f>
        <v>50.2776</v>
      </c>
      <c r="J65" s="24">
        <f t="shared" si="2"/>
        <v>50.2776</v>
      </c>
      <c r="K65" s="400"/>
    </row>
    <row r="66" spans="1:12" s="4" customFormat="1" ht="19.5" thickBot="1">
      <c r="A66" s="88" t="s">
        <v>532</v>
      </c>
      <c r="B66" s="80">
        <v>972349</v>
      </c>
      <c r="C66" s="71" t="s">
        <v>498</v>
      </c>
      <c r="D66" s="338" t="s">
        <v>435</v>
      </c>
      <c r="E66" s="362">
        <v>20412101</v>
      </c>
      <c r="F66" s="237"/>
      <c r="G66" s="25"/>
      <c r="H66" s="143">
        <v>865.04</v>
      </c>
      <c r="I66" s="345">
        <f>(800*0.06)+(65.04*0.07)</f>
        <v>52.552800000000005</v>
      </c>
      <c r="J66" s="24">
        <f t="shared" si="2"/>
        <v>52.552800000000005</v>
      </c>
      <c r="K66" s="400"/>
    </row>
    <row r="67" spans="1:12" s="4" customFormat="1">
      <c r="A67" s="88" t="s">
        <v>532</v>
      </c>
      <c r="B67" s="80">
        <v>973005</v>
      </c>
      <c r="C67" s="71" t="s">
        <v>499</v>
      </c>
      <c r="D67" s="338" t="s">
        <v>435</v>
      </c>
      <c r="E67" s="362">
        <v>20412622</v>
      </c>
      <c r="F67" s="237"/>
      <c r="G67" s="25"/>
      <c r="H67" s="143">
        <v>1118.02</v>
      </c>
      <c r="I67" s="345">
        <f>(800*0.06)+(318.02*0.07)</f>
        <v>70.261400000000009</v>
      </c>
      <c r="J67" s="24">
        <f t="shared" si="2"/>
        <v>70.261400000000009</v>
      </c>
      <c r="K67" s="400"/>
    </row>
    <row r="68" spans="1:12" s="4" customFormat="1">
      <c r="A68" s="419"/>
      <c r="B68" s="416"/>
      <c r="C68" s="71"/>
      <c r="D68" s="338"/>
      <c r="E68" s="362"/>
      <c r="F68" s="237"/>
      <c r="G68" s="25"/>
      <c r="H68" s="143"/>
      <c r="I68" s="345"/>
      <c r="J68" s="24">
        <f t="shared" si="2"/>
        <v>0</v>
      </c>
      <c r="K68" s="400"/>
    </row>
    <row r="69" spans="1:12" s="4" customFormat="1">
      <c r="A69" s="419"/>
      <c r="B69" s="416"/>
      <c r="C69" s="71"/>
      <c r="D69" s="338"/>
      <c r="E69" s="362"/>
      <c r="F69" s="237"/>
      <c r="G69" s="25"/>
      <c r="H69" s="143"/>
      <c r="I69" s="345"/>
      <c r="J69" s="24">
        <f t="shared" si="2"/>
        <v>0</v>
      </c>
      <c r="K69" s="400"/>
    </row>
    <row r="70" spans="1:12" ht="19.5" thickBot="1">
      <c r="A70" s="374" t="s">
        <v>532</v>
      </c>
      <c r="B70" s="417"/>
      <c r="C70" s="145" t="s">
        <v>281</v>
      </c>
      <c r="D70" s="339"/>
      <c r="E70" s="363"/>
      <c r="F70" s="318"/>
      <c r="G70" s="42"/>
      <c r="H70" s="158"/>
      <c r="I70" s="158"/>
      <c r="J70" s="276">
        <f>SUM(J50:J69)</f>
        <v>3127.9027999999994</v>
      </c>
      <c r="K70" s="398"/>
    </row>
    <row r="71" spans="1:12" ht="19.5" thickBot="1">
      <c r="A71" s="88" t="s">
        <v>533</v>
      </c>
      <c r="B71" s="80">
        <v>121208</v>
      </c>
      <c r="C71" s="71" t="s">
        <v>502</v>
      </c>
      <c r="D71" s="335" t="s">
        <v>503</v>
      </c>
      <c r="E71" s="362">
        <v>10727836</v>
      </c>
      <c r="F71" s="237"/>
      <c r="G71" s="25"/>
      <c r="H71" s="143">
        <v>176.63</v>
      </c>
      <c r="I71" s="143">
        <f>H71*0.15</f>
        <v>26.494499999999999</v>
      </c>
      <c r="J71" s="24">
        <v>26.494499999999999</v>
      </c>
      <c r="K71" s="398"/>
    </row>
    <row r="72" spans="1:12" s="4" customFormat="1" ht="19.5" thickBot="1">
      <c r="A72" s="88" t="s">
        <v>533</v>
      </c>
      <c r="B72" s="80">
        <v>770987</v>
      </c>
      <c r="C72" s="71" t="s">
        <v>504</v>
      </c>
      <c r="D72" s="338" t="s">
        <v>427</v>
      </c>
      <c r="E72" s="360">
        <v>824583</v>
      </c>
      <c r="F72" s="319"/>
      <c r="G72" s="22">
        <v>2046</v>
      </c>
      <c r="H72" s="143">
        <v>720</v>
      </c>
      <c r="I72" s="345">
        <f>(H72*29*0.02)*0.6</f>
        <v>250.56</v>
      </c>
      <c r="J72" s="24">
        <f>I72</f>
        <v>250.56</v>
      </c>
      <c r="K72" s="398"/>
    </row>
    <row r="73" spans="1:12" ht="19.5" thickBot="1">
      <c r="A73" s="88" t="s">
        <v>533</v>
      </c>
      <c r="B73" s="80">
        <v>845563</v>
      </c>
      <c r="C73" s="71" t="s">
        <v>506</v>
      </c>
      <c r="D73" s="338" t="s">
        <v>427</v>
      </c>
      <c r="E73" s="362">
        <v>612117</v>
      </c>
      <c r="F73" s="237"/>
      <c r="G73" s="25">
        <v>2034</v>
      </c>
      <c r="H73" s="143">
        <v>1078.43</v>
      </c>
      <c r="I73" s="345">
        <f>(H73*17*0.02)*0.6</f>
        <v>219.99972000000002</v>
      </c>
      <c r="J73" s="24"/>
      <c r="K73" s="415" t="s">
        <v>530</v>
      </c>
    </row>
    <row r="74" spans="1:12" ht="19.5" thickBot="1">
      <c r="A74" s="88" t="s">
        <v>533</v>
      </c>
      <c r="B74" s="80">
        <v>845563</v>
      </c>
      <c r="C74" s="71" t="s">
        <v>506</v>
      </c>
      <c r="D74" s="338" t="s">
        <v>429</v>
      </c>
      <c r="E74" s="360">
        <v>424171</v>
      </c>
      <c r="F74" s="237"/>
      <c r="G74" s="22">
        <v>2034</v>
      </c>
      <c r="H74" s="143">
        <v>350</v>
      </c>
      <c r="I74" s="345">
        <f>(H74*17*0.02)*0.6</f>
        <v>71.399999999999991</v>
      </c>
      <c r="J74" s="24">
        <f t="shared" ref="J74:J87" si="3">I74</f>
        <v>71.399999999999991</v>
      </c>
      <c r="K74" s="399"/>
    </row>
    <row r="75" spans="1:12" s="6" customFormat="1" ht="19.5" thickBot="1">
      <c r="A75" s="88" t="s">
        <v>533</v>
      </c>
      <c r="B75" s="80">
        <v>882443</v>
      </c>
      <c r="C75" s="71" t="s">
        <v>505</v>
      </c>
      <c r="D75" s="338" t="s">
        <v>427</v>
      </c>
      <c r="E75" s="364">
        <v>612118</v>
      </c>
      <c r="F75" s="237"/>
      <c r="G75" s="22">
        <v>2030</v>
      </c>
      <c r="H75" s="143">
        <v>1078.43</v>
      </c>
      <c r="I75" s="345">
        <f>(H75*13*0.02)*0.6</f>
        <v>168.23507999999998</v>
      </c>
      <c r="J75" s="24">
        <f t="shared" si="3"/>
        <v>168.23507999999998</v>
      </c>
      <c r="K75" s="399"/>
    </row>
    <row r="76" spans="1:12" s="6" customFormat="1" ht="19.5" thickBot="1">
      <c r="A76" s="88" t="s">
        <v>533</v>
      </c>
      <c r="B76" s="80">
        <v>973272</v>
      </c>
      <c r="C76" s="71" t="s">
        <v>507</v>
      </c>
      <c r="D76" s="338" t="s">
        <v>306</v>
      </c>
      <c r="E76" s="364">
        <v>61025510</v>
      </c>
      <c r="F76" s="237"/>
      <c r="G76" s="22"/>
      <c r="H76" s="143">
        <v>663.96</v>
      </c>
      <c r="I76" s="141">
        <f>(H76/12*3.5)*0.6</f>
        <v>116.19300000000001</v>
      </c>
      <c r="J76" s="24">
        <f t="shared" si="3"/>
        <v>116.19300000000001</v>
      </c>
      <c r="K76" s="399"/>
    </row>
    <row r="77" spans="1:12" s="6" customFormat="1" ht="19.5" thickBot="1">
      <c r="A77" s="88" t="s">
        <v>533</v>
      </c>
      <c r="B77" s="80">
        <v>259955</v>
      </c>
      <c r="C77" s="71" t="s">
        <v>508</v>
      </c>
      <c r="D77" s="338" t="s">
        <v>306</v>
      </c>
      <c r="E77" s="364">
        <v>61026528</v>
      </c>
      <c r="F77" s="237"/>
      <c r="G77" s="28"/>
      <c r="H77" s="346">
        <v>723.48</v>
      </c>
      <c r="I77" s="141">
        <f>(H77/12*3.5)*0.6</f>
        <v>126.60899999999998</v>
      </c>
      <c r="J77" s="24">
        <f t="shared" si="3"/>
        <v>126.60899999999998</v>
      </c>
      <c r="K77" s="396"/>
    </row>
    <row r="78" spans="1:12" s="3" customFormat="1" ht="19.5" thickBot="1">
      <c r="A78" s="88" t="s">
        <v>533</v>
      </c>
      <c r="B78" s="80">
        <v>952598</v>
      </c>
      <c r="C78" s="77" t="s">
        <v>100</v>
      </c>
      <c r="D78" s="338" t="s">
        <v>427</v>
      </c>
      <c r="E78" s="362">
        <v>825436</v>
      </c>
      <c r="F78" s="237"/>
      <c r="G78" s="32">
        <v>2045</v>
      </c>
      <c r="H78" s="345">
        <v>1176.48</v>
      </c>
      <c r="I78" s="345">
        <f>(H78*28*0.02)*0.6</f>
        <v>395.29728000000006</v>
      </c>
      <c r="J78" s="24">
        <f t="shared" si="3"/>
        <v>395.29728000000006</v>
      </c>
      <c r="K78" s="400"/>
    </row>
    <row r="79" spans="1:12" s="3" customFormat="1" ht="19.5" thickBot="1">
      <c r="A79" s="88" t="s">
        <v>533</v>
      </c>
      <c r="B79" s="80">
        <v>492356</v>
      </c>
      <c r="C79" s="77" t="s">
        <v>185</v>
      </c>
      <c r="D79" s="338" t="s">
        <v>427</v>
      </c>
      <c r="E79" s="362">
        <v>825447</v>
      </c>
      <c r="F79" s="237"/>
      <c r="G79" s="32">
        <v>2033</v>
      </c>
      <c r="H79" s="345">
        <v>823.56</v>
      </c>
      <c r="I79" s="345">
        <f>(H79*16*0.02)*0.6</f>
        <v>158.12351999999998</v>
      </c>
      <c r="J79" s="24">
        <f t="shared" si="3"/>
        <v>158.12351999999998</v>
      </c>
      <c r="K79" s="400"/>
    </row>
    <row r="80" spans="1:12" s="4" customFormat="1" ht="19.5" thickBot="1">
      <c r="A80" s="88" t="s">
        <v>533</v>
      </c>
      <c r="B80" s="80">
        <v>975116</v>
      </c>
      <c r="C80" s="74" t="s">
        <v>518</v>
      </c>
      <c r="D80" s="338" t="s">
        <v>433</v>
      </c>
      <c r="E80" s="362"/>
      <c r="F80" s="237"/>
      <c r="G80" s="25"/>
      <c r="H80" s="345">
        <v>6531.79</v>
      </c>
      <c r="I80" s="92">
        <f>(H80*0.075)*0.6</f>
        <v>293.93054999999998</v>
      </c>
      <c r="J80" s="24">
        <f t="shared" si="3"/>
        <v>293.93054999999998</v>
      </c>
      <c r="K80" s="398"/>
      <c r="L80" s="3"/>
    </row>
    <row r="81" spans="1:11" ht="19.5" thickBot="1">
      <c r="A81" s="88" t="s">
        <v>533</v>
      </c>
      <c r="B81" s="80">
        <v>971952</v>
      </c>
      <c r="C81" s="74" t="s">
        <v>509</v>
      </c>
      <c r="D81" s="338" t="s">
        <v>511</v>
      </c>
      <c r="E81" s="362">
        <v>20411444</v>
      </c>
      <c r="F81" s="237"/>
      <c r="G81" s="35"/>
      <c r="H81" s="345">
        <v>678.92</v>
      </c>
      <c r="I81" s="143">
        <f>H81*0.12</f>
        <v>81.470399999999998</v>
      </c>
      <c r="J81" s="24">
        <f t="shared" si="3"/>
        <v>81.470399999999998</v>
      </c>
      <c r="K81" s="398"/>
    </row>
    <row r="82" spans="1:11" ht="19.5" thickBot="1">
      <c r="A82" s="88" t="s">
        <v>533</v>
      </c>
      <c r="B82" s="80">
        <v>521956</v>
      </c>
      <c r="C82" s="77" t="s">
        <v>406</v>
      </c>
      <c r="D82" s="338" t="s">
        <v>435</v>
      </c>
      <c r="E82" s="362">
        <v>20411589</v>
      </c>
      <c r="F82" s="237"/>
      <c r="G82" s="25"/>
      <c r="H82" s="345">
        <v>1795.47</v>
      </c>
      <c r="I82" s="345">
        <f>(800*0.06)+(800*0.07)+(195.47*0.08)</f>
        <v>119.63760000000001</v>
      </c>
      <c r="J82" s="24">
        <f t="shared" si="3"/>
        <v>119.63760000000001</v>
      </c>
      <c r="K82" s="398"/>
    </row>
    <row r="83" spans="1:11" ht="19.5" thickBot="1">
      <c r="A83" s="88" t="s">
        <v>533</v>
      </c>
      <c r="B83" s="80">
        <v>962753</v>
      </c>
      <c r="C83" s="77" t="s">
        <v>512</v>
      </c>
      <c r="D83" s="338" t="s">
        <v>435</v>
      </c>
      <c r="E83" s="362">
        <v>20414927</v>
      </c>
      <c r="F83" s="237"/>
      <c r="G83" s="25"/>
      <c r="H83" s="345">
        <v>1612.84</v>
      </c>
      <c r="I83" s="345">
        <f>(800*0.06)+(800*0.07)+(12.84*0.08)</f>
        <v>105.02719999999999</v>
      </c>
      <c r="J83" s="24">
        <f t="shared" si="3"/>
        <v>105.02719999999999</v>
      </c>
      <c r="K83" s="398"/>
    </row>
    <row r="84" spans="1:11" ht="19.5" thickBot="1">
      <c r="A84" s="88" t="s">
        <v>533</v>
      </c>
      <c r="B84" s="80">
        <v>976480</v>
      </c>
      <c r="C84" s="77" t="s">
        <v>513</v>
      </c>
      <c r="D84" s="338" t="s">
        <v>429</v>
      </c>
      <c r="E84" s="362">
        <v>826142</v>
      </c>
      <c r="F84" s="237"/>
      <c r="G84" s="25">
        <v>2028</v>
      </c>
      <c r="H84" s="345">
        <v>3199.92</v>
      </c>
      <c r="I84" s="345">
        <f>(H84*11*0.02)*0.6</f>
        <v>422.38944000000004</v>
      </c>
      <c r="J84" s="24">
        <f t="shared" si="3"/>
        <v>422.38944000000004</v>
      </c>
      <c r="K84" s="398"/>
    </row>
    <row r="85" spans="1:11" ht="19.5" thickBot="1">
      <c r="A85" s="88" t="s">
        <v>533</v>
      </c>
      <c r="B85" s="80">
        <v>793853</v>
      </c>
      <c r="C85" s="77" t="s">
        <v>514</v>
      </c>
      <c r="D85" s="338" t="s">
        <v>306</v>
      </c>
      <c r="E85" s="362">
        <v>61025794</v>
      </c>
      <c r="F85" s="237"/>
      <c r="G85" s="25"/>
      <c r="H85" s="345">
        <v>145.08000000000001</v>
      </c>
      <c r="I85" s="141">
        <f>(H85/12*3.5)*0.6</f>
        <v>25.389000000000003</v>
      </c>
      <c r="J85" s="24">
        <f t="shared" si="3"/>
        <v>25.389000000000003</v>
      </c>
      <c r="K85" s="398"/>
    </row>
    <row r="86" spans="1:11" ht="19.5" thickBot="1">
      <c r="A86" s="88" t="s">
        <v>533</v>
      </c>
      <c r="B86" s="80">
        <v>974373</v>
      </c>
      <c r="C86" s="77" t="s">
        <v>515</v>
      </c>
      <c r="D86" s="338" t="s">
        <v>436</v>
      </c>
      <c r="E86" s="362">
        <v>20414253</v>
      </c>
      <c r="F86" s="237"/>
      <c r="G86" s="25"/>
      <c r="H86" s="345">
        <v>168.5</v>
      </c>
      <c r="I86" s="143">
        <f>H86*0.12</f>
        <v>20.22</v>
      </c>
      <c r="J86" s="24">
        <f t="shared" si="3"/>
        <v>20.22</v>
      </c>
      <c r="K86" s="398"/>
    </row>
    <row r="87" spans="1:11" ht="19.5" thickBot="1">
      <c r="A87" s="420" t="s">
        <v>533</v>
      </c>
      <c r="B87" s="80">
        <v>974377</v>
      </c>
      <c r="C87" s="77" t="s">
        <v>516</v>
      </c>
      <c r="D87" s="338" t="s">
        <v>436</v>
      </c>
      <c r="E87" s="362">
        <v>20414259</v>
      </c>
      <c r="F87" s="237"/>
      <c r="G87" s="25"/>
      <c r="H87" s="345">
        <v>168.5</v>
      </c>
      <c r="I87" s="143">
        <f>H87*0.12</f>
        <v>20.22</v>
      </c>
      <c r="J87" s="24">
        <f t="shared" si="3"/>
        <v>20.22</v>
      </c>
      <c r="K87" s="398"/>
    </row>
    <row r="88" spans="1:11" ht="30.75" thickBot="1">
      <c r="A88" s="420" t="s">
        <v>533</v>
      </c>
      <c r="B88" s="413">
        <v>782333</v>
      </c>
      <c r="C88" s="386" t="s">
        <v>402</v>
      </c>
      <c r="D88" s="243" t="s">
        <v>299</v>
      </c>
      <c r="E88" s="243">
        <v>806102</v>
      </c>
      <c r="F88" s="243"/>
      <c r="G88" s="243">
        <v>2033</v>
      </c>
      <c r="H88" s="387">
        <v>1100</v>
      </c>
      <c r="I88" s="388">
        <v>-211.2</v>
      </c>
      <c r="J88" s="388">
        <f t="shared" ref="J88" si="4">I88</f>
        <v>-211.2</v>
      </c>
      <c r="K88" s="401" t="s">
        <v>529</v>
      </c>
    </row>
    <row r="89" spans="1:11" ht="15.75" thickBot="1">
      <c r="A89" s="420" t="s">
        <v>533</v>
      </c>
      <c r="B89" s="423">
        <v>524936</v>
      </c>
      <c r="C89" s="412" t="s">
        <v>390</v>
      </c>
      <c r="D89" s="240" t="s">
        <v>51</v>
      </c>
      <c r="E89" s="240">
        <v>20360252</v>
      </c>
      <c r="F89" s="243"/>
      <c r="G89" s="243"/>
      <c r="H89" s="411">
        <v>1463.39</v>
      </c>
      <c r="I89" s="422">
        <f>-H89*0.12</f>
        <v>-175.60679999999999</v>
      </c>
      <c r="J89" s="388">
        <f>I89</f>
        <v>-175.60679999999999</v>
      </c>
      <c r="K89" s="401" t="s">
        <v>534</v>
      </c>
    </row>
    <row r="90" spans="1:11" ht="19.5" thickBot="1">
      <c r="A90" s="420" t="s">
        <v>533</v>
      </c>
      <c r="B90" s="404">
        <v>729789</v>
      </c>
      <c r="C90" s="405" t="s">
        <v>457</v>
      </c>
      <c r="D90" s="384" t="s">
        <v>432</v>
      </c>
      <c r="E90" s="406">
        <v>611756</v>
      </c>
      <c r="F90" s="237"/>
      <c r="G90" s="240">
        <v>2032</v>
      </c>
      <c r="H90" s="407">
        <v>600</v>
      </c>
      <c r="I90" s="407">
        <f>-(H90*15*0.027)*0.6</f>
        <v>-145.79999999999998</v>
      </c>
      <c r="J90" s="408">
        <f t="shared" ref="J90" si="5">I90</f>
        <v>-145.79999999999998</v>
      </c>
      <c r="K90" s="401" t="s">
        <v>526</v>
      </c>
    </row>
    <row r="91" spans="1:11" ht="19.5" thickBot="1">
      <c r="A91" s="420" t="s">
        <v>533</v>
      </c>
      <c r="B91" s="404">
        <v>729789</v>
      </c>
      <c r="C91" s="405" t="s">
        <v>457</v>
      </c>
      <c r="D91" s="384" t="s">
        <v>432</v>
      </c>
      <c r="E91" s="406">
        <v>611756</v>
      </c>
      <c r="F91" s="237"/>
      <c r="G91" s="240">
        <v>2032</v>
      </c>
      <c r="H91" s="407">
        <v>600</v>
      </c>
      <c r="I91" s="407">
        <f>(H91*15*0.03)*0.6</f>
        <v>162</v>
      </c>
      <c r="J91" s="409">
        <f>I91</f>
        <v>162</v>
      </c>
      <c r="K91" s="401" t="s">
        <v>527</v>
      </c>
    </row>
    <row r="92" spans="1:11" ht="30.75" thickBot="1">
      <c r="A92" s="420" t="s">
        <v>533</v>
      </c>
      <c r="B92" s="413">
        <v>773696</v>
      </c>
      <c r="C92" s="412" t="s">
        <v>363</v>
      </c>
      <c r="D92" s="240" t="s">
        <v>252</v>
      </c>
      <c r="E92" s="240">
        <v>441443</v>
      </c>
      <c r="F92" s="240"/>
      <c r="G92" s="240">
        <v>2026</v>
      </c>
      <c r="H92" s="411">
        <v>600</v>
      </c>
      <c r="I92" s="407">
        <v>-64.8</v>
      </c>
      <c r="J92" s="408">
        <f>I92</f>
        <v>-64.8</v>
      </c>
      <c r="K92" s="401" t="s">
        <v>525</v>
      </c>
    </row>
    <row r="93" spans="1:11" ht="19.5" thickBot="1">
      <c r="A93" s="421" t="s">
        <v>533</v>
      </c>
      <c r="B93" s="80"/>
      <c r="C93" s="172" t="s">
        <v>281</v>
      </c>
      <c r="D93" s="339"/>
      <c r="E93" s="365"/>
      <c r="F93" s="318"/>
      <c r="G93" s="166"/>
      <c r="H93" s="347"/>
      <c r="I93" s="347"/>
      <c r="J93" s="373">
        <f>SUM(J71:J92)</f>
        <v>1965.7897699999999</v>
      </c>
      <c r="K93" s="398"/>
    </row>
    <row r="94" spans="1:11" ht="19.5" thickBot="1">
      <c r="A94" s="80"/>
      <c r="B94" s="80"/>
      <c r="C94" s="176"/>
      <c r="D94" s="341"/>
      <c r="E94" s="366"/>
      <c r="F94" s="320"/>
      <c r="G94" s="178"/>
      <c r="H94" s="348"/>
      <c r="I94" s="353"/>
      <c r="J94" s="181"/>
      <c r="K94" s="398"/>
    </row>
    <row r="95" spans="1:11" ht="19.5" thickBot="1">
      <c r="A95" s="103"/>
      <c r="B95" s="103"/>
      <c r="C95" s="173" t="s">
        <v>282</v>
      </c>
      <c r="D95" s="342"/>
      <c r="E95" s="367"/>
      <c r="F95" s="321"/>
      <c r="G95" s="119"/>
      <c r="H95" s="349"/>
      <c r="I95" s="354"/>
      <c r="J95" s="120">
        <f>SUM(J49,J70,J93)</f>
        <v>7586.3810699999995</v>
      </c>
      <c r="K95" s="398"/>
    </row>
    <row r="96" spans="1:11">
      <c r="A96" s="83"/>
      <c r="B96" s="83"/>
      <c r="C96" s="109"/>
      <c r="D96" s="343"/>
      <c r="E96" s="368"/>
      <c r="F96" s="322"/>
      <c r="G96" s="110"/>
      <c r="H96" s="350"/>
      <c r="I96" s="329"/>
      <c r="J96" s="115"/>
      <c r="K96" s="398"/>
    </row>
    <row r="97" spans="1:11">
      <c r="A97" s="83"/>
      <c r="B97" s="83"/>
      <c r="C97" s="109" t="s">
        <v>226</v>
      </c>
      <c r="D97" s="343"/>
      <c r="E97" s="368"/>
      <c r="F97" s="322"/>
      <c r="G97" s="110"/>
      <c r="H97" s="350"/>
      <c r="I97" s="329"/>
      <c r="J97" s="115">
        <f>J7</f>
        <v>6129.3099999999995</v>
      </c>
      <c r="K97" s="398"/>
    </row>
    <row r="98" spans="1:11">
      <c r="A98" s="83"/>
      <c r="B98" s="83"/>
      <c r="C98" s="109" t="s">
        <v>224</v>
      </c>
      <c r="D98" s="343"/>
      <c r="E98" s="368"/>
      <c r="F98" s="322"/>
      <c r="G98" s="110"/>
      <c r="H98" s="350"/>
      <c r="I98" s="329"/>
      <c r="J98" s="115">
        <f>SUM(J95:J97)</f>
        <v>13715.691069999999</v>
      </c>
      <c r="K98" s="398"/>
    </row>
    <row r="99" spans="1:11" s="67" customFormat="1" ht="19.5" thickBot="1">
      <c r="A99" s="83"/>
      <c r="B99" s="83"/>
      <c r="C99" s="104" t="s">
        <v>227</v>
      </c>
      <c r="D99" s="339"/>
      <c r="E99" s="363"/>
      <c r="F99" s="318"/>
      <c r="G99" s="42"/>
      <c r="H99" s="351"/>
      <c r="I99" s="355"/>
      <c r="J99" s="24">
        <f>J98/3</f>
        <v>4571.897023333333</v>
      </c>
      <c r="K99" s="402"/>
    </row>
    <row r="100" spans="1:11" s="63" customFormat="1">
      <c r="A100" s="83"/>
      <c r="B100" s="83"/>
      <c r="C100" s="64"/>
      <c r="D100" s="344"/>
      <c r="E100" s="369"/>
      <c r="F100" s="323"/>
      <c r="G100" s="356"/>
      <c r="H100" s="134"/>
      <c r="I100" s="139"/>
      <c r="J100" s="68"/>
      <c r="K100" s="403"/>
    </row>
    <row r="101" spans="1:11" s="63" customFormat="1">
      <c r="A101" s="83"/>
      <c r="B101" s="83"/>
      <c r="C101" s="64"/>
      <c r="D101" s="344"/>
      <c r="E101" s="369"/>
      <c r="F101" s="323"/>
      <c r="G101" s="356"/>
      <c r="H101" s="134"/>
      <c r="I101" s="129"/>
      <c r="J101" s="66"/>
      <c r="K101" s="403"/>
    </row>
    <row r="102" spans="1:11" s="63" customFormat="1">
      <c r="A102" s="83"/>
      <c r="B102" s="83"/>
      <c r="C102" s="64"/>
      <c r="D102" s="344"/>
      <c r="E102" s="369"/>
      <c r="F102" s="323"/>
      <c r="G102" s="356"/>
      <c r="H102" s="134"/>
      <c r="I102" s="129"/>
      <c r="J102" s="66"/>
      <c r="K102" s="403"/>
    </row>
    <row r="103" spans="1:11" s="63" customFormat="1">
      <c r="A103" s="83"/>
      <c r="B103" s="83"/>
      <c r="C103" s="64"/>
      <c r="D103" s="344"/>
      <c r="E103" s="369"/>
      <c r="F103" s="323"/>
      <c r="G103" s="356"/>
      <c r="H103" s="134"/>
      <c r="I103" s="129"/>
      <c r="J103" s="66"/>
      <c r="K103" s="403"/>
    </row>
    <row r="104" spans="1:11">
      <c r="C104" s="64"/>
      <c r="D104" s="344"/>
      <c r="E104" s="369"/>
      <c r="F104" s="323"/>
      <c r="G104" s="356"/>
      <c r="H104" s="134"/>
      <c r="I104" s="129"/>
      <c r="J104" s="66"/>
    </row>
  </sheetData>
  <dataValidations count="6">
    <dataValidation type="list" allowBlank="1" showInputMessage="1" showErrorMessage="1" prompt="Liste choix" sqref="C104">
      <formula1>"REEBOU FAMILY,MOBILE 2016,PACK REEBOU FAMILY,MEDICIS,HORIZONT INVEST,RC ENSEIGNANT"</formula1>
    </dataValidation>
    <dataValidation type="list" allowBlank="1" showInputMessage="1" showErrorMessage="1" prompt="Liste choix" sqref="D92 D50:D69 D72:D89">
      <formula1>"MOBILE2016,MOBILE Regio,REEBOU Family,REEBOUImmo,REEBOU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Liste choix" sqref="D90:D91">
      <formula1>"MOBILE2016,MOBILE Regio,REEBOU Family,REEBOU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CHOIX PRODUIT" sqref="D71 D30">
      <formula1>"MOBILE2016,MOBILE Regio,REEBOUfamily,REEBOUpack,REEBOUpro,REEBOUinvest,LOGGIA,MEDICIS,RC,RC ENSEIGN,ZENITH60op100,ZENITH60op25,HORIZONT60invest,HORIZONT60protect,HORIZONT60capi,HELIOS100protect,HELIOS60invest,HELIOS100invest,FOCUS,NOVA,BSH"</formula1>
    </dataValidation>
    <dataValidation type="list" allowBlank="1" showInputMessage="1" showErrorMessage="1" prompt="Liste choix" sqref="D31:D48">
      <formula1>"MOBILE2016,MOBILE2007,MOBILE Regio,REEBOU Family,REEBOU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CHOIX PRODUIT" sqref="D10:D29">
      <formula1>"MOBILE2016,MOBILE Regio,REEBOU Family,REEBOU Pack,REEBOU Pro,REEBOU Invest,LOGGIA,MEDICIS,RC,RC ENSEIGNANT,ZENITH60 Op100,ZENITH60 Op25,HORIZONT60Invest,HORIZONT60Protect,HORIZONT60Capi,HELIOS100Protect,HELIOS100Invest,FOCUS,NOVA,SCHWABISCHHALL"</formula1>
    </dataValidation>
  </dataValidations>
  <printOptions horizontalCentered="1" verticalCentered="1" gridLines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 xml:space="preserve">&amp;C&amp;"-,Gras"&amp;14COMMISSION JEFF DERAPPE 4èmeTRIMESTRE 2017
</oddHeader>
    <oddFooter xml:space="preserve">&amp;L&amp;8&amp;Z&amp;F&amp;C&amp;7&amp;P/&amp;N&amp;RModfié le &amp;D </oddFooter>
  </headerFooter>
  <rowBreaks count="2" manualBreakCount="2">
    <brk id="49" max="9" man="1"/>
    <brk id="70" max="9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L77"/>
  <sheetViews>
    <sheetView topLeftCell="A25" zoomScaleNormal="100" workbookViewId="0">
      <selection activeCell="I37" sqref="I37"/>
    </sheetView>
    <sheetView topLeftCell="A9" workbookViewId="1">
      <selection activeCell="I31" sqref="I31"/>
    </sheetView>
    <sheetView workbookViewId="2"/>
  </sheetViews>
  <sheetFormatPr baseColWidth="10" defaultRowHeight="18.75"/>
  <cols>
    <col min="1" max="1" width="11.42578125" style="78" customWidth="1"/>
    <col min="2" max="2" width="17.42578125" style="78" customWidth="1"/>
    <col min="3" max="3" width="28" style="7" customWidth="1"/>
    <col min="4" max="4" width="21.7109375" style="336" customWidth="1"/>
    <col min="5" max="5" width="24.7109375" style="357" customWidth="1"/>
    <col min="6" max="6" width="3.7109375" style="212" customWidth="1"/>
    <col min="7" max="7" width="10.5703125" style="1" customWidth="1"/>
    <col min="8" max="8" width="13.28515625" style="127" customWidth="1"/>
    <col min="9" max="9" width="12.42578125" style="127" customWidth="1"/>
    <col min="10" max="10" width="12.42578125" style="2" customWidth="1"/>
    <col min="11" max="11" width="34.28515625" hidden="1" customWidth="1"/>
    <col min="12" max="12" width="11.5703125" hidden="1" customWidth="1"/>
  </cols>
  <sheetData>
    <row r="1" spans="1:11">
      <c r="A1" s="78">
        <v>2018</v>
      </c>
      <c r="C1" s="7" t="s">
        <v>633</v>
      </c>
      <c r="H1" s="127" t="s">
        <v>635</v>
      </c>
      <c r="J1" s="727">
        <f>2398.3*3</f>
        <v>7194.9000000000005</v>
      </c>
      <c r="K1" s="9"/>
    </row>
    <row r="2" spans="1:11">
      <c r="C2" s="728" t="s">
        <v>634</v>
      </c>
      <c r="J2" s="727"/>
      <c r="K2" s="9"/>
    </row>
    <row r="3" spans="1:11">
      <c r="C3" s="7" t="s">
        <v>631</v>
      </c>
      <c r="G3" s="11" t="s">
        <v>632</v>
      </c>
      <c r="H3" s="734" t="s">
        <v>636</v>
      </c>
      <c r="J3" s="10">
        <f>20*11.51</f>
        <v>230.2</v>
      </c>
      <c r="K3" s="9"/>
    </row>
    <row r="4" spans="1:11">
      <c r="C4" s="7" t="s">
        <v>189</v>
      </c>
      <c r="G4" s="11" t="s">
        <v>629</v>
      </c>
      <c r="H4" s="734" t="s">
        <v>637</v>
      </c>
      <c r="J4" s="10">
        <f>37*11.51</f>
        <v>425.87</v>
      </c>
      <c r="K4" s="9"/>
    </row>
    <row r="5" spans="1:11">
      <c r="C5" s="7" t="s">
        <v>639</v>
      </c>
      <c r="G5" s="11" t="s">
        <v>630</v>
      </c>
      <c r="H5" s="734" t="s">
        <v>638</v>
      </c>
      <c r="J5" s="10">
        <f>8*11.51</f>
        <v>92.08</v>
      </c>
      <c r="K5" s="9"/>
    </row>
    <row r="6" spans="1:11">
      <c r="D6" s="11"/>
      <c r="H6" s="734"/>
      <c r="I6" s="126"/>
      <c r="J6" s="10"/>
      <c r="K6" s="9"/>
    </row>
    <row r="7" spans="1:11">
      <c r="C7" s="7" t="s">
        <v>225</v>
      </c>
      <c r="G7" s="11"/>
      <c r="H7" s="734"/>
      <c r="I7" s="126"/>
      <c r="J7" s="117">
        <f>SUM(J1:J6)</f>
        <v>7943.05</v>
      </c>
      <c r="K7" s="9"/>
    </row>
    <row r="8" spans="1:11" ht="19.5" thickBot="1">
      <c r="K8" s="11"/>
    </row>
    <row r="9" spans="1:11" ht="30">
      <c r="A9" s="314" t="s">
        <v>411</v>
      </c>
      <c r="B9" s="314" t="s">
        <v>412</v>
      </c>
      <c r="C9" s="315" t="s">
        <v>0</v>
      </c>
      <c r="D9" s="337" t="s">
        <v>50</v>
      </c>
      <c r="E9" s="358" t="s">
        <v>410</v>
      </c>
      <c r="F9" s="316" t="s">
        <v>423</v>
      </c>
      <c r="G9" s="16" t="s">
        <v>53</v>
      </c>
      <c r="H9" s="184" t="s">
        <v>74</v>
      </c>
      <c r="I9" s="135" t="s">
        <v>1</v>
      </c>
      <c r="J9" s="19" t="s">
        <v>92</v>
      </c>
    </row>
    <row r="10" spans="1:11">
      <c r="A10" s="80" t="s">
        <v>536</v>
      </c>
      <c r="B10" s="416">
        <v>854434</v>
      </c>
      <c r="C10" s="77" t="s">
        <v>517</v>
      </c>
      <c r="D10" s="338" t="s">
        <v>427</v>
      </c>
      <c r="E10" s="362">
        <v>826148</v>
      </c>
      <c r="F10" s="237"/>
      <c r="G10" s="25">
        <v>2050</v>
      </c>
      <c r="H10" s="345">
        <v>2472</v>
      </c>
      <c r="I10" s="345">
        <f>(H10*32*0.02)*0.5</f>
        <v>791.04</v>
      </c>
      <c r="J10" s="24">
        <f t="shared" ref="J10:J22" si="0">I10</f>
        <v>791.04</v>
      </c>
      <c r="K10" t="s">
        <v>159</v>
      </c>
    </row>
    <row r="11" spans="1:11" ht="18" customHeight="1">
      <c r="A11" s="80" t="s">
        <v>536</v>
      </c>
      <c r="B11" s="416">
        <v>978398</v>
      </c>
      <c r="C11" s="71" t="s">
        <v>563</v>
      </c>
      <c r="D11" s="338" t="s">
        <v>436</v>
      </c>
      <c r="E11" s="360">
        <v>20418838</v>
      </c>
      <c r="F11" s="237"/>
      <c r="G11" s="22"/>
      <c r="H11" s="143">
        <v>187.52</v>
      </c>
      <c r="I11" s="143">
        <f>H11*0.08</f>
        <v>15.001600000000002</v>
      </c>
      <c r="J11" s="24">
        <f t="shared" si="0"/>
        <v>15.001600000000002</v>
      </c>
      <c r="K11" t="s">
        <v>161</v>
      </c>
    </row>
    <row r="12" spans="1:11" ht="18" customHeight="1">
      <c r="A12" s="80" t="s">
        <v>536</v>
      </c>
      <c r="B12" s="416">
        <v>978398</v>
      </c>
      <c r="C12" s="71" t="s">
        <v>563</v>
      </c>
      <c r="D12" s="338" t="s">
        <v>437</v>
      </c>
      <c r="E12" s="360">
        <v>20418838</v>
      </c>
      <c r="F12" s="237"/>
      <c r="G12" s="22"/>
      <c r="H12" s="143">
        <v>113.63</v>
      </c>
      <c r="I12" s="143">
        <f>H12*0.08</f>
        <v>9.0904000000000007</v>
      </c>
      <c r="J12" s="24">
        <f t="shared" si="0"/>
        <v>9.0904000000000007</v>
      </c>
    </row>
    <row r="13" spans="1:11" ht="18" customHeight="1">
      <c r="A13" s="80" t="s">
        <v>536</v>
      </c>
      <c r="B13" s="416">
        <v>978168</v>
      </c>
      <c r="C13" s="71" t="s">
        <v>564</v>
      </c>
      <c r="D13" s="338" t="s">
        <v>427</v>
      </c>
      <c r="E13" s="360">
        <v>827271</v>
      </c>
      <c r="F13" s="237"/>
      <c r="G13" s="22">
        <v>2030</v>
      </c>
      <c r="H13" s="143">
        <v>1200</v>
      </c>
      <c r="I13" s="345">
        <f>(H13*32*0.02)*0.5</f>
        <v>384</v>
      </c>
      <c r="J13" s="24">
        <f t="shared" si="0"/>
        <v>384</v>
      </c>
    </row>
    <row r="14" spans="1:11" ht="18" customHeight="1">
      <c r="A14" s="80" t="s">
        <v>536</v>
      </c>
      <c r="B14" s="416">
        <v>623386</v>
      </c>
      <c r="C14" s="71" t="s">
        <v>323</v>
      </c>
      <c r="D14" s="338" t="s">
        <v>438</v>
      </c>
      <c r="E14" s="360">
        <v>20367851</v>
      </c>
      <c r="F14" s="237"/>
      <c r="G14" s="22"/>
      <c r="H14" s="143">
        <v>392.26</v>
      </c>
      <c r="I14" s="143">
        <f>H14*0.08</f>
        <v>31.380800000000001</v>
      </c>
      <c r="J14" s="24">
        <f t="shared" si="0"/>
        <v>31.380800000000001</v>
      </c>
      <c r="K14" t="s">
        <v>147</v>
      </c>
    </row>
    <row r="15" spans="1:11" ht="18" customHeight="1">
      <c r="A15" s="80" t="s">
        <v>536</v>
      </c>
      <c r="B15" s="416">
        <v>842474</v>
      </c>
      <c r="C15" s="71" t="s">
        <v>565</v>
      </c>
      <c r="D15" s="338" t="s">
        <v>306</v>
      </c>
      <c r="E15" s="360">
        <v>61027126</v>
      </c>
      <c r="F15" s="237"/>
      <c r="G15" s="22"/>
      <c r="H15" s="143">
        <v>1754.76</v>
      </c>
      <c r="I15" s="141">
        <f>(H15/12*3.5)*0.5</f>
        <v>255.90249999999997</v>
      </c>
      <c r="J15" s="24">
        <f t="shared" si="0"/>
        <v>255.90249999999997</v>
      </c>
    </row>
    <row r="16" spans="1:11" ht="18" customHeight="1">
      <c r="A16" s="80" t="s">
        <v>536</v>
      </c>
      <c r="B16" s="416">
        <v>842474</v>
      </c>
      <c r="C16" s="71" t="s">
        <v>565</v>
      </c>
      <c r="D16" s="338" t="s">
        <v>435</v>
      </c>
      <c r="E16" s="360">
        <v>20424024</v>
      </c>
      <c r="F16" s="237"/>
      <c r="G16" s="22"/>
      <c r="H16" s="143">
        <v>1398.2</v>
      </c>
      <c r="I16" s="141">
        <f>800*0.05+598.2*0.065</f>
        <v>78.88300000000001</v>
      </c>
      <c r="J16" s="24">
        <f t="shared" si="0"/>
        <v>78.88300000000001</v>
      </c>
    </row>
    <row r="17" spans="1:12" ht="18" customHeight="1">
      <c r="A17" s="80" t="s">
        <v>536</v>
      </c>
      <c r="B17" s="416">
        <v>842474</v>
      </c>
      <c r="C17" s="71" t="s">
        <v>565</v>
      </c>
      <c r="D17" s="338" t="s">
        <v>435</v>
      </c>
      <c r="E17" s="360">
        <v>20424028</v>
      </c>
      <c r="F17" s="237"/>
      <c r="G17" s="22"/>
      <c r="H17" s="143">
        <v>1585.66</v>
      </c>
      <c r="I17" s="141">
        <f>800*0.05+785.66*0.065</f>
        <v>91.067900000000009</v>
      </c>
      <c r="J17" s="24">
        <f t="shared" si="0"/>
        <v>91.067900000000009</v>
      </c>
    </row>
    <row r="18" spans="1:12" ht="18" customHeight="1">
      <c r="A18" s="80" t="s">
        <v>536</v>
      </c>
      <c r="B18" s="416">
        <v>842474</v>
      </c>
      <c r="C18" s="71" t="s">
        <v>565</v>
      </c>
      <c r="D18" s="338" t="s">
        <v>436</v>
      </c>
      <c r="E18" s="325">
        <v>20424017</v>
      </c>
      <c r="F18" s="371"/>
      <c r="G18" s="22"/>
      <c r="H18" s="143">
        <v>513.64</v>
      </c>
      <c r="I18" s="143">
        <f>H18*0.08</f>
        <v>41.091200000000001</v>
      </c>
      <c r="J18" s="24">
        <f t="shared" si="0"/>
        <v>41.091200000000001</v>
      </c>
    </row>
    <row r="19" spans="1:12" ht="18" customHeight="1">
      <c r="A19" s="80" t="s">
        <v>536</v>
      </c>
      <c r="B19" s="416">
        <v>842474</v>
      </c>
      <c r="C19" s="71" t="s">
        <v>565</v>
      </c>
      <c r="D19" s="338" t="s">
        <v>437</v>
      </c>
      <c r="E19" s="325">
        <v>20424017</v>
      </c>
      <c r="F19" s="237"/>
      <c r="G19" s="22"/>
      <c r="H19" s="143">
        <v>113.94</v>
      </c>
      <c r="I19" s="143">
        <f>H19*0.08</f>
        <v>9.1151999999999997</v>
      </c>
      <c r="J19" s="24">
        <f t="shared" si="0"/>
        <v>9.1151999999999997</v>
      </c>
    </row>
    <row r="20" spans="1:12" ht="18" customHeight="1">
      <c r="A20" s="80" t="s">
        <v>536</v>
      </c>
      <c r="B20" s="416">
        <v>976301</v>
      </c>
      <c r="C20" s="71" t="s">
        <v>566</v>
      </c>
      <c r="D20" s="338" t="s">
        <v>306</v>
      </c>
      <c r="E20" s="360">
        <v>61027141</v>
      </c>
      <c r="F20" s="237"/>
      <c r="G20" s="22"/>
      <c r="H20" s="143">
        <v>771.72</v>
      </c>
      <c r="I20" s="141">
        <f>(H20/12*3.5)*0.5</f>
        <v>112.5425</v>
      </c>
      <c r="J20" s="24">
        <f t="shared" si="0"/>
        <v>112.5425</v>
      </c>
      <c r="K20" t="s">
        <v>155</v>
      </c>
    </row>
    <row r="21" spans="1:12" ht="18" customHeight="1">
      <c r="A21" s="80" t="s">
        <v>536</v>
      </c>
      <c r="B21" s="416">
        <v>971770</v>
      </c>
      <c r="C21" s="71" t="s">
        <v>567</v>
      </c>
      <c r="D21" s="338" t="s">
        <v>436</v>
      </c>
      <c r="E21" s="360">
        <v>20420105</v>
      </c>
      <c r="F21" s="237"/>
      <c r="G21" s="22"/>
      <c r="H21" s="143">
        <v>221.22</v>
      </c>
      <c r="I21" s="143">
        <f>H21*0.08</f>
        <v>17.697600000000001</v>
      </c>
      <c r="J21" s="24">
        <f t="shared" si="0"/>
        <v>17.697600000000001</v>
      </c>
    </row>
    <row r="22" spans="1:12" ht="18" customHeight="1" thickBot="1">
      <c r="A22" s="80"/>
      <c r="B22" s="80"/>
      <c r="C22" s="71"/>
      <c r="D22" s="338"/>
      <c r="E22" s="360"/>
      <c r="F22" s="237"/>
      <c r="G22" s="22"/>
      <c r="H22" s="143"/>
      <c r="I22" s="141"/>
      <c r="J22" s="24">
        <f t="shared" si="0"/>
        <v>0</v>
      </c>
    </row>
    <row r="23" spans="1:12" s="6" customFormat="1" ht="19.5" thickBot="1">
      <c r="A23" s="80"/>
      <c r="B23" s="80"/>
      <c r="C23" s="145" t="s">
        <v>296</v>
      </c>
      <c r="D23" s="339"/>
      <c r="E23" s="361"/>
      <c r="F23" s="318"/>
      <c r="G23" s="147"/>
      <c r="H23" s="735"/>
      <c r="I23" s="149"/>
      <c r="J23" s="151">
        <f>SUM(J10:J22)</f>
        <v>1836.8126999999999</v>
      </c>
      <c r="K23" t="s">
        <v>163</v>
      </c>
    </row>
    <row r="24" spans="1:12">
      <c r="A24" s="100" t="s">
        <v>569</v>
      </c>
      <c r="B24" s="420">
        <v>737308</v>
      </c>
      <c r="C24" s="70" t="s">
        <v>568</v>
      </c>
      <c r="D24" s="432" t="s">
        <v>306</v>
      </c>
      <c r="E24" s="358">
        <v>61027526</v>
      </c>
      <c r="F24" s="316"/>
      <c r="G24" s="16"/>
      <c r="H24" s="185">
        <v>4225.68</v>
      </c>
      <c r="I24" s="141">
        <f t="shared" ref="I24:I25" si="1">(H24/12*3.5)*0.5</f>
        <v>616.24500000000012</v>
      </c>
      <c r="J24" s="141">
        <f>I24</f>
        <v>616.24500000000012</v>
      </c>
      <c r="K24" s="5" t="s">
        <v>191</v>
      </c>
    </row>
    <row r="25" spans="1:12">
      <c r="A25" s="82" t="s">
        <v>569</v>
      </c>
      <c r="B25" s="416">
        <v>358748</v>
      </c>
      <c r="C25" s="71" t="s">
        <v>570</v>
      </c>
      <c r="D25" s="338" t="s">
        <v>306</v>
      </c>
      <c r="E25" s="360">
        <v>61027968</v>
      </c>
      <c r="F25" s="237"/>
      <c r="G25" s="22"/>
      <c r="H25" s="143">
        <v>709.99</v>
      </c>
      <c r="I25" s="141">
        <f t="shared" si="1"/>
        <v>103.54020833333333</v>
      </c>
      <c r="J25" s="141">
        <f t="shared" ref="J25:J42" si="2">I25</f>
        <v>103.54020833333333</v>
      </c>
      <c r="K25" s="5" t="s">
        <v>192</v>
      </c>
    </row>
    <row r="26" spans="1:12">
      <c r="A26" s="82" t="s">
        <v>569</v>
      </c>
      <c r="B26" s="426">
        <v>601423</v>
      </c>
      <c r="C26" s="71" t="s">
        <v>315</v>
      </c>
      <c r="D26" s="338" t="s">
        <v>427</v>
      </c>
      <c r="E26" s="360">
        <v>829800</v>
      </c>
      <c r="F26" s="237"/>
      <c r="G26" s="22">
        <v>2052</v>
      </c>
      <c r="H26" s="143">
        <v>1440</v>
      </c>
      <c r="I26" s="345">
        <f>(H26*34*0.02)*0.5</f>
        <v>489.6</v>
      </c>
      <c r="J26" s="141">
        <f t="shared" si="2"/>
        <v>489.6</v>
      </c>
      <c r="K26" s="75" t="s">
        <v>202</v>
      </c>
      <c r="L26" t="s">
        <v>446</v>
      </c>
    </row>
    <row r="27" spans="1:12" s="4" customFormat="1">
      <c r="A27" s="82" t="s">
        <v>569</v>
      </c>
      <c r="B27" s="416">
        <v>958444</v>
      </c>
      <c r="C27" s="71" t="s">
        <v>571</v>
      </c>
      <c r="D27" s="338" t="s">
        <v>435</v>
      </c>
      <c r="E27" s="360">
        <v>20422836</v>
      </c>
      <c r="F27" s="237"/>
      <c r="G27" s="22"/>
      <c r="H27" s="143">
        <v>1335.4</v>
      </c>
      <c r="I27" s="345">
        <f>800*0.05+535.4*0.065</f>
        <v>74.801000000000002</v>
      </c>
      <c r="J27" s="141">
        <f t="shared" si="2"/>
        <v>74.801000000000002</v>
      </c>
      <c r="K27" s="4" t="s">
        <v>203</v>
      </c>
    </row>
    <row r="28" spans="1:12" s="4" customFormat="1">
      <c r="A28" s="82" t="s">
        <v>569</v>
      </c>
      <c r="B28" s="416">
        <v>300245</v>
      </c>
      <c r="C28" s="71" t="s">
        <v>572</v>
      </c>
      <c r="D28" s="338" t="s">
        <v>435</v>
      </c>
      <c r="E28" s="362">
        <v>20422300</v>
      </c>
      <c r="F28" s="237"/>
      <c r="G28" s="25"/>
      <c r="H28" s="345">
        <v>1878.5</v>
      </c>
      <c r="I28" s="345">
        <f>800*0.05+1078.5*0.065</f>
        <v>110.10250000000001</v>
      </c>
      <c r="J28" s="141">
        <f t="shared" si="2"/>
        <v>110.10250000000001</v>
      </c>
      <c r="K28" s="75"/>
    </row>
    <row r="29" spans="1:12" s="4" customFormat="1">
      <c r="A29" s="82" t="s">
        <v>569</v>
      </c>
      <c r="B29" s="416">
        <v>834437</v>
      </c>
      <c r="C29" s="71" t="s">
        <v>14</v>
      </c>
      <c r="D29" s="338" t="s">
        <v>435</v>
      </c>
      <c r="E29" s="362">
        <v>20422980</v>
      </c>
      <c r="F29" s="237"/>
      <c r="G29" s="25"/>
      <c r="H29" s="345">
        <v>727.83</v>
      </c>
      <c r="I29" s="345">
        <f>H29*0.05</f>
        <v>36.391500000000001</v>
      </c>
      <c r="J29" s="141">
        <f t="shared" si="2"/>
        <v>36.391500000000001</v>
      </c>
      <c r="K29" s="75"/>
    </row>
    <row r="30" spans="1:12" s="4" customFormat="1">
      <c r="A30" s="82" t="s">
        <v>569</v>
      </c>
      <c r="B30" s="416">
        <v>905159</v>
      </c>
      <c r="C30" s="71" t="s">
        <v>573</v>
      </c>
      <c r="D30" s="338" t="s">
        <v>435</v>
      </c>
      <c r="E30" s="362">
        <v>20421457</v>
      </c>
      <c r="F30" s="237"/>
      <c r="G30" s="25"/>
      <c r="H30" s="345">
        <v>1331.17</v>
      </c>
      <c r="I30" s="345">
        <f>800*0.05+531.17*0.065</f>
        <v>74.526049999999998</v>
      </c>
      <c r="J30" s="141">
        <f t="shared" si="2"/>
        <v>74.526049999999998</v>
      </c>
      <c r="K30" t="s">
        <v>197</v>
      </c>
    </row>
    <row r="31" spans="1:12" s="4" customFormat="1">
      <c r="A31" s="82" t="s">
        <v>569</v>
      </c>
      <c r="B31" s="416">
        <v>964206</v>
      </c>
      <c r="C31" s="71" t="s">
        <v>462</v>
      </c>
      <c r="D31" s="338" t="s">
        <v>427</v>
      </c>
      <c r="E31" s="362">
        <v>830479</v>
      </c>
      <c r="F31" s="237"/>
      <c r="G31" s="25">
        <v>2032</v>
      </c>
      <c r="H31" s="143">
        <v>3192</v>
      </c>
      <c r="I31" s="345">
        <f>(H31*14*0.02)*0.5</f>
        <v>446.88</v>
      </c>
      <c r="J31" s="141">
        <f t="shared" si="2"/>
        <v>446.88</v>
      </c>
      <c r="K31" s="4" t="s">
        <v>177</v>
      </c>
    </row>
    <row r="32" spans="1:12" s="4" customFormat="1">
      <c r="A32" s="82" t="s">
        <v>569</v>
      </c>
      <c r="B32" s="416">
        <v>982792</v>
      </c>
      <c r="C32" s="71" t="s">
        <v>574</v>
      </c>
      <c r="D32" s="338" t="s">
        <v>427</v>
      </c>
      <c r="E32" s="360">
        <v>830586</v>
      </c>
      <c r="F32" s="237"/>
      <c r="G32" s="22">
        <v>2033</v>
      </c>
      <c r="H32" s="143">
        <v>3192</v>
      </c>
      <c r="I32" s="345">
        <f>(H32*15*0.02)*0.5</f>
        <v>478.8</v>
      </c>
      <c r="J32" s="141">
        <f t="shared" si="2"/>
        <v>478.8</v>
      </c>
    </row>
    <row r="33" spans="1:11" s="4" customFormat="1">
      <c r="A33" s="82" t="s">
        <v>569</v>
      </c>
      <c r="B33" s="416">
        <v>979486</v>
      </c>
      <c r="C33" s="71" t="s">
        <v>7</v>
      </c>
      <c r="D33" s="338" t="s">
        <v>436</v>
      </c>
      <c r="E33" s="362">
        <v>20423606</v>
      </c>
      <c r="F33" s="237"/>
      <c r="G33" s="25"/>
      <c r="H33" s="143">
        <v>157.66999999999999</v>
      </c>
      <c r="I33" s="345">
        <f>H33*0.08</f>
        <v>12.6136</v>
      </c>
      <c r="J33" s="141">
        <f t="shared" si="2"/>
        <v>12.6136</v>
      </c>
    </row>
    <row r="34" spans="1:11" s="4" customFormat="1">
      <c r="A34" s="82" t="s">
        <v>569</v>
      </c>
      <c r="B34" s="416">
        <v>979486</v>
      </c>
      <c r="C34" s="71" t="s">
        <v>7</v>
      </c>
      <c r="D34" s="338" t="s">
        <v>435</v>
      </c>
      <c r="E34" s="362">
        <v>20424590</v>
      </c>
      <c r="F34" s="237"/>
      <c r="G34" s="25"/>
      <c r="H34" s="143">
        <v>1723.64</v>
      </c>
      <c r="I34" s="345">
        <f>800*0.05+923.64*0.065</f>
        <v>100.03659999999999</v>
      </c>
      <c r="J34" s="141">
        <f t="shared" si="2"/>
        <v>100.03659999999999</v>
      </c>
    </row>
    <row r="35" spans="1:11" s="4" customFormat="1">
      <c r="A35" s="82" t="s">
        <v>569</v>
      </c>
      <c r="B35" s="416">
        <v>982848</v>
      </c>
      <c r="C35" s="71" t="s">
        <v>575</v>
      </c>
      <c r="D35" s="338" t="s">
        <v>435</v>
      </c>
      <c r="E35" s="362">
        <v>20424036</v>
      </c>
      <c r="F35" s="237"/>
      <c r="G35" s="25"/>
      <c r="H35" s="143">
        <v>1598.55</v>
      </c>
      <c r="I35" s="345">
        <f>800*0.05+798.55*0.065</f>
        <v>91.905749999999998</v>
      </c>
      <c r="J35" s="141">
        <f t="shared" si="2"/>
        <v>91.905749999999998</v>
      </c>
    </row>
    <row r="36" spans="1:11" s="4" customFormat="1">
      <c r="A36" s="82" t="s">
        <v>569</v>
      </c>
      <c r="B36" s="416">
        <v>983501</v>
      </c>
      <c r="C36" s="71" t="s">
        <v>576</v>
      </c>
      <c r="D36" s="338" t="s">
        <v>306</v>
      </c>
      <c r="E36" s="362">
        <v>61028039</v>
      </c>
      <c r="F36" s="237"/>
      <c r="G36" s="25"/>
      <c r="H36" s="143">
        <v>145.08000000000001</v>
      </c>
      <c r="I36" s="141">
        <f>(H36/12*3.5)*0.5</f>
        <v>21.157500000000002</v>
      </c>
      <c r="J36" s="141">
        <f t="shared" si="2"/>
        <v>21.157500000000002</v>
      </c>
    </row>
    <row r="37" spans="1:11" s="4" customFormat="1">
      <c r="A37" s="82" t="s">
        <v>569</v>
      </c>
      <c r="B37" s="416">
        <v>983501</v>
      </c>
      <c r="C37" s="71" t="s">
        <v>576</v>
      </c>
      <c r="D37" s="338" t="s">
        <v>433</v>
      </c>
      <c r="E37" s="362">
        <v>832208</v>
      </c>
      <c r="F37" s="237"/>
      <c r="G37" s="25"/>
      <c r="H37" s="143">
        <v>981</v>
      </c>
      <c r="I37" s="92">
        <f>(H37*0.075)*0.5</f>
        <v>36.787500000000001</v>
      </c>
      <c r="J37" s="141">
        <f t="shared" si="2"/>
        <v>36.787500000000001</v>
      </c>
    </row>
    <row r="38" spans="1:11" s="4" customFormat="1">
      <c r="A38" s="82" t="s">
        <v>569</v>
      </c>
      <c r="B38" s="416">
        <v>411055</v>
      </c>
      <c r="C38" s="71" t="s">
        <v>320</v>
      </c>
      <c r="D38" s="338" t="s">
        <v>435</v>
      </c>
      <c r="E38" s="362">
        <v>20425006</v>
      </c>
      <c r="F38" s="237"/>
      <c r="G38" s="25"/>
      <c r="H38" s="143">
        <v>2050.88</v>
      </c>
      <c r="I38" s="345">
        <f>800*0.05+1250.88*0.065</f>
        <v>121.30720000000001</v>
      </c>
      <c r="J38" s="141">
        <f t="shared" si="2"/>
        <v>121.30720000000001</v>
      </c>
    </row>
    <row r="39" spans="1:11" s="4" customFormat="1">
      <c r="A39" s="82" t="s">
        <v>569</v>
      </c>
      <c r="B39" s="416">
        <v>983074</v>
      </c>
      <c r="C39" s="71" t="s">
        <v>577</v>
      </c>
      <c r="D39" s="338" t="s">
        <v>435</v>
      </c>
      <c r="E39" s="362">
        <v>20424358</v>
      </c>
      <c r="F39" s="237"/>
      <c r="G39" s="25"/>
      <c r="H39" s="143">
        <v>1190.71</v>
      </c>
      <c r="I39" s="345">
        <f>800*0.05+390.71*0.065</f>
        <v>65.396150000000006</v>
      </c>
      <c r="J39" s="141">
        <f t="shared" si="2"/>
        <v>65.396150000000006</v>
      </c>
    </row>
    <row r="40" spans="1:11" s="4" customFormat="1">
      <c r="A40" s="82" t="s">
        <v>569</v>
      </c>
      <c r="B40" s="416">
        <v>259955</v>
      </c>
      <c r="C40" s="71" t="s">
        <v>508</v>
      </c>
      <c r="D40" s="338" t="s">
        <v>306</v>
      </c>
      <c r="E40" s="362">
        <v>61026528</v>
      </c>
      <c r="F40" s="237"/>
      <c r="G40" s="25"/>
      <c r="H40" s="143">
        <v>145.08000000000001</v>
      </c>
      <c r="I40" s="141">
        <f>(H40/12*3.5)*0.5</f>
        <v>21.157500000000002</v>
      </c>
      <c r="J40" s="141">
        <f t="shared" si="2"/>
        <v>21.157500000000002</v>
      </c>
    </row>
    <row r="41" spans="1:11" s="4" customFormat="1">
      <c r="A41" s="82" t="s">
        <v>569</v>
      </c>
      <c r="B41" s="416">
        <v>244454</v>
      </c>
      <c r="C41" s="71" t="s">
        <v>578</v>
      </c>
      <c r="D41" s="338" t="s">
        <v>437</v>
      </c>
      <c r="E41" s="362">
        <v>10793224</v>
      </c>
      <c r="F41" s="237"/>
      <c r="G41" s="25"/>
      <c r="H41" s="143">
        <v>177.11</v>
      </c>
      <c r="I41" s="345">
        <f>H41*0.08</f>
        <v>14.168800000000001</v>
      </c>
      <c r="J41" s="141">
        <f t="shared" si="2"/>
        <v>14.168800000000001</v>
      </c>
    </row>
    <row r="42" spans="1:11" s="4" customFormat="1">
      <c r="A42" s="80"/>
      <c r="B42" s="80"/>
      <c r="C42" s="71"/>
      <c r="D42" s="338"/>
      <c r="E42" s="362"/>
      <c r="F42" s="237"/>
      <c r="G42" s="25"/>
      <c r="H42" s="143"/>
      <c r="I42" s="345"/>
      <c r="J42" s="141">
        <f t="shared" si="2"/>
        <v>0</v>
      </c>
    </row>
    <row r="43" spans="1:11" ht="19.5" thickBot="1">
      <c r="A43" s="80"/>
      <c r="B43" s="80"/>
      <c r="C43" s="145" t="s">
        <v>281</v>
      </c>
      <c r="D43" s="339"/>
      <c r="E43" s="363"/>
      <c r="F43" s="318"/>
      <c r="G43" s="42"/>
      <c r="H43" s="158"/>
      <c r="I43" s="158"/>
      <c r="J43" s="44">
        <f>SUM(J24:J42)</f>
        <v>2915.416858333333</v>
      </c>
      <c r="K43" s="5" t="s">
        <v>214</v>
      </c>
    </row>
    <row r="44" spans="1:11">
      <c r="A44" s="100" t="s">
        <v>579</v>
      </c>
      <c r="B44" s="426">
        <v>985885</v>
      </c>
      <c r="C44" s="71" t="s">
        <v>580</v>
      </c>
      <c r="D44" s="432" t="s">
        <v>436</v>
      </c>
      <c r="E44" s="22">
        <v>20428375</v>
      </c>
      <c r="F44" s="237"/>
      <c r="G44" s="22"/>
      <c r="H44" s="143">
        <v>231.84</v>
      </c>
      <c r="I44" s="345">
        <f>H44*0.08</f>
        <v>18.5472</v>
      </c>
      <c r="J44" s="19">
        <f>I44</f>
        <v>18.5472</v>
      </c>
      <c r="K44" s="5"/>
    </row>
    <row r="45" spans="1:11" s="4" customFormat="1">
      <c r="A45" s="82" t="s">
        <v>579</v>
      </c>
      <c r="B45" s="416">
        <v>421848</v>
      </c>
      <c r="C45" s="71" t="s">
        <v>17</v>
      </c>
      <c r="D45" s="338" t="s">
        <v>427</v>
      </c>
      <c r="E45" s="360">
        <v>833001</v>
      </c>
      <c r="F45" s="319"/>
      <c r="G45" s="22">
        <v>2041</v>
      </c>
      <c r="H45" s="143">
        <v>1440</v>
      </c>
      <c r="I45" s="345">
        <f>(H45*23*0.02)*0.5</f>
        <v>331.2</v>
      </c>
      <c r="J45" s="24">
        <f t="shared" ref="J45:J56" si="3">I45</f>
        <v>331.2</v>
      </c>
      <c r="K45" s="5" t="s">
        <v>195</v>
      </c>
    </row>
    <row r="46" spans="1:11">
      <c r="A46" s="82" t="s">
        <v>579</v>
      </c>
      <c r="B46" s="416">
        <v>848696</v>
      </c>
      <c r="C46" s="71" t="s">
        <v>581</v>
      </c>
      <c r="D46" s="338" t="s">
        <v>306</v>
      </c>
      <c r="E46" s="362">
        <v>61028426</v>
      </c>
      <c r="F46" s="237"/>
      <c r="G46" s="25"/>
      <c r="H46" s="345">
        <v>1714.32</v>
      </c>
      <c r="I46" s="141">
        <f t="shared" ref="I46:I48" si="4">(H46/12*3.5)*0.5</f>
        <v>250.00499999999997</v>
      </c>
      <c r="J46" s="38">
        <f t="shared" si="3"/>
        <v>250.00499999999997</v>
      </c>
      <c r="K46" s="75" t="s">
        <v>199</v>
      </c>
    </row>
    <row r="47" spans="1:11">
      <c r="A47" s="82" t="s">
        <v>579</v>
      </c>
      <c r="B47" s="416">
        <v>848696</v>
      </c>
      <c r="C47" s="71" t="s">
        <v>582</v>
      </c>
      <c r="D47" s="338" t="s">
        <v>306</v>
      </c>
      <c r="E47" s="360">
        <v>61028425</v>
      </c>
      <c r="F47" s="237"/>
      <c r="G47" s="22"/>
      <c r="H47" s="143">
        <v>663.96</v>
      </c>
      <c r="I47" s="141">
        <f t="shared" si="4"/>
        <v>96.827500000000015</v>
      </c>
      <c r="J47" s="24">
        <f t="shared" si="3"/>
        <v>96.827500000000015</v>
      </c>
      <c r="K47" s="75" t="s">
        <v>200</v>
      </c>
    </row>
    <row r="48" spans="1:11" s="6" customFormat="1">
      <c r="A48" s="82" t="s">
        <v>579</v>
      </c>
      <c r="B48" s="416">
        <v>303417</v>
      </c>
      <c r="C48" s="71" t="s">
        <v>583</v>
      </c>
      <c r="D48" s="338" t="s">
        <v>306</v>
      </c>
      <c r="E48" s="364">
        <v>61030807</v>
      </c>
      <c r="F48" s="237"/>
      <c r="G48" s="22"/>
      <c r="H48" s="143">
        <v>722.19</v>
      </c>
      <c r="I48" s="141">
        <f t="shared" si="4"/>
        <v>105.31937500000001</v>
      </c>
      <c r="J48" s="24">
        <f t="shared" si="3"/>
        <v>105.31937500000001</v>
      </c>
      <c r="K48" s="75"/>
    </row>
    <row r="49" spans="1:12" s="6" customFormat="1">
      <c r="A49" s="82" t="s">
        <v>579</v>
      </c>
      <c r="B49" s="416">
        <v>690539</v>
      </c>
      <c r="C49" s="71" t="s">
        <v>584</v>
      </c>
      <c r="D49" s="338" t="s">
        <v>427</v>
      </c>
      <c r="E49" s="364">
        <v>612482</v>
      </c>
      <c r="F49" s="237"/>
      <c r="G49" s="28">
        <v>2028</v>
      </c>
      <c r="H49" s="346">
        <v>600</v>
      </c>
      <c r="I49" s="345">
        <f>(H49*10*0.02)*0.5</f>
        <v>60</v>
      </c>
      <c r="J49" s="30">
        <f t="shared" si="3"/>
        <v>60</v>
      </c>
      <c r="K49"/>
    </row>
    <row r="50" spans="1:12">
      <c r="A50" s="82" t="s">
        <v>579</v>
      </c>
      <c r="B50" s="416">
        <v>690541</v>
      </c>
      <c r="C50" s="71" t="s">
        <v>585</v>
      </c>
      <c r="D50" s="338" t="s">
        <v>427</v>
      </c>
      <c r="E50" s="360">
        <v>832343</v>
      </c>
      <c r="F50" s="237"/>
      <c r="G50" s="22">
        <v>2029</v>
      </c>
      <c r="H50" s="143">
        <v>600</v>
      </c>
      <c r="I50" s="345">
        <f>(H50*11*0.02)*0.5</f>
        <v>66</v>
      </c>
      <c r="J50" s="24">
        <f t="shared" si="3"/>
        <v>66</v>
      </c>
      <c r="K50" s="5" t="s">
        <v>211</v>
      </c>
    </row>
    <row r="51" spans="1:12" s="3" customFormat="1">
      <c r="A51" s="82" t="s">
        <v>579</v>
      </c>
      <c r="B51" s="416">
        <v>987828</v>
      </c>
      <c r="C51" s="77" t="s">
        <v>586</v>
      </c>
      <c r="D51" s="338" t="s">
        <v>435</v>
      </c>
      <c r="E51" s="362">
        <v>20430265</v>
      </c>
      <c r="F51" s="237"/>
      <c r="G51" s="32"/>
      <c r="H51" s="345">
        <v>1042.55</v>
      </c>
      <c r="I51" s="345">
        <f>800*0.05+242.55*0.065</f>
        <v>55.765749999999997</v>
      </c>
      <c r="J51" s="352">
        <f t="shared" si="3"/>
        <v>55.765749999999997</v>
      </c>
      <c r="K51" s="4" t="s">
        <v>205</v>
      </c>
    </row>
    <row r="52" spans="1:12" s="3" customFormat="1">
      <c r="A52" s="82" t="s">
        <v>579</v>
      </c>
      <c r="B52" s="416">
        <v>789065</v>
      </c>
      <c r="C52" s="77" t="s">
        <v>405</v>
      </c>
      <c r="D52" s="338" t="s">
        <v>435</v>
      </c>
      <c r="E52" s="362">
        <v>20430600</v>
      </c>
      <c r="F52" s="237"/>
      <c r="G52" s="32"/>
      <c r="H52" s="345">
        <v>899.92</v>
      </c>
      <c r="I52" s="345">
        <f>800*0.05+99.92*0.065</f>
        <v>46.494799999999998</v>
      </c>
      <c r="J52" s="352">
        <f t="shared" si="3"/>
        <v>46.494799999999998</v>
      </c>
      <c r="K52" s="4"/>
    </row>
    <row r="53" spans="1:12" s="4" customFormat="1">
      <c r="A53" s="82" t="s">
        <v>579</v>
      </c>
      <c r="B53" s="416">
        <v>606245</v>
      </c>
      <c r="C53" s="74" t="s">
        <v>587</v>
      </c>
      <c r="D53" s="338" t="s">
        <v>437</v>
      </c>
      <c r="E53" s="362">
        <v>20370530</v>
      </c>
      <c r="F53" s="237"/>
      <c r="G53" s="25"/>
      <c r="H53" s="345">
        <v>273.93</v>
      </c>
      <c r="I53" s="345">
        <f>H53*0.08</f>
        <v>21.914400000000001</v>
      </c>
      <c r="J53" s="38">
        <f t="shared" si="3"/>
        <v>21.914400000000001</v>
      </c>
      <c r="K53" s="5" t="s">
        <v>206</v>
      </c>
      <c r="L53" s="3"/>
    </row>
    <row r="54" spans="1:12">
      <c r="A54" s="82" t="s">
        <v>579</v>
      </c>
      <c r="B54" s="416">
        <v>723984</v>
      </c>
      <c r="C54" s="74" t="s">
        <v>588</v>
      </c>
      <c r="D54" s="338" t="s">
        <v>427</v>
      </c>
      <c r="E54" s="362">
        <v>833790</v>
      </c>
      <c r="F54" s="237"/>
      <c r="G54" s="25">
        <v>2049</v>
      </c>
      <c r="H54" s="345">
        <v>600</v>
      </c>
      <c r="I54" s="345">
        <f>(H54*31*0.02)*0.5</f>
        <v>186</v>
      </c>
      <c r="J54" s="38">
        <f t="shared" si="3"/>
        <v>186</v>
      </c>
      <c r="K54" s="5" t="s">
        <v>207</v>
      </c>
    </row>
    <row r="55" spans="1:12">
      <c r="A55" s="82" t="s">
        <v>579</v>
      </c>
      <c r="B55" s="416">
        <v>770045</v>
      </c>
      <c r="C55" s="77" t="s">
        <v>589</v>
      </c>
      <c r="D55" s="338" t="s">
        <v>435</v>
      </c>
      <c r="E55" s="362">
        <v>20431613</v>
      </c>
      <c r="F55" s="237"/>
      <c r="G55" s="25"/>
      <c r="H55" s="345">
        <v>160</v>
      </c>
      <c r="I55" s="345">
        <f>160*0.05</f>
        <v>8</v>
      </c>
      <c r="J55" s="38">
        <f t="shared" si="3"/>
        <v>8</v>
      </c>
      <c r="K55" s="5"/>
    </row>
    <row r="56" spans="1:12">
      <c r="A56" s="82" t="s">
        <v>579</v>
      </c>
      <c r="B56" s="416">
        <v>437578</v>
      </c>
      <c r="C56" s="77" t="s">
        <v>590</v>
      </c>
      <c r="D56" s="338" t="s">
        <v>436</v>
      </c>
      <c r="E56" s="362">
        <v>20431794</v>
      </c>
      <c r="F56" s="237"/>
      <c r="G56" s="25"/>
      <c r="H56" s="345">
        <v>68.52</v>
      </c>
      <c r="I56" s="345">
        <f>H56*0.08</f>
        <v>5.4815999999999994</v>
      </c>
      <c r="J56" s="38">
        <f t="shared" si="3"/>
        <v>5.4815999999999994</v>
      </c>
      <c r="K56" s="5"/>
    </row>
    <row r="57" spans="1:12">
      <c r="A57" s="80"/>
      <c r="B57" s="80"/>
      <c r="C57" s="77"/>
      <c r="D57" s="338"/>
      <c r="E57" s="362"/>
      <c r="F57" s="237"/>
      <c r="G57" s="25"/>
      <c r="H57" s="345"/>
      <c r="I57" s="345"/>
      <c r="J57" s="38"/>
      <c r="K57" s="5"/>
    </row>
    <row r="58" spans="1:12">
      <c r="A58" s="80"/>
      <c r="B58" s="80"/>
      <c r="C58" s="77"/>
      <c r="D58" s="338"/>
      <c r="E58" s="362"/>
      <c r="F58" s="237"/>
      <c r="G58" s="25"/>
      <c r="H58" s="345"/>
      <c r="I58" s="345"/>
      <c r="J58" s="38"/>
      <c r="K58" s="5"/>
    </row>
    <row r="59" spans="1:12">
      <c r="A59" s="80"/>
      <c r="B59" s="80"/>
      <c r="C59" s="77"/>
      <c r="D59" s="338"/>
      <c r="E59" s="362"/>
      <c r="F59" s="237"/>
      <c r="G59" s="25"/>
      <c r="H59" s="345"/>
      <c r="I59" s="345"/>
      <c r="J59" s="38"/>
      <c r="K59" s="5"/>
    </row>
    <row r="60" spans="1:12">
      <c r="A60" s="80"/>
      <c r="B60" s="80"/>
      <c r="C60" s="77"/>
      <c r="D60" s="338"/>
      <c r="E60" s="362"/>
      <c r="F60" s="237"/>
      <c r="G60" s="25"/>
      <c r="H60" s="345"/>
      <c r="I60" s="345"/>
      <c r="J60" s="38"/>
      <c r="K60" s="5"/>
    </row>
    <row r="61" spans="1:12">
      <c r="A61" s="80"/>
      <c r="B61" s="80"/>
      <c r="C61" s="77"/>
      <c r="D61" s="338"/>
      <c r="E61" s="362"/>
      <c r="F61" s="237"/>
      <c r="G61" s="25"/>
      <c r="H61" s="345"/>
      <c r="I61" s="345"/>
      <c r="J61" s="38"/>
      <c r="K61" s="5"/>
    </row>
    <row r="62" spans="1:12">
      <c r="A62" s="80"/>
      <c r="B62" s="80"/>
      <c r="C62" s="77"/>
      <c r="D62" s="338"/>
      <c r="E62" s="362"/>
      <c r="F62" s="237"/>
      <c r="G62" s="25"/>
      <c r="H62" s="345"/>
      <c r="I62" s="345"/>
      <c r="J62" s="38"/>
      <c r="K62" s="5"/>
    </row>
    <row r="63" spans="1:12">
      <c r="A63" s="80"/>
      <c r="B63" s="80"/>
      <c r="C63" s="77"/>
      <c r="D63" s="338"/>
      <c r="E63" s="362"/>
      <c r="F63" s="237"/>
      <c r="G63" s="25"/>
      <c r="H63" s="345"/>
      <c r="I63" s="345"/>
      <c r="J63" s="38"/>
      <c r="K63" s="5"/>
    </row>
    <row r="64" spans="1:12">
      <c r="A64" s="80"/>
      <c r="B64" s="80"/>
      <c r="C64" s="77"/>
      <c r="D64" s="338"/>
      <c r="E64" s="362"/>
      <c r="F64" s="237"/>
      <c r="G64" s="25"/>
      <c r="H64" s="345"/>
      <c r="I64" s="345"/>
      <c r="J64" s="38"/>
      <c r="K64" s="5"/>
    </row>
    <row r="65" spans="1:11">
      <c r="A65" s="80"/>
      <c r="B65" s="80"/>
      <c r="C65" s="77"/>
      <c r="D65" s="338"/>
      <c r="E65" s="362"/>
      <c r="F65" s="237"/>
      <c r="G65" s="25"/>
      <c r="H65" s="345"/>
      <c r="I65" s="345"/>
      <c r="J65" s="38"/>
      <c r="K65" s="5"/>
    </row>
    <row r="66" spans="1:11" ht="19.5" thickBot="1">
      <c r="A66" s="103"/>
      <c r="B66" s="469"/>
      <c r="C66" s="172" t="s">
        <v>281</v>
      </c>
      <c r="D66" s="339"/>
      <c r="E66" s="365"/>
      <c r="F66" s="318"/>
      <c r="G66" s="166"/>
      <c r="H66" s="347"/>
      <c r="I66" s="347"/>
      <c r="J66" s="169">
        <f>SUM(J44:J65)</f>
        <v>1251.555625</v>
      </c>
      <c r="K66" s="5"/>
    </row>
    <row r="67" spans="1:11" ht="19.5" thickBot="1">
      <c r="A67" s="189"/>
      <c r="B67" s="189"/>
      <c r="C67" s="431"/>
      <c r="D67" s="729"/>
      <c r="E67" s="489"/>
      <c r="F67" s="730"/>
      <c r="G67" s="731"/>
      <c r="H67" s="732"/>
      <c r="I67" s="732"/>
      <c r="J67" s="733"/>
      <c r="K67" s="5"/>
    </row>
    <row r="68" spans="1:11" ht="19.5" thickBot="1">
      <c r="A68" s="83"/>
      <c r="B68" s="190"/>
      <c r="C68" s="173" t="s">
        <v>282</v>
      </c>
      <c r="D68" s="342"/>
      <c r="E68" s="367"/>
      <c r="F68" s="321"/>
      <c r="G68" s="119"/>
      <c r="H68" s="349"/>
      <c r="I68" s="354"/>
      <c r="J68" s="120">
        <f>SUM(J23,J43,J66)</f>
        <v>6003.7851833333325</v>
      </c>
      <c r="K68" s="5"/>
    </row>
    <row r="69" spans="1:11">
      <c r="A69" s="83"/>
      <c r="B69" s="83"/>
      <c r="C69" s="109"/>
      <c r="D69" s="343"/>
      <c r="E69" s="368"/>
      <c r="F69" s="322"/>
      <c r="G69" s="110"/>
      <c r="H69" s="350"/>
      <c r="I69" s="329"/>
      <c r="J69" s="115"/>
      <c r="K69" s="5"/>
    </row>
    <row r="70" spans="1:11">
      <c r="A70" s="83"/>
      <c r="B70" s="83"/>
      <c r="C70" s="109" t="s">
        <v>226</v>
      </c>
      <c r="D70" s="343"/>
      <c r="E70" s="368"/>
      <c r="F70" s="322"/>
      <c r="G70" s="110"/>
      <c r="H70" s="350"/>
      <c r="I70" s="329"/>
      <c r="J70" s="115">
        <f>J7</f>
        <v>7943.05</v>
      </c>
      <c r="K70" s="5"/>
    </row>
    <row r="71" spans="1:11">
      <c r="A71" s="83"/>
      <c r="B71" s="83"/>
      <c r="C71" s="109" t="s">
        <v>224</v>
      </c>
      <c r="D71" s="343"/>
      <c r="E71" s="368"/>
      <c r="F71" s="322"/>
      <c r="G71" s="110"/>
      <c r="H71" s="350"/>
      <c r="I71" s="329"/>
      <c r="J71" s="115">
        <f>SUM(J68:J70)</f>
        <v>13946.835183333333</v>
      </c>
      <c r="K71" s="5"/>
    </row>
    <row r="72" spans="1:11" s="67" customFormat="1" ht="19.5" thickBot="1">
      <c r="A72" s="83"/>
      <c r="B72" s="83"/>
      <c r="C72" s="104" t="s">
        <v>227</v>
      </c>
      <c r="D72" s="339"/>
      <c r="E72" s="363"/>
      <c r="F72" s="318"/>
      <c r="G72" s="42"/>
      <c r="H72" s="351"/>
      <c r="I72" s="355"/>
      <c r="J72" s="24">
        <f>J71/3</f>
        <v>4648.9450611111106</v>
      </c>
    </row>
    <row r="73" spans="1:11" s="63" customFormat="1">
      <c r="A73" s="83"/>
      <c r="B73" s="83"/>
      <c r="C73" s="64"/>
      <c r="D73" s="344"/>
      <c r="E73" s="369"/>
      <c r="F73" s="323"/>
      <c r="G73" s="356"/>
      <c r="H73" s="129"/>
      <c r="I73" s="139"/>
      <c r="J73" s="68"/>
    </row>
    <row r="74" spans="1:11" s="63" customFormat="1">
      <c r="A74" s="83"/>
      <c r="B74" s="83"/>
      <c r="C74" s="64"/>
      <c r="D74" s="344"/>
      <c r="E74" s="369"/>
      <c r="F74" s="323"/>
      <c r="G74" s="356"/>
      <c r="H74" s="129"/>
      <c r="I74" s="129"/>
      <c r="J74" s="66"/>
    </row>
    <row r="75" spans="1:11" s="63" customFormat="1">
      <c r="A75" s="83"/>
      <c r="B75" s="83"/>
      <c r="C75" s="64"/>
      <c r="D75" s="344"/>
      <c r="E75" s="369"/>
      <c r="F75" s="323"/>
      <c r="G75" s="356"/>
      <c r="H75" s="129"/>
      <c r="I75" s="129"/>
      <c r="J75" s="66"/>
    </row>
    <row r="76" spans="1:11" s="63" customFormat="1">
      <c r="A76" s="83"/>
      <c r="B76" s="83"/>
      <c r="C76" s="64"/>
      <c r="D76" s="344"/>
      <c r="E76" s="369"/>
      <c r="F76" s="323"/>
      <c r="G76" s="356"/>
      <c r="H76" s="129"/>
      <c r="I76" s="129"/>
      <c r="J76" s="66"/>
    </row>
    <row r="77" spans="1:11">
      <c r="C77" s="64"/>
      <c r="D77" s="344"/>
      <c r="E77" s="369"/>
      <c r="F77" s="323"/>
      <c r="G77" s="356"/>
      <c r="H77" s="129"/>
      <c r="I77" s="129"/>
      <c r="J77" s="66"/>
    </row>
  </sheetData>
  <dataValidations count="4">
    <dataValidation type="list" allowBlank="1" showInputMessage="1" showErrorMessage="1" prompt="Liste choix" sqref="C77">
      <formula1>"REEBOU FAMILY,MOBILE 2016,PACK REEBOU FAMILY,MEDICIS,HORIZONT INVEST,RC ENSEIGNANT"</formula1>
    </dataValidation>
    <dataValidation type="list" allowBlank="1" showInputMessage="1" showErrorMessage="1" prompt="Liste choix" sqref="D29:D56 D10:D27">
      <formula1>"MOBILE2016,MOBILE Regio,REEBOU Family,REEBOUImmo,REEBOU Pack,REEBOU Pro,REEBOU Invest,LOGGIA,MEDICIS,RC,RC ENSEIGNANT,ZENITH60 Op100,ZENITH60 Op25,HORIZONT60Invest,HORIZONT60Protect,HORIZONT60Capi,HELIOS100Protect,HELIOS100Invest,FOCUS,NOVA,BSH"</formula1>
    </dataValidation>
    <dataValidation type="list" allowBlank="1" showInputMessage="1" showErrorMessage="1" prompt="Liste choix" sqref="D57:D66">
      <formula1>"MOBILE2016,MOBILE Regio,REEBOU Family,REEBOUImmo,REEBOU Pack,REEBOU Pro,REEBOU Invest,LOGGIA,MEDICIS,RC,RC ENSEIGNT,ZENITH60 Op100,ZENITH60 Op25,HORIZONT60Inv,HORIZONT60Prot,HORIZONT60Capi,HELIOS100Prot,HELIOS100Inv,FOCUS,NOVA,BSH,EA,TSRD"</formula1>
    </dataValidation>
    <dataValidation type="list" allowBlank="1" showInputMessage="1" showErrorMessage="1" prompt="Liste choix" sqref="D28">
      <formula1>"MOBILE2016,MOBILE Regio,REEBOU Family,REEBOUImmo,REEBOU Pack,REEBOU Pro,REEBOU Invest,LOGGIA,MEDICIS,RC,RC ENSEIGNANT,ZENITH60 Op100,ZENITH60 Op25,HORIZONT60Invest,HORIZONT60Protect,HORIZONT60Capi,HELIOS100Protect,HELIOS100Invest,FOCUS,NOVA,BSH,MOBILE CR"</formula1>
    </dataValidation>
  </dataValidations>
  <printOptions horizontalCentered="1" verticalCentered="1" gridLines="1"/>
  <pageMargins left="0.23622047244094491" right="0.23622047244094491" top="0.15748031496062992" bottom="0.19685039370078741" header="0.31496062992125984" footer="0.11811023622047245"/>
  <pageSetup paperSize="9" scale="85" orientation="landscape" r:id="rId1"/>
  <headerFooter>
    <oddHeader xml:space="preserve">&amp;C&amp;"-,Gras"&amp;14COMMISSION JEFF DERAPPE 1erTRIMESTRE 2018
</oddHeader>
    <oddFooter xml:space="preserve">&amp;L&amp;8&amp;Z&amp;F&amp;C&amp;7&amp;P/&amp;N&amp;RModfié le &amp;D </oddFooter>
  </headerFooter>
  <rowBreaks count="2" manualBreakCount="2">
    <brk id="23" max="9" man="1"/>
    <brk id="43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L99"/>
  <sheetViews>
    <sheetView tabSelected="1" topLeftCell="A6" zoomScaleNormal="100" workbookViewId="0">
      <selection activeCell="I38" sqref="I38"/>
    </sheetView>
    <sheetView workbookViewId="1"/>
    <sheetView workbookViewId="2"/>
  </sheetViews>
  <sheetFormatPr baseColWidth="10" defaultRowHeight="18.75"/>
  <cols>
    <col min="1" max="1" width="11.42578125" style="78" customWidth="1"/>
    <col min="2" max="2" width="17.42578125" style="78" customWidth="1"/>
    <col min="3" max="3" width="28" style="7" customWidth="1"/>
    <col min="4" max="4" width="21.7109375" style="336" customWidth="1"/>
    <col min="5" max="5" width="24.7109375" style="357" customWidth="1"/>
    <col min="6" max="6" width="3.7109375" style="212" customWidth="1"/>
    <col min="7" max="7" width="10.5703125" style="1" customWidth="1"/>
    <col min="8" max="8" width="13.28515625" style="127" customWidth="1"/>
    <col min="9" max="9" width="12.42578125" style="127" customWidth="1"/>
    <col min="10" max="10" width="12.42578125" style="2" customWidth="1"/>
    <col min="11" max="11" width="34.28515625" hidden="1" customWidth="1"/>
    <col min="12" max="12" width="11.5703125" hidden="1" customWidth="1"/>
  </cols>
  <sheetData>
    <row r="1" spans="1:11">
      <c r="A1" s="78">
        <v>2018</v>
      </c>
      <c r="C1" s="7" t="s">
        <v>633</v>
      </c>
      <c r="H1" s="127" t="s">
        <v>635</v>
      </c>
      <c r="J1" s="727">
        <f>2398.3*3</f>
        <v>7194.9000000000005</v>
      </c>
      <c r="K1" s="9"/>
    </row>
    <row r="2" spans="1:11">
      <c r="C2" s="728" t="s">
        <v>634</v>
      </c>
      <c r="J2" s="727"/>
      <c r="K2" s="9"/>
    </row>
    <row r="3" spans="1:11">
      <c r="C3" s="7" t="s">
        <v>631</v>
      </c>
      <c r="G3" s="11" t="s">
        <v>642</v>
      </c>
      <c r="H3" s="734" t="s">
        <v>644</v>
      </c>
      <c r="J3" s="10">
        <f>20*11.51</f>
        <v>230.2</v>
      </c>
      <c r="K3" s="9"/>
    </row>
    <row r="4" spans="1:11">
      <c r="C4" s="7" t="s">
        <v>189</v>
      </c>
      <c r="G4" s="11" t="s">
        <v>642</v>
      </c>
      <c r="H4" s="734" t="s">
        <v>644</v>
      </c>
      <c r="J4" s="10">
        <f>37*11.51</f>
        <v>425.87</v>
      </c>
      <c r="K4" s="9"/>
    </row>
    <row r="5" spans="1:11">
      <c r="C5" s="7" t="s">
        <v>639</v>
      </c>
      <c r="G5" s="11" t="s">
        <v>643</v>
      </c>
      <c r="H5" s="734" t="s">
        <v>644</v>
      </c>
      <c r="J5" s="10">
        <f>8*11.51</f>
        <v>92.08</v>
      </c>
      <c r="K5" s="9"/>
    </row>
    <row r="6" spans="1:11">
      <c r="D6" s="11"/>
      <c r="H6" s="734"/>
      <c r="I6" s="126"/>
      <c r="J6" s="10"/>
      <c r="K6" s="9"/>
    </row>
    <row r="7" spans="1:11">
      <c r="C7" s="7" t="s">
        <v>225</v>
      </c>
      <c r="G7" s="11"/>
      <c r="H7" s="734"/>
      <c r="I7" s="126"/>
      <c r="J7" s="117">
        <f>SUM(J1:J6)</f>
        <v>7943.05</v>
      </c>
      <c r="K7" s="9"/>
    </row>
    <row r="8" spans="1:11" ht="19.5" thickBot="1">
      <c r="K8" s="11"/>
    </row>
    <row r="9" spans="1:11" ht="30">
      <c r="A9" s="314" t="s">
        <v>411</v>
      </c>
      <c r="B9" s="314" t="s">
        <v>412</v>
      </c>
      <c r="C9" s="315" t="s">
        <v>0</v>
      </c>
      <c r="D9" s="337" t="s">
        <v>50</v>
      </c>
      <c r="E9" s="358" t="s">
        <v>410</v>
      </c>
      <c r="F9" s="316" t="s">
        <v>423</v>
      </c>
      <c r="G9" s="16" t="s">
        <v>53</v>
      </c>
      <c r="H9" s="184" t="s">
        <v>74</v>
      </c>
      <c r="I9" s="135" t="s">
        <v>1</v>
      </c>
      <c r="J9" s="19" t="s">
        <v>92</v>
      </c>
    </row>
    <row r="10" spans="1:11" hidden="1">
      <c r="A10" s="81"/>
      <c r="B10" s="81" t="s">
        <v>426</v>
      </c>
      <c r="C10" s="326" t="s">
        <v>434</v>
      </c>
      <c r="D10" s="334" t="s">
        <v>435</v>
      </c>
      <c r="E10" s="359" t="s">
        <v>425</v>
      </c>
      <c r="F10" s="327"/>
      <c r="G10" s="22"/>
      <c r="H10" s="143">
        <v>100</v>
      </c>
      <c r="I10" s="143"/>
      <c r="J10" s="330">
        <f>I10</f>
        <v>0</v>
      </c>
    </row>
    <row r="11" spans="1:11" hidden="1">
      <c r="A11" s="81"/>
      <c r="B11" s="81" t="s">
        <v>426</v>
      </c>
      <c r="C11" s="326" t="s">
        <v>434</v>
      </c>
      <c r="D11" s="334" t="s">
        <v>441</v>
      </c>
      <c r="E11" s="359" t="s">
        <v>425</v>
      </c>
      <c r="F11" s="327"/>
      <c r="G11" s="22"/>
      <c r="H11" s="143">
        <v>100</v>
      </c>
      <c r="I11" s="143"/>
      <c r="J11" s="330">
        <f t="shared" ref="J11:J29" si="0">I11</f>
        <v>0</v>
      </c>
    </row>
    <row r="12" spans="1:11" hidden="1">
      <c r="A12" s="81"/>
      <c r="B12" s="81" t="s">
        <v>426</v>
      </c>
      <c r="C12" s="326" t="s">
        <v>434</v>
      </c>
      <c r="D12" s="334" t="s">
        <v>436</v>
      </c>
      <c r="E12" s="359" t="s">
        <v>425</v>
      </c>
      <c r="F12" s="327"/>
      <c r="G12" s="22"/>
      <c r="H12" s="143">
        <v>100</v>
      </c>
      <c r="I12" s="143">
        <f>H12*0.12</f>
        <v>12</v>
      </c>
      <c r="J12" s="330">
        <f t="shared" si="0"/>
        <v>12</v>
      </c>
    </row>
    <row r="13" spans="1:11" hidden="1">
      <c r="A13" s="81"/>
      <c r="B13" s="81" t="s">
        <v>426</v>
      </c>
      <c r="C13" s="326" t="s">
        <v>426</v>
      </c>
      <c r="D13" s="334" t="s">
        <v>437</v>
      </c>
      <c r="E13" s="359" t="s">
        <v>425</v>
      </c>
      <c r="F13" s="327"/>
      <c r="G13" s="22"/>
      <c r="H13" s="143">
        <v>100</v>
      </c>
      <c r="I13" s="143">
        <f>H13*0.15</f>
        <v>15</v>
      </c>
      <c r="J13" s="330">
        <f t="shared" si="0"/>
        <v>15</v>
      </c>
    </row>
    <row r="14" spans="1:11" hidden="1">
      <c r="A14" s="81"/>
      <c r="B14" s="81" t="s">
        <v>426</v>
      </c>
      <c r="C14" s="326" t="s">
        <v>426</v>
      </c>
      <c r="D14" s="334" t="s">
        <v>438</v>
      </c>
      <c r="E14" s="359" t="s">
        <v>425</v>
      </c>
      <c r="F14" s="327"/>
      <c r="G14" s="22"/>
      <c r="H14" s="143">
        <v>100</v>
      </c>
      <c r="I14" s="143">
        <f>H14*0.12</f>
        <v>12</v>
      </c>
      <c r="J14" s="330">
        <f t="shared" si="0"/>
        <v>12</v>
      </c>
    </row>
    <row r="15" spans="1:11" hidden="1">
      <c r="A15" s="81"/>
      <c r="B15" s="81" t="s">
        <v>426</v>
      </c>
      <c r="C15" s="326" t="s">
        <v>426</v>
      </c>
      <c r="D15" s="334" t="s">
        <v>439</v>
      </c>
      <c r="E15" s="359" t="s">
        <v>425</v>
      </c>
      <c r="F15" s="327"/>
      <c r="G15" s="22"/>
      <c r="H15" s="143">
        <v>100</v>
      </c>
      <c r="I15" s="143">
        <f>H15*0.12</f>
        <v>12</v>
      </c>
      <c r="J15" s="330">
        <f t="shared" si="0"/>
        <v>12</v>
      </c>
    </row>
    <row r="16" spans="1:11" hidden="1">
      <c r="A16" s="81"/>
      <c r="B16" s="81" t="s">
        <v>426</v>
      </c>
      <c r="C16" s="326" t="s">
        <v>426</v>
      </c>
      <c r="D16" s="334" t="s">
        <v>183</v>
      </c>
      <c r="E16" s="359" t="s">
        <v>425</v>
      </c>
      <c r="F16" s="327"/>
      <c r="G16" s="22"/>
      <c r="H16" s="143">
        <v>100</v>
      </c>
      <c r="I16" s="143">
        <f>H16*0.12</f>
        <v>12</v>
      </c>
      <c r="J16" s="330">
        <f t="shared" si="0"/>
        <v>12</v>
      </c>
    </row>
    <row r="17" spans="1:11" hidden="1">
      <c r="A17" s="81"/>
      <c r="B17" s="81" t="s">
        <v>426</v>
      </c>
      <c r="C17" s="326" t="s">
        <v>426</v>
      </c>
      <c r="D17" s="334" t="s">
        <v>306</v>
      </c>
      <c r="E17" s="359" t="s">
        <v>425</v>
      </c>
      <c r="F17" s="327"/>
      <c r="G17" s="114"/>
      <c r="H17" s="143">
        <v>100</v>
      </c>
      <c r="I17" s="329">
        <f>((H17/12)*3.5)*0.6</f>
        <v>17.5</v>
      </c>
      <c r="J17" s="330">
        <f t="shared" si="0"/>
        <v>17.5</v>
      </c>
    </row>
    <row r="18" spans="1:11" hidden="1">
      <c r="A18" s="81"/>
      <c r="B18" s="81" t="s">
        <v>426</v>
      </c>
      <c r="C18" s="326" t="s">
        <v>426</v>
      </c>
      <c r="D18" s="334" t="s">
        <v>440</v>
      </c>
      <c r="E18" s="359" t="s">
        <v>425</v>
      </c>
      <c r="F18" s="327"/>
      <c r="G18" s="114"/>
      <c r="H18" s="143">
        <v>100</v>
      </c>
      <c r="I18" s="143">
        <f>H18*0.12</f>
        <v>12</v>
      </c>
      <c r="J18" s="330">
        <f t="shared" si="0"/>
        <v>12</v>
      </c>
    </row>
    <row r="19" spans="1:11" hidden="1">
      <c r="A19" s="81"/>
      <c r="B19" s="81" t="s">
        <v>426</v>
      </c>
      <c r="C19" s="326" t="s">
        <v>426</v>
      </c>
      <c r="D19" s="334" t="s">
        <v>414</v>
      </c>
      <c r="E19" s="359" t="s">
        <v>425</v>
      </c>
      <c r="F19" s="327"/>
      <c r="G19" s="114"/>
      <c r="H19" s="143">
        <v>100</v>
      </c>
      <c r="I19" s="143">
        <f>H19*0.12</f>
        <v>12</v>
      </c>
      <c r="J19" s="330">
        <f t="shared" si="0"/>
        <v>12</v>
      </c>
    </row>
    <row r="20" spans="1:11" hidden="1">
      <c r="A20" s="81"/>
      <c r="B20" s="81" t="s">
        <v>426</v>
      </c>
      <c r="C20" s="326" t="s">
        <v>426</v>
      </c>
      <c r="D20" s="334" t="s">
        <v>428</v>
      </c>
      <c r="E20" s="359" t="s">
        <v>425</v>
      </c>
      <c r="F20" s="327"/>
      <c r="G20" s="114">
        <v>2050</v>
      </c>
      <c r="H20" s="328">
        <v>1000</v>
      </c>
      <c r="I20" s="329" t="e">
        <f>(H20*#REF!*0.027)*0.6</f>
        <v>#REF!</v>
      </c>
      <c r="J20" s="330" t="e">
        <f t="shared" si="0"/>
        <v>#REF!</v>
      </c>
    </row>
    <row r="21" spans="1:11" hidden="1">
      <c r="A21" s="81"/>
      <c r="B21" s="81" t="s">
        <v>426</v>
      </c>
      <c r="C21" s="326" t="s">
        <v>426</v>
      </c>
      <c r="D21" s="334" t="s">
        <v>442</v>
      </c>
      <c r="E21" s="359" t="s">
        <v>425</v>
      </c>
      <c r="F21" s="327"/>
      <c r="G21" s="114">
        <v>2050</v>
      </c>
      <c r="H21" s="328">
        <v>1000</v>
      </c>
      <c r="I21" s="329" t="e">
        <f>(H21*#REF!*0.018)*0.6</f>
        <v>#REF!</v>
      </c>
      <c r="J21" s="330" t="e">
        <f t="shared" si="0"/>
        <v>#REF!</v>
      </c>
    </row>
    <row r="22" spans="1:11" hidden="1">
      <c r="A22" s="81"/>
      <c r="B22" s="81" t="s">
        <v>426</v>
      </c>
      <c r="C22" s="326" t="s">
        <v>426</v>
      </c>
      <c r="D22" s="334" t="s">
        <v>427</v>
      </c>
      <c r="E22" s="359" t="s">
        <v>425</v>
      </c>
      <c r="F22" s="327"/>
      <c r="G22" s="114">
        <v>2050</v>
      </c>
      <c r="H22" s="328">
        <v>1000</v>
      </c>
      <c r="I22" s="329" t="e">
        <f>(H22*#REF!*0.02)*0.6</f>
        <v>#REF!</v>
      </c>
      <c r="J22" s="330" t="e">
        <f t="shared" si="0"/>
        <v>#REF!</v>
      </c>
    </row>
    <row r="23" spans="1:11" hidden="1">
      <c r="A23" s="81"/>
      <c r="B23" s="81" t="s">
        <v>426</v>
      </c>
      <c r="C23" s="326" t="s">
        <v>426</v>
      </c>
      <c r="D23" s="334" t="s">
        <v>430</v>
      </c>
      <c r="E23" s="359" t="s">
        <v>425</v>
      </c>
      <c r="F23" s="327"/>
      <c r="G23" s="114">
        <v>2050</v>
      </c>
      <c r="H23" s="328">
        <v>1000</v>
      </c>
      <c r="I23" s="329" t="e">
        <f>(H23*#REF!*0.02)*0.6</f>
        <v>#REF!</v>
      </c>
      <c r="J23" s="330" t="e">
        <f t="shared" si="0"/>
        <v>#REF!</v>
      </c>
    </row>
    <row r="24" spans="1:11" hidden="1">
      <c r="A24" s="81"/>
      <c r="B24" s="81" t="s">
        <v>426</v>
      </c>
      <c r="C24" s="326" t="s">
        <v>426</v>
      </c>
      <c r="D24" s="334" t="s">
        <v>429</v>
      </c>
      <c r="E24" s="359" t="s">
        <v>425</v>
      </c>
      <c r="F24" s="327"/>
      <c r="G24" s="114">
        <v>2050</v>
      </c>
      <c r="H24" s="328">
        <v>1000</v>
      </c>
      <c r="I24" s="329" t="e">
        <f>(H24*#REF!*0.02)*0.6</f>
        <v>#REF!</v>
      </c>
      <c r="J24" s="330" t="e">
        <f t="shared" si="0"/>
        <v>#REF!</v>
      </c>
    </row>
    <row r="25" spans="1:11" hidden="1">
      <c r="A25" s="81"/>
      <c r="B25" s="81" t="s">
        <v>426</v>
      </c>
      <c r="C25" s="326" t="s">
        <v>426</v>
      </c>
      <c r="D25" s="334" t="s">
        <v>431</v>
      </c>
      <c r="E25" s="359" t="s">
        <v>425</v>
      </c>
      <c r="F25" s="327"/>
      <c r="G25" s="114">
        <v>2050</v>
      </c>
      <c r="H25" s="328">
        <v>1000</v>
      </c>
      <c r="I25" s="329" t="e">
        <f>(H25*#REF!*0.027)*0.6</f>
        <v>#REF!</v>
      </c>
      <c r="J25" s="330" t="e">
        <f t="shared" si="0"/>
        <v>#REF!</v>
      </c>
    </row>
    <row r="26" spans="1:11" hidden="1">
      <c r="A26" s="81"/>
      <c r="B26" s="81" t="s">
        <v>426</v>
      </c>
      <c r="C26" s="326" t="s">
        <v>426</v>
      </c>
      <c r="D26" s="334" t="s">
        <v>432</v>
      </c>
      <c r="E26" s="359" t="s">
        <v>425</v>
      </c>
      <c r="F26" s="327"/>
      <c r="G26" s="114">
        <v>2050</v>
      </c>
      <c r="H26" s="328">
        <v>1000</v>
      </c>
      <c r="I26" s="329" t="e">
        <f>(H26*#REF!*0.026)*0.6</f>
        <v>#REF!</v>
      </c>
      <c r="J26" s="330" t="e">
        <f t="shared" si="0"/>
        <v>#REF!</v>
      </c>
    </row>
    <row r="27" spans="1:11" hidden="1">
      <c r="A27" s="81"/>
      <c r="B27" s="81" t="s">
        <v>426</v>
      </c>
      <c r="C27" s="326" t="s">
        <v>426</v>
      </c>
      <c r="D27" s="334" t="s">
        <v>433</v>
      </c>
      <c r="E27" s="359" t="s">
        <v>425</v>
      </c>
      <c r="F27" s="327"/>
      <c r="G27" s="114"/>
      <c r="H27" s="328">
        <v>10000</v>
      </c>
      <c r="I27" s="329">
        <f>H27*0.075*0.6</f>
        <v>450</v>
      </c>
      <c r="J27" s="330">
        <f t="shared" si="0"/>
        <v>450</v>
      </c>
    </row>
    <row r="28" spans="1:11" hidden="1">
      <c r="A28" s="81"/>
      <c r="B28" s="81" t="s">
        <v>426</v>
      </c>
      <c r="C28" s="326" t="s">
        <v>426</v>
      </c>
      <c r="D28" s="334" t="s">
        <v>365</v>
      </c>
      <c r="E28" s="359" t="s">
        <v>425</v>
      </c>
      <c r="F28" s="327"/>
      <c r="G28" s="114">
        <v>2050</v>
      </c>
      <c r="H28" s="328">
        <v>1000</v>
      </c>
      <c r="I28" s="329" t="e">
        <f>(H28*#REF!*0.025)*0.6</f>
        <v>#REF!</v>
      </c>
      <c r="J28" s="330" t="e">
        <f t="shared" si="0"/>
        <v>#REF!</v>
      </c>
    </row>
    <row r="29" spans="1:11" hidden="1">
      <c r="A29" s="81"/>
      <c r="B29" s="81" t="s">
        <v>426</v>
      </c>
      <c r="C29" s="326" t="s">
        <v>426</v>
      </c>
      <c r="D29" s="334" t="s">
        <v>443</v>
      </c>
      <c r="E29" s="359" t="s">
        <v>425</v>
      </c>
      <c r="F29" s="327"/>
      <c r="G29" s="114"/>
      <c r="H29" s="328">
        <v>150000</v>
      </c>
      <c r="I29" s="143">
        <f>(H29*0.007)*0.6</f>
        <v>630</v>
      </c>
      <c r="J29" s="330">
        <f t="shared" si="0"/>
        <v>630</v>
      </c>
    </row>
    <row r="30" spans="1:11">
      <c r="A30" s="80" t="s">
        <v>659</v>
      </c>
      <c r="B30" s="416">
        <v>891120</v>
      </c>
      <c r="C30" s="77" t="s">
        <v>645</v>
      </c>
      <c r="D30" s="338" t="s">
        <v>435</v>
      </c>
      <c r="E30" s="362">
        <v>20435800</v>
      </c>
      <c r="F30" s="237"/>
      <c r="G30" s="25"/>
      <c r="H30" s="345">
        <v>1456.48</v>
      </c>
      <c r="I30" s="345">
        <f>800*0.05+656.98*0.065</f>
        <v>82.703699999999998</v>
      </c>
      <c r="J30" s="24"/>
      <c r="K30" t="s">
        <v>159</v>
      </c>
    </row>
    <row r="31" spans="1:11" ht="18" customHeight="1">
      <c r="A31" s="80" t="s">
        <v>659</v>
      </c>
      <c r="B31" s="416">
        <v>988611</v>
      </c>
      <c r="C31" s="71" t="s">
        <v>646</v>
      </c>
      <c r="D31" s="338" t="s">
        <v>435</v>
      </c>
      <c r="E31" s="360">
        <v>20432327</v>
      </c>
      <c r="F31" s="237"/>
      <c r="G31" s="22"/>
      <c r="H31" s="143">
        <v>2083.66</v>
      </c>
      <c r="I31" s="143">
        <f>800*0.05+1283.66*0.065</f>
        <v>123.43790000000001</v>
      </c>
      <c r="J31" s="24"/>
      <c r="K31" t="s">
        <v>161</v>
      </c>
    </row>
    <row r="32" spans="1:11" ht="18" customHeight="1">
      <c r="A32" s="80" t="s">
        <v>659</v>
      </c>
      <c r="B32" s="416">
        <v>801165</v>
      </c>
      <c r="C32" s="71" t="s">
        <v>647</v>
      </c>
      <c r="D32" s="338" t="s">
        <v>427</v>
      </c>
      <c r="E32" s="360">
        <v>834778</v>
      </c>
      <c r="F32" s="237"/>
      <c r="G32" s="22">
        <v>2037</v>
      </c>
      <c r="H32" s="143">
        <v>3192</v>
      </c>
      <c r="I32" s="345">
        <f>(H32*(G32-A1)*0.02)*0.5</f>
        <v>606.48</v>
      </c>
      <c r="J32" s="24"/>
    </row>
    <row r="33" spans="1:11" ht="18" customHeight="1">
      <c r="A33" s="80" t="s">
        <v>659</v>
      </c>
      <c r="B33" s="416">
        <v>989575</v>
      </c>
      <c r="C33" s="71" t="s">
        <v>648</v>
      </c>
      <c r="D33" s="338" t="s">
        <v>365</v>
      </c>
      <c r="E33" s="360">
        <v>835512</v>
      </c>
      <c r="F33" s="237"/>
      <c r="G33" s="22">
        <v>2033</v>
      </c>
      <c r="H33" s="143">
        <v>600</v>
      </c>
      <c r="I33" s="345">
        <f>(H33*(G33-A1)*0.025)*0.5</f>
        <v>112.5</v>
      </c>
      <c r="J33" s="24"/>
    </row>
    <row r="34" spans="1:11" ht="18" customHeight="1">
      <c r="A34" s="80" t="s">
        <v>659</v>
      </c>
      <c r="B34" s="416">
        <v>989575</v>
      </c>
      <c r="C34" s="71" t="s">
        <v>648</v>
      </c>
      <c r="D34" s="338" t="s">
        <v>365</v>
      </c>
      <c r="E34" s="360">
        <v>836650</v>
      </c>
      <c r="F34" s="237"/>
      <c r="G34" s="22">
        <v>2034</v>
      </c>
      <c r="H34" s="143">
        <v>600</v>
      </c>
      <c r="I34" s="345">
        <f>(H34*(G34-A1)*0.025)*0.5</f>
        <v>120</v>
      </c>
      <c r="J34" s="24"/>
      <c r="K34" t="s">
        <v>147</v>
      </c>
    </row>
    <row r="35" spans="1:11" ht="18" customHeight="1">
      <c r="A35" s="80" t="s">
        <v>659</v>
      </c>
      <c r="B35" s="416">
        <v>427416</v>
      </c>
      <c r="C35" s="71" t="s">
        <v>649</v>
      </c>
      <c r="D35" s="338" t="s">
        <v>436</v>
      </c>
      <c r="E35" s="360">
        <v>20435316</v>
      </c>
      <c r="F35" s="237"/>
      <c r="G35" s="22"/>
      <c r="H35" s="143">
        <v>718.42</v>
      </c>
      <c r="I35" s="143">
        <f>H35*0.08</f>
        <v>57.473599999999998</v>
      </c>
      <c r="J35" s="24"/>
    </row>
    <row r="36" spans="1:11" ht="18" customHeight="1">
      <c r="A36" s="80" t="s">
        <v>659</v>
      </c>
      <c r="B36" s="416"/>
      <c r="C36" s="71"/>
      <c r="D36" s="338" t="s">
        <v>8</v>
      </c>
      <c r="E36" s="360" t="s">
        <v>650</v>
      </c>
      <c r="F36" s="237"/>
      <c r="G36" s="22"/>
      <c r="H36" s="143">
        <v>40000</v>
      </c>
      <c r="I36" s="141"/>
      <c r="J36" s="24"/>
    </row>
    <row r="37" spans="1:11" ht="18" customHeight="1">
      <c r="A37" s="80" t="s">
        <v>659</v>
      </c>
      <c r="B37" s="416">
        <v>992259</v>
      </c>
      <c r="C37" s="71" t="s">
        <v>651</v>
      </c>
      <c r="D37" s="338" t="s">
        <v>436</v>
      </c>
      <c r="E37" s="360">
        <v>20436261</v>
      </c>
      <c r="F37" s="237"/>
      <c r="G37" s="22"/>
      <c r="H37" s="143">
        <v>250.53</v>
      </c>
      <c r="I37" s="143">
        <f>H37*0.08</f>
        <v>20.042400000000001</v>
      </c>
      <c r="J37" s="24"/>
    </row>
    <row r="38" spans="1:11" ht="18" customHeight="1">
      <c r="A38" s="80" t="s">
        <v>659</v>
      </c>
      <c r="B38" s="416">
        <v>395414</v>
      </c>
      <c r="C38" s="71" t="s">
        <v>652</v>
      </c>
      <c r="D38" s="338" t="s">
        <v>433</v>
      </c>
      <c r="E38" s="325">
        <v>839991</v>
      </c>
      <c r="F38" s="371"/>
      <c r="G38" s="22"/>
      <c r="H38" s="143">
        <v>1173.92</v>
      </c>
      <c r="I38" s="91">
        <f>(H38*0.075)*0.5</f>
        <v>44.021999999999998</v>
      </c>
      <c r="J38" s="24"/>
    </row>
    <row r="39" spans="1:11" ht="18" customHeight="1">
      <c r="A39" s="80" t="s">
        <v>659</v>
      </c>
      <c r="B39" s="416">
        <v>991345</v>
      </c>
      <c r="C39" s="71" t="s">
        <v>653</v>
      </c>
      <c r="D39" s="338" t="s">
        <v>435</v>
      </c>
      <c r="E39" s="325">
        <v>20434932</v>
      </c>
      <c r="F39" s="237"/>
      <c r="G39" s="22"/>
      <c r="H39" s="143">
        <v>1154.74</v>
      </c>
      <c r="I39" s="143">
        <f>800*0.05+354.74*0.065</f>
        <v>63.058100000000003</v>
      </c>
      <c r="J39" s="24"/>
    </row>
    <row r="40" spans="1:11" ht="18" customHeight="1">
      <c r="A40" s="80" t="s">
        <v>659</v>
      </c>
      <c r="B40" s="416">
        <v>809253</v>
      </c>
      <c r="C40" s="71" t="s">
        <v>654</v>
      </c>
      <c r="D40" s="338" t="s">
        <v>435</v>
      </c>
      <c r="E40" s="325">
        <v>20435211</v>
      </c>
      <c r="F40" s="237"/>
      <c r="G40" s="22"/>
      <c r="H40" s="143">
        <v>1353.45</v>
      </c>
      <c r="I40" s="143">
        <f>800*0.05+553.45*0.065</f>
        <v>75.974250000000012</v>
      </c>
      <c r="J40" s="24"/>
      <c r="K40" t="s">
        <v>155</v>
      </c>
    </row>
    <row r="41" spans="1:11" ht="18" customHeight="1">
      <c r="A41" s="80" t="s">
        <v>659</v>
      </c>
      <c r="B41" s="416"/>
      <c r="C41" s="71" t="s">
        <v>655</v>
      </c>
      <c r="D41" s="338" t="s">
        <v>8</v>
      </c>
      <c r="E41" s="325" t="s">
        <v>656</v>
      </c>
      <c r="F41" s="237"/>
      <c r="G41" s="22"/>
      <c r="H41" s="143">
        <v>50000</v>
      </c>
      <c r="I41" s="143"/>
      <c r="J41" s="24"/>
    </row>
    <row r="42" spans="1:11" ht="18" customHeight="1">
      <c r="A42" s="80" t="s">
        <v>659</v>
      </c>
      <c r="B42" s="416">
        <v>990516</v>
      </c>
      <c r="C42" s="71" t="s">
        <v>657</v>
      </c>
      <c r="D42" s="338" t="s">
        <v>435</v>
      </c>
      <c r="E42" s="325">
        <v>20433919</v>
      </c>
      <c r="F42" s="237"/>
      <c r="G42" s="22"/>
      <c r="H42" s="143">
        <v>1259.5899999999999</v>
      </c>
      <c r="I42" s="143">
        <f>800*0.05+459.59*0.065</f>
        <v>69.873350000000002</v>
      </c>
      <c r="J42" s="24"/>
    </row>
    <row r="43" spans="1:11" s="6" customFormat="1">
      <c r="A43" s="80" t="s">
        <v>659</v>
      </c>
      <c r="B43" s="416">
        <v>273884</v>
      </c>
      <c r="C43" s="71" t="s">
        <v>658</v>
      </c>
      <c r="D43" s="338" t="s">
        <v>435</v>
      </c>
      <c r="E43" s="360">
        <v>20436759</v>
      </c>
      <c r="F43" s="237"/>
      <c r="G43" s="22"/>
      <c r="H43" s="143">
        <v>847.92</v>
      </c>
      <c r="I43" s="143">
        <f>800*0.05+47.92*0.065</f>
        <v>43.114800000000002</v>
      </c>
      <c r="J43" s="24"/>
      <c r="K43" t="s">
        <v>163</v>
      </c>
    </row>
    <row r="44" spans="1:11" s="4" customFormat="1" ht="19.5" thickBot="1">
      <c r="A44" s="80"/>
      <c r="B44" s="80"/>
      <c r="C44" s="71"/>
      <c r="D44" s="338"/>
      <c r="E44" s="360"/>
      <c r="F44" s="237"/>
      <c r="G44" s="22"/>
      <c r="H44" s="143"/>
      <c r="I44" s="141"/>
      <c r="J44" s="24"/>
    </row>
    <row r="45" spans="1:11" s="4" customFormat="1" ht="19.5" thickBot="1">
      <c r="A45" s="374" t="s">
        <v>71</v>
      </c>
      <c r="B45" s="374">
        <v>2018</v>
      </c>
      <c r="C45" s="145" t="s">
        <v>296</v>
      </c>
      <c r="D45" s="339"/>
      <c r="E45" s="361"/>
      <c r="F45" s="318"/>
      <c r="G45" s="147"/>
      <c r="H45" s="735"/>
      <c r="I45" s="149"/>
      <c r="J45" s="151">
        <f>SUM(J44:J44)</f>
        <v>0</v>
      </c>
    </row>
    <row r="46" spans="1:11" s="4" customFormat="1">
      <c r="A46" s="100" t="s">
        <v>569</v>
      </c>
      <c r="B46" s="420"/>
      <c r="C46" s="70"/>
      <c r="D46" s="432"/>
      <c r="E46" s="358"/>
      <c r="F46" s="316"/>
      <c r="G46" s="16"/>
      <c r="H46" s="185"/>
      <c r="I46" s="141"/>
      <c r="J46" s="141"/>
    </row>
    <row r="47" spans="1:11" s="4" customFormat="1">
      <c r="A47" s="82" t="s">
        <v>569</v>
      </c>
      <c r="B47" s="416"/>
      <c r="C47" s="71"/>
      <c r="D47" s="338"/>
      <c r="E47" s="360"/>
      <c r="F47" s="237"/>
      <c r="G47" s="22"/>
      <c r="H47" s="143"/>
      <c r="I47" s="141"/>
      <c r="J47" s="141"/>
    </row>
    <row r="48" spans="1:11" s="4" customFormat="1">
      <c r="A48" s="82" t="s">
        <v>569</v>
      </c>
      <c r="B48" s="426"/>
      <c r="C48" s="71"/>
      <c r="D48" s="338"/>
      <c r="E48" s="360"/>
      <c r="F48" s="237"/>
      <c r="G48" s="22"/>
      <c r="H48" s="143"/>
      <c r="I48" s="345"/>
      <c r="J48" s="141"/>
    </row>
    <row r="49" spans="1:12" s="4" customFormat="1">
      <c r="A49" s="82" t="s">
        <v>569</v>
      </c>
      <c r="B49" s="416"/>
      <c r="C49" s="71"/>
      <c r="D49" s="338"/>
      <c r="E49" s="360"/>
      <c r="F49" s="237"/>
      <c r="G49" s="22"/>
      <c r="H49" s="143"/>
      <c r="I49" s="345"/>
      <c r="J49" s="141"/>
    </row>
    <row r="50" spans="1:12" s="4" customFormat="1">
      <c r="A50" s="82" t="s">
        <v>569</v>
      </c>
      <c r="B50" s="416"/>
      <c r="C50" s="71"/>
      <c r="D50" s="338"/>
      <c r="E50" s="362"/>
      <c r="F50" s="237"/>
      <c r="G50" s="25"/>
      <c r="H50" s="345"/>
      <c r="I50" s="345"/>
      <c r="J50" s="141"/>
    </row>
    <row r="51" spans="1:12">
      <c r="A51" s="82" t="s">
        <v>569</v>
      </c>
      <c r="B51" s="416"/>
      <c r="C51" s="71"/>
      <c r="D51" s="338"/>
      <c r="E51" s="362"/>
      <c r="F51" s="237"/>
      <c r="G51" s="25"/>
      <c r="H51" s="345"/>
      <c r="I51" s="345"/>
      <c r="J51" s="141"/>
      <c r="K51" s="5" t="s">
        <v>214</v>
      </c>
    </row>
    <row r="52" spans="1:12">
      <c r="A52" s="82" t="s">
        <v>569</v>
      </c>
      <c r="B52" s="416"/>
      <c r="C52" s="71"/>
      <c r="D52" s="338"/>
      <c r="E52" s="362"/>
      <c r="F52" s="237"/>
      <c r="G52" s="25"/>
      <c r="H52" s="345"/>
      <c r="I52" s="345"/>
      <c r="J52" s="141"/>
      <c r="K52" s="5"/>
    </row>
    <row r="53" spans="1:12" s="4" customFormat="1">
      <c r="A53" s="82" t="s">
        <v>569</v>
      </c>
      <c r="B53" s="416"/>
      <c r="C53" s="71"/>
      <c r="D53" s="338"/>
      <c r="E53" s="362"/>
      <c r="F53" s="237"/>
      <c r="G53" s="25"/>
      <c r="H53" s="143"/>
      <c r="I53" s="345"/>
      <c r="J53" s="141"/>
      <c r="K53" s="5" t="s">
        <v>195</v>
      </c>
    </row>
    <row r="54" spans="1:12">
      <c r="A54" s="82" t="s">
        <v>569</v>
      </c>
      <c r="B54" s="416"/>
      <c r="C54" s="71"/>
      <c r="D54" s="338"/>
      <c r="E54" s="360"/>
      <c r="F54" s="237"/>
      <c r="G54" s="22"/>
      <c r="H54" s="143"/>
      <c r="I54" s="345"/>
      <c r="J54" s="141"/>
      <c r="K54" s="75" t="s">
        <v>199</v>
      </c>
    </row>
    <row r="55" spans="1:12">
      <c r="A55" s="82" t="s">
        <v>569</v>
      </c>
      <c r="B55" s="416"/>
      <c r="C55" s="71"/>
      <c r="D55" s="338"/>
      <c r="E55" s="362"/>
      <c r="F55" s="237"/>
      <c r="G55" s="25"/>
      <c r="H55" s="143"/>
      <c r="I55" s="345"/>
      <c r="J55" s="141"/>
      <c r="K55" s="75" t="s">
        <v>200</v>
      </c>
    </row>
    <row r="56" spans="1:12" s="6" customFormat="1">
      <c r="A56" s="82" t="s">
        <v>569</v>
      </c>
      <c r="B56" s="416"/>
      <c r="C56" s="71"/>
      <c r="D56" s="338"/>
      <c r="E56" s="362"/>
      <c r="F56" s="237"/>
      <c r="G56" s="25"/>
      <c r="H56" s="143"/>
      <c r="I56" s="345"/>
      <c r="J56" s="141"/>
      <c r="K56" s="75"/>
    </row>
    <row r="57" spans="1:12" s="6" customFormat="1">
      <c r="A57" s="82" t="s">
        <v>569</v>
      </c>
      <c r="B57" s="416"/>
      <c r="C57" s="71"/>
      <c r="D57" s="338"/>
      <c r="E57" s="362"/>
      <c r="F57" s="237"/>
      <c r="G57" s="25"/>
      <c r="H57" s="143"/>
      <c r="I57" s="345"/>
      <c r="J57" s="141"/>
      <c r="K57"/>
    </row>
    <row r="58" spans="1:12">
      <c r="A58" s="82" t="s">
        <v>569</v>
      </c>
      <c r="B58" s="416"/>
      <c r="C58" s="71"/>
      <c r="D58" s="338"/>
      <c r="E58" s="362"/>
      <c r="F58" s="237"/>
      <c r="G58" s="25"/>
      <c r="H58" s="143"/>
      <c r="I58" s="141"/>
      <c r="J58" s="141"/>
      <c r="K58" s="5" t="s">
        <v>211</v>
      </c>
    </row>
    <row r="59" spans="1:12" s="3" customFormat="1">
      <c r="A59" s="82" t="s">
        <v>569</v>
      </c>
      <c r="B59" s="416"/>
      <c r="C59" s="71"/>
      <c r="D59" s="338"/>
      <c r="E59" s="362"/>
      <c r="F59" s="237"/>
      <c r="G59" s="25"/>
      <c r="H59" s="143"/>
      <c r="I59" s="92"/>
      <c r="J59" s="141"/>
      <c r="K59" s="4" t="s">
        <v>205</v>
      </c>
    </row>
    <row r="60" spans="1:12" s="3" customFormat="1">
      <c r="A60" s="82" t="s">
        <v>569</v>
      </c>
      <c r="B60" s="416"/>
      <c r="C60" s="71"/>
      <c r="D60" s="338"/>
      <c r="E60" s="362"/>
      <c r="F60" s="237"/>
      <c r="G60" s="25"/>
      <c r="H60" s="143"/>
      <c r="I60" s="345"/>
      <c r="J60" s="141"/>
      <c r="K60" s="4"/>
    </row>
    <row r="61" spans="1:12" s="4" customFormat="1">
      <c r="A61" s="82" t="s">
        <v>569</v>
      </c>
      <c r="B61" s="416"/>
      <c r="C61" s="71"/>
      <c r="D61" s="338"/>
      <c r="E61" s="362"/>
      <c r="F61" s="237"/>
      <c r="G61" s="25"/>
      <c r="H61" s="143"/>
      <c r="I61" s="345"/>
      <c r="J61" s="141"/>
      <c r="K61" s="5" t="s">
        <v>206</v>
      </c>
      <c r="L61" s="3"/>
    </row>
    <row r="62" spans="1:12">
      <c r="A62" s="82" t="s">
        <v>569</v>
      </c>
      <c r="B62" s="416"/>
      <c r="C62" s="71"/>
      <c r="D62" s="338"/>
      <c r="E62" s="362"/>
      <c r="F62" s="237"/>
      <c r="G62" s="25"/>
      <c r="H62" s="143"/>
      <c r="I62" s="141"/>
      <c r="J62" s="141"/>
      <c r="K62" s="5" t="s">
        <v>207</v>
      </c>
    </row>
    <row r="63" spans="1:12">
      <c r="A63" s="82" t="s">
        <v>569</v>
      </c>
      <c r="B63" s="416"/>
      <c r="C63" s="71"/>
      <c r="D63" s="338"/>
      <c r="E63" s="362"/>
      <c r="F63" s="237"/>
      <c r="G63" s="25"/>
      <c r="H63" s="143"/>
      <c r="I63" s="345"/>
      <c r="J63" s="141"/>
      <c r="K63" s="5"/>
    </row>
    <row r="64" spans="1:12">
      <c r="A64" s="80"/>
      <c r="B64" s="80"/>
      <c r="C64" s="71"/>
      <c r="D64" s="338"/>
      <c r="E64" s="362"/>
      <c r="F64" s="237"/>
      <c r="G64" s="25"/>
      <c r="H64" s="143"/>
      <c r="I64" s="345"/>
      <c r="J64" s="141"/>
      <c r="K64" s="5"/>
    </row>
    <row r="65" spans="1:11" ht="19.5" thickBot="1">
      <c r="A65" s="80"/>
      <c r="B65" s="80"/>
      <c r="C65" s="145" t="s">
        <v>281</v>
      </c>
      <c r="D65" s="339"/>
      <c r="E65" s="363"/>
      <c r="F65" s="318"/>
      <c r="G65" s="42"/>
      <c r="H65" s="158"/>
      <c r="I65" s="158"/>
      <c r="J65" s="44">
        <f>SUM(J46:J64)</f>
        <v>0</v>
      </c>
      <c r="K65" s="5"/>
    </row>
    <row r="66" spans="1:11">
      <c r="A66" s="100" t="s">
        <v>579</v>
      </c>
      <c r="B66" s="426"/>
      <c r="C66" s="71"/>
      <c r="D66" s="432"/>
      <c r="E66" s="22"/>
      <c r="F66" s="237"/>
      <c r="G66" s="22"/>
      <c r="H66" s="143"/>
      <c r="I66" s="345"/>
      <c r="J66" s="19"/>
      <c r="K66" s="5"/>
    </row>
    <row r="67" spans="1:11">
      <c r="A67" s="82" t="s">
        <v>579</v>
      </c>
      <c r="B67" s="416"/>
      <c r="C67" s="71"/>
      <c r="D67" s="338"/>
      <c r="E67" s="360"/>
      <c r="F67" s="319"/>
      <c r="G67" s="22"/>
      <c r="H67" s="143"/>
      <c r="I67" s="345"/>
      <c r="J67" s="24"/>
      <c r="K67" s="5"/>
    </row>
    <row r="68" spans="1:11">
      <c r="A68" s="82" t="s">
        <v>579</v>
      </c>
      <c r="B68" s="416"/>
      <c r="C68" s="71"/>
      <c r="D68" s="338"/>
      <c r="E68" s="362"/>
      <c r="F68" s="237"/>
      <c r="G68" s="25"/>
      <c r="H68" s="345"/>
      <c r="I68" s="141"/>
      <c r="J68" s="38"/>
      <c r="K68" s="5"/>
    </row>
    <row r="69" spans="1:11">
      <c r="A69" s="82" t="s">
        <v>579</v>
      </c>
      <c r="B69" s="416"/>
      <c r="C69" s="71"/>
      <c r="D69" s="338"/>
      <c r="E69" s="360"/>
      <c r="F69" s="237"/>
      <c r="G69" s="22"/>
      <c r="H69" s="143"/>
      <c r="I69" s="141"/>
      <c r="J69" s="24"/>
      <c r="K69" s="5"/>
    </row>
    <row r="70" spans="1:11">
      <c r="A70" s="82" t="s">
        <v>579</v>
      </c>
      <c r="B70" s="416"/>
      <c r="C70" s="71"/>
      <c r="D70" s="338"/>
      <c r="E70" s="364"/>
      <c r="F70" s="237"/>
      <c r="G70" s="22"/>
      <c r="H70" s="143"/>
      <c r="I70" s="141"/>
      <c r="J70" s="24"/>
      <c r="K70" s="5"/>
    </row>
    <row r="71" spans="1:11">
      <c r="A71" s="82" t="s">
        <v>579</v>
      </c>
      <c r="B71" s="416"/>
      <c r="C71" s="71"/>
      <c r="D71" s="338"/>
      <c r="E71" s="364"/>
      <c r="F71" s="237"/>
      <c r="G71" s="28"/>
      <c r="H71" s="346"/>
      <c r="I71" s="345"/>
      <c r="J71" s="30"/>
      <c r="K71" s="5"/>
    </row>
    <row r="72" spans="1:11">
      <c r="A72" s="82" t="s">
        <v>579</v>
      </c>
      <c r="B72" s="416"/>
      <c r="C72" s="71"/>
      <c r="D72" s="338"/>
      <c r="E72" s="360"/>
      <c r="F72" s="237"/>
      <c r="G72" s="22"/>
      <c r="H72" s="143"/>
      <c r="I72" s="345"/>
      <c r="J72" s="24"/>
      <c r="K72" s="5"/>
    </row>
    <row r="73" spans="1:11">
      <c r="A73" s="82" t="s">
        <v>579</v>
      </c>
      <c r="B73" s="416"/>
      <c r="C73" s="77"/>
      <c r="D73" s="338"/>
      <c r="E73" s="362"/>
      <c r="F73" s="237"/>
      <c r="G73" s="32"/>
      <c r="H73" s="345"/>
      <c r="I73" s="345"/>
      <c r="J73" s="352"/>
      <c r="K73" s="5"/>
    </row>
    <row r="74" spans="1:11">
      <c r="A74" s="82" t="s">
        <v>579</v>
      </c>
      <c r="B74" s="416"/>
      <c r="C74" s="77"/>
      <c r="D74" s="338"/>
      <c r="E74" s="362"/>
      <c r="F74" s="237"/>
      <c r="G74" s="32"/>
      <c r="H74" s="345"/>
      <c r="I74" s="345"/>
      <c r="J74" s="352"/>
      <c r="K74" s="5"/>
    </row>
    <row r="75" spans="1:11">
      <c r="A75" s="82" t="s">
        <v>579</v>
      </c>
      <c r="B75" s="416"/>
      <c r="C75" s="74"/>
      <c r="D75" s="338"/>
      <c r="E75" s="362"/>
      <c r="F75" s="237"/>
      <c r="G75" s="25"/>
      <c r="H75" s="345"/>
      <c r="I75" s="345"/>
      <c r="J75" s="38"/>
      <c r="K75" s="5"/>
    </row>
    <row r="76" spans="1:11">
      <c r="A76" s="82" t="s">
        <v>579</v>
      </c>
      <c r="B76" s="416"/>
      <c r="C76" s="74"/>
      <c r="D76" s="338"/>
      <c r="E76" s="362"/>
      <c r="F76" s="237"/>
      <c r="G76" s="25"/>
      <c r="H76" s="345"/>
      <c r="I76" s="345"/>
      <c r="J76" s="38"/>
      <c r="K76" s="5"/>
    </row>
    <row r="77" spans="1:11">
      <c r="A77" s="82" t="s">
        <v>579</v>
      </c>
      <c r="B77" s="416"/>
      <c r="C77" s="77"/>
      <c r="D77" s="338"/>
      <c r="E77" s="362"/>
      <c r="F77" s="237"/>
      <c r="G77" s="25"/>
      <c r="H77" s="345"/>
      <c r="I77" s="345"/>
      <c r="J77" s="38"/>
      <c r="K77" s="5"/>
    </row>
    <row r="78" spans="1:11">
      <c r="A78" s="82" t="s">
        <v>579</v>
      </c>
      <c r="B78" s="416"/>
      <c r="C78" s="77"/>
      <c r="D78" s="338"/>
      <c r="E78" s="362"/>
      <c r="F78" s="237"/>
      <c r="G78" s="25"/>
      <c r="H78" s="345"/>
      <c r="I78" s="345"/>
      <c r="J78" s="38"/>
      <c r="K78" s="5"/>
    </row>
    <row r="79" spans="1:11">
      <c r="A79" s="80"/>
      <c r="B79" s="80"/>
      <c r="C79" s="77"/>
      <c r="D79" s="338"/>
      <c r="E79" s="362"/>
      <c r="F79" s="237"/>
      <c r="G79" s="25"/>
      <c r="H79" s="345"/>
      <c r="I79" s="345"/>
      <c r="J79" s="38"/>
      <c r="K79" s="5"/>
    </row>
    <row r="80" spans="1:11" s="67" customFormat="1">
      <c r="A80" s="80"/>
      <c r="B80" s="80"/>
      <c r="C80" s="77"/>
      <c r="D80" s="338"/>
      <c r="E80" s="362"/>
      <c r="F80" s="237"/>
      <c r="G80" s="25"/>
      <c r="H80" s="345"/>
      <c r="I80" s="345"/>
      <c r="J80" s="38"/>
    </row>
    <row r="81" spans="1:10" s="63" customFormat="1">
      <c r="A81" s="80"/>
      <c r="B81" s="80"/>
      <c r="C81" s="77"/>
      <c r="D81" s="338"/>
      <c r="E81" s="362"/>
      <c r="F81" s="237"/>
      <c r="G81" s="25"/>
      <c r="H81" s="345"/>
      <c r="I81" s="345"/>
      <c r="J81" s="38"/>
    </row>
    <row r="82" spans="1:10" s="63" customFormat="1">
      <c r="A82" s="80"/>
      <c r="B82" s="80"/>
      <c r="C82" s="77"/>
      <c r="D82" s="338"/>
      <c r="E82" s="362"/>
      <c r="F82" s="237"/>
      <c r="G82" s="25"/>
      <c r="H82" s="345"/>
      <c r="I82" s="345"/>
      <c r="J82" s="38"/>
    </row>
    <row r="83" spans="1:10" s="63" customFormat="1">
      <c r="A83" s="80"/>
      <c r="B83" s="80"/>
      <c r="C83" s="77"/>
      <c r="D83" s="338"/>
      <c r="E83" s="362"/>
      <c r="F83" s="237"/>
      <c r="G83" s="25"/>
      <c r="H83" s="345"/>
      <c r="I83" s="345"/>
      <c r="J83" s="38"/>
    </row>
    <row r="84" spans="1:10" s="63" customFormat="1">
      <c r="A84" s="80"/>
      <c r="B84" s="80"/>
      <c r="C84" s="77"/>
      <c r="D84" s="338"/>
      <c r="E84" s="362"/>
      <c r="F84" s="237"/>
      <c r="G84" s="25"/>
      <c r="H84" s="345"/>
      <c r="I84" s="345"/>
      <c r="J84" s="38"/>
    </row>
    <row r="85" spans="1:10">
      <c r="A85" s="80"/>
      <c r="B85" s="80"/>
      <c r="C85" s="77"/>
      <c r="D85" s="338"/>
      <c r="E85" s="362"/>
      <c r="F85" s="237"/>
      <c r="G85" s="25"/>
      <c r="H85" s="345"/>
      <c r="I85" s="345"/>
      <c r="J85" s="38"/>
    </row>
    <row r="86" spans="1:10">
      <c r="A86" s="80"/>
      <c r="B86" s="80"/>
      <c r="C86" s="77"/>
      <c r="D86" s="338"/>
      <c r="E86" s="362"/>
      <c r="F86" s="237"/>
      <c r="G86" s="25"/>
      <c r="H86" s="345"/>
      <c r="I86" s="345"/>
      <c r="J86" s="38"/>
    </row>
    <row r="87" spans="1:10">
      <c r="A87" s="80"/>
      <c r="B87" s="80"/>
      <c r="C87" s="77"/>
      <c r="D87" s="338"/>
      <c r="E87" s="362"/>
      <c r="F87" s="237"/>
      <c r="G87" s="25"/>
      <c r="H87" s="345"/>
      <c r="I87" s="345"/>
      <c r="J87" s="38"/>
    </row>
    <row r="88" spans="1:10" ht="19.5" thickBot="1">
      <c r="A88" s="103"/>
      <c r="B88" s="469"/>
      <c r="C88" s="172" t="s">
        <v>281</v>
      </c>
      <c r="D88" s="339"/>
      <c r="E88" s="365"/>
      <c r="F88" s="318"/>
      <c r="G88" s="166"/>
      <c r="H88" s="347"/>
      <c r="I88" s="347"/>
      <c r="J88" s="169">
        <f>SUM(J66:J87)</f>
        <v>0</v>
      </c>
    </row>
    <row r="89" spans="1:10" ht="19.5" thickBot="1">
      <c r="A89" s="189"/>
      <c r="B89" s="189"/>
      <c r="C89" s="431"/>
      <c r="D89" s="729"/>
      <c r="E89" s="489"/>
      <c r="F89" s="730"/>
      <c r="G89" s="731"/>
      <c r="H89" s="732"/>
      <c r="I89" s="732"/>
      <c r="J89" s="733"/>
    </row>
    <row r="90" spans="1:10" ht="19.5" thickBot="1">
      <c r="A90" s="83"/>
      <c r="B90" s="190"/>
      <c r="C90" s="173" t="s">
        <v>282</v>
      </c>
      <c r="D90" s="342"/>
      <c r="E90" s="367"/>
      <c r="F90" s="321"/>
      <c r="G90" s="119"/>
      <c r="H90" s="349"/>
      <c r="I90" s="354"/>
      <c r="J90" s="120">
        <f>SUM(J45,J65,J88)</f>
        <v>0</v>
      </c>
    </row>
    <row r="91" spans="1:10">
      <c r="A91" s="83"/>
      <c r="B91" s="83"/>
      <c r="C91" s="109"/>
      <c r="D91" s="343"/>
      <c r="E91" s="368"/>
      <c r="F91" s="322"/>
      <c r="G91" s="110"/>
      <c r="H91" s="350"/>
      <c r="I91" s="329"/>
      <c r="J91" s="115"/>
    </row>
    <row r="92" spans="1:10">
      <c r="A92" s="83"/>
      <c r="B92" s="83"/>
      <c r="C92" s="109" t="s">
        <v>226</v>
      </c>
      <c r="D92" s="343"/>
      <c r="E92" s="368"/>
      <c r="F92" s="322"/>
      <c r="G92" s="110"/>
      <c r="H92" s="350"/>
      <c r="I92" s="329"/>
      <c r="J92" s="115">
        <f>J7</f>
        <v>7943.05</v>
      </c>
    </row>
    <row r="93" spans="1:10">
      <c r="A93" s="83"/>
      <c r="B93" s="83"/>
      <c r="C93" s="109" t="s">
        <v>224</v>
      </c>
      <c r="D93" s="343"/>
      <c r="E93" s="368"/>
      <c r="F93" s="322"/>
      <c r="G93" s="110"/>
      <c r="H93" s="350"/>
      <c r="I93" s="329"/>
      <c r="J93" s="115">
        <f>SUM(J90:J92)</f>
        <v>7943.05</v>
      </c>
    </row>
    <row r="94" spans="1:10" ht="19.5" thickBot="1">
      <c r="A94" s="83"/>
      <c r="B94" s="83"/>
      <c r="C94" s="104" t="s">
        <v>227</v>
      </c>
      <c r="D94" s="339"/>
      <c r="E94" s="363"/>
      <c r="F94" s="318"/>
      <c r="G94" s="42"/>
      <c r="H94" s="351"/>
      <c r="I94" s="355"/>
      <c r="J94" s="24">
        <f>J93/3</f>
        <v>2647.6833333333334</v>
      </c>
    </row>
    <row r="95" spans="1:10">
      <c r="A95" s="83"/>
      <c r="B95" s="83"/>
      <c r="C95" s="64"/>
      <c r="D95" s="344"/>
      <c r="E95" s="369"/>
      <c r="F95" s="323"/>
      <c r="G95" s="478"/>
      <c r="H95" s="129"/>
      <c r="I95" s="139"/>
      <c r="J95" s="68"/>
    </row>
    <row r="96" spans="1:10">
      <c r="A96" s="83"/>
      <c r="B96" s="83"/>
      <c r="C96" s="64"/>
      <c r="D96" s="344"/>
      <c r="E96" s="369"/>
      <c r="F96" s="323"/>
      <c r="G96" s="478"/>
      <c r="H96" s="129"/>
      <c r="I96" s="129"/>
      <c r="J96" s="66"/>
    </row>
    <row r="97" spans="1:10">
      <c r="A97" s="83"/>
      <c r="B97" s="83"/>
      <c r="C97" s="64"/>
      <c r="D97" s="344"/>
      <c r="E97" s="369"/>
      <c r="F97" s="323"/>
      <c r="G97" s="478"/>
      <c r="H97" s="129"/>
      <c r="I97" s="129"/>
      <c r="J97" s="66"/>
    </row>
    <row r="98" spans="1:10">
      <c r="A98" s="83"/>
      <c r="B98" s="83"/>
      <c r="C98" s="64"/>
      <c r="D98" s="344"/>
      <c r="E98" s="369"/>
      <c r="F98" s="323"/>
      <c r="G98" s="478"/>
      <c r="H98" s="129"/>
      <c r="I98" s="129"/>
      <c r="J98" s="66"/>
    </row>
    <row r="99" spans="1:10">
      <c r="C99" s="64"/>
      <c r="D99" s="344"/>
      <c r="E99" s="369"/>
      <c r="F99" s="323"/>
      <c r="G99" s="478"/>
      <c r="H99" s="129"/>
      <c r="I99" s="129"/>
      <c r="J99" s="66"/>
    </row>
  </sheetData>
  <dataValidations count="5">
    <dataValidation type="list" allowBlank="1" showInputMessage="1" showErrorMessage="1" prompt="Liste choix" sqref="D50">
      <formula1>"MOBILE2016,MOBILE Regio,REEBOU Family,REEBOUImmo,REEBOU Pack,REEBOU Pro,REEBOU Invest,LOGGIA,MEDICIS,RC,RC ENSEIGNANT,ZENITH60 Op100,ZENITH60 Op25,HORIZONT60Invest,HORIZONT60Protect,HORIZONT60Capi,HELIOS100Protect,HELIOS100Invest,FOCUS,NOVA,BSH,MOBILE CR"</formula1>
    </dataValidation>
    <dataValidation type="list" allowBlank="1" showInputMessage="1" showErrorMessage="1" prompt="Liste choix" sqref="D79:D88">
      <formula1>"MOBILE2016,MOBILE Regio,REEBOU Family,REEBOUImmo,REEBOU Pack,REEBOU Pro,REEBOU Invest,LOGGIA,MEDICIS,RC,RC ENSEIGNT,ZENITH60 Op100,ZENITH60 Op25,HORIZONT60Inv,HORIZONT60Prot,HORIZONT60Capi,HELIOS100Prot,HELIOS100Inv,FOCUS,NOVA,BSH,EA,TSRD"</formula1>
    </dataValidation>
    <dataValidation type="list" allowBlank="1" showInputMessage="1" showErrorMessage="1" prompt="Liste choix" sqref="D51:D78 D30:D49">
      <formula1>"MOBILE2016,MOBILE Regio,REEBOU Family,REEBOUImmo,REEBOU Pack,REEBOU Pro,REEBOU Invest,LOGGIA,MEDICIS,RC,RC ENSEIGNANT,ZENITH60 Op100,ZENITH60 Op25,HORIZONT60Invest,HORIZONT60Protect,HORIZONT60Capi,HELIOS100Protect,HELIOS100Invest,FOCUS,NOVA,BSH"</formula1>
    </dataValidation>
    <dataValidation type="list" allowBlank="1" showInputMessage="1" showErrorMessage="1" prompt="Liste choix" sqref="C99">
      <formula1>"REEBOU FAMILY,MOBILE 2016,PACK REEBOU FAMILY,MEDICIS,HORIZONT INVEST,RC ENSEIGNANT"</formula1>
    </dataValidation>
    <dataValidation type="list" allowBlank="1" showInputMessage="1" showErrorMessage="1" prompt="CHOIX PRODUIT" sqref="D10:D29">
      <formula1>"MOBILE2016,MOBILE Regio,REEBOU Family,REEBOU Pack,REEBOU Pro,REEBOU Invest,LOGGIA,MEDICIS,RC,RC ENSEIGNANT,ZENITH60 Op100,ZENITH60 Op25,HORIZONT60Invest,HORIZONT60Protect,HORIZONT60Capi,HELIOS100Protect,HELIOS100Invest,FOCUS,NOVA,SCHWABISCHHALL"</formula1>
    </dataValidation>
  </dataValidations>
  <printOptions horizontalCentered="1" verticalCentered="1" gridLines="1"/>
  <pageMargins left="0.23622047244094491" right="0.23622047244094491" top="0.15748031496062992" bottom="0.19685039370078741" header="0.31496062992125984" footer="0.11811023622047245"/>
  <pageSetup paperSize="9" scale="85" orientation="landscape" r:id="rId1"/>
  <headerFooter>
    <oddHeader xml:space="preserve">&amp;C&amp;"-,Gras"&amp;14COMMISSION JEFF DERAPPE 
2ème Trimestre 2018
</oddHeader>
    <oddFooter xml:space="preserve">&amp;L&amp;8&amp;Z&amp;F&amp;C&amp;7&amp;P/&amp;N&amp;RModfié le &amp;D </oddFooter>
  </headerFooter>
  <rowBreaks count="2" manualBreakCount="2">
    <brk id="45" max="9" man="1"/>
    <brk id="65" max="9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7"/>
  </sheetPr>
  <dimension ref="A1:XFB537"/>
  <sheetViews>
    <sheetView zoomScaleNormal="100" workbookViewId="0">
      <pane ySplit="3" topLeftCell="A417" activePane="bottomLeft" state="frozen"/>
      <selection pane="bottomLeft" activeCell="J1" sqref="J1:J1048576"/>
    </sheetView>
    <sheetView tabSelected="1" topLeftCell="A344" zoomScaleNormal="100" workbookViewId="1">
      <selection activeCell="J349" sqref="J349"/>
    </sheetView>
    <sheetView tabSelected="1" workbookViewId="2">
      <selection activeCell="H4" sqref="H4:H442"/>
    </sheetView>
  </sheetViews>
  <sheetFormatPr baseColWidth="10" defaultRowHeight="15"/>
  <cols>
    <col min="2" max="2" width="11.85546875" bestFit="1" customWidth="1"/>
    <col min="3" max="3" width="35.85546875" style="62" customWidth="1"/>
    <col min="4" max="4" width="22" style="62" customWidth="1"/>
    <col min="5" max="5" width="13.42578125" bestFit="1" customWidth="1"/>
    <col min="6" max="6" width="11.7109375" style="175" hidden="1" customWidth="1"/>
    <col min="7" max="7" width="6.140625" customWidth="1"/>
    <col min="8" max="8" width="14.28515625" style="570" customWidth="1"/>
    <col min="9" max="9" width="16.42578125" style="570" customWidth="1"/>
    <col min="10" max="10" width="16.5703125" style="396" customWidth="1"/>
    <col min="11" max="11" width="13.140625" style="556" customWidth="1"/>
  </cols>
  <sheetData>
    <row r="1" spans="1:10" ht="18.75">
      <c r="A1" s="78"/>
      <c r="B1" s="78"/>
      <c r="C1" s="653" t="s">
        <v>610</v>
      </c>
      <c r="D1" s="338" t="s">
        <v>549</v>
      </c>
      <c r="E1" s="357"/>
      <c r="F1" s="212"/>
      <c r="G1" s="11"/>
      <c r="H1" s="126"/>
      <c r="I1" s="126"/>
    </row>
    <row r="2" spans="1:10" ht="19.5" thickBot="1">
      <c r="A2" s="78"/>
      <c r="B2" s="78"/>
      <c r="D2" s="336"/>
      <c r="E2" s="357"/>
      <c r="F2" s="212"/>
      <c r="G2" s="1"/>
      <c r="H2" s="130"/>
      <c r="I2" s="127"/>
      <c r="J2" s="397"/>
    </row>
    <row r="3" spans="1:10" ht="30">
      <c r="A3" s="314" t="s">
        <v>411</v>
      </c>
      <c r="B3" s="314" t="s">
        <v>412</v>
      </c>
      <c r="C3" s="654" t="s">
        <v>0</v>
      </c>
      <c r="D3" s="340" t="s">
        <v>50</v>
      </c>
      <c r="E3" s="358" t="s">
        <v>410</v>
      </c>
      <c r="F3" s="316" t="s">
        <v>423</v>
      </c>
      <c r="G3" s="16" t="s">
        <v>53</v>
      </c>
      <c r="H3" s="184" t="s">
        <v>74</v>
      </c>
      <c r="I3" s="135" t="s">
        <v>1</v>
      </c>
      <c r="J3" s="184"/>
    </row>
    <row r="4" spans="1:10" ht="18.75">
      <c r="A4" s="425" t="str">
        <f>'4eme trim 2017  '!A67</f>
        <v>11.2017</v>
      </c>
      <c r="B4" s="426">
        <f>'4eme trim 2017  '!B67</f>
        <v>973005</v>
      </c>
      <c r="C4" s="655"/>
      <c r="D4" s="432" t="str">
        <f>'4eme trim 2017  '!D67</f>
        <v>MOBILE2016</v>
      </c>
      <c r="E4" s="438"/>
      <c r="F4" s="327">
        <f>'4eme trim 2017  '!F67</f>
        <v>0</v>
      </c>
      <c r="G4" s="25">
        <f>'4eme trim 2017  '!G67</f>
        <v>0</v>
      </c>
      <c r="H4" s="345"/>
      <c r="I4" s="143">
        <f>'4eme trim 2017  '!I67</f>
        <v>70.261400000000009</v>
      </c>
      <c r="J4" s="398"/>
    </row>
    <row r="5" spans="1:10" ht="18.75">
      <c r="A5" s="425" t="str">
        <f>'4eme trim 2017  '!A80</f>
        <v>12.2017</v>
      </c>
      <c r="B5" s="426">
        <f>'4eme trim 2017  '!B80</f>
        <v>975116</v>
      </c>
      <c r="C5" s="655"/>
      <c r="D5" s="338" t="str">
        <f>'4eme trim 2017  '!D80</f>
        <v>FOCUS</v>
      </c>
      <c r="E5" s="438"/>
      <c r="F5" s="327">
        <f>'4eme trim 2017  '!F80</f>
        <v>0</v>
      </c>
      <c r="G5" s="25">
        <f>'4eme trim 2017  '!G80</f>
        <v>0</v>
      </c>
      <c r="H5" s="345"/>
      <c r="I5" s="345">
        <f>'4eme trim 2017  '!I80</f>
        <v>293.93054999999998</v>
      </c>
      <c r="J5" s="398"/>
    </row>
    <row r="6" spans="1:10">
      <c r="A6" s="526" t="str">
        <f>'2eme trim 2017 '!A71</f>
        <v>06.2017</v>
      </c>
      <c r="B6" s="529">
        <f>'2eme trim 2017 '!B71</f>
        <v>782329</v>
      </c>
      <c r="C6" s="656"/>
      <c r="D6" s="22" t="str">
        <f>'2eme trim 2017 '!D71</f>
        <v>HORIZONT 60 INVEST</v>
      </c>
      <c r="E6" s="114"/>
      <c r="F6" s="241">
        <f>'2eme trim 2017 '!F71</f>
        <v>0</v>
      </c>
      <c r="G6" s="22">
        <f>'2eme trim 2017 '!G71</f>
        <v>2040</v>
      </c>
      <c r="H6" s="143"/>
      <c r="I6" s="143">
        <f>'2eme trim 2017 '!I71</f>
        <v>469.2</v>
      </c>
    </row>
    <row r="7" spans="1:10">
      <c r="A7" s="526" t="str">
        <f>'2eme trim 2017 '!A72</f>
        <v>06.2017</v>
      </c>
      <c r="B7" s="529">
        <f>'2eme trim 2017 '!B72</f>
        <v>782329</v>
      </c>
      <c r="C7" s="656"/>
      <c r="D7" s="684" t="str">
        <f>'2eme trim 2017 '!D72</f>
        <v>BSH</v>
      </c>
      <c r="E7" s="439"/>
      <c r="F7" s="241">
        <f>'2eme trim 2017 '!F72</f>
        <v>0</v>
      </c>
      <c r="G7" s="22">
        <f>'2eme trim 2017 '!G72</f>
        <v>0</v>
      </c>
      <c r="H7" s="143"/>
      <c r="I7" s="143">
        <f>'2eme trim 2017 '!I72</f>
        <v>189</v>
      </c>
    </row>
    <row r="8" spans="1:10" ht="18.75">
      <c r="A8" s="425" t="str">
        <f>'4ème trim 2016'!A36</f>
        <v>11.2016</v>
      </c>
      <c r="B8" s="426">
        <f>'4ème trim 2016'!B36</f>
        <v>455519</v>
      </c>
      <c r="C8" s="655"/>
      <c r="D8" s="338" t="str">
        <f>'4ème trim 2016'!D36</f>
        <v>MOBILE 2007</v>
      </c>
      <c r="E8" s="438"/>
      <c r="F8" s="327">
        <f>'4ème trim 2016'!F36</f>
        <v>0</v>
      </c>
      <c r="G8" s="25">
        <f>'4ème trim 2016'!G36</f>
        <v>0</v>
      </c>
      <c r="H8" s="345"/>
      <c r="I8" s="143">
        <f>'4ème trim 2016'!I36</f>
        <v>66.328800000000001</v>
      </c>
    </row>
    <row r="9" spans="1:10" ht="18.75">
      <c r="A9" s="425" t="str">
        <f>'4ème trim 2016'!A37</f>
        <v>11.2016</v>
      </c>
      <c r="B9" s="426">
        <f>'4ème trim 2016'!B37</f>
        <v>455519</v>
      </c>
      <c r="C9" s="655"/>
      <c r="D9" s="338" t="str">
        <f>'4ème trim 2016'!D37</f>
        <v>REEBOU FAMILY</v>
      </c>
      <c r="E9" s="438"/>
      <c r="F9" s="327">
        <f>'4ème trim 2016'!F37</f>
        <v>0</v>
      </c>
      <c r="G9" s="25">
        <f>'4ème trim 2016'!G37</f>
        <v>0</v>
      </c>
      <c r="H9" s="345"/>
      <c r="I9" s="143">
        <f>'4ème trim 2016'!I37</f>
        <v>24.323999999999998</v>
      </c>
    </row>
    <row r="10" spans="1:10" ht="18.75">
      <c r="A10" s="633" t="str">
        <f>'4ème trim 2016'!A38</f>
        <v>11.2016</v>
      </c>
      <c r="B10" s="745">
        <f>'4ème trim 2016'!B38</f>
        <v>455519</v>
      </c>
      <c r="C10" s="746"/>
      <c r="D10" s="747" t="str">
        <f>'4ème trim 2016'!D38</f>
        <v>PACK REEBOU</v>
      </c>
      <c r="E10" s="748"/>
      <c r="F10" s="749">
        <f>'4ème trim 2016'!F38</f>
        <v>0</v>
      </c>
      <c r="G10" s="747">
        <f>'4ème trim 2016'!G38</f>
        <v>0</v>
      </c>
      <c r="H10" s="750"/>
      <c r="I10" s="506">
        <f>'4ème trim 2016'!I38</f>
        <v>16.756499999999999</v>
      </c>
    </row>
    <row r="11" spans="1:10">
      <c r="A11" s="425" t="str">
        <f>'1er trim 2017'!A27</f>
        <v>01.2017</v>
      </c>
      <c r="B11" s="426">
        <f>'1er trim 2017'!B27</f>
        <v>905099</v>
      </c>
      <c r="C11" s="655"/>
      <c r="D11" s="444" t="str">
        <f>'1er trim 2017'!D27</f>
        <v>REEBOU PACK</v>
      </c>
      <c r="E11" s="439"/>
      <c r="F11" s="241">
        <f>'1er trim 2017'!F27</f>
        <v>0</v>
      </c>
      <c r="G11" s="439">
        <f>'1er trim 2017'!G27</f>
        <v>0</v>
      </c>
      <c r="H11" s="155"/>
      <c r="I11" s="535">
        <f>'1er trim 2017'!I27</f>
        <v>16.756499999999999</v>
      </c>
    </row>
    <row r="12" spans="1:10">
      <c r="A12" s="726" t="str">
        <f>'3eme trim 2017  '!A38</f>
        <v>07.2017</v>
      </c>
      <c r="B12" s="596">
        <f>'3eme trim 2017  '!B38</f>
        <v>869731</v>
      </c>
      <c r="C12" s="742"/>
      <c r="D12" s="724" t="str">
        <f>'3eme trim 2017  '!D38</f>
        <v>MEDICIS</v>
      </c>
      <c r="E12" s="743"/>
      <c r="F12" s="744">
        <f>'3eme trim 2017  '!F38</f>
        <v>0</v>
      </c>
      <c r="G12" s="743">
        <f>'3eme trim 2017  '!G38</f>
        <v>0</v>
      </c>
      <c r="H12" s="725"/>
      <c r="I12" s="346">
        <f>'3eme trim 2017  '!I38</f>
        <v>25.389000000000003</v>
      </c>
    </row>
    <row r="13" spans="1:10" ht="18.75">
      <c r="A13" s="425" t="str">
        <f>'1er Trimestre 2018'!A30</f>
        <v>02.2018</v>
      </c>
      <c r="B13" s="426">
        <f>'1er Trimestre 2018'!B30</f>
        <v>905159</v>
      </c>
      <c r="C13" s="655"/>
      <c r="D13" s="338" t="str">
        <f>'1er Trimestre 2018'!D30</f>
        <v>MOBILE2016</v>
      </c>
      <c r="E13" s="438"/>
      <c r="F13" s="327">
        <f>'1er Trimestre 2018'!F30</f>
        <v>0</v>
      </c>
      <c r="G13" s="439">
        <f>'1er Trimestre 2018'!G30</f>
        <v>0</v>
      </c>
      <c r="H13" s="345"/>
      <c r="I13" s="143">
        <f>'1er Trimestre 2018'!I30</f>
        <v>74.526049999999998</v>
      </c>
    </row>
    <row r="14" spans="1:10" ht="18.75">
      <c r="A14" s="425" t="str">
        <f>'4eme trim 2017  '!A45</f>
        <v>10.2017</v>
      </c>
      <c r="B14" s="426">
        <f>'4eme trim 2017  '!B45</f>
        <v>837955</v>
      </c>
      <c r="C14" s="655"/>
      <c r="D14" s="338" t="str">
        <f>'4eme trim 2017  '!D45</f>
        <v>REEBOU Family</v>
      </c>
      <c r="E14" s="438"/>
      <c r="F14" s="327">
        <f>'4eme trim 2017  '!F45</f>
        <v>0</v>
      </c>
      <c r="G14" s="439">
        <f>'4eme trim 2017  '!G45</f>
        <v>0</v>
      </c>
      <c r="H14" s="345"/>
      <c r="I14" s="329">
        <f>'4eme trim 2017  '!I45</f>
        <v>37.030799999999992</v>
      </c>
      <c r="J14" s="398"/>
    </row>
    <row r="15" spans="1:10" ht="18.75">
      <c r="A15" s="425" t="str">
        <f>'4ème trim 2016'!A34</f>
        <v>11.2016</v>
      </c>
      <c r="B15" s="426">
        <f>'4ème trim 2016'!B34</f>
        <v>450504</v>
      </c>
      <c r="C15" s="655"/>
      <c r="D15" s="338" t="str">
        <f>'4ème trim 2016'!D34</f>
        <v>MOBILE 2007</v>
      </c>
      <c r="E15" s="438"/>
      <c r="F15" s="327">
        <f>'4ème trim 2016'!F34</f>
        <v>0</v>
      </c>
      <c r="G15" s="439">
        <f>'4ème trim 2016'!G34</f>
        <v>0</v>
      </c>
      <c r="H15" s="440"/>
      <c r="I15" s="329">
        <f>'4ème trim 2016'!I34</f>
        <v>195.56399999999999</v>
      </c>
    </row>
    <row r="16" spans="1:10" ht="18.75">
      <c r="A16" s="425" t="str">
        <f>'1er trim 2017'!A46</f>
        <v>02.2017</v>
      </c>
      <c r="B16" s="426">
        <f>'1er trim 2017'!B46</f>
        <v>358802</v>
      </c>
      <c r="C16" s="655"/>
      <c r="D16" s="338" t="str">
        <f>'1er trim 2017'!D46</f>
        <v>MOBILE</v>
      </c>
      <c r="E16" s="438"/>
      <c r="F16" s="327">
        <f>'1er trim 2017'!F46</f>
        <v>0</v>
      </c>
      <c r="G16" s="439">
        <f>'1er trim 2017'!G46</f>
        <v>0</v>
      </c>
      <c r="H16" s="440"/>
      <c r="I16" s="329">
        <f>'1er trim 2017'!I46</f>
        <v>104.41840000000001</v>
      </c>
    </row>
    <row r="17" spans="1:10" ht="18.75">
      <c r="A17" s="633" t="str">
        <f>'4eme trim 2017  '!A52</f>
        <v>11.2017</v>
      </c>
      <c r="B17" s="593">
        <f>'4eme trim 2017  '!B52</f>
        <v>739606</v>
      </c>
      <c r="C17" s="737"/>
      <c r="D17" s="634" t="str">
        <f>'4eme trim 2017  '!D52</f>
        <v>HORIZONT60Invest</v>
      </c>
      <c r="E17" s="738"/>
      <c r="F17" s="739">
        <f>'4eme trim 2017  '!F52</f>
        <v>0</v>
      </c>
      <c r="G17" s="740">
        <f>'4eme trim 2017  '!G52</f>
        <v>2043</v>
      </c>
      <c r="H17" s="638"/>
      <c r="I17" s="329">
        <f>'4eme trim 2017  '!I52</f>
        <v>531.64800000000002</v>
      </c>
      <c r="J17" s="399"/>
    </row>
    <row r="18" spans="1:10" ht="18.75">
      <c r="A18" s="633" t="str">
        <f>'4ème trim 2016'!A58</f>
        <v>12.2016</v>
      </c>
      <c r="B18" s="593">
        <f>'4ème trim 2016'!B58</f>
        <v>489073</v>
      </c>
      <c r="C18" s="737"/>
      <c r="D18" s="634" t="str">
        <f>'4ème trim 2016'!D58</f>
        <v>HORIZONT 60 CAPI</v>
      </c>
      <c r="E18" s="738"/>
      <c r="F18" s="739">
        <f>'4ème trim 2016'!F58</f>
        <v>0</v>
      </c>
      <c r="G18" s="740">
        <f>'4ème trim 2016'!G58</f>
        <v>2033</v>
      </c>
      <c r="H18" s="741"/>
      <c r="I18" s="329">
        <f>'4ème trim 2016'!I58</f>
        <v>244.79999999999998</v>
      </c>
    </row>
    <row r="19" spans="1:10" ht="18.75">
      <c r="A19" s="545" t="str">
        <f>'2eme trim 2017 '!A44</f>
        <v>05.2017</v>
      </c>
      <c r="B19" s="426">
        <f>'2eme trim 2017 '!B44</f>
        <v>839223</v>
      </c>
      <c r="C19" s="656"/>
      <c r="D19" s="338" t="str">
        <f>'2eme trim 2017 '!D44</f>
        <v>REEBOU FAMILY</v>
      </c>
      <c r="E19" s="438"/>
      <c r="F19" s="327">
        <f>'2eme trim 2017 '!F44</f>
        <v>0</v>
      </c>
      <c r="G19" s="439">
        <f>'2eme trim 2017 '!G44</f>
        <v>0</v>
      </c>
      <c r="H19" s="198"/>
      <c r="I19" s="535">
        <f>'2eme trim 2017 '!I44</f>
        <v>22.820399999999999</v>
      </c>
    </row>
    <row r="20" spans="1:10" ht="18.75">
      <c r="A20" s="545" t="str">
        <f>'3ème trim 2016'!A29</f>
        <v>07.2016</v>
      </c>
      <c r="B20" s="426">
        <f>'3ème trim 2016'!B29</f>
        <v>949962</v>
      </c>
      <c r="C20" s="655"/>
      <c r="D20" s="338" t="str">
        <f>'3ème trim 2016'!D29</f>
        <v>RC VIE PRIVE</v>
      </c>
      <c r="E20" s="438"/>
      <c r="F20" s="327">
        <f>'3ème trim 2016'!F29</f>
        <v>0</v>
      </c>
      <c r="G20" s="439">
        <f>'3ème trim 2016'!G29</f>
        <v>0</v>
      </c>
      <c r="H20" s="440"/>
      <c r="I20" s="329">
        <f>'3ème trim 2016'!I29</f>
        <v>11.004</v>
      </c>
    </row>
    <row r="21" spans="1:10" ht="18.75">
      <c r="A21" s="633" t="str">
        <f>'1er Trimestre 2018'!A54</f>
        <v>03.2018</v>
      </c>
      <c r="B21" s="593">
        <f>'1er Trimestre 2018'!B54</f>
        <v>723984</v>
      </c>
      <c r="C21" s="737"/>
      <c r="D21" s="634" t="str">
        <f>'1er Trimestre 2018'!D54</f>
        <v>HORIZONT60Invest</v>
      </c>
      <c r="E21" s="738"/>
      <c r="F21" s="739">
        <f>'1er Trimestre 2018'!F54</f>
        <v>0</v>
      </c>
      <c r="G21" s="740">
        <f>'1er Trimestre 2018'!G54</f>
        <v>2049</v>
      </c>
      <c r="H21" s="741"/>
      <c r="I21" s="329">
        <f>'1er Trimestre 2018'!I54</f>
        <v>186</v>
      </c>
    </row>
    <row r="22" spans="1:10">
      <c r="A22" s="527" t="str">
        <f>'3eme trim 2017  '!A72</f>
        <v>09.2017</v>
      </c>
      <c r="B22" s="531">
        <f>'3eme trim 2017  '!B72</f>
        <v>273587</v>
      </c>
      <c r="C22" s="655"/>
      <c r="D22" s="25" t="str">
        <f>'3eme trim 2017  '!D72</f>
        <v>LOGGIA</v>
      </c>
      <c r="E22" s="439"/>
      <c r="F22" s="241">
        <f>'3eme trim 2017  '!F72</f>
        <v>0</v>
      </c>
      <c r="G22" s="439">
        <f>'3eme trim 2017  '!G72</f>
        <v>0</v>
      </c>
      <c r="H22" s="440"/>
      <c r="I22" s="535">
        <f>'3eme trim 2017  '!I72</f>
        <v>72.308400000000006</v>
      </c>
    </row>
    <row r="23" spans="1:10">
      <c r="A23" s="527" t="str">
        <f>'3eme trim 2017  '!A73</f>
        <v>09.2017</v>
      </c>
      <c r="B23" s="528">
        <f>'3eme trim 2017  '!B73</f>
        <v>273587</v>
      </c>
      <c r="C23" s="656"/>
      <c r="D23" s="22" t="str">
        <f>'3eme trim 2017  '!D73</f>
        <v>MOBILE Regio</v>
      </c>
      <c r="E23" s="114"/>
      <c r="F23" s="241">
        <f>'3eme trim 2017  '!F73</f>
        <v>0</v>
      </c>
      <c r="G23" s="114">
        <f>'3eme trim 2017  '!G73</f>
        <v>0</v>
      </c>
      <c r="H23" s="198"/>
      <c r="I23" s="143">
        <f>'3eme trim 2017  '!I73</f>
        <v>23.644199999999998</v>
      </c>
    </row>
    <row r="24" spans="1:10">
      <c r="A24" s="726" t="str">
        <f>'3eme trim 2017  '!A39</f>
        <v>07.2017</v>
      </c>
      <c r="B24" s="736">
        <f>'3eme trim 2017  '!B39</f>
        <v>711633</v>
      </c>
      <c r="C24" s="697"/>
      <c r="D24" s="699" t="str">
        <f>'3eme trim 2017  '!D39</f>
        <v>HORIZONT 60 INVEST</v>
      </c>
      <c r="E24" s="699"/>
      <c r="F24" s="717">
        <f>'3eme trim 2017  '!F39</f>
        <v>0</v>
      </c>
      <c r="G24" s="699">
        <f>'3eme trim 2017  '!G39</f>
        <v>2041</v>
      </c>
      <c r="H24" s="712"/>
      <c r="I24" s="143">
        <f>'3eme trim 2017  '!I39</f>
        <v>489.59999999999997</v>
      </c>
    </row>
    <row r="25" spans="1:10" ht="18.75">
      <c r="A25" s="425" t="str">
        <f>'1er trim 2017'!A68</f>
        <v>03.2017</v>
      </c>
      <c r="B25" s="426">
        <f>'1er trim 2017'!B68</f>
        <v>693701</v>
      </c>
      <c r="C25" s="652"/>
      <c r="D25" s="338" t="str">
        <f>'1er trim 2017'!D68</f>
        <v>MOBILE</v>
      </c>
      <c r="E25" s="362"/>
      <c r="F25" s="237">
        <f>'1er trim 2017'!F68</f>
        <v>0</v>
      </c>
      <c r="G25" s="25">
        <f>'1er trim 2017'!G68</f>
        <v>0</v>
      </c>
      <c r="H25" s="345"/>
      <c r="I25" s="143">
        <f>'1er trim 2017'!I68</f>
        <v>77.720600000000005</v>
      </c>
    </row>
    <row r="26" spans="1:10">
      <c r="A26" s="526" t="str">
        <f>'3eme trim 2017  '!A45</f>
        <v>07.2017</v>
      </c>
      <c r="B26" s="529">
        <f>'3eme trim 2017  '!B45</f>
        <v>492267</v>
      </c>
      <c r="C26" s="657"/>
      <c r="D26" s="28" t="str">
        <f>'3eme trim 2017  '!D45</f>
        <v>REEBOU FAMILY Tr</v>
      </c>
      <c r="E26" s="28"/>
      <c r="F26" s="240" t="str">
        <f>'3eme trim 2017  '!F45</f>
        <v>X</v>
      </c>
      <c r="G26" s="28">
        <f>'3eme trim 2017  '!G45</f>
        <v>0</v>
      </c>
      <c r="H26" s="346"/>
      <c r="I26" s="346">
        <f>'3eme trim 2017  '!I45</f>
        <v>14.393399999999998</v>
      </c>
    </row>
    <row r="27" spans="1:10" ht="18.75">
      <c r="A27" s="545" t="str">
        <f>'4eme trim 2017  '!A75</f>
        <v>12.2017</v>
      </c>
      <c r="B27" s="559">
        <f>'4eme trim 2017  '!B75</f>
        <v>882443</v>
      </c>
      <c r="C27" s="658"/>
      <c r="D27" s="338" t="str">
        <f>'4eme trim 2017  '!D75</f>
        <v>HORIZONT60Invest</v>
      </c>
      <c r="E27" s="560"/>
      <c r="F27" s="561">
        <f>'4eme trim 2017  '!F75</f>
        <v>0</v>
      </c>
      <c r="G27" s="562">
        <f>'4eme trim 2017  '!G75</f>
        <v>2030</v>
      </c>
      <c r="H27" s="564"/>
      <c r="I27" s="564">
        <f>'4eme trim 2017  '!I75</f>
        <v>168.23507999999998</v>
      </c>
      <c r="J27" s="400"/>
    </row>
    <row r="28" spans="1:10">
      <c r="A28" s="425" t="str">
        <f>'1er Trimestre 2018'!A49</f>
        <v>03.2018</v>
      </c>
      <c r="B28" s="426">
        <f>'1er Trimestre 2018'!B49</f>
        <v>690539</v>
      </c>
      <c r="C28" s="659"/>
      <c r="D28" s="362" t="str">
        <f>'1er Trimestre 2018'!D49</f>
        <v>HORIZONT60Invest</v>
      </c>
      <c r="E28" s="325"/>
      <c r="F28" s="525">
        <f>'1er Trimestre 2018'!F49</f>
        <v>0</v>
      </c>
      <c r="G28" s="325">
        <f>'1er Trimestre 2018'!G49</f>
        <v>2028</v>
      </c>
      <c r="H28" s="156"/>
      <c r="I28" s="156">
        <f>'1er Trimestre 2018'!I49</f>
        <v>60</v>
      </c>
    </row>
    <row r="29" spans="1:10" ht="18.75">
      <c r="A29" s="633" t="str">
        <f>'1er Trimestre 2018'!A50</f>
        <v>03.2018</v>
      </c>
      <c r="B29" s="593">
        <f>'1er Trimestre 2018'!B50</f>
        <v>690541</v>
      </c>
      <c r="C29" s="696"/>
      <c r="D29" s="634" t="str">
        <f>'1er Trimestre 2018'!D50</f>
        <v>HORIZONT60Invest</v>
      </c>
      <c r="E29" s="635"/>
      <c r="F29" s="636">
        <f>'1er Trimestre 2018'!F50</f>
        <v>0</v>
      </c>
      <c r="G29" s="637">
        <f>'1er Trimestre 2018'!G50</f>
        <v>2029</v>
      </c>
      <c r="H29" s="638"/>
      <c r="I29" s="143">
        <f>'1er Trimestre 2018'!I50</f>
        <v>66</v>
      </c>
    </row>
    <row r="30" spans="1:10" ht="18.75">
      <c r="A30" s="557" t="str">
        <f>'3eme trim 2017  '!A79</f>
        <v>09.2017</v>
      </c>
      <c r="B30" s="546">
        <f>'3eme trim 2017  '!B79</f>
        <v>492261</v>
      </c>
      <c r="C30" s="663"/>
      <c r="D30" s="547" t="str">
        <f>'3eme trim 2017  '!D79</f>
        <v>MEDICIS</v>
      </c>
      <c r="E30" s="548"/>
      <c r="F30" s="549">
        <f>'3eme trim 2017  '!F79</f>
        <v>0</v>
      </c>
      <c r="G30" s="550">
        <f>'3eme trim 2017  '!G79</f>
        <v>0</v>
      </c>
      <c r="H30" s="551"/>
      <c r="I30" s="143">
        <f>'3eme trim 2017  '!I79</f>
        <v>25.389000000000003</v>
      </c>
      <c r="J30" s="396" t="s">
        <v>640</v>
      </c>
    </row>
    <row r="31" spans="1:10" ht="18.75">
      <c r="A31" s="425" t="str">
        <f>'4ème trim 2016'!A24</f>
        <v>11.2016</v>
      </c>
      <c r="B31" s="426">
        <f>'4ème trim 2016'!B24</f>
        <v>492261</v>
      </c>
      <c r="C31" s="652"/>
      <c r="D31" s="338" t="str">
        <f>'4ème trim 2016'!D24</f>
        <v>MOBILE 2007</v>
      </c>
      <c r="E31" s="362"/>
      <c r="F31" s="237">
        <f>'4ème trim 2016'!F24</f>
        <v>0</v>
      </c>
      <c r="G31" s="25">
        <f>'4ème trim 2016'!G24</f>
        <v>0</v>
      </c>
      <c r="H31" s="345"/>
      <c r="I31" s="143">
        <f>'4ème trim 2016'!I24</f>
        <v>86.175900000000013</v>
      </c>
    </row>
    <row r="32" spans="1:10" ht="18.75">
      <c r="A32" s="425" t="str">
        <f>'4ème trim 2016'!A25</f>
        <v>11.2016</v>
      </c>
      <c r="B32" s="426">
        <f>'4ème trim 2016'!B25</f>
        <v>492261</v>
      </c>
      <c r="C32" s="652"/>
      <c r="D32" s="338" t="str">
        <f>'4ème trim 2016'!D25</f>
        <v>PACK REEBOU</v>
      </c>
      <c r="E32" s="362"/>
      <c r="F32" s="237">
        <f>'4ème trim 2016'!F25</f>
        <v>0</v>
      </c>
      <c r="G32" s="25">
        <f>'4ème trim 2016'!G25</f>
        <v>0</v>
      </c>
      <c r="H32" s="345"/>
      <c r="I32" s="143">
        <f>'4ème trim 2016'!I25</f>
        <v>16.631999999999998</v>
      </c>
    </row>
    <row r="33" spans="1:11" ht="18.75">
      <c r="A33" s="557" t="str">
        <f>'4ème trim 2016'!A26</f>
        <v>11.2016</v>
      </c>
      <c r="B33" s="546">
        <f>'4ème trim 2016'!B26</f>
        <v>492261</v>
      </c>
      <c r="C33" s="665"/>
      <c r="D33" s="547" t="str">
        <f>'4ème trim 2016'!D26</f>
        <v>SANTE</v>
      </c>
      <c r="E33" s="548"/>
      <c r="F33" s="549">
        <f>'4ème trim 2016'!F26</f>
        <v>0</v>
      </c>
      <c r="G33" s="550">
        <f>'4ème trim 2016'!G26</f>
        <v>0</v>
      </c>
      <c r="H33" s="552"/>
      <c r="I33" s="143">
        <f>'4ème trim 2016'!I26</f>
        <v>29.231999999999996</v>
      </c>
      <c r="J33" s="396" t="s">
        <v>640</v>
      </c>
    </row>
    <row r="34" spans="1:11" ht="18.75">
      <c r="A34" s="425" t="str">
        <f>'4ème trim 2016'!A27</f>
        <v>11.2016</v>
      </c>
      <c r="B34" s="426">
        <f>'4ème trim 2016'!B27</f>
        <v>492261</v>
      </c>
      <c r="C34" s="652"/>
      <c r="D34" s="338" t="str">
        <f>'4ème trim 2016'!D27</f>
        <v>MOBILE 2007</v>
      </c>
      <c r="E34" s="362"/>
      <c r="F34" s="237">
        <f>'4ème trim 2016'!F27</f>
        <v>0</v>
      </c>
      <c r="G34" s="25">
        <f>'4ème trim 2016'!G27</f>
        <v>0</v>
      </c>
      <c r="H34" s="345"/>
      <c r="I34" s="143">
        <f>'4ème trim 2016'!I27</f>
        <v>0.7871999999999999</v>
      </c>
    </row>
    <row r="35" spans="1:11" ht="18.75">
      <c r="A35" s="425" t="str">
        <f>'4ème trim 2016'!A28</f>
        <v>11.2016</v>
      </c>
      <c r="B35" s="426">
        <f>'4ème trim 2016'!B28</f>
        <v>492261</v>
      </c>
      <c r="C35" s="652"/>
      <c r="D35" s="338" t="str">
        <f>'4ème trim 2016'!D28</f>
        <v>MOBILE 2007</v>
      </c>
      <c r="E35" s="362"/>
      <c r="F35" s="237">
        <f>'4ème trim 2016'!F28</f>
        <v>0</v>
      </c>
      <c r="G35" s="25">
        <f>'4ème trim 2016'!G28</f>
        <v>0</v>
      </c>
      <c r="H35" s="345"/>
      <c r="I35" s="143">
        <f>'4ème trim 2016'!I28</f>
        <v>0.77099999999999991</v>
      </c>
    </row>
    <row r="36" spans="1:11" ht="18.75">
      <c r="A36" s="425" t="str">
        <f>'4ème trim 2016'!A29</f>
        <v>11.2016</v>
      </c>
      <c r="B36" s="426">
        <f>'4ème trim 2016'!B29</f>
        <v>492261</v>
      </c>
      <c r="C36" s="652"/>
      <c r="D36" s="338" t="str">
        <f>'4ème trim 2016'!D29</f>
        <v>MOBILE 2007</v>
      </c>
      <c r="E36" s="362"/>
      <c r="F36" s="237">
        <f>'4ème trim 2016'!F29</f>
        <v>0</v>
      </c>
      <c r="G36" s="25">
        <f>'4ème trim 2016'!G29</f>
        <v>0</v>
      </c>
      <c r="H36" s="345"/>
      <c r="I36" s="143">
        <f>'4ème trim 2016'!I29</f>
        <v>26.641199999999998</v>
      </c>
    </row>
    <row r="37" spans="1:11" ht="18.75">
      <c r="A37" s="425" t="str">
        <f>'4ème trim 2016'!A30</f>
        <v>11.2016</v>
      </c>
      <c r="B37" s="426">
        <f>'4ème trim 2016'!B30</f>
        <v>492261</v>
      </c>
      <c r="C37" s="657"/>
      <c r="D37" s="338" t="str">
        <f>'4ème trim 2016'!D30</f>
        <v>MOBILE 2007</v>
      </c>
      <c r="E37" s="25"/>
      <c r="F37" s="237">
        <f>'4ème trim 2016'!F30</f>
        <v>0</v>
      </c>
      <c r="G37" s="25">
        <f>'4ème trim 2016'!G30</f>
        <v>0</v>
      </c>
      <c r="H37" s="164"/>
      <c r="I37" s="345">
        <f>'4ème trim 2016'!I30</f>
        <v>3.9365999999999999</v>
      </c>
    </row>
    <row r="38" spans="1:11" ht="18.75">
      <c r="A38" s="425" t="str">
        <f>'4ème trim 2016'!A31</f>
        <v>11.2016</v>
      </c>
      <c r="B38" s="426">
        <f>'4ème trim 2016'!B31</f>
        <v>492261</v>
      </c>
      <c r="C38" s="657"/>
      <c r="D38" s="338" t="str">
        <f>'4ème trim 2016'!D31</f>
        <v>P.J.</v>
      </c>
      <c r="E38" s="362"/>
      <c r="F38" s="237">
        <f>'4ème trim 2016'!F31</f>
        <v>0</v>
      </c>
      <c r="G38" s="25">
        <f>'4ème trim 2016'!G31</f>
        <v>0</v>
      </c>
      <c r="H38" s="345"/>
      <c r="I38" s="143">
        <f>'4ème trim 2016'!I31</f>
        <v>39.109000000000002</v>
      </c>
    </row>
    <row r="39" spans="1:11" ht="18.75">
      <c r="A39" s="633" t="str">
        <f>'1er trim 2017'!A44</f>
        <v>02.2017</v>
      </c>
      <c r="B39" s="593">
        <f>'1er trim 2017'!B44</f>
        <v>857776</v>
      </c>
      <c r="C39" s="696"/>
      <c r="D39" s="634" t="str">
        <f>'1er trim 2017'!D44</f>
        <v>MEDICIS</v>
      </c>
      <c r="E39" s="635"/>
      <c r="F39" s="636">
        <f>'1er trim 2017'!F44</f>
        <v>0</v>
      </c>
      <c r="G39" s="637">
        <f>'1er trim 2017'!G44</f>
        <v>0</v>
      </c>
      <c r="H39" s="638"/>
      <c r="I39" s="143">
        <f>'1er trim 2017'!I44</f>
        <v>122.514</v>
      </c>
    </row>
    <row r="40" spans="1:11" ht="18.75">
      <c r="A40" s="425" t="str">
        <f>'1er trim 2017'!A45</f>
        <v>02.2017</v>
      </c>
      <c r="B40" s="426">
        <f>'1er trim 2017'!B45</f>
        <v>857776</v>
      </c>
      <c r="C40" s="657"/>
      <c r="D40" s="338" t="str">
        <f>'1er trim 2017'!D45</f>
        <v xml:space="preserve">MOBILE </v>
      </c>
      <c r="E40" s="360"/>
      <c r="F40" s="237" t="str">
        <f>'1er trim 2017'!F45</f>
        <v>X</v>
      </c>
      <c r="G40" s="22">
        <f>'1er trim 2017'!G45</f>
        <v>0</v>
      </c>
      <c r="H40" s="143"/>
      <c r="I40" s="345">
        <f>'1er trim 2017'!I45</f>
        <v>55.086399999999998</v>
      </c>
    </row>
    <row r="41" spans="1:11" ht="18.75">
      <c r="A41" s="426" t="str">
        <f>'2eme trim 2017 '!A26</f>
        <v>05.2017</v>
      </c>
      <c r="B41" s="426">
        <f>'2eme trim 2017 '!B26</f>
        <v>857776</v>
      </c>
      <c r="C41" s="652"/>
      <c r="D41" s="338" t="str">
        <f>'2eme trim 2017 '!D26</f>
        <v>REEBOU FAMILY</v>
      </c>
      <c r="E41" s="362"/>
      <c r="F41" s="237">
        <f>'2eme trim 2017 '!F26</f>
        <v>0</v>
      </c>
      <c r="G41" s="25">
        <f>'2eme trim 2017 '!G26</f>
        <v>0</v>
      </c>
      <c r="H41" s="345"/>
      <c r="I41" s="143">
        <f>'2eme trim 2017 '!I26</f>
        <v>25.208399999999997</v>
      </c>
    </row>
    <row r="42" spans="1:11" ht="18.75">
      <c r="A42" s="426" t="str">
        <f>'4ème trim 2016'!A64</f>
        <v>12.2016</v>
      </c>
      <c r="B42" s="426">
        <f>'4ème trim 2016'!B64</f>
        <v>278270</v>
      </c>
      <c r="C42" s="661"/>
      <c r="D42" s="338" t="str">
        <f>'4ème trim 2016'!D64</f>
        <v>MOBILE 2007</v>
      </c>
      <c r="E42" s="364"/>
      <c r="F42" s="237">
        <f>'4ème trim 2016'!F64</f>
        <v>0</v>
      </c>
      <c r="G42" s="22">
        <f>'4ème trim 2016'!G64</f>
        <v>0</v>
      </c>
      <c r="H42" s="143"/>
      <c r="I42" s="141">
        <f>'4ème trim 2016'!I64</f>
        <v>38.042999999999999</v>
      </c>
    </row>
    <row r="43" spans="1:11" ht="18.75">
      <c r="A43" s="426" t="str">
        <f>'1er trim 2017'!A58</f>
        <v>03.2017</v>
      </c>
      <c r="B43" s="426">
        <f>'1er trim 2017'!B58</f>
        <v>672533</v>
      </c>
      <c r="C43" s="662"/>
      <c r="D43" s="338" t="str">
        <f>'1er trim 2017'!D58</f>
        <v>PACK REEBOU</v>
      </c>
      <c r="E43" s="362"/>
      <c r="F43" s="237">
        <f>'1er trim 2017'!F58</f>
        <v>0</v>
      </c>
      <c r="G43" s="25">
        <f>'1er trim 2017'!G58</f>
        <v>0</v>
      </c>
      <c r="H43" s="345"/>
      <c r="I43" s="143">
        <f>'1er trim 2017'!I58</f>
        <v>16.8765</v>
      </c>
      <c r="J43" s="398"/>
    </row>
    <row r="44" spans="1:11" ht="18.75">
      <c r="A44" s="546" t="str">
        <f>'1er trim 2017'!A59</f>
        <v>03.2017</v>
      </c>
      <c r="B44" s="546">
        <f>'1er trim 2017'!B59</f>
        <v>683835</v>
      </c>
      <c r="C44" s="663"/>
      <c r="D44" s="547" t="str">
        <f>'1er trim 2017'!D59</f>
        <v>HORIZONT 60 INVEST</v>
      </c>
      <c r="E44" s="548"/>
      <c r="F44" s="549">
        <f>'1er trim 2017'!F59</f>
        <v>0</v>
      </c>
      <c r="G44" s="550">
        <f>'1er trim 2017'!G59</f>
        <v>2035</v>
      </c>
      <c r="H44" s="551"/>
      <c r="I44" s="552">
        <f>'1er trim 2017'!I59</f>
        <v>381.17952000000002</v>
      </c>
      <c r="J44" s="399"/>
      <c r="K44" s="556">
        <v>43111</v>
      </c>
    </row>
    <row r="45" spans="1:11" ht="18.75">
      <c r="A45" s="426" t="str">
        <f>'1er Trimestre 2018'!A11</f>
        <v>01.2018</v>
      </c>
      <c r="B45" s="426">
        <f>'1er Trimestre 2018'!B11</f>
        <v>978398</v>
      </c>
      <c r="C45" s="652"/>
      <c r="D45" s="338" t="str">
        <f>'1er Trimestre 2018'!D11</f>
        <v>REEBOU Family</v>
      </c>
      <c r="E45" s="362"/>
      <c r="F45" s="237">
        <f>'1er Trimestre 2018'!F11</f>
        <v>0</v>
      </c>
      <c r="G45" s="25">
        <f>'1er Trimestre 2018'!G11</f>
        <v>0</v>
      </c>
      <c r="H45" s="345"/>
      <c r="I45" s="143">
        <f>'1er Trimestre 2018'!I11</f>
        <v>15.001600000000002</v>
      </c>
      <c r="J45" s="400"/>
    </row>
    <row r="46" spans="1:11" ht="18.75">
      <c r="A46" s="426" t="str">
        <f>'1er Trimestre 2018'!A12</f>
        <v>01.2018</v>
      </c>
      <c r="B46" s="426">
        <f>'1er Trimestre 2018'!B12</f>
        <v>978398</v>
      </c>
      <c r="C46" s="652"/>
      <c r="D46" s="338" t="str">
        <f>'1er Trimestre 2018'!D12</f>
        <v>REEBOU Pack</v>
      </c>
      <c r="E46" s="362"/>
      <c r="F46" s="237">
        <f>'1er Trimestre 2018'!F12</f>
        <v>0</v>
      </c>
      <c r="G46" s="25">
        <f>'1er Trimestre 2018'!G12</f>
        <v>0</v>
      </c>
      <c r="H46" s="345"/>
      <c r="I46" s="143">
        <f>'1er Trimestre 2018'!I12</f>
        <v>9.0904000000000007</v>
      </c>
      <c r="J46" s="399"/>
    </row>
    <row r="47" spans="1:11" ht="18.75">
      <c r="A47" s="546" t="str">
        <f>'2e trim 2016'!A28</f>
        <v>04.2016</v>
      </c>
      <c r="B47" s="546">
        <f>'2e trim 2016'!B28</f>
        <v>773696</v>
      </c>
      <c r="C47" s="663"/>
      <c r="D47" s="547" t="str">
        <f>'2e trim 2016'!D28</f>
        <v>REEBOOU FAMILY</v>
      </c>
      <c r="E47" s="548"/>
      <c r="F47" s="549">
        <f>'2e trim 2016'!F28</f>
        <v>0</v>
      </c>
      <c r="G47" s="550">
        <f>'2e trim 2016'!G28</f>
        <v>0</v>
      </c>
      <c r="H47" s="551"/>
      <c r="I47" s="552">
        <f>'2e trim 2016'!I28</f>
        <v>11.1</v>
      </c>
      <c r="J47" s="399"/>
      <c r="K47" s="556" t="s">
        <v>615</v>
      </c>
    </row>
    <row r="48" spans="1:11" ht="18.75">
      <c r="A48" s="546" t="str">
        <f>'2eme trim 2017 '!A25</f>
        <v>05.2017</v>
      </c>
      <c r="B48" s="546">
        <f>'2eme trim 2017 '!B25</f>
        <v>773696</v>
      </c>
      <c r="C48" s="663"/>
      <c r="D48" s="547" t="str">
        <f>'2eme trim 2017 '!D25</f>
        <v>HORIZONT 60 CAPI</v>
      </c>
      <c r="E48" s="553"/>
      <c r="F48" s="549">
        <f>'2eme trim 2017 '!F25</f>
        <v>0</v>
      </c>
      <c r="G48" s="550">
        <f>'2eme trim 2017 '!G25</f>
        <v>2026</v>
      </c>
      <c r="H48" s="554"/>
      <c r="I48" s="552">
        <f>'2eme trim 2017 '!I25</f>
        <v>64.8</v>
      </c>
    </row>
    <row r="49" spans="1:10" ht="30">
      <c r="A49" s="426" t="str">
        <f>'4eme trim 2017  '!A92</f>
        <v>12.2017</v>
      </c>
      <c r="B49" s="565">
        <f>'4eme trim 2017  '!B92</f>
        <v>773696</v>
      </c>
      <c r="C49" s="664"/>
      <c r="D49" s="384" t="str">
        <f>'4eme trim 2017  '!D92</f>
        <v>HORIZONT 60 CAPI</v>
      </c>
      <c r="E49" s="566"/>
      <c r="F49" s="237">
        <f>'4eme trim 2017  '!F92</f>
        <v>0</v>
      </c>
      <c r="G49" s="35">
        <f>'4eme trim 2017  '!G92</f>
        <v>2026</v>
      </c>
      <c r="H49" s="567"/>
      <c r="I49" s="567">
        <f>'4eme trim 2017  '!I92</f>
        <v>-64.8</v>
      </c>
      <c r="J49" s="443" t="str">
        <f>'4eme trim 2017  '!K92</f>
        <v>Rectification mai augmentation</v>
      </c>
    </row>
    <row r="50" spans="1:10" ht="18.75">
      <c r="A50" s="546" t="str">
        <f>'2e trim 2016'!A51</f>
        <v>06.2016</v>
      </c>
      <c r="B50" s="546">
        <f>'2e trim 2016'!B51</f>
        <v>773696</v>
      </c>
      <c r="C50" s="663"/>
      <c r="D50" s="547" t="str">
        <f>'2e trim 2016'!D51</f>
        <v>HORIZON 60 CAPI</v>
      </c>
      <c r="E50" s="548"/>
      <c r="F50" s="549">
        <f>'2e trim 2016'!F51</f>
        <v>0</v>
      </c>
      <c r="G50" s="555">
        <f>'2e trim 2016'!G51</f>
        <v>2026</v>
      </c>
      <c r="H50" s="551"/>
      <c r="I50" s="552">
        <f>'2e trim 2016'!I51</f>
        <v>312</v>
      </c>
      <c r="J50" s="400"/>
    </row>
    <row r="51" spans="1:10" ht="18.75">
      <c r="A51" s="426" t="str">
        <f>'2e trim 2016'!A52</f>
        <v>06.2016</v>
      </c>
      <c r="B51" s="426">
        <f>'2e trim 2016'!B52</f>
        <v>773696</v>
      </c>
      <c r="C51" s="652"/>
      <c r="D51" s="338" t="str">
        <f>'2e trim 2016'!D52</f>
        <v>MOBILE</v>
      </c>
      <c r="E51" s="362"/>
      <c r="F51" s="237">
        <f>'2e trim 2016'!F52</f>
        <v>0</v>
      </c>
      <c r="G51" s="25">
        <f>'2e trim 2016'!G52</f>
        <v>0</v>
      </c>
      <c r="H51" s="345"/>
      <c r="I51" s="143">
        <f>'2e trim 2016'!I52</f>
        <v>101.4708</v>
      </c>
      <c r="J51" s="400"/>
    </row>
    <row r="52" spans="1:10" ht="18.75">
      <c r="A52" s="426" t="str">
        <f>'1er trim 2017'!A56</f>
        <v>03.2017</v>
      </c>
      <c r="B52" s="426">
        <f>'1er trim 2017'!B56</f>
        <v>555120</v>
      </c>
      <c r="C52" s="652"/>
      <c r="D52" s="338" t="str">
        <f>'1er trim 2017'!D56</f>
        <v xml:space="preserve">MOBILE </v>
      </c>
      <c r="E52" s="362"/>
      <c r="F52" s="237" t="str">
        <f>'1er trim 2017'!F56</f>
        <v>X</v>
      </c>
      <c r="G52" s="25">
        <f>'1er trim 2017'!G56</f>
        <v>0</v>
      </c>
      <c r="H52" s="345"/>
      <c r="I52" s="143">
        <f>'1er trim 2017'!I56</f>
        <v>78.191599999999994</v>
      </c>
      <c r="J52" s="400"/>
    </row>
    <row r="53" spans="1:10">
      <c r="A53" s="528" t="str">
        <f>'3eme trim 2017  '!A60</f>
        <v>09.2017</v>
      </c>
      <c r="B53" s="528">
        <f>'3eme trim 2017  '!B60</f>
        <v>968621</v>
      </c>
      <c r="C53" s="657"/>
      <c r="D53" s="28" t="str">
        <f>'3eme trim 2017  '!D60</f>
        <v>MOBILE 2016</v>
      </c>
      <c r="E53" s="22"/>
      <c r="F53" s="240">
        <f>'3eme trim 2017  '!F60</f>
        <v>0</v>
      </c>
      <c r="G53" s="22">
        <f>'3eme trim 2017  '!G60</f>
        <v>0</v>
      </c>
      <c r="H53" s="143"/>
      <c r="I53" s="143">
        <f>'3eme trim 2017  '!I60</f>
        <v>85.657900000000012</v>
      </c>
      <c r="J53" s="400"/>
    </row>
    <row r="54" spans="1:10" ht="18.75">
      <c r="A54" s="593" t="str">
        <f>'1er trim 2017'!A35</f>
        <v>02.2017</v>
      </c>
      <c r="B54" s="593">
        <f>'1er trim 2017'!B35</f>
        <v>621969</v>
      </c>
      <c r="C54" s="696"/>
      <c r="D54" s="634" t="str">
        <f>'1er trim 2017'!D35</f>
        <v>HORIZONT 60</v>
      </c>
      <c r="E54" s="635"/>
      <c r="F54" s="636">
        <f>'1er trim 2017'!F35</f>
        <v>0</v>
      </c>
      <c r="G54" s="637">
        <f>'1er trim 2017'!G35</f>
        <v>2048</v>
      </c>
      <c r="H54" s="638"/>
      <c r="I54" s="143">
        <f>'1er trim 2017'!I35</f>
        <v>446.4</v>
      </c>
      <c r="J54" s="400"/>
    </row>
    <row r="55" spans="1:10" ht="18.75">
      <c r="A55" s="593" t="str">
        <f>'4eme trim 2017  '!A73</f>
        <v>12.2017</v>
      </c>
      <c r="B55" s="593">
        <f>'4eme trim 2017  '!B73</f>
        <v>845563</v>
      </c>
      <c r="C55" s="696"/>
      <c r="D55" s="634" t="str">
        <f>'4eme trim 2017  '!D73</f>
        <v>HORIZONT60Invest</v>
      </c>
      <c r="E55" s="635"/>
      <c r="F55" s="636">
        <f>'4eme trim 2017  '!F73</f>
        <v>0</v>
      </c>
      <c r="G55" s="637">
        <f>'4eme trim 2017  '!G73</f>
        <v>2034</v>
      </c>
      <c r="H55" s="638"/>
      <c r="I55" s="564">
        <f>'4eme trim 2017  '!I73</f>
        <v>219.99972000000002</v>
      </c>
      <c r="J55" s="400"/>
    </row>
    <row r="56" spans="1:10" ht="18.75">
      <c r="A56" s="593" t="str">
        <f>'4eme trim 2017  '!A74</f>
        <v>12.2017</v>
      </c>
      <c r="B56" s="593">
        <f>'4eme trim 2017  '!B74</f>
        <v>845563</v>
      </c>
      <c r="C56" s="696"/>
      <c r="D56" s="634" t="str">
        <f>'4eme trim 2017  '!D74</f>
        <v>HORIZONT60Capi</v>
      </c>
      <c r="E56" s="635"/>
      <c r="F56" s="636">
        <f>'4eme trim 2017  '!F74</f>
        <v>0</v>
      </c>
      <c r="G56" s="637">
        <f>'4eme trim 2017  '!G74</f>
        <v>2034</v>
      </c>
      <c r="H56" s="712"/>
      <c r="I56" s="564">
        <f>'4eme trim 2017  '!I74</f>
        <v>71.399999999999991</v>
      </c>
      <c r="J56" s="400"/>
    </row>
    <row r="57" spans="1:10" ht="18.75">
      <c r="A57" s="593" t="str">
        <f>'2eme trim 2017 '!A60</f>
        <v>06.2017</v>
      </c>
      <c r="B57" s="593">
        <f>'2eme trim 2017 '!B60</f>
        <v>586459</v>
      </c>
      <c r="C57" s="697"/>
      <c r="D57" s="634" t="str">
        <f>'2eme trim 2017 '!D60</f>
        <v>MEDICIS</v>
      </c>
      <c r="E57" s="698"/>
      <c r="F57" s="636">
        <f>'2eme trim 2017 '!F60</f>
        <v>0</v>
      </c>
      <c r="G57" s="699">
        <f>'2eme trim 2017 '!G60</f>
        <v>0</v>
      </c>
      <c r="H57" s="714"/>
      <c r="I57" s="143">
        <f>'2eme trim 2017 '!I60</f>
        <v>440.78999999999996</v>
      </c>
      <c r="J57" s="400"/>
    </row>
    <row r="58" spans="1:10" ht="18.75">
      <c r="A58" s="426" t="str">
        <f>'2e trim 2016'!A35</f>
        <v>05.2016</v>
      </c>
      <c r="B58" s="426">
        <f>'2e trim 2016'!B35</f>
        <v>930785</v>
      </c>
      <c r="C58" s="652"/>
      <c r="D58" s="338" t="str">
        <f>'2e trim 2016'!D35</f>
        <v>MOBILE</v>
      </c>
      <c r="E58" s="362"/>
      <c r="F58" s="237">
        <f>'2e trim 2016'!F35</f>
        <v>0</v>
      </c>
      <c r="G58" s="25">
        <f>'2e trim 2016'!G35</f>
        <v>0</v>
      </c>
      <c r="H58" s="345"/>
      <c r="I58" s="143">
        <f>'2e trim 2016'!I35</f>
        <v>43.189800000000005</v>
      </c>
      <c r="J58" s="400"/>
    </row>
    <row r="59" spans="1:10" ht="18.75">
      <c r="A59" s="426" t="str">
        <f>'2e trim 2016'!A36</f>
        <v>05.2016</v>
      </c>
      <c r="B59" s="426">
        <f>'2e trim 2016'!B36</f>
        <v>930785</v>
      </c>
      <c r="C59" s="652"/>
      <c r="D59" s="625" t="str">
        <f>'2e trim 2016'!D36</f>
        <v>BSH</v>
      </c>
      <c r="E59" s="362"/>
      <c r="F59" s="237">
        <f>'2e trim 2016'!F36</f>
        <v>0</v>
      </c>
      <c r="G59" s="25">
        <f>'2e trim 2016'!G36</f>
        <v>0</v>
      </c>
      <c r="H59" s="345"/>
      <c r="I59" s="143">
        <f>'2e trim 2016'!I36</f>
        <v>176.39999999999995</v>
      </c>
      <c r="J59" s="400"/>
    </row>
    <row r="60" spans="1:10" ht="18.75">
      <c r="A60" s="426" t="str">
        <f>'2e trim 2016'!A16</f>
        <v>04.2016</v>
      </c>
      <c r="B60" s="426">
        <f>'2e trim 2016'!B16</f>
        <v>280615</v>
      </c>
      <c r="C60" s="652"/>
      <c r="D60" s="338" t="str">
        <f>'2e trim 2016'!D16</f>
        <v>MOBILE</v>
      </c>
      <c r="E60" s="362"/>
      <c r="F60" s="237">
        <f>'2e trim 2016'!F16</f>
        <v>0</v>
      </c>
      <c r="G60" s="25">
        <f>'2e trim 2016'!G16</f>
        <v>0</v>
      </c>
      <c r="H60" s="345"/>
      <c r="I60" s="143">
        <f>'2e trim 2016'!I16</f>
        <v>50.8</v>
      </c>
      <c r="J60" s="400"/>
    </row>
    <row r="61" spans="1:10" ht="18.75">
      <c r="A61" s="426" t="str">
        <f>'2eme trim 2017 '!A17</f>
        <v>04.2017</v>
      </c>
      <c r="B61" s="426">
        <f>'2eme trim 2017 '!B17</f>
        <v>117637</v>
      </c>
      <c r="C61" s="652"/>
      <c r="D61" s="338" t="str">
        <f>'2eme trim 2017 '!D17</f>
        <v>REEBOU FAMILY</v>
      </c>
      <c r="E61" s="362"/>
      <c r="F61" s="237">
        <f>'2eme trim 2017 '!F17</f>
        <v>0</v>
      </c>
      <c r="G61" s="25">
        <f>'2eme trim 2017 '!G17</f>
        <v>0</v>
      </c>
      <c r="H61" s="345"/>
      <c r="I61" s="143">
        <f>'2eme trim 2017 '!I17</f>
        <v>39.756</v>
      </c>
      <c r="J61" s="400"/>
    </row>
    <row r="62" spans="1:10" ht="18.75">
      <c r="A62" s="426" t="str">
        <f>'1er trim 2017'!A60</f>
        <v>03.2017</v>
      </c>
      <c r="B62" s="426">
        <f>'1er trim 2017'!B60</f>
        <v>944900</v>
      </c>
      <c r="C62" s="652"/>
      <c r="D62" s="338" t="str">
        <f>'1er trim 2017'!D60</f>
        <v>MOBILE</v>
      </c>
      <c r="E62" s="362"/>
      <c r="F62" s="237">
        <f>'1er trim 2017'!F60</f>
        <v>0</v>
      </c>
      <c r="G62" s="25">
        <f>'1er trim 2017'!G60</f>
        <v>0</v>
      </c>
      <c r="H62" s="345"/>
      <c r="I62" s="143">
        <f>'1er trim 2017'!I60</f>
        <v>40.513199999999998</v>
      </c>
      <c r="J62" s="400"/>
    </row>
    <row r="63" spans="1:10">
      <c r="A63" s="529" t="str">
        <f>'3eme trim 2017  '!A33</f>
        <v>07.2017</v>
      </c>
      <c r="B63" s="531">
        <f>'3eme trim 2017  '!B33</f>
        <v>944900</v>
      </c>
      <c r="C63" s="657"/>
      <c r="D63" s="22" t="str">
        <f>'3eme trim 2017  '!D33</f>
        <v>REEBOU FAMILY</v>
      </c>
      <c r="E63" s="22"/>
      <c r="F63" s="240">
        <f>'3eme trim 2017  '!F33</f>
        <v>0</v>
      </c>
      <c r="G63" s="22">
        <f>'3eme trim 2017  '!G33</f>
        <v>0</v>
      </c>
      <c r="H63" s="346"/>
      <c r="I63" s="143">
        <f>'3eme trim 2017  '!I33</f>
        <v>29.704799999999999</v>
      </c>
      <c r="J63" s="398"/>
    </row>
    <row r="64" spans="1:10" ht="18.75">
      <c r="A64" s="426" t="str">
        <f>'4eme trim 2017  '!A44</f>
        <v>10.2017</v>
      </c>
      <c r="B64" s="426">
        <f>'4eme trim 2017  '!B44</f>
        <v>523424</v>
      </c>
      <c r="C64" s="652"/>
      <c r="D64" s="338" t="str">
        <f>'4eme trim 2017  '!D44</f>
        <v>HORIZONT60Invest</v>
      </c>
      <c r="E64" s="362"/>
      <c r="F64" s="237">
        <f>'4eme trim 2017  '!F44</f>
        <v>0</v>
      </c>
      <c r="G64" s="25">
        <f>'4eme trim 2017  '!G44</f>
        <v>2031</v>
      </c>
      <c r="H64" s="345"/>
      <c r="I64" s="143">
        <f>'4eme trim 2017  '!I44</f>
        <v>185.47200000000001</v>
      </c>
      <c r="J64" s="398"/>
    </row>
    <row r="65" spans="1:10" ht="18.75">
      <c r="A65" s="426" t="str">
        <f>'4ème trim 2016'!A54</f>
        <v>12.2016</v>
      </c>
      <c r="B65" s="426">
        <f>'4ème trim 2016'!B54</f>
        <v>566467</v>
      </c>
      <c r="C65" s="657"/>
      <c r="D65" s="338" t="str">
        <f>'4ème trim 2016'!D54</f>
        <v>MOBILE 2007</v>
      </c>
      <c r="E65" s="360"/>
      <c r="F65" s="237">
        <f>'4ème trim 2016'!F54</f>
        <v>0</v>
      </c>
      <c r="G65" s="22">
        <f>'4ème trim 2016'!G54</f>
        <v>0</v>
      </c>
      <c r="H65" s="140"/>
      <c r="I65" s="345">
        <f>'4ème trim 2016'!I54</f>
        <v>95.383700000000005</v>
      </c>
      <c r="J65" s="415"/>
    </row>
    <row r="66" spans="1:10" ht="18.75">
      <c r="A66" s="426" t="str">
        <f>'4ème trim 2016'!A55</f>
        <v>12.2016</v>
      </c>
      <c r="B66" s="426">
        <f>'4ème trim 2016'!B55</f>
        <v>566467</v>
      </c>
      <c r="C66" s="652"/>
      <c r="D66" s="338" t="str">
        <f>'4ème trim 2016'!D55</f>
        <v>REEBOU FAMILY</v>
      </c>
      <c r="E66" s="362"/>
      <c r="F66" s="237">
        <f>'4ème trim 2016'!F55</f>
        <v>0</v>
      </c>
      <c r="G66" s="25">
        <f>'4ème trim 2016'!G55</f>
        <v>0</v>
      </c>
      <c r="H66" s="345"/>
      <c r="I66" s="143">
        <f>'4ème trim 2016'!I55</f>
        <v>270.88</v>
      </c>
      <c r="J66" s="399"/>
    </row>
    <row r="67" spans="1:10" ht="18.75">
      <c r="A67" s="426" t="str">
        <f>'4eme trim 2017  '!A57</f>
        <v>11.2017</v>
      </c>
      <c r="B67" s="426">
        <f>'4eme trim 2017  '!B57</f>
        <v>787557</v>
      </c>
      <c r="C67" s="652"/>
      <c r="D67" s="338" t="str">
        <f>'4eme trim 2017  '!D57</f>
        <v>MOBILE2016</v>
      </c>
      <c r="E67" s="362"/>
      <c r="F67" s="237">
        <f>'4eme trim 2017  '!F57</f>
        <v>0</v>
      </c>
      <c r="G67" s="25">
        <f>'4eme trim 2017  '!G57</f>
        <v>0</v>
      </c>
      <c r="H67" s="143"/>
      <c r="I67" s="345">
        <f>'4eme trim 2017  '!I57</f>
        <v>118.9376</v>
      </c>
      <c r="J67" s="398"/>
    </row>
    <row r="68" spans="1:10" ht="18.75">
      <c r="A68" s="593" t="str">
        <f>'4eme trim 2017  '!A58</f>
        <v>11.2017</v>
      </c>
      <c r="B68" s="593">
        <f>'4eme trim 2017  '!B58</f>
        <v>787557</v>
      </c>
      <c r="C68" s="696"/>
      <c r="D68" s="634" t="str">
        <f>'4eme trim 2017  '!D58</f>
        <v>HORIZONT60Invest</v>
      </c>
      <c r="E68" s="635"/>
      <c r="F68" s="636">
        <f>'4eme trim 2017  '!F58</f>
        <v>0</v>
      </c>
      <c r="G68" s="637">
        <f>'4eme trim 2017  '!G58</f>
        <v>2043</v>
      </c>
      <c r="H68" s="712"/>
      <c r="I68" s="143">
        <f>'4eme trim 2017  '!I58</f>
        <v>374.4</v>
      </c>
      <c r="J68" s="398"/>
    </row>
    <row r="69" spans="1:10" ht="18.75">
      <c r="A69" s="426" t="str">
        <f>'1er Trimestre 2018'!A35</f>
        <v>02.2018</v>
      </c>
      <c r="B69" s="426">
        <f>'1er Trimestre 2018'!B35</f>
        <v>982848</v>
      </c>
      <c r="C69" s="652"/>
      <c r="D69" s="338" t="str">
        <f>'1er Trimestre 2018'!D35</f>
        <v>MOBILE2016</v>
      </c>
      <c r="E69" s="362"/>
      <c r="F69" s="237">
        <f>'1er Trimestre 2018'!F35</f>
        <v>0</v>
      </c>
      <c r="G69" s="25">
        <f>'1er Trimestre 2018'!G35</f>
        <v>0</v>
      </c>
      <c r="H69" s="345"/>
      <c r="I69" s="143">
        <f>'1er Trimestre 2018'!I35</f>
        <v>91.905749999999998</v>
      </c>
    </row>
    <row r="70" spans="1:10" ht="18.75">
      <c r="A70" s="426" t="str">
        <f>'2eme trim 2017 '!A67</f>
        <v>06.2017</v>
      </c>
      <c r="B70" s="426">
        <f>'2eme trim 2017 '!B67</f>
        <v>559803</v>
      </c>
      <c r="C70" s="657"/>
      <c r="D70" s="338" t="str">
        <f>'2eme trim 2017 '!D67</f>
        <v>REEBOU FAMILY</v>
      </c>
      <c r="E70" s="362"/>
      <c r="F70" s="237">
        <f>'2eme trim 2017 '!F67</f>
        <v>0</v>
      </c>
      <c r="G70" s="25">
        <f>'2eme trim 2017 '!G67</f>
        <v>0</v>
      </c>
      <c r="H70" s="143"/>
      <c r="I70" s="345">
        <f>'2eme trim 2017 '!I67</f>
        <v>24.155999999999999</v>
      </c>
      <c r="J70" s="400"/>
    </row>
    <row r="71" spans="1:10" ht="18.75">
      <c r="A71" s="425" t="str">
        <f>'2e trim 2016'!A61</f>
        <v>06.2016</v>
      </c>
      <c r="B71" s="426">
        <f>'2e trim 2016'!B61</f>
        <v>294392</v>
      </c>
      <c r="C71" s="652"/>
      <c r="D71" s="338" t="str">
        <f>'2e trim 2016'!D61</f>
        <v>REEBOU start</v>
      </c>
      <c r="E71" s="362"/>
      <c r="F71" s="237">
        <f>'2e trim 2016'!F61</f>
        <v>0</v>
      </c>
      <c r="G71" s="25">
        <f>'2e trim 2016'!G61</f>
        <v>0</v>
      </c>
      <c r="H71" s="345"/>
      <c r="I71" s="143">
        <f>'2e trim 2016'!I61</f>
        <v>12.104000000000001</v>
      </c>
      <c r="J71" s="400"/>
    </row>
    <row r="72" spans="1:10" ht="18.75">
      <c r="A72" s="425" t="str">
        <f>'4ème trim 2016'!A48</f>
        <v>11.2016</v>
      </c>
      <c r="B72" s="426">
        <f>'4ème trim 2016'!B48</f>
        <v>294392</v>
      </c>
      <c r="C72" s="652"/>
      <c r="D72" s="338" t="str">
        <f>'4ème trim 2016'!D48</f>
        <v>MOBILE 2007</v>
      </c>
      <c r="E72" s="362"/>
      <c r="F72" s="237">
        <f>'4ème trim 2016'!F48</f>
        <v>0</v>
      </c>
      <c r="G72" s="25">
        <f>'4ème trim 2016'!G48</f>
        <v>0</v>
      </c>
      <c r="H72" s="345"/>
      <c r="I72" s="143">
        <f>'4ème trim 2016'!I48</f>
        <v>134.0112</v>
      </c>
      <c r="J72" s="400"/>
    </row>
    <row r="73" spans="1:10">
      <c r="A73" s="650" t="str">
        <f>'3eme trim 2017  '!A41</f>
        <v>07.2017</v>
      </c>
      <c r="B73" s="651">
        <f>'3eme trim 2017  '!B41</f>
        <v>789809</v>
      </c>
      <c r="C73" s="665"/>
      <c r="D73" s="574" t="str">
        <f>'3eme trim 2017  '!D41</f>
        <v>MEDICIS GROUP</v>
      </c>
      <c r="E73" s="574"/>
      <c r="F73" s="583">
        <f>'3eme trim 2017  '!F41</f>
        <v>0</v>
      </c>
      <c r="G73" s="574">
        <f>'3eme trim 2017  '!G41</f>
        <v>0</v>
      </c>
      <c r="H73" s="552"/>
      <c r="I73" s="355">
        <f>'3eme trim 2017  '!I41</f>
        <v>134.16374999999999</v>
      </c>
      <c r="J73" s="400" t="s">
        <v>640</v>
      </c>
    </row>
    <row r="74" spans="1:10" ht="18.75">
      <c r="A74" s="557" t="str">
        <f>'2eme trim 2017 '!A64</f>
        <v>06.2017</v>
      </c>
      <c r="B74" s="546">
        <f>'2eme trim 2017 '!B64</f>
        <v>789809</v>
      </c>
      <c r="C74" s="663"/>
      <c r="D74" s="547" t="str">
        <f>'2eme trim 2017 '!D64</f>
        <v>MEDICIS</v>
      </c>
      <c r="E74" s="548"/>
      <c r="F74" s="549">
        <f>'2eme trim 2017 '!F64</f>
        <v>0</v>
      </c>
      <c r="G74" s="550">
        <f>'2eme trim 2017 '!G64</f>
        <v>0</v>
      </c>
      <c r="H74" s="551"/>
      <c r="I74" s="355">
        <f>'2eme trim 2017 '!I64</f>
        <v>134.16374999999999</v>
      </c>
      <c r="J74" s="400" t="s">
        <v>640</v>
      </c>
    </row>
    <row r="75" spans="1:10" ht="18.75">
      <c r="A75" s="425" t="str">
        <f>'2eme trim 2017 '!A48</f>
        <v>05.2017</v>
      </c>
      <c r="B75" s="426">
        <f>'2eme trim 2017 '!B48</f>
        <v>715253</v>
      </c>
      <c r="C75" s="652"/>
      <c r="D75" s="338" t="str">
        <f>'2eme trim 2017 '!D48</f>
        <v>LOGGIA</v>
      </c>
      <c r="E75" s="362"/>
      <c r="F75" s="237">
        <f>'2eme trim 2017 '!F48</f>
        <v>0</v>
      </c>
      <c r="G75" s="25">
        <f>'2eme trim 2017 '!G48</f>
        <v>0</v>
      </c>
      <c r="H75" s="345"/>
      <c r="I75" s="355">
        <f>'2eme trim 2017 '!I48</f>
        <v>108.76679999999999</v>
      </c>
      <c r="J75" s="400"/>
    </row>
    <row r="76" spans="1:10" ht="18.75">
      <c r="A76" s="425" t="str">
        <f>'2eme trim 2017 '!A49</f>
        <v>05.2017</v>
      </c>
      <c r="B76" s="426">
        <f>'2eme trim 2017 '!B49</f>
        <v>715253</v>
      </c>
      <c r="C76" s="652"/>
      <c r="D76" s="338" t="str">
        <f>'2eme trim 2017 '!D49</f>
        <v>LOGGIA</v>
      </c>
      <c r="E76" s="362"/>
      <c r="F76" s="237">
        <f>'2eme trim 2017 '!F49</f>
        <v>0</v>
      </c>
      <c r="G76" s="25">
        <f>'2eme trim 2017 '!G49</f>
        <v>0</v>
      </c>
      <c r="H76" s="345"/>
      <c r="I76" s="355">
        <f>'2eme trim 2017 '!I49</f>
        <v>53.6496</v>
      </c>
      <c r="J76" s="400"/>
    </row>
    <row r="77" spans="1:10" ht="18.75">
      <c r="A77" s="557" t="str">
        <f>'1er trim 2017'!A42</f>
        <v>02.2017</v>
      </c>
      <c r="B77" s="546">
        <f>'1er trim 2017'!B42</f>
        <v>119792</v>
      </c>
      <c r="C77" s="665"/>
      <c r="D77" s="547" t="str">
        <f>'1er trim 2017'!D42</f>
        <v>HORIZONT 60 CAPI</v>
      </c>
      <c r="E77" s="572"/>
      <c r="F77" s="573">
        <f>'1er trim 2017'!F42</f>
        <v>0</v>
      </c>
      <c r="G77" s="574">
        <f>'1er trim 2017'!G42</f>
        <v>2029</v>
      </c>
      <c r="H77" s="552"/>
      <c r="I77" s="575">
        <f>'1er trim 2017'!I42</f>
        <v>460.79999999999995</v>
      </c>
      <c r="J77" s="576" t="s">
        <v>616</v>
      </c>
    </row>
    <row r="78" spans="1:10">
      <c r="A78" s="526" t="str">
        <f>'3eme trim 2017  '!A51</f>
        <v>08.2017</v>
      </c>
      <c r="B78" s="529">
        <f>'3eme trim 2017  '!B51</f>
        <v>964206</v>
      </c>
      <c r="C78" s="652"/>
      <c r="D78" s="25" t="str">
        <f>'3eme trim 2017  '!D51</f>
        <v>MOBILE2016</v>
      </c>
      <c r="E78" s="25"/>
      <c r="F78" s="240">
        <f>'3eme trim 2017  '!F51</f>
        <v>0</v>
      </c>
      <c r="G78" s="25">
        <f>'3eme trim 2017  '!G51</f>
        <v>0</v>
      </c>
      <c r="H78" s="345"/>
      <c r="I78" s="534">
        <f>'3eme trim 2017  '!I51</f>
        <v>71.221100000000007</v>
      </c>
      <c r="J78" s="398"/>
    </row>
    <row r="79" spans="1:10" ht="18.75">
      <c r="A79" s="633" t="str">
        <f>'1er Trimestre 2018'!A31</f>
        <v>02.2018</v>
      </c>
      <c r="B79" s="593">
        <f>'1er Trimestre 2018'!B31</f>
        <v>964206</v>
      </c>
      <c r="C79" s="696"/>
      <c r="D79" s="634" t="str">
        <f>'1er Trimestre 2018'!D31</f>
        <v>HORIZONT60Invest</v>
      </c>
      <c r="E79" s="635"/>
      <c r="F79" s="636">
        <f>'1er Trimestre 2018'!F31</f>
        <v>0</v>
      </c>
      <c r="G79" s="637">
        <f>'1er Trimestre 2018'!G31</f>
        <v>2032</v>
      </c>
      <c r="H79" s="638"/>
      <c r="I79" s="143">
        <f>'1er Trimestre 2018'!I31</f>
        <v>446.88</v>
      </c>
      <c r="J79" s="398"/>
    </row>
    <row r="80" spans="1:10" ht="18.75">
      <c r="A80" s="425" t="str">
        <f>'3eme trim 2017  '!A78</f>
        <v>09.2017</v>
      </c>
      <c r="B80" s="426">
        <f>'3eme trim 2017  '!B78</f>
        <v>964206</v>
      </c>
      <c r="C80" s="652"/>
      <c r="D80" s="338" t="str">
        <f>'3eme trim 2017  '!D78</f>
        <v>REEBOU Family</v>
      </c>
      <c r="E80" s="362"/>
      <c r="F80" s="237">
        <f>'3eme trim 2017  '!F78</f>
        <v>0</v>
      </c>
      <c r="G80" s="25">
        <f>'3eme trim 2017  '!G78</f>
        <v>0</v>
      </c>
      <c r="H80" s="345"/>
      <c r="I80" s="143">
        <f>'3eme trim 2017  '!I78</f>
        <v>44.840400000000002</v>
      </c>
      <c r="J80" s="398"/>
    </row>
    <row r="81" spans="1:11" ht="18.75">
      <c r="A81" s="425" t="str">
        <f>'4ème trim 2016'!A35</f>
        <v>11.2016</v>
      </c>
      <c r="B81" s="426">
        <f>'4ème trim 2016'!B35</f>
        <v>288235</v>
      </c>
      <c r="C81" s="652"/>
      <c r="D81" s="338" t="str">
        <f>'4ème trim 2016'!D35</f>
        <v>REEBOU FAMILY</v>
      </c>
      <c r="E81" s="362"/>
      <c r="F81" s="237">
        <f>'4ème trim 2016'!F35</f>
        <v>0</v>
      </c>
      <c r="G81" s="25">
        <f>'4ème trim 2016'!G35</f>
        <v>0</v>
      </c>
      <c r="H81" s="345"/>
      <c r="I81" s="143">
        <f>'4ème trim 2016'!I35</f>
        <v>22.901999999999997</v>
      </c>
      <c r="J81" s="398"/>
    </row>
    <row r="82" spans="1:11">
      <c r="A82" s="526" t="str">
        <f>'3eme trim 2017  '!A30</f>
        <v>07.2017</v>
      </c>
      <c r="B82" s="529">
        <f>'3eme trim 2017  '!B30</f>
        <v>960341</v>
      </c>
      <c r="C82" s="666"/>
      <c r="D82" s="28" t="str">
        <f>'3eme trim 2017  '!D30</f>
        <v>REEBOU FAMILY</v>
      </c>
      <c r="E82" s="28"/>
      <c r="F82" s="240">
        <f>'3eme trim 2017  '!F30</f>
        <v>0</v>
      </c>
      <c r="G82" s="28">
        <f>'3eme trim 2017  '!G30</f>
        <v>0</v>
      </c>
      <c r="H82" s="346"/>
      <c r="I82" s="346">
        <f>'3eme trim 2017  '!I30</f>
        <v>24.566399999999998</v>
      </c>
      <c r="J82" s="398"/>
    </row>
    <row r="83" spans="1:11">
      <c r="A83" s="526" t="str">
        <f>'3eme trim 2017  '!A31</f>
        <v>07.2017</v>
      </c>
      <c r="B83" s="531">
        <f>'3eme trim 2017  '!B31</f>
        <v>960341</v>
      </c>
      <c r="C83" s="657"/>
      <c r="D83" s="22" t="str">
        <f>'3eme trim 2017  '!D31</f>
        <v>MOBILE 2016</v>
      </c>
      <c r="E83" s="22"/>
      <c r="F83" s="240">
        <f>'3eme trim 2017  '!F31</f>
        <v>0</v>
      </c>
      <c r="G83" s="22">
        <f>'3eme trim 2017  '!G31</f>
        <v>0</v>
      </c>
      <c r="H83" s="143"/>
      <c r="I83" s="143">
        <f>'3eme trim 2017  '!I31</f>
        <v>126.72</v>
      </c>
      <c r="J83" s="398"/>
    </row>
    <row r="84" spans="1:11">
      <c r="A84" s="526" t="str">
        <f>'3eme trim 2017  '!A32</f>
        <v>07.2017</v>
      </c>
      <c r="B84" s="531">
        <f>'3eme trim 2017  '!B32</f>
        <v>960341</v>
      </c>
      <c r="C84" s="657"/>
      <c r="D84" s="22" t="str">
        <f>'3eme trim 2017  '!D32</f>
        <v>RC ENSEIGNANT</v>
      </c>
      <c r="E84" s="22"/>
      <c r="F84" s="240">
        <f>'3eme trim 2017  '!F32</f>
        <v>0</v>
      </c>
      <c r="G84" s="22">
        <f>'3eme trim 2017  '!G32</f>
        <v>0</v>
      </c>
      <c r="H84" s="143"/>
      <c r="I84" s="143">
        <f>'3eme trim 2017  '!I32</f>
        <v>3.2987999999999995</v>
      </c>
      <c r="J84" s="398"/>
    </row>
    <row r="85" spans="1:11">
      <c r="A85" s="581" t="str">
        <f>'3eme trim 2017  '!A56</f>
        <v>08.2017</v>
      </c>
      <c r="B85" s="582">
        <f>'3eme trim 2017  '!B56</f>
        <v>960341</v>
      </c>
      <c r="C85" s="663"/>
      <c r="D85" s="574" t="str">
        <f>'3eme trim 2017  '!D56</f>
        <v>HORIZONT60invest</v>
      </c>
      <c r="E85" s="550"/>
      <c r="F85" s="583">
        <f>'3eme trim 2017  '!F56</f>
        <v>0</v>
      </c>
      <c r="G85" s="550">
        <f>'3eme trim 2017  '!G56</f>
        <v>2050</v>
      </c>
      <c r="H85" s="551"/>
      <c r="I85" s="551">
        <f>'3eme trim 2017  '!I56</f>
        <v>475.2</v>
      </c>
      <c r="J85" s="576" t="s">
        <v>616</v>
      </c>
    </row>
    <row r="86" spans="1:11" ht="18.75">
      <c r="A86" s="633" t="str">
        <f>'4eme trim 2017  '!A32</f>
        <v>10.2017</v>
      </c>
      <c r="B86" s="593">
        <f>'4eme trim 2017  '!B32</f>
        <v>964321</v>
      </c>
      <c r="C86" s="696"/>
      <c r="D86" s="634" t="str">
        <f>'4eme trim 2017  '!D32</f>
        <v>MEDICIS</v>
      </c>
      <c r="E86" s="635"/>
      <c r="F86" s="636">
        <f>'4eme trim 2017  '!F32</f>
        <v>0</v>
      </c>
      <c r="G86" s="637">
        <f>'4eme trim 2017  '!G32</f>
        <v>0</v>
      </c>
      <c r="H86" s="700"/>
      <c r="I86" s="143">
        <f>'4eme trim 2017  '!I32</f>
        <v>156.17699999999999</v>
      </c>
      <c r="J86" s="398"/>
    </row>
    <row r="87" spans="1:11" ht="18.75">
      <c r="A87" s="545" t="str">
        <f>'4eme trim 2017  '!A71</f>
        <v>12.2017</v>
      </c>
      <c r="B87" s="559">
        <f>'4eme trim 2017  '!B71</f>
        <v>121208</v>
      </c>
      <c r="C87" s="658"/>
      <c r="D87" s="338" t="str">
        <f>'4eme trim 2017  '!D71</f>
        <v>REEBOUpack</v>
      </c>
      <c r="E87" s="560"/>
      <c r="F87" s="561">
        <f>'4eme trim 2017  '!F71</f>
        <v>0</v>
      </c>
      <c r="G87" s="562">
        <f>'4eme trim 2017  '!G71</f>
        <v>0</v>
      </c>
      <c r="H87" s="563"/>
      <c r="I87" s="564">
        <f>'4eme trim 2017  '!I71</f>
        <v>26.494499999999999</v>
      </c>
      <c r="K87" s="556" t="s">
        <v>614</v>
      </c>
    </row>
    <row r="88" spans="1:11" ht="18.75">
      <c r="A88" s="633" t="str">
        <f>'4eme trim 2017  '!A72</f>
        <v>12.2017</v>
      </c>
      <c r="B88" s="593">
        <f>'4eme trim 2017  '!B72</f>
        <v>770987</v>
      </c>
      <c r="C88" s="696"/>
      <c r="D88" s="634" t="str">
        <f>'4eme trim 2017  '!D72</f>
        <v>HORIZONT60Invest</v>
      </c>
      <c r="E88" s="635"/>
      <c r="F88" s="636">
        <f>'4eme trim 2017  '!F72</f>
        <v>0</v>
      </c>
      <c r="G88" s="637">
        <f>'4eme trim 2017  '!G72</f>
        <v>2046</v>
      </c>
      <c r="H88" s="712"/>
      <c r="I88" s="564">
        <f>'4eme trim 2017  '!I72</f>
        <v>250.56</v>
      </c>
    </row>
    <row r="89" spans="1:11" ht="18.75">
      <c r="A89" s="425" t="str">
        <f>'3ème trim 2016'!A25</f>
        <v>07.2016</v>
      </c>
      <c r="B89" s="426">
        <f>'3ème trim 2016'!B25</f>
        <v>123338</v>
      </c>
      <c r="C89" s="652"/>
      <c r="D89" s="338" t="str">
        <f>'3ème trim 2016'!D25</f>
        <v>MOBILE Tr.</v>
      </c>
      <c r="E89" s="362"/>
      <c r="F89" s="237">
        <f>'3ème trim 2016'!F25</f>
        <v>0</v>
      </c>
      <c r="G89" s="25">
        <f>'3ème trim 2016'!G25</f>
        <v>0</v>
      </c>
      <c r="H89" s="345"/>
      <c r="I89" s="143">
        <f>'3ème trim 2016'!I25</f>
        <v>32.012900000000002</v>
      </c>
      <c r="J89" s="398"/>
    </row>
    <row r="90" spans="1:11" ht="18.75">
      <c r="A90" s="425" t="str">
        <f>'3ème trim 2016'!A26</f>
        <v>07.2016</v>
      </c>
      <c r="B90" s="426">
        <f>'3ème trim 2016'!B26</f>
        <v>123340</v>
      </c>
      <c r="C90" s="652"/>
      <c r="D90" s="338" t="str">
        <f>'3ème trim 2016'!D26</f>
        <v>MOBILE Tr.</v>
      </c>
      <c r="E90" s="362"/>
      <c r="F90" s="237">
        <f>'3ème trim 2016'!F26</f>
        <v>0</v>
      </c>
      <c r="G90" s="25">
        <f>'3ème trim 2016'!G26</f>
        <v>0</v>
      </c>
      <c r="H90" s="345"/>
      <c r="I90" s="143">
        <f>'3ème trim 2016'!I26</f>
        <v>31.2562</v>
      </c>
      <c r="J90" s="398"/>
    </row>
    <row r="91" spans="1:11" ht="18.75">
      <c r="A91" s="425" t="str">
        <f>'3ème trim 2016'!A27</f>
        <v>07.2016</v>
      </c>
      <c r="B91" s="426">
        <f>'3ème trim 2016'!B27</f>
        <v>123340</v>
      </c>
      <c r="C91" s="657"/>
      <c r="D91" s="338" t="str">
        <f>'3ème trim 2016'!D27</f>
        <v>REEBOU FAMILY Tr</v>
      </c>
      <c r="E91" s="360"/>
      <c r="F91" s="237">
        <f>'3ème trim 2016'!F27</f>
        <v>0</v>
      </c>
      <c r="G91" s="22">
        <f>'3ème trim 2016'!G27</f>
        <v>0</v>
      </c>
      <c r="H91" s="143"/>
      <c r="I91" s="143">
        <f>'3ème trim 2016'!I27</f>
        <v>45.783599999999993</v>
      </c>
      <c r="J91" s="398"/>
    </row>
    <row r="92" spans="1:11" ht="18.75">
      <c r="A92" s="425" t="str">
        <f>'3ème trim 2016'!A37</f>
        <v>08.2016</v>
      </c>
      <c r="B92" s="426">
        <f>'3ème trim 2016'!B37</f>
        <v>123340</v>
      </c>
      <c r="C92" s="652"/>
      <c r="D92" s="338" t="str">
        <f>'3ème trim 2016'!D37</f>
        <v>REEBOU PACK</v>
      </c>
      <c r="E92" s="362"/>
      <c r="F92" s="237">
        <f>'3ème trim 2016'!F37</f>
        <v>0</v>
      </c>
      <c r="G92" s="25">
        <f>'3ème trim 2016'!G37</f>
        <v>0</v>
      </c>
      <c r="H92" s="345"/>
      <c r="I92" s="143">
        <f>'3ème trim 2016'!I37</f>
        <v>16.631999999999998</v>
      </c>
      <c r="J92" s="398"/>
    </row>
    <row r="93" spans="1:11" ht="18.75">
      <c r="A93" s="425" t="str">
        <f>'4ème trim 2016'!A22</f>
        <v>11.2016</v>
      </c>
      <c r="B93" s="426">
        <f>'4ème trim 2016'!B22</f>
        <v>123340</v>
      </c>
      <c r="C93" s="652"/>
      <c r="D93" s="338" t="str">
        <f>'4ème trim 2016'!D22</f>
        <v>FLEXIVIE</v>
      </c>
      <c r="E93" s="362"/>
      <c r="F93" s="237">
        <f>'4ème trim 2016'!F22</f>
        <v>0</v>
      </c>
      <c r="G93" s="25">
        <f>'4ème trim 2016'!G22</f>
        <v>0</v>
      </c>
      <c r="H93" s="345"/>
      <c r="I93" s="143">
        <f>'4ème trim 2016'!I22</f>
        <v>0</v>
      </c>
      <c r="J93" s="398"/>
    </row>
    <row r="94" spans="1:11" ht="18.75">
      <c r="A94" s="425" t="str">
        <f>'4ème trim 2016'!A53</f>
        <v>12.2016</v>
      </c>
      <c r="B94" s="426">
        <f>'4ème trim 2016'!B53</f>
        <v>265570</v>
      </c>
      <c r="C94" s="652"/>
      <c r="D94" s="338" t="str">
        <f>'4ème trim 2016'!D53</f>
        <v>MOBILE 2007</v>
      </c>
      <c r="E94" s="362"/>
      <c r="F94" s="237">
        <f>'4ème trim 2016'!F53</f>
        <v>0</v>
      </c>
      <c r="G94" s="25">
        <f>'4ème trim 2016'!G53</f>
        <v>0</v>
      </c>
      <c r="H94" s="345"/>
      <c r="I94" s="143">
        <f>'4ème trim 2016'!I53</f>
        <v>179.40800000000002</v>
      </c>
      <c r="J94" s="398"/>
    </row>
    <row r="95" spans="1:11" ht="18.75">
      <c r="A95" s="425" t="str">
        <f>'4eme trim 2017  '!A65</f>
        <v>11.2017</v>
      </c>
      <c r="B95" s="426">
        <f>'4eme trim 2017  '!B65</f>
        <v>811892</v>
      </c>
      <c r="C95" s="652"/>
      <c r="D95" s="338" t="str">
        <f>'4eme trim 2017  '!D65</f>
        <v>REEBOU Family</v>
      </c>
      <c r="E95" s="362"/>
      <c r="F95" s="237">
        <f>'4eme trim 2017  '!F65</f>
        <v>0</v>
      </c>
      <c r="G95" s="25">
        <f>'4eme trim 2017  '!G65</f>
        <v>0</v>
      </c>
      <c r="H95" s="345"/>
      <c r="I95" s="143">
        <f>'4eme trim 2017  '!I65</f>
        <v>50.2776</v>
      </c>
      <c r="J95" s="398"/>
    </row>
    <row r="96" spans="1:11" ht="18.75">
      <c r="A96" s="633" t="str">
        <f>'2e trim 2016'!A58</f>
        <v>06.2016</v>
      </c>
      <c r="B96" s="593">
        <f>'2e trim 2016'!B58</f>
        <v>294899</v>
      </c>
      <c r="C96" s="696"/>
      <c r="D96" s="634" t="str">
        <f>'2e trim 2016'!D58</f>
        <v>SANTE</v>
      </c>
      <c r="E96" s="635"/>
      <c r="F96" s="636">
        <f>'2e trim 2016'!F58</f>
        <v>0</v>
      </c>
      <c r="G96" s="637">
        <f>'2e trim 2016'!G58</f>
        <v>0</v>
      </c>
      <c r="H96" s="638"/>
      <c r="I96" s="143">
        <f>'2e trim 2016'!I58</f>
        <v>98.972999999999985</v>
      </c>
      <c r="J96" s="398"/>
    </row>
    <row r="97" spans="1:10" ht="18.75">
      <c r="A97" s="633" t="str">
        <f>'4ème trim 2016'!A62</f>
        <v>12.2016</v>
      </c>
      <c r="B97" s="593">
        <f>'4ème trim 2016'!B62</f>
        <v>805394</v>
      </c>
      <c r="C97" s="696"/>
      <c r="D97" s="634" t="str">
        <f>'4ème trim 2016'!D62</f>
        <v>SANTE</v>
      </c>
      <c r="E97" s="635"/>
      <c r="F97" s="636">
        <f>'4ème trim 2016'!F62</f>
        <v>0</v>
      </c>
      <c r="G97" s="637">
        <f>'4ème trim 2016'!G62</f>
        <v>0</v>
      </c>
      <c r="H97" s="638"/>
      <c r="I97" s="143">
        <f>'4ème trim 2016'!I62</f>
        <v>53.738999999999997</v>
      </c>
      <c r="J97" s="398"/>
    </row>
    <row r="98" spans="1:10" ht="18.75">
      <c r="A98" s="557" t="str">
        <f>'1er trim 2017'!A57</f>
        <v>03.2017</v>
      </c>
      <c r="B98" s="546">
        <f>'1er trim 2017'!B57</f>
        <v>591621</v>
      </c>
      <c r="C98" s="665"/>
      <c r="D98" s="547" t="str">
        <f>'1er trim 2017'!D57</f>
        <v>MEDICIS</v>
      </c>
      <c r="E98" s="572"/>
      <c r="F98" s="549">
        <f>'1er trim 2017'!F57</f>
        <v>0</v>
      </c>
      <c r="G98" s="574">
        <f>'1er trim 2017'!G57</f>
        <v>0</v>
      </c>
      <c r="H98" s="688"/>
      <c r="I98" s="143">
        <f>'1er trim 2017'!I57</f>
        <v>98.972999999999985</v>
      </c>
      <c r="J98" s="576" t="s">
        <v>641</v>
      </c>
    </row>
    <row r="99" spans="1:10" ht="18.75">
      <c r="A99" s="425" t="str">
        <f>'4ème trim 2016'!A65</f>
        <v>12.2016</v>
      </c>
      <c r="B99" s="426">
        <f>'4ème trim 2016'!B65</f>
        <v>774166</v>
      </c>
      <c r="C99" s="652"/>
      <c r="D99" s="338" t="str">
        <f>'4ème trim 2016'!D65</f>
        <v>REEBOU FAMILY</v>
      </c>
      <c r="E99" s="362"/>
      <c r="F99" s="237">
        <f>'4ème trim 2016'!F65</f>
        <v>0</v>
      </c>
      <c r="G99" s="25">
        <f>'4ème trim 2016'!G65</f>
        <v>0</v>
      </c>
      <c r="H99" s="345"/>
      <c r="I99" s="143">
        <f>'4ème trim 2016'!I65</f>
        <v>77.698799999999991</v>
      </c>
      <c r="J99" s="398"/>
    </row>
    <row r="100" spans="1:10" ht="18.75">
      <c r="A100" s="425" t="str">
        <f>'1er trim 2017'!A18</f>
        <v>01.2017</v>
      </c>
      <c r="B100" s="426">
        <f>'1er trim 2017'!B18</f>
        <v>548742</v>
      </c>
      <c r="C100" s="657"/>
      <c r="D100" s="338" t="str">
        <f>'1er trim 2017'!D18</f>
        <v>REEBOU FAMILY</v>
      </c>
      <c r="E100" s="360"/>
      <c r="F100" s="237">
        <f>'1er trim 2017'!F18</f>
        <v>0</v>
      </c>
      <c r="G100" s="22">
        <f>'1er trim 2017'!G18</f>
        <v>0</v>
      </c>
      <c r="H100" s="140"/>
      <c r="I100" s="141">
        <f>'1er trim 2017'!I18</f>
        <v>25.030799999999999</v>
      </c>
      <c r="J100" s="398"/>
    </row>
    <row r="101" spans="1:10">
      <c r="A101" s="526" t="str">
        <f>'3eme trim 2017  '!A53</f>
        <v>08.2017</v>
      </c>
      <c r="B101" s="531">
        <f>'3eme trim 2017  '!B53</f>
        <v>548742</v>
      </c>
      <c r="C101" s="657"/>
      <c r="D101" s="22" t="str">
        <f>'3eme trim 2017  '!D53</f>
        <v>MOBILE2016</v>
      </c>
      <c r="E101" s="22"/>
      <c r="F101" s="240">
        <f>'3eme trim 2017  '!F53</f>
        <v>0</v>
      </c>
      <c r="G101" s="22">
        <f>'3eme trim 2017  '!G53</f>
        <v>0</v>
      </c>
      <c r="H101" s="143"/>
      <c r="I101" s="143">
        <f>'3eme trim 2017  '!I53</f>
        <v>44.339399999999998</v>
      </c>
      <c r="J101" s="398"/>
    </row>
    <row r="102" spans="1:10">
      <c r="A102" s="526" t="str">
        <f>'3eme trim 2017  '!A54</f>
        <v>08.2017</v>
      </c>
      <c r="B102" s="531">
        <f>'3eme trim 2017  '!B54</f>
        <v>548743</v>
      </c>
      <c r="C102" s="657"/>
      <c r="D102" s="22" t="str">
        <f>'3eme trim 2017  '!D54</f>
        <v>MOBILE2016</v>
      </c>
      <c r="E102" s="22"/>
      <c r="F102" s="240">
        <f>'3eme trim 2017  '!F54</f>
        <v>0</v>
      </c>
      <c r="G102" s="22">
        <f>'3eme trim 2017  '!G54</f>
        <v>0</v>
      </c>
      <c r="H102" s="143"/>
      <c r="I102" s="143">
        <f>'3eme trim 2017  '!I54</f>
        <v>61.694099999999999</v>
      </c>
      <c r="J102" s="398"/>
    </row>
    <row r="103" spans="1:10">
      <c r="A103" s="577" t="str">
        <f>'3eme trim 2017  '!A63</f>
        <v>09.2017</v>
      </c>
      <c r="B103" s="589">
        <f>'3eme trim 2017  '!B63</f>
        <v>729789</v>
      </c>
      <c r="C103" s="667"/>
      <c r="D103" s="590" t="str">
        <f>'3eme trim 2017  '!D63</f>
        <v>HELIOS100Invest</v>
      </c>
      <c r="E103" s="590"/>
      <c r="F103" s="579">
        <f>'3eme trim 2017  '!F63</f>
        <v>0</v>
      </c>
      <c r="G103" s="590">
        <f>'3eme trim 2017  '!G63</f>
        <v>2032</v>
      </c>
      <c r="H103" s="591"/>
      <c r="I103" s="591">
        <f>'3eme trim 2017  '!I63</f>
        <v>145.79999999999998</v>
      </c>
      <c r="J103" s="398"/>
    </row>
    <row r="104" spans="1:10">
      <c r="A104" s="527" t="str">
        <f>'3eme trim 2017  '!A64</f>
        <v>09.2017</v>
      </c>
      <c r="B104" s="531">
        <f>'3eme trim 2017  '!B64</f>
        <v>729790</v>
      </c>
      <c r="C104" s="657"/>
      <c r="D104" s="28" t="str">
        <f>'3eme trim 2017  '!D64</f>
        <v>REEBOU Pack</v>
      </c>
      <c r="E104" s="22"/>
      <c r="F104" s="240" t="str">
        <f>'3eme trim 2017  '!F64</f>
        <v>X</v>
      </c>
      <c r="G104" s="22">
        <f>'3eme trim 2017  '!G64</f>
        <v>0</v>
      </c>
      <c r="H104" s="143"/>
      <c r="I104" s="143">
        <f>'3eme trim 2017  '!I64</f>
        <v>8.5364999999999984</v>
      </c>
      <c r="J104" s="398"/>
    </row>
    <row r="105" spans="1:10">
      <c r="A105" s="527" t="str">
        <f>'3eme trim 2017  '!A65</f>
        <v>09.2017</v>
      </c>
      <c r="B105" s="529">
        <f>'3eme trim 2017  '!B65</f>
        <v>729790</v>
      </c>
      <c r="C105" s="657"/>
      <c r="D105" s="22" t="str">
        <f>'3eme trim 2017  '!D65</f>
        <v>P.J.</v>
      </c>
      <c r="E105" s="22"/>
      <c r="F105" s="240" t="str">
        <f>'3eme trim 2017  '!F65</f>
        <v>X</v>
      </c>
      <c r="G105" s="22">
        <f>'3eme trim 2017  '!G65</f>
        <v>0</v>
      </c>
      <c r="H105" s="143"/>
      <c r="I105" s="143">
        <f>'3eme trim 2017  '!I65</f>
        <v>6.4424999999999999</v>
      </c>
      <c r="J105" s="398"/>
    </row>
    <row r="106" spans="1:10">
      <c r="A106" s="527" t="str">
        <f>'3eme trim 2017  '!A66</f>
        <v>09.2017</v>
      </c>
      <c r="B106" s="528">
        <f>'3eme trim 2017  '!B66</f>
        <v>729789</v>
      </c>
      <c r="C106" s="657"/>
      <c r="D106" s="685" t="str">
        <f>'3eme trim 2017  '!D66</f>
        <v>REEBOU Family</v>
      </c>
      <c r="E106" s="22"/>
      <c r="F106" s="240" t="str">
        <f>'3eme trim 2017  '!F66</f>
        <v>X</v>
      </c>
      <c r="G106" s="22">
        <f>'3eme trim 2017  '!G66</f>
        <v>0</v>
      </c>
      <c r="H106" s="143"/>
      <c r="I106" s="143">
        <f>'3eme trim 2017  '!I66</f>
        <v>19.354199999999999</v>
      </c>
      <c r="J106" s="398"/>
    </row>
    <row r="107" spans="1:10">
      <c r="A107" s="527" t="str">
        <f>'3eme trim 2017  '!A67</f>
        <v>09.2017</v>
      </c>
      <c r="B107" s="528">
        <f>'3eme trim 2017  '!B67</f>
        <v>729789</v>
      </c>
      <c r="C107" s="652"/>
      <c r="D107" s="686" t="str">
        <f>'3eme trim 2017  '!D67</f>
        <v>MOBILE2016</v>
      </c>
      <c r="E107" s="25"/>
      <c r="F107" s="240" t="str">
        <f>'3eme trim 2017  '!F67</f>
        <v>X</v>
      </c>
      <c r="G107" s="25">
        <f>'3eme trim 2017  '!G67</f>
        <v>0</v>
      </c>
      <c r="H107" s="345"/>
      <c r="I107" s="345">
        <f>'3eme trim 2017  '!I67</f>
        <v>87.069199999999995</v>
      </c>
      <c r="J107" s="398"/>
    </row>
    <row r="108" spans="1:10" ht="18.75">
      <c r="A108" s="633" t="str">
        <f>'4eme trim 2017  '!A46</f>
        <v>10.2017</v>
      </c>
      <c r="B108" s="593">
        <f>'4eme trim 2017  '!B46</f>
        <v>729789</v>
      </c>
      <c r="C108" s="696"/>
      <c r="D108" s="634" t="str">
        <f>'4eme trim 2017  '!D46</f>
        <v>MEDICIS</v>
      </c>
      <c r="E108" s="635"/>
      <c r="F108" s="636">
        <f>'4eme trim 2017  '!F46</f>
        <v>0</v>
      </c>
      <c r="G108" s="637">
        <f>'4eme trim 2017  '!G46</f>
        <v>0</v>
      </c>
      <c r="H108" s="638"/>
      <c r="I108" s="143">
        <f>'4eme trim 2017  '!I46</f>
        <v>120.456</v>
      </c>
      <c r="J108" s="398"/>
    </row>
    <row r="109" spans="1:10" ht="18.75">
      <c r="A109" s="571" t="str">
        <f>'4eme trim 2017  '!A90</f>
        <v>12.2017</v>
      </c>
      <c r="B109" s="584">
        <f>'4eme trim 2017  '!B90</f>
        <v>729789</v>
      </c>
      <c r="C109" s="668"/>
      <c r="D109" s="579" t="str">
        <f>'4eme trim 2017  '!D90</f>
        <v>HELIOS100Invest</v>
      </c>
      <c r="E109" s="585"/>
      <c r="F109" s="586">
        <f>'4eme trim 2017  '!F90</f>
        <v>0</v>
      </c>
      <c r="G109" s="587">
        <f>'4eme trim 2017  '!G90</f>
        <v>2032</v>
      </c>
      <c r="H109" s="588"/>
      <c r="I109" s="588">
        <f>'4eme trim 2017  '!I90</f>
        <v>-145.79999999999998</v>
      </c>
      <c r="J109" s="443" t="str">
        <f>'4eme trim 2017  '!K90</f>
        <v>Erreur tx com</v>
      </c>
    </row>
    <row r="110" spans="1:10" ht="18.75">
      <c r="A110" s="571" t="str">
        <f>'4eme trim 2017  '!A91</f>
        <v>12.2017</v>
      </c>
      <c r="B110" s="584">
        <f>'4eme trim 2017  '!B91</f>
        <v>729789</v>
      </c>
      <c r="C110" s="668"/>
      <c r="D110" s="579" t="str">
        <f>'4eme trim 2017  '!D91</f>
        <v>HELIOS100Invest</v>
      </c>
      <c r="E110" s="585"/>
      <c r="F110" s="586">
        <f>'4eme trim 2017  '!F91</f>
        <v>0</v>
      </c>
      <c r="G110" s="587">
        <f>'4eme trim 2017  '!G91</f>
        <v>2032</v>
      </c>
      <c r="H110" s="588"/>
      <c r="I110" s="588">
        <f>'4eme trim 2017  '!I91</f>
        <v>162</v>
      </c>
      <c r="J110" s="443" t="str">
        <f>'4eme trim 2017  '!K91</f>
        <v>Rectif.tx com</v>
      </c>
    </row>
    <row r="111" spans="1:10" ht="18.75">
      <c r="A111" s="425" t="str">
        <f>'1er trim 2017'!A71</f>
        <v>03.2017</v>
      </c>
      <c r="B111" s="426">
        <f>'1er trim 2017'!B71</f>
        <v>702294</v>
      </c>
      <c r="C111" s="657"/>
      <c r="D111" s="338" t="str">
        <f>'1er trim 2017'!D71</f>
        <v>MOBILE</v>
      </c>
      <c r="E111" s="360"/>
      <c r="F111" s="237">
        <f>'1er trim 2017'!F71</f>
        <v>0</v>
      </c>
      <c r="G111" s="22">
        <f>'1er trim 2017'!G71</f>
        <v>0</v>
      </c>
      <c r="H111" s="140"/>
      <c r="I111" s="143">
        <f>'1er trim 2017'!I71</f>
        <v>95.262599999999992</v>
      </c>
      <c r="J111" s="398"/>
    </row>
    <row r="112" spans="1:10" ht="18.75">
      <c r="A112" s="571" t="str">
        <f>'4ème trim 2016'!A82</f>
        <v>12.2016</v>
      </c>
      <c r="B112" s="592">
        <f>'4ème trim 2016'!B82</f>
        <v>127021</v>
      </c>
      <c r="C112" s="669"/>
      <c r="D112" s="594" t="str">
        <f>'4ème trim 2016'!D82</f>
        <v>HORIZONT 60 CAPI</v>
      </c>
      <c r="E112" s="595"/>
      <c r="F112" s="586">
        <f>'4ème trim 2016'!F82</f>
        <v>0</v>
      </c>
      <c r="G112" s="578">
        <f>'4ème trim 2016'!G82</f>
        <v>2026</v>
      </c>
      <c r="H112" s="580"/>
      <c r="I112" s="591">
        <f>'4ème trim 2016'!I82</f>
        <v>129.6</v>
      </c>
      <c r="J112" s="398"/>
    </row>
    <row r="113" spans="1:10" ht="18.75">
      <c r="A113" s="425" t="str">
        <f>'1er trim 2017'!A14</f>
        <v>01.2017</v>
      </c>
      <c r="B113" s="426">
        <f>'1er trim 2017'!B14</f>
        <v>591383</v>
      </c>
      <c r="C113" s="652"/>
      <c r="D113" s="338" t="str">
        <f>'1er trim 2017'!D14</f>
        <v>MOBILE 2016</v>
      </c>
      <c r="E113" s="362"/>
      <c r="F113" s="237">
        <f>'1er trim 2017'!F14</f>
        <v>0</v>
      </c>
      <c r="G113" s="25">
        <f>'1er trim 2017'!G14</f>
        <v>0</v>
      </c>
      <c r="H113" s="345"/>
      <c r="I113" s="143">
        <f>'1er trim 2017'!I14</f>
        <v>56.033900000000003</v>
      </c>
      <c r="J113" s="398"/>
    </row>
    <row r="114" spans="1:10" ht="18.75">
      <c r="A114" s="557" t="str">
        <f>'1er trim 2017'!A28</f>
        <v>01.2017</v>
      </c>
      <c r="B114" s="546">
        <f>'1er trim 2017'!B28</f>
        <v>705800</v>
      </c>
      <c r="C114" s="663"/>
      <c r="D114" s="547" t="str">
        <f>'1er trim 2017'!D28</f>
        <v>HORIZONT 60 INVEST</v>
      </c>
      <c r="E114" s="548"/>
      <c r="F114" s="549">
        <f>'1er trim 2017'!F28</f>
        <v>0</v>
      </c>
      <c r="G114" s="550">
        <f>'1er trim 2017'!G28</f>
        <v>2039</v>
      </c>
      <c r="H114" s="551"/>
      <c r="I114" s="552">
        <f>'1er trim 2017'!I28</f>
        <v>446.68799999999999</v>
      </c>
      <c r="J114" s="398" t="s">
        <v>617</v>
      </c>
    </row>
    <row r="115" spans="1:10" ht="18.75">
      <c r="A115" s="425" t="str">
        <f>'4ème trim 2016'!A51</f>
        <v>12.2016</v>
      </c>
      <c r="B115" s="426">
        <f>'4ème trim 2016'!B51</f>
        <v>819472</v>
      </c>
      <c r="C115" s="652"/>
      <c r="D115" s="338" t="str">
        <f>'4ème trim 2016'!D51</f>
        <v>MOBILE 2007</v>
      </c>
      <c r="E115" s="362"/>
      <c r="F115" s="237">
        <f>'4ème trim 2016'!F51</f>
        <v>0</v>
      </c>
      <c r="G115" s="25">
        <f>'4ème trim 2016'!G51</f>
        <v>0</v>
      </c>
      <c r="H115" s="345"/>
      <c r="I115" s="143">
        <f>'4ème trim 2016'!I51</f>
        <v>101.28120000000001</v>
      </c>
      <c r="J115" s="398"/>
    </row>
    <row r="116" spans="1:10" ht="18.75">
      <c r="A116" s="689" t="str">
        <f>'1er trim 2017'!A22</f>
        <v>01.2017</v>
      </c>
      <c r="B116" s="544">
        <f>'1er trim 2017'!B22</f>
        <v>819472</v>
      </c>
      <c r="C116" s="690"/>
      <c r="D116" s="626" t="str">
        <f>'1er trim 2017'!D22</f>
        <v>HORIZONT 60 INVEST</v>
      </c>
      <c r="E116" s="627"/>
      <c r="F116" s="628">
        <f>'1er trim 2017'!F22</f>
        <v>0</v>
      </c>
      <c r="G116" s="629">
        <f>'1er trim 2017'!G22</f>
        <v>2030</v>
      </c>
      <c r="H116" s="631"/>
      <c r="I116" s="143">
        <f>'1er trim 2017'!I22</f>
        <v>171.6</v>
      </c>
      <c r="J116" s="398"/>
    </row>
    <row r="117" spans="1:10" ht="18.75">
      <c r="A117" s="689" t="str">
        <f>'2eme trim 2017 '!A68</f>
        <v>06.2017</v>
      </c>
      <c r="B117" s="544">
        <f>'2eme trim 2017 '!B68</f>
        <v>707630</v>
      </c>
      <c r="C117" s="690"/>
      <c r="D117" s="626" t="str">
        <f>'2eme trim 2017 '!D68</f>
        <v>MEDICIS</v>
      </c>
      <c r="E117" s="627"/>
      <c r="F117" s="628">
        <f>'2eme trim 2017 '!F68</f>
        <v>0</v>
      </c>
      <c r="G117" s="629">
        <f>'2eme trim 2017 '!G68</f>
        <v>0</v>
      </c>
      <c r="H117" s="631"/>
      <c r="I117" s="143">
        <f>'2eme trim 2017 '!I68</f>
        <v>25.389000000000003</v>
      </c>
      <c r="J117" s="398"/>
    </row>
    <row r="118" spans="1:10" ht="18.75">
      <c r="A118" s="689" t="str">
        <f>'1er trim 2017'!A61</f>
        <v>03.2017</v>
      </c>
      <c r="B118" s="544">
        <f>'1er trim 2017'!B61</f>
        <v>662380</v>
      </c>
      <c r="C118" s="690"/>
      <c r="D118" s="626" t="str">
        <f>'1er trim 2017'!D61</f>
        <v>ZENITH 60 Opt. 25</v>
      </c>
      <c r="E118" s="627"/>
      <c r="F118" s="628">
        <f>'1er trim 2017'!F61</f>
        <v>0</v>
      </c>
      <c r="G118" s="629">
        <f>'1er trim 2017'!G61</f>
        <v>2022</v>
      </c>
      <c r="H118" s="631"/>
      <c r="I118" s="345">
        <f>'1er trim 2017'!I61</f>
        <v>354.38472000000002</v>
      </c>
      <c r="J118" s="398" t="s">
        <v>617</v>
      </c>
    </row>
    <row r="119" spans="1:10" ht="18.75">
      <c r="A119" s="425" t="str">
        <f>'1er trim 2017'!A50</f>
        <v>02.2017</v>
      </c>
      <c r="B119" s="426">
        <f>'1er trim 2017'!B50</f>
        <v>784374</v>
      </c>
      <c r="C119" s="652"/>
      <c r="D119" s="625" t="str">
        <f>'1er trim 2017'!D50</f>
        <v>BSH</v>
      </c>
      <c r="E119" s="362"/>
      <c r="F119" s="237">
        <f>'1er trim 2017'!F50</f>
        <v>0</v>
      </c>
      <c r="G119" s="25">
        <f>'1er trim 2017'!G50</f>
        <v>0</v>
      </c>
      <c r="H119" s="345"/>
      <c r="I119" s="143">
        <f>'1er trim 2017'!I50</f>
        <v>168</v>
      </c>
      <c r="J119" s="398"/>
    </row>
    <row r="120" spans="1:10" ht="18.75">
      <c r="A120" s="425" t="str">
        <f>'2eme trim 2017 '!A54</f>
        <v>06.2017</v>
      </c>
      <c r="B120" s="426">
        <f>'2eme trim 2017 '!B54</f>
        <v>761980</v>
      </c>
      <c r="C120" s="652"/>
      <c r="D120" s="338" t="str">
        <f>'2eme trim 2017 '!D54</f>
        <v>MOBILE</v>
      </c>
      <c r="E120" s="362"/>
      <c r="F120" s="237">
        <f>'2eme trim 2017 '!F54</f>
        <v>0</v>
      </c>
      <c r="G120" s="25">
        <f>'2eme trim 2017 '!G54</f>
        <v>0</v>
      </c>
      <c r="H120" s="345"/>
      <c r="I120" s="143">
        <f>'2eme trim 2017 '!I54</f>
        <v>96.568100000000015</v>
      </c>
      <c r="J120" s="398"/>
    </row>
    <row r="121" spans="1:10" ht="18.75">
      <c r="A121" s="689" t="str">
        <f>'1er trim 2017'!A19</f>
        <v>01.2017</v>
      </c>
      <c r="B121" s="544">
        <f>'1er trim 2017'!B19</f>
        <v>314323</v>
      </c>
      <c r="C121" s="690"/>
      <c r="D121" s="626" t="str">
        <f>'1er trim 2017'!D19</f>
        <v>MEDICIS</v>
      </c>
      <c r="E121" s="627"/>
      <c r="F121" s="628">
        <f>'1er trim 2017'!F19</f>
        <v>0</v>
      </c>
      <c r="G121" s="629">
        <f>'1er trim 2017'!G19</f>
        <v>0</v>
      </c>
      <c r="H121" s="631"/>
      <c r="I121" s="143">
        <f>'1er trim 2017'!I19</f>
        <v>236.98500000000001</v>
      </c>
      <c r="J121" s="398"/>
    </row>
    <row r="122" spans="1:10" ht="18.75">
      <c r="A122" s="425" t="str">
        <f>'1er Trimestre 2018'!A28</f>
        <v>02.2018</v>
      </c>
      <c r="B122" s="426">
        <f>'1er Trimestre 2018'!B28</f>
        <v>300245</v>
      </c>
      <c r="C122" s="652"/>
      <c r="D122" s="338" t="str">
        <f>'1er Trimestre 2018'!D28</f>
        <v>MOBILE2016</v>
      </c>
      <c r="E122" s="362"/>
      <c r="F122" s="237">
        <f>'1er Trimestre 2018'!F28</f>
        <v>0</v>
      </c>
      <c r="G122" s="25">
        <f>'1er Trimestre 2018'!G28</f>
        <v>0</v>
      </c>
      <c r="H122" s="345"/>
      <c r="I122" s="143">
        <f>'1er Trimestre 2018'!I28</f>
        <v>110.10250000000001</v>
      </c>
      <c r="J122" s="398"/>
    </row>
    <row r="123" spans="1:10" ht="18.75">
      <c r="A123" s="425" t="str">
        <f>'3ème trim 2016'!A33</f>
        <v>07.2016</v>
      </c>
      <c r="B123" s="426">
        <f>'3ème trim 2016'!B33</f>
        <v>300245</v>
      </c>
      <c r="C123" s="652"/>
      <c r="D123" s="338" t="str">
        <f>'3ème trim 2016'!D33</f>
        <v>P.J.</v>
      </c>
      <c r="E123" s="362"/>
      <c r="F123" s="237">
        <f>'3ème trim 2016'!F33</f>
        <v>0</v>
      </c>
      <c r="G123" s="25">
        <f>'3ème trim 2016'!G33</f>
        <v>0</v>
      </c>
      <c r="H123" s="345"/>
      <c r="I123" s="143">
        <f>'3ème trim 2016'!I33</f>
        <v>20.030399999999997</v>
      </c>
      <c r="J123" s="398"/>
    </row>
    <row r="124" spans="1:10">
      <c r="A124" s="526" t="str">
        <f>'3eme trim 2017  '!A52</f>
        <v>08.2017</v>
      </c>
      <c r="B124" s="528">
        <f>'3eme trim 2017  '!B52</f>
        <v>300245</v>
      </c>
      <c r="C124" s="666"/>
      <c r="D124" s="28" t="str">
        <f>'3eme trim 2017  '!D52</f>
        <v>HORIZONT60invest</v>
      </c>
      <c r="E124" s="28"/>
      <c r="F124" s="240">
        <f>'3eme trim 2017  '!F52</f>
        <v>0</v>
      </c>
      <c r="G124" s="28">
        <f>'3eme trim 2017  '!G52</f>
        <v>2052</v>
      </c>
      <c r="H124" s="346"/>
      <c r="I124" s="346">
        <f>'3eme trim 2017  '!I52</f>
        <v>252</v>
      </c>
      <c r="J124" s="398"/>
    </row>
    <row r="125" spans="1:10" ht="18.75">
      <c r="A125" s="425" t="str">
        <f>'2eme trim 2017 '!A56</f>
        <v>06.2017</v>
      </c>
      <c r="B125" s="426">
        <f>'2eme trim 2017 '!B56</f>
        <v>951455</v>
      </c>
      <c r="C125" s="652"/>
      <c r="D125" s="338" t="str">
        <f>'2eme trim 2017 '!D56</f>
        <v>REEBOU PRO</v>
      </c>
      <c r="E125" s="362"/>
      <c r="F125" s="237">
        <f>'2eme trim 2017 '!F56</f>
        <v>0</v>
      </c>
      <c r="G125" s="25">
        <f>'2eme trim 2017 '!G56</f>
        <v>0</v>
      </c>
      <c r="H125" s="345"/>
      <c r="I125" s="143">
        <f>'2eme trim 2017 '!I56</f>
        <v>38.302799999999998</v>
      </c>
      <c r="J125" s="398"/>
    </row>
    <row r="126" spans="1:10" ht="18.75">
      <c r="A126" s="425" t="str">
        <f>'1er Trimestre 2018'!A39</f>
        <v>02.2018</v>
      </c>
      <c r="B126" s="426">
        <f>'1er Trimestre 2018'!B39</f>
        <v>983074</v>
      </c>
      <c r="C126" s="652"/>
      <c r="D126" s="338" t="str">
        <f>'1er Trimestre 2018'!D39</f>
        <v>MOBILE2016</v>
      </c>
      <c r="E126" s="362"/>
      <c r="F126" s="237">
        <f>'1er Trimestre 2018'!F39</f>
        <v>0</v>
      </c>
      <c r="G126" s="25">
        <f>'1er Trimestre 2018'!G39</f>
        <v>0</v>
      </c>
      <c r="H126" s="345"/>
      <c r="I126" s="143">
        <f>'1er Trimestre 2018'!I39</f>
        <v>65.396150000000006</v>
      </c>
      <c r="J126" s="398"/>
    </row>
    <row r="127" spans="1:10" ht="18.75">
      <c r="A127" s="689" t="str">
        <f>'1er trim 2017'!A17</f>
        <v>01.2017</v>
      </c>
      <c r="B127" s="544">
        <f>'1er trim 2017'!B17</f>
        <v>731291</v>
      </c>
      <c r="C127" s="691"/>
      <c r="D127" s="626" t="str">
        <f>'1er trim 2017'!D17</f>
        <v>HORIZONT 60 INVEST</v>
      </c>
      <c r="E127" s="627"/>
      <c r="F127" s="692">
        <f>'1er trim 2017'!F17</f>
        <v>0</v>
      </c>
      <c r="G127" s="693">
        <f>'1er trim 2017'!G17</f>
        <v>2036</v>
      </c>
      <c r="H127" s="631"/>
      <c r="I127" s="450">
        <f>'1er trim 2017'!I17</f>
        <v>342</v>
      </c>
      <c r="J127" s="401" t="s">
        <v>618</v>
      </c>
    </row>
    <row r="128" spans="1:10" ht="18.75">
      <c r="A128" s="425" t="str">
        <f>'1er trim 2017'!A47</f>
        <v>02.2017</v>
      </c>
      <c r="B128" s="426">
        <f>'1er trim 2017'!B47</f>
        <v>515456</v>
      </c>
      <c r="C128" s="671"/>
      <c r="D128" s="338" t="str">
        <f>'1er trim 2017'!D47</f>
        <v>REEBOU FAMILY</v>
      </c>
      <c r="E128" s="360"/>
      <c r="F128" s="237">
        <f>'1er trim 2017'!F47</f>
        <v>0</v>
      </c>
      <c r="G128" s="22">
        <f>'1er trim 2017'!G47</f>
        <v>0</v>
      </c>
      <c r="H128" s="140"/>
      <c r="I128" s="143">
        <f>'1er trim 2017'!I47</f>
        <v>28.231199999999998</v>
      </c>
      <c r="J128" s="401"/>
    </row>
    <row r="129" spans="1:10" ht="18.75">
      <c r="A129" s="425" t="str">
        <f>'1er trim 2017'!A65</f>
        <v>03.2017</v>
      </c>
      <c r="B129" s="426">
        <f>'1er trim 2017'!B65</f>
        <v>297299</v>
      </c>
      <c r="C129" s="652"/>
      <c r="D129" s="338" t="str">
        <f>'1er trim 2017'!D65</f>
        <v>REEBOU FAMILY</v>
      </c>
      <c r="E129" s="362"/>
      <c r="F129" s="237">
        <f>'1er trim 2017'!F65</f>
        <v>0</v>
      </c>
      <c r="G129" s="25">
        <f>'1er trim 2017'!G65</f>
        <v>0</v>
      </c>
      <c r="H129" s="345"/>
      <c r="I129" s="143">
        <f>'1er trim 2017'!I65</f>
        <v>26.9772</v>
      </c>
      <c r="J129" s="398"/>
    </row>
    <row r="130" spans="1:10" ht="18.75">
      <c r="A130" s="425" t="str">
        <f>'1er trim 2017'!A66</f>
        <v>03.2017</v>
      </c>
      <c r="B130" s="426">
        <f>'1er trim 2017'!B66</f>
        <v>297299</v>
      </c>
      <c r="C130" s="652"/>
      <c r="D130" s="338" t="str">
        <f>'1er trim 2017'!D66</f>
        <v>PACK REEBOU</v>
      </c>
      <c r="E130" s="362"/>
      <c r="F130" s="237">
        <f>'1er trim 2017'!F66</f>
        <v>0</v>
      </c>
      <c r="G130" s="25">
        <f>'1er trim 2017'!G66</f>
        <v>0</v>
      </c>
      <c r="H130" s="345"/>
      <c r="I130" s="143">
        <f>'1er trim 2017'!I66</f>
        <v>16.813500000000001</v>
      </c>
      <c r="J130" s="398"/>
    </row>
    <row r="131" spans="1:10" ht="18.75">
      <c r="A131" s="425" t="str">
        <f>'4ème trim 2016'!A70</f>
        <v>12.2016</v>
      </c>
      <c r="B131" s="426">
        <f>'4ème trim 2016'!B70</f>
        <v>515456</v>
      </c>
      <c r="C131" s="657"/>
      <c r="D131" s="338" t="str">
        <f>'4ème trim 2016'!D70</f>
        <v>MOBILE 2007</v>
      </c>
      <c r="E131" s="360"/>
      <c r="F131" s="237">
        <f>'4ème trim 2016'!F70</f>
        <v>0</v>
      </c>
      <c r="G131" s="22">
        <f>'4ème trim 2016'!G70</f>
        <v>0</v>
      </c>
      <c r="H131" s="140"/>
      <c r="I131" s="141">
        <f>'4ème trim 2016'!I70</f>
        <v>68.246099999999998</v>
      </c>
      <c r="J131" s="398"/>
    </row>
    <row r="132" spans="1:10" ht="18.75">
      <c r="A132" s="425" t="str">
        <f>'4ème trim 2016'!A83</f>
        <v>12.2016</v>
      </c>
      <c r="B132" s="426">
        <f>'4ème trim 2016'!B83</f>
        <v>515456</v>
      </c>
      <c r="C132" s="652"/>
      <c r="D132" s="338" t="str">
        <f>'4ème trim 2016'!D83</f>
        <v>REEBOU FAMILY</v>
      </c>
      <c r="E132" s="362"/>
      <c r="F132" s="237">
        <f>'4ème trim 2016'!F83</f>
        <v>0</v>
      </c>
      <c r="G132" s="25">
        <f>'4ème trim 2016'!G83</f>
        <v>0</v>
      </c>
      <c r="H132" s="345"/>
      <c r="I132" s="143">
        <f>'4ème trim 2016'!I83</f>
        <v>28.799999999999997</v>
      </c>
      <c r="J132" s="398"/>
    </row>
    <row r="133" spans="1:10" ht="18.75">
      <c r="A133" s="425" t="str">
        <f>'1er trim 2017'!A23</f>
        <v>01.2017</v>
      </c>
      <c r="B133" s="426">
        <f>'1er trim 2017'!B23</f>
        <v>543930</v>
      </c>
      <c r="C133" s="652"/>
      <c r="D133" s="338" t="str">
        <f>'1er trim 2017'!D23</f>
        <v xml:space="preserve">RC GENERAL </v>
      </c>
      <c r="E133" s="362"/>
      <c r="F133" s="237">
        <f>'1er trim 2017'!F23</f>
        <v>0</v>
      </c>
      <c r="G133" s="25">
        <f>'1er trim 2017'!G23</f>
        <v>0</v>
      </c>
      <c r="H133" s="345"/>
      <c r="I133" s="143">
        <f>'1er trim 2017'!I23</f>
        <v>18.802799999999998</v>
      </c>
      <c r="J133" s="398"/>
    </row>
    <row r="134" spans="1:10" ht="18.75">
      <c r="A134" s="425" t="str">
        <f>'1er Trimestre 2018'!A29</f>
        <v>02.2018</v>
      </c>
      <c r="B134" s="426">
        <f>'1er Trimestre 2018'!B29</f>
        <v>834437</v>
      </c>
      <c r="C134" s="652"/>
      <c r="D134" s="338" t="str">
        <f>'1er Trimestre 2018'!D29</f>
        <v>MOBILE2016</v>
      </c>
      <c r="E134" s="362"/>
      <c r="F134" s="237">
        <f>'1er Trimestre 2018'!F29</f>
        <v>0</v>
      </c>
      <c r="G134" s="25">
        <f>'1er Trimestre 2018'!G29</f>
        <v>0</v>
      </c>
      <c r="H134" s="345"/>
      <c r="I134" s="143">
        <f>'1er Trimestre 2018'!I29</f>
        <v>36.391500000000001</v>
      </c>
      <c r="J134" s="398"/>
    </row>
    <row r="135" spans="1:10" ht="18.75">
      <c r="A135" s="689" t="str">
        <f>'2e trim 2016'!A21</f>
        <v>04.2016</v>
      </c>
      <c r="B135" s="544">
        <f>'2e trim 2016'!B21</f>
        <v>834437</v>
      </c>
      <c r="C135" s="690"/>
      <c r="D135" s="626" t="str">
        <f>'2e trim 2016'!D21</f>
        <v>ZENITH 60              Op 100</v>
      </c>
      <c r="E135" s="694"/>
      <c r="F135" s="628">
        <f>'2e trim 2016'!F21</f>
        <v>0</v>
      </c>
      <c r="G135" s="629">
        <f>'2e trim 2016'!G21</f>
        <v>0</v>
      </c>
      <c r="H135" s="631"/>
      <c r="I135" s="143">
        <f>'2e trim 2016'!I21</f>
        <v>361.584</v>
      </c>
      <c r="J135" s="398"/>
    </row>
    <row r="136" spans="1:10" ht="18.75">
      <c r="A136" s="689" t="str">
        <f>'4eme trim 2017  '!A51</f>
        <v>11.2017</v>
      </c>
      <c r="B136" s="544">
        <f>'4eme trim 2017  '!B51</f>
        <v>834437</v>
      </c>
      <c r="C136" s="690"/>
      <c r="D136" s="626" t="str">
        <f>'4eme trim 2017  '!D51</f>
        <v>HORIZONT60Invest</v>
      </c>
      <c r="E136" s="627"/>
      <c r="F136" s="628">
        <f>'4eme trim 2017  '!F51</f>
        <v>0</v>
      </c>
      <c r="G136" s="629">
        <f>'4eme trim 2017  '!G51</f>
        <v>2049</v>
      </c>
      <c r="H136" s="630"/>
      <c r="I136" s="564">
        <f>'4eme trim 2017  '!I51</f>
        <v>654.3359999999999</v>
      </c>
    </row>
    <row r="137" spans="1:10" ht="18.75">
      <c r="A137" s="425" t="str">
        <f>'1er Trimestre 2018'!A27</f>
        <v>02.2018</v>
      </c>
      <c r="B137" s="426">
        <f>'1er Trimestre 2018'!B27</f>
        <v>958444</v>
      </c>
      <c r="C137" s="652"/>
      <c r="D137" s="338" t="str">
        <f>'1er Trimestre 2018'!D27</f>
        <v>MOBILE2016</v>
      </c>
      <c r="E137" s="362"/>
      <c r="F137" s="237">
        <f>'1er Trimestre 2018'!F27</f>
        <v>0</v>
      </c>
      <c r="G137" s="25">
        <f>'1er Trimestre 2018'!G27</f>
        <v>0</v>
      </c>
      <c r="H137" s="345"/>
      <c r="I137" s="143">
        <f>'1er Trimestre 2018'!I27</f>
        <v>74.801000000000002</v>
      </c>
      <c r="J137" s="398"/>
    </row>
    <row r="138" spans="1:10" ht="18.75">
      <c r="A138" s="425" t="str">
        <f>'4ème trim 2016'!A74</f>
        <v>12.2016</v>
      </c>
      <c r="B138" s="426">
        <f>'4ème trim 2016'!B74</f>
        <v>798932</v>
      </c>
      <c r="C138" s="657"/>
      <c r="D138" s="338" t="str">
        <f>'4ème trim 2016'!D74</f>
        <v>MOBILE 2007 TR</v>
      </c>
      <c r="E138" s="360"/>
      <c r="F138" s="237">
        <f>'4ème trim 2016'!F74</f>
        <v>0</v>
      </c>
      <c r="G138" s="22">
        <f>'4ème trim 2016'!G74</f>
        <v>0</v>
      </c>
      <c r="H138" s="140"/>
      <c r="I138" s="141">
        <f>'4ème trim 2016'!I74</f>
        <v>108.16719999999999</v>
      </c>
      <c r="J138" s="398"/>
    </row>
    <row r="139" spans="1:10" ht="18.75">
      <c r="A139" s="689" t="str">
        <f>'1er Trimestre 2018'!A48</f>
        <v>03.2018</v>
      </c>
      <c r="B139" s="544">
        <f>'1er Trimestre 2018'!B48</f>
        <v>303417</v>
      </c>
      <c r="C139" s="690"/>
      <c r="D139" s="626" t="str">
        <f>'1er Trimestre 2018'!D48</f>
        <v>MEDICIS</v>
      </c>
      <c r="E139" s="627"/>
      <c r="F139" s="628">
        <f>'1er Trimestre 2018'!F48</f>
        <v>0</v>
      </c>
      <c r="G139" s="629">
        <f>'1er Trimestre 2018'!G48</f>
        <v>0</v>
      </c>
      <c r="H139" s="631"/>
      <c r="I139" s="143">
        <f>'1er Trimestre 2018'!I48</f>
        <v>105.31937500000001</v>
      </c>
      <c r="J139" s="398"/>
    </row>
    <row r="140" spans="1:10" ht="18.75">
      <c r="A140" s="425" t="str">
        <f>'4eme trim 2017  '!A30</f>
        <v>10.2017</v>
      </c>
      <c r="B140" s="426">
        <f>'4eme trim 2017  '!B30</f>
        <v>967212</v>
      </c>
      <c r="C140" s="652"/>
      <c r="D140" s="338" t="str">
        <f>'4eme trim 2017  '!D30</f>
        <v>MOBILE2016</v>
      </c>
      <c r="E140" s="362"/>
      <c r="F140" s="237">
        <f>'4eme trim 2017  '!F30</f>
        <v>0</v>
      </c>
      <c r="G140" s="25">
        <f>'4eme trim 2017  '!G30</f>
        <v>0</v>
      </c>
      <c r="H140" s="140"/>
      <c r="I140" s="558">
        <f>'4eme trim 2017  '!I30</f>
        <v>56.046500000000002</v>
      </c>
    </row>
    <row r="141" spans="1:10" ht="18.75">
      <c r="A141" s="557" t="str">
        <f>'4ème trim 2016'!A67</f>
        <v>12.2016</v>
      </c>
      <c r="B141" s="546">
        <f>'4ème trim 2016'!B67</f>
        <v>812252</v>
      </c>
      <c r="C141" s="663"/>
      <c r="D141" s="547" t="str">
        <f>'4ème trim 2016'!D67</f>
        <v>HORIZONT 60 CAPI</v>
      </c>
      <c r="E141" s="548"/>
      <c r="F141" s="549">
        <f>'4ème trim 2016'!F67</f>
        <v>0</v>
      </c>
      <c r="G141" s="550">
        <f>'4ème trim 2016'!G67</f>
        <v>2037</v>
      </c>
      <c r="H141" s="551"/>
      <c r="I141" s="552">
        <f>'4ème trim 2016'!I67</f>
        <v>406.08000000000004</v>
      </c>
      <c r="J141" s="398"/>
    </row>
    <row r="142" spans="1:10" ht="18.75">
      <c r="A142" s="689" t="str">
        <f>'4eme trim 2017  '!A60</f>
        <v>11.2017</v>
      </c>
      <c r="B142" s="544">
        <f>'4eme trim 2017  '!B60</f>
        <v>429665</v>
      </c>
      <c r="C142" s="690"/>
      <c r="D142" s="626" t="str">
        <f>'4eme trim 2017  '!D60</f>
        <v>HORIZONT60Invest</v>
      </c>
      <c r="E142" s="627"/>
      <c r="F142" s="628">
        <f>'4eme trim 2017  '!F60</f>
        <v>0</v>
      </c>
      <c r="G142" s="629">
        <f>'4eme trim 2017  '!G60</f>
        <v>2036</v>
      </c>
      <c r="H142" s="631"/>
      <c r="I142" s="143">
        <f>'4eme trim 2017  '!I60</f>
        <v>205.2</v>
      </c>
      <c r="J142" s="398"/>
    </row>
    <row r="143" spans="1:10" ht="18.75">
      <c r="A143" s="689" t="str">
        <f>'2eme trim 2017 '!A35</f>
        <v>05.2017</v>
      </c>
      <c r="B143" s="544">
        <f>'2eme trim 2017 '!B35</f>
        <v>659424</v>
      </c>
      <c r="C143" s="690"/>
      <c r="D143" s="626" t="str">
        <f>'2eme trim 2017 '!D35</f>
        <v>HORIZONT 60 INVEST</v>
      </c>
      <c r="E143" s="627"/>
      <c r="F143" s="628">
        <f>'2eme trim 2017 '!F35</f>
        <v>0</v>
      </c>
      <c r="G143" s="629">
        <f>'2eme trim 2017 '!G35</f>
        <v>2036</v>
      </c>
      <c r="H143" s="631"/>
      <c r="I143" s="143">
        <f>'2eme trim 2017 '!I35</f>
        <v>269.27999999999997</v>
      </c>
      <c r="J143" s="398"/>
    </row>
    <row r="144" spans="1:10" ht="18.75">
      <c r="A144" s="689" t="str">
        <f>'2eme trim 2017 '!A36</f>
        <v>05.2017</v>
      </c>
      <c r="B144" s="544">
        <f>'2eme trim 2017 '!B36</f>
        <v>659426</v>
      </c>
      <c r="C144" s="690"/>
      <c r="D144" s="626" t="str">
        <f>'2eme trim 2017 '!D36</f>
        <v>HORIZONT 60 INVEST</v>
      </c>
      <c r="E144" s="627"/>
      <c r="F144" s="628">
        <f>'2eme trim 2017 '!F36</f>
        <v>0</v>
      </c>
      <c r="G144" s="629">
        <f>'2eme trim 2017 '!G36</f>
        <v>2039</v>
      </c>
      <c r="H144" s="631"/>
      <c r="I144" s="143">
        <f>'2eme trim 2017 '!I36</f>
        <v>164.16</v>
      </c>
      <c r="J144" s="398"/>
    </row>
    <row r="145" spans="1:10" ht="18.75">
      <c r="A145" s="425" t="str">
        <f>'2e trim 2016'!A19</f>
        <v>04.2016</v>
      </c>
      <c r="B145" s="426">
        <f>'2e trim 2016'!B19</f>
        <v>0</v>
      </c>
      <c r="C145" s="652"/>
      <c r="D145" s="625" t="str">
        <f>'2e trim 2016'!D19</f>
        <v>BSH</v>
      </c>
      <c r="E145" s="362"/>
      <c r="F145" s="237">
        <f>'2e trim 2016'!F19</f>
        <v>0</v>
      </c>
      <c r="G145" s="25">
        <f>'2e trim 2016'!G19</f>
        <v>0</v>
      </c>
      <c r="H145" s="345"/>
      <c r="I145" s="143">
        <f>'2e trim 2016'!I19</f>
        <v>84</v>
      </c>
      <c r="J145" s="398"/>
    </row>
    <row r="146" spans="1:10" ht="18.75">
      <c r="A146" s="633" t="str">
        <f>'2e trim 2016'!A60</f>
        <v>06.2016</v>
      </c>
      <c r="B146" s="593">
        <f>'2e trim 2016'!B60</f>
        <v>876066</v>
      </c>
      <c r="C146" s="696"/>
      <c r="D146" s="634" t="str">
        <f>'2e trim 2016'!D60</f>
        <v>SANTE</v>
      </c>
      <c r="E146" s="635"/>
      <c r="F146" s="636">
        <f>'2e trim 2016'!F60</f>
        <v>0</v>
      </c>
      <c r="G146" s="637">
        <f>'2e trim 2016'!G60</f>
        <v>0</v>
      </c>
      <c r="H146" s="638"/>
      <c r="I146" s="143">
        <f>'2e trim 2016'!I60</f>
        <v>530.59999999999991</v>
      </c>
      <c r="J146" s="398"/>
    </row>
    <row r="147" spans="1:10" ht="18.75">
      <c r="A147" s="425" t="str">
        <f>'1er trim 2017'!A72</f>
        <v>03.2017</v>
      </c>
      <c r="B147" s="426">
        <f>'1er trim 2017'!B72</f>
        <v>693638</v>
      </c>
      <c r="C147" s="652"/>
      <c r="D147" s="338" t="str">
        <f>'1er trim 2017'!D72</f>
        <v>MOBILE</v>
      </c>
      <c r="E147" s="362"/>
      <c r="F147" s="237">
        <f>'1er trim 2017'!F72</f>
        <v>0</v>
      </c>
      <c r="G147" s="25">
        <f>'1er trim 2017'!G72</f>
        <v>0</v>
      </c>
      <c r="H147" s="345"/>
      <c r="I147" s="143">
        <f>'1er trim 2017'!I72</f>
        <v>94.29310000000001</v>
      </c>
      <c r="J147" s="398"/>
    </row>
    <row r="148" spans="1:10" ht="18.75">
      <c r="A148" s="425" t="str">
        <f>'4eme trim 2017  '!A38</f>
        <v>10.2017</v>
      </c>
      <c r="B148" s="426">
        <f>'4eme trim 2017  '!B38</f>
        <v>693638</v>
      </c>
      <c r="C148" s="652"/>
      <c r="D148" s="338" t="str">
        <f>'4eme trim 2017  '!D38</f>
        <v>REEBOU Family</v>
      </c>
      <c r="E148" s="362"/>
      <c r="F148" s="237">
        <f>'4eme trim 2017  '!F38</f>
        <v>0</v>
      </c>
      <c r="G148" s="25">
        <f>'4eme trim 2017  '!G38</f>
        <v>0</v>
      </c>
      <c r="H148" s="140"/>
      <c r="I148" s="558">
        <f>'4eme trim 2017  '!I38</f>
        <v>30.7788</v>
      </c>
      <c r="J148" s="398"/>
    </row>
    <row r="149" spans="1:10" ht="18.75">
      <c r="A149" s="425" t="str">
        <f>'4eme trim 2017  '!A66</f>
        <v>11.2017</v>
      </c>
      <c r="B149" s="426">
        <f>'4eme trim 2017  '!B66</f>
        <v>972349</v>
      </c>
      <c r="C149" s="652"/>
      <c r="D149" s="338" t="str">
        <f>'4eme trim 2017  '!D66</f>
        <v>MOBILE2016</v>
      </c>
      <c r="E149" s="362"/>
      <c r="F149" s="237">
        <f>'4eme trim 2017  '!F66</f>
        <v>0</v>
      </c>
      <c r="G149" s="25">
        <f>'4eme trim 2017  '!G66</f>
        <v>0</v>
      </c>
      <c r="H149" s="345"/>
      <c r="I149" s="143">
        <f>'4eme trim 2017  '!I66</f>
        <v>52.552800000000005</v>
      </c>
      <c r="J149" s="398"/>
    </row>
    <row r="150" spans="1:10" ht="18.75">
      <c r="A150" s="425" t="str">
        <f>'2e trim 2016'!A17</f>
        <v>04.2016</v>
      </c>
      <c r="B150" s="426">
        <f>'2e trim 2016'!B17</f>
        <v>678265</v>
      </c>
      <c r="C150" s="652"/>
      <c r="D150" s="338" t="str">
        <f>'2e trim 2016'!D17</f>
        <v>REEBOU FAMILY</v>
      </c>
      <c r="E150" s="362"/>
      <c r="F150" s="237">
        <f>'2e trim 2016'!F17</f>
        <v>0</v>
      </c>
      <c r="G150" s="25">
        <f>'2e trim 2016'!G17</f>
        <v>0</v>
      </c>
      <c r="H150" s="345"/>
      <c r="I150" s="143">
        <f>'2e trim 2016'!I17</f>
        <v>23.808000000000003</v>
      </c>
      <c r="J150" s="398"/>
    </row>
    <row r="151" spans="1:10" ht="18.75">
      <c r="A151" s="425" t="str">
        <f>'2eme trim 2017 '!A55</f>
        <v>06.2017</v>
      </c>
      <c r="B151" s="426">
        <f>'2eme trim 2017 '!B55</f>
        <v>603592</v>
      </c>
      <c r="C151" s="652"/>
      <c r="D151" s="338" t="str">
        <f>'2eme trim 2017 '!D55</f>
        <v>LOGGIA</v>
      </c>
      <c r="E151" s="362"/>
      <c r="F151" s="237">
        <f>'2eme trim 2017 '!F55</f>
        <v>0</v>
      </c>
      <c r="G151" s="25">
        <f>'2eme trim 2017 '!G55</f>
        <v>0</v>
      </c>
      <c r="H151" s="345"/>
      <c r="I151" s="143">
        <f>'2eme trim 2017 '!I55</f>
        <v>66.356400000000008</v>
      </c>
      <c r="J151" s="398"/>
    </row>
    <row r="152" spans="1:10">
      <c r="A152" s="425" t="str">
        <f>'1er trim 2017'!A62</f>
        <v>03.2017</v>
      </c>
      <c r="B152" s="435">
        <f>'1er trim 2017'!B62</f>
        <v>603592</v>
      </c>
      <c r="C152" s="672"/>
      <c r="D152" s="240" t="str">
        <f>'1er trim 2017'!D62</f>
        <v>MOBILE REGIO</v>
      </c>
      <c r="E152" s="240"/>
      <c r="F152" s="240">
        <f>'1er trim 2017'!F62</f>
        <v>0</v>
      </c>
      <c r="G152" s="240">
        <f>'1er trim 2017'!G62</f>
        <v>0</v>
      </c>
      <c r="H152" s="411"/>
      <c r="I152" s="407">
        <f>'1er trim 2017'!I62</f>
        <v>49.389499999999998</v>
      </c>
      <c r="J152" s="398"/>
    </row>
    <row r="153" spans="1:10">
      <c r="A153" s="425" t="str">
        <f>'1er trim 2017'!A63</f>
        <v>03.2017</v>
      </c>
      <c r="B153" s="435">
        <f>'1er trim 2017'!B63</f>
        <v>603592</v>
      </c>
      <c r="C153" s="672"/>
      <c r="D153" s="240" t="str">
        <f>'1er trim 2017'!D63</f>
        <v>LOGGIA</v>
      </c>
      <c r="E153" s="240"/>
      <c r="F153" s="240">
        <f>'1er trim 2017'!F63</f>
        <v>0</v>
      </c>
      <c r="G153" s="240">
        <f>'1er trim 2017'!G63</f>
        <v>0</v>
      </c>
      <c r="H153" s="411"/>
      <c r="I153" s="407">
        <f>'1er trim 2017'!I63</f>
        <v>65.547600000000003</v>
      </c>
      <c r="J153" s="398"/>
    </row>
    <row r="154" spans="1:10" ht="18.75">
      <c r="A154" s="425" t="str">
        <f>'2e trim 2016'!A42</f>
        <v>05.2016</v>
      </c>
      <c r="B154" s="426">
        <f>'2e trim 2016'!B42</f>
        <v>703239</v>
      </c>
      <c r="C154" s="657"/>
      <c r="D154" s="338" t="str">
        <f>'2e trim 2016'!D42</f>
        <v>MOBILE</v>
      </c>
      <c r="E154" s="360"/>
      <c r="F154" s="237">
        <f>'2e trim 2016'!F42</f>
        <v>0</v>
      </c>
      <c r="G154" s="22">
        <f>'2e trim 2016'!G42</f>
        <v>0</v>
      </c>
      <c r="H154" s="143"/>
      <c r="I154" s="345">
        <f>'2e trim 2016'!I42</f>
        <v>17.100000000000001</v>
      </c>
      <c r="J154" s="398"/>
    </row>
    <row r="155" spans="1:10" ht="18.75">
      <c r="A155" s="425" t="str">
        <f>'2e trim 2016'!A56</f>
        <v>06.2016</v>
      </c>
      <c r="B155" s="426">
        <f>'2e trim 2016'!B56</f>
        <v>658932</v>
      </c>
      <c r="C155" s="652"/>
      <c r="D155" s="338" t="str">
        <f>'2e trim 2016'!D56</f>
        <v>PACK REEBOU FAMILY</v>
      </c>
      <c r="E155" s="362"/>
      <c r="F155" s="237">
        <f>'2e trim 2016'!F56</f>
        <v>0</v>
      </c>
      <c r="G155" s="25">
        <f>'2e trim 2016'!G56</f>
        <v>0</v>
      </c>
      <c r="H155" s="345"/>
      <c r="I155" s="143">
        <f>'2e trim 2016'!I56</f>
        <v>16.631999999999998</v>
      </c>
      <c r="J155" s="398"/>
    </row>
    <row r="156" spans="1:10" ht="18.75">
      <c r="A156" s="633" t="str">
        <f>'2e trim 2016'!A57</f>
        <v>06.2016</v>
      </c>
      <c r="B156" s="593">
        <f>'2e trim 2016'!B57</f>
        <v>658932</v>
      </c>
      <c r="C156" s="696"/>
      <c r="D156" s="634" t="str">
        <f>'2e trim 2016'!D57</f>
        <v>HELIOS PROTECT 100</v>
      </c>
      <c r="E156" s="635"/>
      <c r="F156" s="636">
        <f>'2e trim 2016'!F57</f>
        <v>0</v>
      </c>
      <c r="G156" s="637">
        <f>'2e trim 2016'!G57</f>
        <v>2031</v>
      </c>
      <c r="H156" s="638"/>
      <c r="I156" s="143">
        <f>'2e trim 2016'!I57</f>
        <v>174.96</v>
      </c>
      <c r="J156" s="398"/>
    </row>
    <row r="157" spans="1:10" ht="18.75">
      <c r="A157" s="425" t="str">
        <f>'2eme trim 2017 '!A45</f>
        <v>05.2017</v>
      </c>
      <c r="B157" s="426">
        <f>'2eme trim 2017 '!B45</f>
        <v>841184</v>
      </c>
      <c r="C157" s="657"/>
      <c r="D157" s="338" t="str">
        <f>'2eme trim 2017 '!D45</f>
        <v>MOBILE</v>
      </c>
      <c r="E157" s="360"/>
      <c r="F157" s="237">
        <f>'2eme trim 2017 '!F45</f>
        <v>0</v>
      </c>
      <c r="G157" s="22">
        <f>'2eme trim 2017 '!G45</f>
        <v>0</v>
      </c>
      <c r="H157" s="140"/>
      <c r="I157" s="345">
        <f>'2eme trim 2017 '!I45</f>
        <v>71.902199999999993</v>
      </c>
      <c r="J157" s="398"/>
    </row>
    <row r="158" spans="1:10" ht="18.75">
      <c r="A158" s="425" t="str">
        <f>'2eme trim 2017 '!A46</f>
        <v>05.2017</v>
      </c>
      <c r="B158" s="426">
        <f>'2eme trim 2017 '!B46</f>
        <v>841184</v>
      </c>
      <c r="C158" s="652"/>
      <c r="D158" s="338" t="str">
        <f>'2eme trim 2017 '!D46</f>
        <v>EUROPE ASSIST.</v>
      </c>
      <c r="E158" s="362"/>
      <c r="F158" s="237">
        <f>'2eme trim 2017 '!F46</f>
        <v>0</v>
      </c>
      <c r="G158" s="25">
        <f>'2eme trim 2017 '!G46</f>
        <v>0</v>
      </c>
      <c r="H158" s="345"/>
      <c r="I158" s="143">
        <f>'2eme trim 2017 '!I46</f>
        <v>0</v>
      </c>
      <c r="J158" s="398"/>
    </row>
    <row r="159" spans="1:10" ht="18.75">
      <c r="A159" s="425" t="str">
        <f>'2e trim 2016'!A20</f>
        <v>04.2016</v>
      </c>
      <c r="B159" s="426">
        <f>'2e trim 2016'!B20</f>
        <v>914601</v>
      </c>
      <c r="C159" s="657"/>
      <c r="D159" s="338" t="str">
        <f>'2e trim 2016'!D20</f>
        <v>REEBOU PACK</v>
      </c>
      <c r="E159" s="360"/>
      <c r="F159" s="237">
        <f>'2e trim 2016'!F20</f>
        <v>0</v>
      </c>
      <c r="G159" s="22">
        <f>'2e trim 2016'!G20</f>
        <v>0</v>
      </c>
      <c r="H159" s="441"/>
      <c r="I159" s="143">
        <f>'2e trim 2016'!I20</f>
        <v>16.631999999999998</v>
      </c>
      <c r="J159" s="398"/>
    </row>
    <row r="160" spans="1:10" ht="18.75">
      <c r="A160" s="633" t="str">
        <f>'2e trim 2016'!A43</f>
        <v>05.2016</v>
      </c>
      <c r="B160" s="593">
        <f>'2e trim 2016'!B43</f>
        <v>880049</v>
      </c>
      <c r="C160" s="696"/>
      <c r="D160" s="634" t="str">
        <f>'2e trim 2016'!D43</f>
        <v>HORIZON 60 CAPI</v>
      </c>
      <c r="E160" s="635"/>
      <c r="F160" s="636">
        <f>'2e trim 2016'!F43</f>
        <v>0</v>
      </c>
      <c r="G160" s="637">
        <f>'2e trim 2016'!G43</f>
        <v>2039</v>
      </c>
      <c r="H160" s="638"/>
      <c r="I160" s="143">
        <f>'2e trim 2016'!I43</f>
        <v>198.72</v>
      </c>
      <c r="J160" s="398"/>
    </row>
    <row r="161" spans="1:10" ht="18.75">
      <c r="A161" s="425" t="str">
        <f>'4eme trim 2017  '!A40</f>
        <v>10.2017</v>
      </c>
      <c r="B161" s="426">
        <f>'4eme trim 2017  '!B40</f>
        <v>880049</v>
      </c>
      <c r="C161" s="652"/>
      <c r="D161" s="625" t="str">
        <f>'4eme trim 2017  '!D40</f>
        <v>SCHWABISCHHALL</v>
      </c>
      <c r="E161" s="362"/>
      <c r="F161" s="237">
        <f>'4eme trim 2017  '!F40</f>
        <v>0</v>
      </c>
      <c r="G161" s="25">
        <f>'4eme trim 2017  '!G40</f>
        <v>0</v>
      </c>
      <c r="H161" s="140"/>
      <c r="I161" s="345">
        <f>'4eme trim 2017  '!I40</f>
        <v>252</v>
      </c>
      <c r="J161" s="398"/>
    </row>
    <row r="162" spans="1:10" ht="18.75">
      <c r="A162" s="425" t="str">
        <f>'4eme trim 2017  '!A41</f>
        <v>10.2017</v>
      </c>
      <c r="B162" s="426">
        <f>'4eme trim 2017  '!B41</f>
        <v>880049</v>
      </c>
      <c r="C162" s="652"/>
      <c r="D162" s="625" t="str">
        <f>'4eme trim 2017  '!D41</f>
        <v>SCHWABISCHHALL</v>
      </c>
      <c r="E162" s="362"/>
      <c r="F162" s="237">
        <f>'4eme trim 2017  '!F41</f>
        <v>0</v>
      </c>
      <c r="G162" s="25">
        <f>'4eme trim 2017  '!G41</f>
        <v>0</v>
      </c>
      <c r="H162" s="140"/>
      <c r="I162" s="141">
        <f>'4eme trim 2017  '!I41</f>
        <v>252</v>
      </c>
      <c r="J162" s="398"/>
    </row>
    <row r="163" spans="1:10" ht="18.75">
      <c r="A163" s="425" t="str">
        <f>'4eme trim 2017  '!A42</f>
        <v>10.2017</v>
      </c>
      <c r="B163" s="426">
        <f>'4eme trim 2017  '!B42</f>
        <v>880049</v>
      </c>
      <c r="C163" s="652"/>
      <c r="D163" s="625" t="str">
        <f>'4eme trim 2017  '!D42</f>
        <v>SCHWABISCHHALL</v>
      </c>
      <c r="E163" s="362"/>
      <c r="F163" s="237">
        <f>'4eme trim 2017  '!F42</f>
        <v>0</v>
      </c>
      <c r="G163" s="25">
        <f>'4eme trim 2017  '!G42</f>
        <v>0</v>
      </c>
      <c r="H163" s="345"/>
      <c r="I163" s="143">
        <f>'4eme trim 2017  '!I42</f>
        <v>252</v>
      </c>
      <c r="J163" s="398"/>
    </row>
    <row r="164" spans="1:10" ht="18.75">
      <c r="A164" s="557" t="str">
        <f>'2eme trim 2017 '!A43</f>
        <v>05.2017</v>
      </c>
      <c r="B164" s="546">
        <f>'2eme trim 2017 '!B43</f>
        <v>850489</v>
      </c>
      <c r="C164" s="665"/>
      <c r="D164" s="547" t="str">
        <f>'2eme trim 2017 '!D43</f>
        <v>MEDICIS</v>
      </c>
      <c r="E164" s="572"/>
      <c r="F164" s="549">
        <f>'2eme trim 2017 '!F43</f>
        <v>0</v>
      </c>
      <c r="G164" s="574">
        <f>'2eme trim 2017 '!G43</f>
        <v>0</v>
      </c>
      <c r="H164" s="701"/>
      <c r="I164" s="143">
        <f>'2eme trim 2017 '!I43</f>
        <v>124.24824999999998</v>
      </c>
      <c r="J164" s="398">
        <v>610224899</v>
      </c>
    </row>
    <row r="165" spans="1:10">
      <c r="A165" s="526" t="str">
        <f>'3eme trim 2017  '!A44</f>
        <v>07.2017</v>
      </c>
      <c r="B165" s="529">
        <f>'3eme trim 2017  '!B44</f>
        <v>520444</v>
      </c>
      <c r="C165" s="657"/>
      <c r="D165" s="22" t="str">
        <f>'3eme trim 2017  '!D44</f>
        <v>MOBILE 2016</v>
      </c>
      <c r="E165" s="22"/>
      <c r="F165" s="240">
        <f>'3eme trim 2017  '!F44</f>
        <v>0</v>
      </c>
      <c r="G165" s="22">
        <f>'3eme trim 2017  '!G44</f>
        <v>0</v>
      </c>
      <c r="H165" s="143"/>
      <c r="I165" s="143">
        <f>'3eme trim 2017  '!I44</f>
        <v>66.452700000000007</v>
      </c>
      <c r="J165" s="398"/>
    </row>
    <row r="166" spans="1:10" ht="18.75">
      <c r="A166" s="642" t="str">
        <f>'3ème trim 2016'!A31</f>
        <v>07.2016</v>
      </c>
      <c r="B166" s="598">
        <f>'3ème trim 2016'!B31</f>
        <v>299445</v>
      </c>
      <c r="C166" s="695"/>
      <c r="D166" s="641" t="str">
        <f>'3ème trim 2016'!D31</f>
        <v>FOCUS INVEST</v>
      </c>
      <c r="E166" s="643"/>
      <c r="F166" s="644">
        <f>'3ème trim 2016'!F31</f>
        <v>0</v>
      </c>
      <c r="G166" s="645">
        <f>'3ème trim 2016'!G31</f>
        <v>2046</v>
      </c>
      <c r="H166" s="646"/>
      <c r="I166" s="143">
        <f>'3ème trim 2016'!I31</f>
        <v>23.936399999999999</v>
      </c>
      <c r="J166" s="398"/>
    </row>
    <row r="167" spans="1:10" ht="18.75">
      <c r="A167" s="425" t="str">
        <f>'3ème trim 2016'!A35</f>
        <v>08.2016</v>
      </c>
      <c r="B167" s="426">
        <f>'3ème trim 2016'!B35</f>
        <v>299445</v>
      </c>
      <c r="C167" s="652"/>
      <c r="D167" s="338" t="str">
        <f>'3ème trim 2016'!D35</f>
        <v>MOBILE</v>
      </c>
      <c r="E167" s="362"/>
      <c r="F167" s="237">
        <f>'3ème trim 2016'!F35</f>
        <v>0</v>
      </c>
      <c r="G167" s="25">
        <f>'3ème trim 2016'!G35</f>
        <v>0</v>
      </c>
      <c r="H167" s="345"/>
      <c r="I167" s="143">
        <f>'3ème trim 2016'!I35</f>
        <v>38.370599999999996</v>
      </c>
      <c r="J167" s="398"/>
    </row>
    <row r="168" spans="1:10" ht="18.75">
      <c r="A168" s="425" t="str">
        <f>'3ème trim 2016'!A36</f>
        <v>08.2016</v>
      </c>
      <c r="B168" s="426">
        <f>'3ème trim 2016'!B36</f>
        <v>299445</v>
      </c>
      <c r="C168" s="652"/>
      <c r="D168" s="338" t="str">
        <f>'3ème trim 2016'!D36</f>
        <v>RC VIE PRIVE</v>
      </c>
      <c r="E168" s="362"/>
      <c r="F168" s="237">
        <f>'3ème trim 2016'!F36</f>
        <v>0</v>
      </c>
      <c r="G168" s="25">
        <f>'3ème trim 2016'!G36</f>
        <v>0</v>
      </c>
      <c r="H168" s="345"/>
      <c r="I168" s="143">
        <f>'3ème trim 2016'!I36</f>
        <v>21.8688</v>
      </c>
      <c r="J168" s="398"/>
    </row>
    <row r="169" spans="1:10">
      <c r="A169" s="702" t="str">
        <f>'3eme trim 2017  '!A49</f>
        <v>08.2017</v>
      </c>
      <c r="B169" s="703">
        <f>'3eme trim 2017  '!B49</f>
        <v>963163</v>
      </c>
      <c r="C169" s="704"/>
      <c r="D169" s="705" t="str">
        <f>'3eme trim 2017  '!D49</f>
        <v>HORIZONT60Invest</v>
      </c>
      <c r="E169" s="706"/>
      <c r="F169" s="707">
        <f>'3eme trim 2017  '!F49</f>
        <v>0</v>
      </c>
      <c r="G169" s="706">
        <f>'3eme trim 2017  '!G49</f>
        <v>2033</v>
      </c>
      <c r="H169" s="647"/>
      <c r="I169" s="143">
        <f>'3eme trim 2017  '!I49</f>
        <v>230.39999999999998</v>
      </c>
      <c r="J169" s="398"/>
    </row>
    <row r="170" spans="1:10" ht="18.75">
      <c r="A170" s="425" t="str">
        <f>'1er Trimestre 2018'!A41</f>
        <v>02.2018</v>
      </c>
      <c r="B170" s="426">
        <f>'1er Trimestre 2018'!B41</f>
        <v>244454</v>
      </c>
      <c r="C170" s="652"/>
      <c r="D170" s="338" t="str">
        <f>'1er Trimestre 2018'!D41</f>
        <v>REEBOU Pack</v>
      </c>
      <c r="E170" s="362"/>
      <c r="F170" s="237">
        <f>'1er Trimestre 2018'!F41</f>
        <v>0</v>
      </c>
      <c r="G170" s="25">
        <f>'1er Trimestre 2018'!G41</f>
        <v>0</v>
      </c>
      <c r="H170" s="345"/>
      <c r="I170" s="143">
        <f>'1er Trimestre 2018'!I41</f>
        <v>14.168800000000001</v>
      </c>
      <c r="J170" s="398"/>
    </row>
    <row r="171" spans="1:10" ht="18.75">
      <c r="A171" s="642" t="str">
        <f>'1er Trimestre 2018'!A45</f>
        <v>03.2018</v>
      </c>
      <c r="B171" s="598">
        <f>'1er Trimestre 2018'!B45</f>
        <v>421848</v>
      </c>
      <c r="C171" s="695"/>
      <c r="D171" s="641" t="str">
        <f>'1er Trimestre 2018'!D45</f>
        <v>HORIZONT60Invest</v>
      </c>
      <c r="E171" s="643"/>
      <c r="F171" s="644">
        <f>'1er Trimestre 2018'!F45</f>
        <v>0</v>
      </c>
      <c r="G171" s="645">
        <f>'1er Trimestre 2018'!G45</f>
        <v>2041</v>
      </c>
      <c r="H171" s="646"/>
      <c r="I171" s="143">
        <f>'1er Trimestre 2018'!I45</f>
        <v>331.2</v>
      </c>
      <c r="J171" s="398"/>
    </row>
    <row r="172" spans="1:10" ht="18.75">
      <c r="A172" s="425" t="str">
        <f>'2e trim 2016'!A23</f>
        <v>04.2016</v>
      </c>
      <c r="B172" s="426">
        <f>'2e trim 2016'!B23</f>
        <v>421848</v>
      </c>
      <c r="C172" s="652"/>
      <c r="D172" s="338" t="str">
        <f>'2e trim 2016'!D23</f>
        <v>MOBILE</v>
      </c>
      <c r="E172" s="362"/>
      <c r="F172" s="237">
        <f>'2e trim 2016'!F23</f>
        <v>0</v>
      </c>
      <c r="G172" s="25">
        <f>'2e trim 2016'!G23</f>
        <v>0</v>
      </c>
      <c r="H172" s="345"/>
      <c r="I172" s="143">
        <f>'2e trim 2016'!I23</f>
        <v>43.56</v>
      </c>
      <c r="J172" s="398"/>
    </row>
    <row r="173" spans="1:10" ht="18.75">
      <c r="A173" s="425" t="str">
        <f>'2e trim 2016'!A24</f>
        <v>04.2016</v>
      </c>
      <c r="B173" s="426">
        <f>'2e trim 2016'!B24</f>
        <v>421848</v>
      </c>
      <c r="C173" s="652"/>
      <c r="D173" s="338" t="str">
        <f>'2e trim 2016'!D24</f>
        <v>MOBILE</v>
      </c>
      <c r="E173" s="362"/>
      <c r="F173" s="237">
        <f>'2e trim 2016'!F24</f>
        <v>0</v>
      </c>
      <c r="G173" s="25">
        <f>'2e trim 2016'!G24</f>
        <v>0</v>
      </c>
      <c r="H173" s="345"/>
      <c r="I173" s="143">
        <f>'2e trim 2016'!I24</f>
        <v>33.06</v>
      </c>
      <c r="J173" s="398"/>
    </row>
    <row r="174" spans="1:10" ht="18.75">
      <c r="A174" s="425" t="str">
        <f>'2e trim 2016'!A25</f>
        <v>04.2016</v>
      </c>
      <c r="B174" s="426">
        <f>'2e trim 2016'!B25</f>
        <v>421848</v>
      </c>
      <c r="C174" s="657"/>
      <c r="D174" s="338" t="str">
        <f>'2e trim 2016'!D25</f>
        <v>REEBOU PACK</v>
      </c>
      <c r="E174" s="360"/>
      <c r="F174" s="237">
        <f>'2e trim 2016'!F25</f>
        <v>0</v>
      </c>
      <c r="G174" s="22">
        <f>'2e trim 2016'!G25</f>
        <v>0</v>
      </c>
      <c r="H174" s="140"/>
      <c r="I174" s="143">
        <f>'2e trim 2016'!I25</f>
        <v>16.631999999999998</v>
      </c>
      <c r="J174" s="398"/>
    </row>
    <row r="175" spans="1:10" ht="18.75">
      <c r="A175" s="425" t="str">
        <f>'2e trim 2016'!A26</f>
        <v>04.2016</v>
      </c>
      <c r="B175" s="426">
        <f>'2e trim 2016'!B26</f>
        <v>421848</v>
      </c>
      <c r="C175" s="652"/>
      <c r="D175" s="338" t="str">
        <f>'2e trim 2016'!D26</f>
        <v>REEBOU FAMILY</v>
      </c>
      <c r="E175" s="362"/>
      <c r="F175" s="237">
        <f>'2e trim 2016'!F26</f>
        <v>0</v>
      </c>
      <c r="G175" s="25">
        <f>'2e trim 2016'!G26</f>
        <v>0</v>
      </c>
      <c r="H175" s="345"/>
      <c r="I175" s="143">
        <f>'2e trim 2016'!I26</f>
        <v>33.119999999999997</v>
      </c>
      <c r="J175" s="398"/>
    </row>
    <row r="176" spans="1:10" ht="18.75">
      <c r="A176" s="425" t="str">
        <f>'2e trim 2016'!A31</f>
        <v>04.2016</v>
      </c>
      <c r="B176" s="426">
        <f>'2e trim 2016'!B31</f>
        <v>820795</v>
      </c>
      <c r="C176" s="652"/>
      <c r="D176" s="597" t="str">
        <f>'2e trim 2016'!D31</f>
        <v>BSH</v>
      </c>
      <c r="E176" s="362"/>
      <c r="F176" s="237">
        <f>'2e trim 2016'!F31</f>
        <v>0</v>
      </c>
      <c r="G176" s="25">
        <f>'2e trim 2016'!G31</f>
        <v>0</v>
      </c>
      <c r="H176" s="345"/>
      <c r="I176" s="143">
        <f>'2e trim 2016'!I31</f>
        <v>84</v>
      </c>
      <c r="J176" s="398"/>
    </row>
    <row r="177" spans="1:11" ht="18.75">
      <c r="A177" s="425" t="str">
        <f>'2e trim 2016'!A32</f>
        <v>04.2016</v>
      </c>
      <c r="B177" s="426">
        <f>'2e trim 2016'!B32</f>
        <v>820795</v>
      </c>
      <c r="C177" s="657"/>
      <c r="D177" s="597" t="str">
        <f>'2e trim 2016'!D32</f>
        <v>BSH</v>
      </c>
      <c r="E177" s="362"/>
      <c r="F177" s="237">
        <f>'2e trim 2016'!F32</f>
        <v>0</v>
      </c>
      <c r="G177" s="25">
        <f>'2e trim 2016'!G32</f>
        <v>0</v>
      </c>
      <c r="H177" s="143"/>
      <c r="I177" s="141">
        <f>'2e trim 2016'!I32</f>
        <v>84</v>
      </c>
      <c r="J177" s="398"/>
    </row>
    <row r="178" spans="1:11" ht="18.75">
      <c r="A178" s="425" t="str">
        <f>'2e trim 2016'!A33</f>
        <v>04.2016</v>
      </c>
      <c r="B178" s="426">
        <f>'2e trim 2016'!B33</f>
        <v>820795</v>
      </c>
      <c r="C178" s="652"/>
      <c r="D178" s="597" t="str">
        <f>'2e trim 2016'!D33</f>
        <v>BSH</v>
      </c>
      <c r="E178" s="362"/>
      <c r="F178" s="237">
        <f>'2e trim 2016'!F33</f>
        <v>0</v>
      </c>
      <c r="G178" s="25">
        <f>'2e trim 2016'!G33</f>
        <v>0</v>
      </c>
      <c r="H178" s="345"/>
      <c r="I178" s="143">
        <f>'2e trim 2016'!I33</f>
        <v>84</v>
      </c>
      <c r="J178" s="398"/>
    </row>
    <row r="179" spans="1:11" ht="18.75">
      <c r="A179" s="425" t="str">
        <f>'3ème trim 2016'!A22</f>
        <v>07.2016</v>
      </c>
      <c r="B179" s="426">
        <f>'3ème trim 2016'!B22</f>
        <v>896204</v>
      </c>
      <c r="C179" s="652"/>
      <c r="D179" s="338" t="str">
        <f>'3ème trim 2016'!D22</f>
        <v>MOBILE REGIO</v>
      </c>
      <c r="E179" s="362"/>
      <c r="F179" s="237">
        <f>'3ème trim 2016'!F22</f>
        <v>0</v>
      </c>
      <c r="G179" s="25">
        <f>'3ème trim 2016'!G22</f>
        <v>0</v>
      </c>
      <c r="H179" s="345"/>
      <c r="I179" s="143">
        <f>'3ème trim 2016'!I22</f>
        <v>15.529799999999998</v>
      </c>
      <c r="J179" s="398"/>
    </row>
    <row r="180" spans="1:11" ht="18.75">
      <c r="A180" s="633" t="str">
        <f>'2e trim 2016'!A37</f>
        <v>05.2016</v>
      </c>
      <c r="B180" s="593">
        <f>'2e trim 2016'!B37</f>
        <v>755058</v>
      </c>
      <c r="C180" s="696"/>
      <c r="D180" s="634" t="str">
        <f>'2e trim 2016'!D37</f>
        <v>FOCUS INVEST</v>
      </c>
      <c r="E180" s="635"/>
      <c r="F180" s="636">
        <f>'2e trim 2016'!F37</f>
        <v>0</v>
      </c>
      <c r="G180" s="637">
        <f>'2e trim 2016'!G37</f>
        <v>0</v>
      </c>
      <c r="H180" s="638"/>
      <c r="I180" s="143">
        <f>'2e trim 2016'!I37</f>
        <v>1125</v>
      </c>
      <c r="J180" s="398"/>
    </row>
    <row r="181" spans="1:11" ht="18.75">
      <c r="A181" s="425" t="str">
        <f>'1er Trimestre 2018'!A55</f>
        <v>03.2018</v>
      </c>
      <c r="B181" s="426">
        <f>'1er Trimestre 2018'!B55</f>
        <v>770045</v>
      </c>
      <c r="C181" s="652"/>
      <c r="D181" s="338" t="str">
        <f>'1er Trimestre 2018'!D55</f>
        <v>MOBILE2016</v>
      </c>
      <c r="E181" s="362"/>
      <c r="F181" s="237">
        <f>'1er Trimestre 2018'!F55</f>
        <v>0</v>
      </c>
      <c r="G181" s="25">
        <f>'1er Trimestre 2018'!G55</f>
        <v>0</v>
      </c>
      <c r="H181" s="345"/>
      <c r="I181" s="143">
        <f>'1er Trimestre 2018'!I55</f>
        <v>8</v>
      </c>
      <c r="J181" s="398"/>
    </row>
    <row r="182" spans="1:11" ht="18.75">
      <c r="A182" s="557" t="str">
        <f>'2eme trim 2017 '!A37</f>
        <v>05.2017</v>
      </c>
      <c r="B182" s="546">
        <f>'2eme trim 2017 '!B37</f>
        <v>611396</v>
      </c>
      <c r="C182" s="663"/>
      <c r="D182" s="547" t="str">
        <f>'2eme trim 2017 '!D37</f>
        <v>MEDICIS</v>
      </c>
      <c r="E182" s="548"/>
      <c r="F182" s="549">
        <f>'2eme trim 2017 '!F37</f>
        <v>0</v>
      </c>
      <c r="G182" s="550">
        <f>'2eme trim 2017 '!G37</f>
        <v>0</v>
      </c>
      <c r="H182" s="551"/>
      <c r="I182" s="143">
        <f>'2eme trim 2017 '!I37</f>
        <v>149.4605</v>
      </c>
      <c r="J182" s="398"/>
    </row>
    <row r="183" spans="1:11">
      <c r="A183" s="527" t="str">
        <f>'3eme trim 2017  '!A68</f>
        <v>09.2017</v>
      </c>
      <c r="B183" s="528">
        <f>'3eme trim 2017  '!B68</f>
        <v>611396</v>
      </c>
      <c r="C183" s="652"/>
      <c r="D183" s="22" t="str">
        <f>'3eme trim 2017  '!D68</f>
        <v>REEBOU Family</v>
      </c>
      <c r="E183" s="22"/>
      <c r="F183" s="240">
        <f>'3eme trim 2017  '!F68</f>
        <v>0</v>
      </c>
      <c r="G183" s="25">
        <f>'3eme trim 2017  '!G68</f>
        <v>0</v>
      </c>
      <c r="H183" s="345"/>
      <c r="I183" s="345">
        <f>'3eme trim 2017  '!I68</f>
        <v>30.573599999999999</v>
      </c>
      <c r="J183" s="398"/>
    </row>
    <row r="184" spans="1:11">
      <c r="A184" s="527" t="str">
        <f>'3eme trim 2017  '!A69</f>
        <v>09.2017</v>
      </c>
      <c r="B184" s="528">
        <f>'3eme trim 2017  '!B69</f>
        <v>611396</v>
      </c>
      <c r="C184" s="657"/>
      <c r="D184" s="22" t="str">
        <f>'3eme trim 2017  '!D69</f>
        <v>REEBOU Pack</v>
      </c>
      <c r="E184" s="22"/>
      <c r="F184" s="240">
        <f>'3eme trim 2017  '!F69</f>
        <v>0</v>
      </c>
      <c r="G184" s="22">
        <f>'3eme trim 2017  '!G69</f>
        <v>0</v>
      </c>
      <c r="H184" s="143"/>
      <c r="I184" s="143">
        <f>'3eme trim 2017  '!I69</f>
        <v>16.968</v>
      </c>
      <c r="J184" s="398"/>
    </row>
    <row r="185" spans="1:11">
      <c r="A185" s="527" t="str">
        <f>'3eme trim 2017  '!A61</f>
        <v>09.2017</v>
      </c>
      <c r="B185" s="529">
        <f>'3eme trim 2017  '!B61</f>
        <v>260070</v>
      </c>
      <c r="C185" s="666"/>
      <c r="D185" s="28" t="str">
        <f>'3eme trim 2017  '!D61</f>
        <v>LOGGIA</v>
      </c>
      <c r="E185" s="28"/>
      <c r="F185" s="240">
        <f>'3eme trim 2017  '!F61</f>
        <v>0</v>
      </c>
      <c r="G185" s="28">
        <f>'3eme trim 2017  '!G61</f>
        <v>0</v>
      </c>
      <c r="H185" s="346"/>
      <c r="I185" s="346">
        <f>'3eme trim 2017  '!I61</f>
        <v>11.394</v>
      </c>
      <c r="J185" s="398"/>
    </row>
    <row r="186" spans="1:11">
      <c r="A186" s="527" t="str">
        <f>'3eme trim 2017  '!A62</f>
        <v>09.2017</v>
      </c>
      <c r="B186" s="529">
        <f>'3eme trim 2017  '!B62</f>
        <v>260070</v>
      </c>
      <c r="C186" s="666"/>
      <c r="D186" s="22" t="str">
        <f>'3eme trim 2017  '!D62</f>
        <v>MOBILE Regio</v>
      </c>
      <c r="E186" s="28"/>
      <c r="F186" s="240">
        <f>'3eme trim 2017  '!F62</f>
        <v>0</v>
      </c>
      <c r="G186" s="28">
        <f>'3eme trim 2017  '!G62</f>
        <v>0</v>
      </c>
      <c r="H186" s="346"/>
      <c r="I186" s="346">
        <f>'3eme trim 2017  '!I62</f>
        <v>36.7014</v>
      </c>
      <c r="J186" s="398"/>
    </row>
    <row r="187" spans="1:11" ht="18.75">
      <c r="A187" s="633" t="str">
        <f>'4eme trim 2017  '!A36</f>
        <v>10.2017</v>
      </c>
      <c r="B187" s="593">
        <f>'4eme trim 2017  '!B36</f>
        <v>278619</v>
      </c>
      <c r="C187" s="696"/>
      <c r="D187" s="634" t="str">
        <f>'4eme trim 2017  '!D36</f>
        <v>HORIZONT60Invest</v>
      </c>
      <c r="E187" s="635"/>
      <c r="F187" s="636">
        <f>'4eme trim 2017  '!F36</f>
        <v>0</v>
      </c>
      <c r="G187" s="637">
        <f>'4eme trim 2017  '!G36</f>
        <v>2032</v>
      </c>
      <c r="H187" s="700"/>
      <c r="I187" s="143">
        <f>'4eme trim 2017  '!I36</f>
        <v>270</v>
      </c>
      <c r="J187" s="398"/>
    </row>
    <row r="188" spans="1:11" ht="19.5" thickBot="1">
      <c r="A188" s="633" t="str">
        <f>'4eme trim 2017  '!A37</f>
        <v>10.2017</v>
      </c>
      <c r="B188" s="593">
        <f>'4eme trim 2017  '!B37</f>
        <v>299582</v>
      </c>
      <c r="C188" s="696"/>
      <c r="D188" s="634" t="str">
        <f>'4eme trim 2017  '!D37</f>
        <v>HORIZONT60Invest</v>
      </c>
      <c r="E188" s="635"/>
      <c r="F188" s="636">
        <f>'4eme trim 2017  '!F37</f>
        <v>0</v>
      </c>
      <c r="G188" s="637">
        <f>'4eme trim 2017  '!G37</f>
        <v>2043</v>
      </c>
      <c r="H188" s="700"/>
      <c r="I188" s="143">
        <f>'4eme trim 2017  '!I37</f>
        <v>468</v>
      </c>
      <c r="J188" s="398"/>
    </row>
    <row r="189" spans="1:11" ht="18.75">
      <c r="A189" s="545" t="str">
        <f>'4eme trim 2017  '!A50</f>
        <v>11.2017</v>
      </c>
      <c r="B189" s="559">
        <f>'4eme trim 2017  '!B50</f>
        <v>299582</v>
      </c>
      <c r="C189" s="658"/>
      <c r="D189" s="597" t="str">
        <f>'4eme trim 2017  '!D50</f>
        <v>SCHWABISCHHALL</v>
      </c>
      <c r="E189" s="560"/>
      <c r="F189" s="561">
        <f>'4eme trim 2017  '!F50</f>
        <v>0</v>
      </c>
      <c r="G189" s="562">
        <f>'4eme trim 2017  '!G50</f>
        <v>0</v>
      </c>
      <c r="H189" s="569"/>
      <c r="I189" s="564">
        <f>'4eme trim 2017  '!I50</f>
        <v>462</v>
      </c>
      <c r="K189" s="556" t="s">
        <v>613</v>
      </c>
    </row>
    <row r="190" spans="1:11" ht="18.75">
      <c r="A190" s="425" t="str">
        <f>'2e trim 2016'!A27</f>
        <v>04.2016</v>
      </c>
      <c r="B190" s="426">
        <f>'2e trim 2016'!B27</f>
        <v>157437</v>
      </c>
      <c r="C190" s="652"/>
      <c r="D190" s="338" t="str">
        <f>'2e trim 2016'!D27</f>
        <v>MOBILE</v>
      </c>
      <c r="E190" s="362"/>
      <c r="F190" s="237">
        <f>'2e trim 2016'!F27</f>
        <v>0</v>
      </c>
      <c r="G190" s="25">
        <f>'2e trim 2016'!G27</f>
        <v>0</v>
      </c>
      <c r="H190" s="345"/>
      <c r="I190" s="143">
        <f>'2e trim 2016'!I27</f>
        <v>76.28</v>
      </c>
      <c r="J190" s="398"/>
    </row>
    <row r="191" spans="1:11">
      <c r="A191" s="526" t="str">
        <f>'2eme trim 2017 '!A74</f>
        <v>06.2017</v>
      </c>
      <c r="B191" s="531">
        <f>'2eme trim 2017 '!B74</f>
        <v>157437</v>
      </c>
      <c r="C191" s="657"/>
      <c r="D191" s="687" t="str">
        <f>'2eme trim 2017 '!D74</f>
        <v>MOBILE</v>
      </c>
      <c r="E191" s="22"/>
      <c r="F191" s="240">
        <f>'2eme trim 2017 '!F74</f>
        <v>0</v>
      </c>
      <c r="G191" s="22">
        <f>'2eme trim 2017 '!G74</f>
        <v>0</v>
      </c>
      <c r="H191" s="143"/>
      <c r="I191" s="143">
        <f>'2eme trim 2017 '!I74</f>
        <v>5.58</v>
      </c>
      <c r="J191" s="398"/>
    </row>
    <row r="192" spans="1:11" ht="18.75">
      <c r="A192" s="425" t="str">
        <f>'4ème trim 2016'!A39</f>
        <v>11.2016</v>
      </c>
      <c r="B192" s="426">
        <f>'4ème trim 2016'!B39</f>
        <v>778333</v>
      </c>
      <c r="C192" s="391"/>
      <c r="D192" s="338" t="str">
        <f>'4ème trim 2016'!D39</f>
        <v>REEBOU FAMILY</v>
      </c>
      <c r="E192" s="447"/>
      <c r="F192" s="448">
        <f>'4ème trim 2016'!F39</f>
        <v>0</v>
      </c>
      <c r="G192" s="106">
        <f>'4ème trim 2016'!G39</f>
        <v>0</v>
      </c>
      <c r="H192" s="449"/>
      <c r="I192" s="143">
        <f>'4ème trim 2016'!I39</f>
        <v>26.942399999999999</v>
      </c>
      <c r="J192" s="401"/>
    </row>
    <row r="193" spans="1:10" ht="18.75">
      <c r="A193" s="633" t="str">
        <f>'4ème trim 2016'!A17</f>
        <v>10.2016</v>
      </c>
      <c r="B193" s="708">
        <f>'4ème trim 2016'!B17</f>
        <v>473247</v>
      </c>
      <c r="C193" s="709"/>
      <c r="D193" s="634" t="str">
        <f>'4ème trim 2016'!D17</f>
        <v>MEDICIS GROUP</v>
      </c>
      <c r="E193" s="635"/>
      <c r="F193" s="710">
        <f>'4ème trim 2016'!F17</f>
        <v>0</v>
      </c>
      <c r="G193" s="711">
        <f>'4ème trim 2016'!G17</f>
        <v>0</v>
      </c>
      <c r="H193" s="638"/>
      <c r="I193" s="450">
        <f>'4ème trim 2016'!I17</f>
        <v>424.83874999999995</v>
      </c>
      <c r="J193" s="401"/>
    </row>
    <row r="194" spans="1:10" ht="18.75">
      <c r="A194" s="633" t="str">
        <f>'1er trim 2017'!A64</f>
        <v>03.2017</v>
      </c>
      <c r="B194" s="633">
        <f>'1er trim 2017'!B64</f>
        <v>737949</v>
      </c>
      <c r="C194" s="696"/>
      <c r="D194" s="634" t="str">
        <f>'1er trim 2017'!D64</f>
        <v>MEDICIS</v>
      </c>
      <c r="E194" s="635"/>
      <c r="F194" s="636">
        <f>'1er trim 2017'!F64</f>
        <v>0</v>
      </c>
      <c r="G194" s="637">
        <f>'1er trim 2017'!G64</f>
        <v>0</v>
      </c>
      <c r="H194" s="638"/>
      <c r="I194" s="143">
        <f>'1er trim 2017'!I64</f>
        <v>308.85049999999995</v>
      </c>
      <c r="J194" s="401"/>
    </row>
    <row r="195" spans="1:10" ht="18.75">
      <c r="A195" s="425" t="str">
        <f>'3ème trim 2016'!A44</f>
        <v>08.2016</v>
      </c>
      <c r="B195" s="426">
        <f>'3ème trim 2016'!B44</f>
        <v>581798</v>
      </c>
      <c r="C195" s="657"/>
      <c r="D195" s="597" t="str">
        <f>'3ème trim 2016'!D44</f>
        <v>BSH</v>
      </c>
      <c r="E195" s="362"/>
      <c r="F195" s="237">
        <f>'3ème trim 2016'!F44</f>
        <v>0</v>
      </c>
      <c r="G195" s="25">
        <f>'3ème trim 2016'!G44</f>
        <v>0</v>
      </c>
      <c r="H195" s="345"/>
      <c r="I195" s="345">
        <f>'3ème trim 2016'!I44</f>
        <v>420</v>
      </c>
      <c r="J195" s="398"/>
    </row>
    <row r="196" spans="1:10" ht="18.75">
      <c r="A196" s="425" t="str">
        <f>'3ème trim 2016'!A14</f>
        <v>07.2016</v>
      </c>
      <c r="B196" s="426">
        <f>'3ème trim 2016'!B14</f>
        <v>296024</v>
      </c>
      <c r="C196" s="657"/>
      <c r="D196" s="338" t="str">
        <f>'3ème trim 2016'!D14</f>
        <v>REEBOU PRO</v>
      </c>
      <c r="E196" s="360"/>
      <c r="F196" s="237">
        <f>'3ème trim 2016'!F14</f>
        <v>0</v>
      </c>
      <c r="G196" s="22">
        <f>'3ème trim 2016'!G14</f>
        <v>0</v>
      </c>
      <c r="H196" s="140"/>
      <c r="I196" s="345">
        <f>'3ème trim 2016'!I14</f>
        <v>56.799599999999998</v>
      </c>
      <c r="J196" s="398"/>
    </row>
    <row r="197" spans="1:10" ht="18.75">
      <c r="A197" s="425" t="str">
        <f>'1er Trimestre 2018'!A56</f>
        <v>03.2018</v>
      </c>
      <c r="B197" s="426">
        <f>'1er Trimestre 2018'!B56</f>
        <v>437578</v>
      </c>
      <c r="C197" s="652"/>
      <c r="D197" s="338" t="str">
        <f>'1er Trimestre 2018'!D56</f>
        <v>REEBOU Family</v>
      </c>
      <c r="E197" s="362"/>
      <c r="F197" s="237">
        <f>'1er Trimestre 2018'!F56</f>
        <v>0</v>
      </c>
      <c r="G197" s="25">
        <f>'1er Trimestre 2018'!G56</f>
        <v>0</v>
      </c>
      <c r="H197" s="345"/>
      <c r="I197" s="143">
        <f>'1er Trimestre 2018'!I56</f>
        <v>5.4815999999999994</v>
      </c>
      <c r="J197" s="398"/>
    </row>
    <row r="198" spans="1:10" ht="18.75">
      <c r="A198" s="425" t="str">
        <f>'3ème trim 2016'!A19</f>
        <v>07.2016</v>
      </c>
      <c r="B198" s="426">
        <f>'3ème trim 2016'!B19</f>
        <v>296948</v>
      </c>
      <c r="C198" s="652"/>
      <c r="D198" s="338" t="str">
        <f>'3ème trim 2016'!D19</f>
        <v>MOBILE</v>
      </c>
      <c r="E198" s="362"/>
      <c r="F198" s="237">
        <f>'3ème trim 2016'!F19</f>
        <v>0</v>
      </c>
      <c r="G198" s="25">
        <f>'3ème trim 2016'!G19</f>
        <v>0</v>
      </c>
      <c r="H198" s="345"/>
      <c r="I198" s="143">
        <f>'3ème trim 2016'!I19</f>
        <v>57.274999999999999</v>
      </c>
      <c r="J198" s="398"/>
    </row>
    <row r="199" spans="1:10" ht="18.75">
      <c r="A199" s="425" t="str">
        <f>'3ème trim 2016'!A54</f>
        <v>09.2016</v>
      </c>
      <c r="B199" s="426">
        <f>'3ème trim 2016'!B54</f>
        <v>288653</v>
      </c>
      <c r="C199" s="657"/>
      <c r="D199" s="338" t="str">
        <f>'3ème trim 2016'!D54</f>
        <v>MOBILE</v>
      </c>
      <c r="E199" s="360"/>
      <c r="F199" s="237">
        <f>'3ème trim 2016'!F54</f>
        <v>0</v>
      </c>
      <c r="G199" s="22">
        <f>'3ème trim 2016'!G54</f>
        <v>0</v>
      </c>
      <c r="H199" s="140"/>
      <c r="I199" s="143">
        <f>'3ème trim 2016'!I54</f>
        <v>107.8896</v>
      </c>
      <c r="J199" s="398"/>
    </row>
    <row r="200" spans="1:10" ht="18.75">
      <c r="A200" s="425" t="str">
        <f>'1er trim 2017'!A41</f>
        <v>02.2017</v>
      </c>
      <c r="B200" s="426">
        <f>'1er trim 2017'!B41</f>
        <v>465040</v>
      </c>
      <c r="C200" s="657"/>
      <c r="D200" s="338" t="str">
        <f>'1er trim 2017'!D41</f>
        <v>MOBILE</v>
      </c>
      <c r="E200" s="362"/>
      <c r="F200" s="237">
        <f>'1er trim 2017'!F41</f>
        <v>0</v>
      </c>
      <c r="G200" s="25">
        <f>'1er trim 2017'!G41</f>
        <v>0</v>
      </c>
      <c r="H200" s="143"/>
      <c r="I200" s="345">
        <f>'1er trim 2017'!I41</f>
        <v>93.230500000000006</v>
      </c>
      <c r="J200" s="398"/>
    </row>
    <row r="201" spans="1:10" ht="18.75">
      <c r="A201" s="425" t="str">
        <f>'2e trim 2016'!A44</f>
        <v>05.2016</v>
      </c>
      <c r="B201" s="426">
        <f>'2e trim 2016'!B44</f>
        <v>465040</v>
      </c>
      <c r="C201" s="652"/>
      <c r="D201" s="338" t="str">
        <f>'2e trim 2016'!D44</f>
        <v>MOBILE</v>
      </c>
      <c r="E201" s="362"/>
      <c r="F201" s="237">
        <f>'2e trim 2016'!F44</f>
        <v>0</v>
      </c>
      <c r="G201" s="25">
        <f>'2e trim 2016'!G44</f>
        <v>0</v>
      </c>
      <c r="H201" s="345"/>
      <c r="I201" s="143">
        <f>'2e trim 2016'!I44</f>
        <v>65.849999999999994</v>
      </c>
      <c r="J201" s="398"/>
    </row>
    <row r="202" spans="1:10" ht="18.75">
      <c r="A202" s="425" t="str">
        <f>'2e trim 2016'!A45</f>
        <v>05.2016</v>
      </c>
      <c r="B202" s="426">
        <f>'2e trim 2016'!B45</f>
        <v>465040</v>
      </c>
      <c r="C202" s="652"/>
      <c r="D202" s="338" t="str">
        <f>'2e trim 2016'!D45</f>
        <v>MOBILE</v>
      </c>
      <c r="E202" s="362"/>
      <c r="F202" s="237">
        <f>'2e trim 2016'!F45</f>
        <v>0</v>
      </c>
      <c r="G202" s="32">
        <f>'2e trim 2016'!G45</f>
        <v>0</v>
      </c>
      <c r="H202" s="345"/>
      <c r="I202" s="345">
        <f>'2e trim 2016'!I45</f>
        <v>65.849999999999994</v>
      </c>
      <c r="J202" s="398"/>
    </row>
    <row r="203" spans="1:10" ht="18.75">
      <c r="A203" s="425" t="str">
        <f>'3ème trim 2016'!A23</f>
        <v>07.2016</v>
      </c>
      <c r="B203" s="426">
        <f>'3ème trim 2016'!B23</f>
        <v>465040</v>
      </c>
      <c r="C203" s="652"/>
      <c r="D203" s="338" t="str">
        <f>'3ème trim 2016'!D23</f>
        <v>MOBILE</v>
      </c>
      <c r="E203" s="362"/>
      <c r="F203" s="237">
        <f>'3ème trim 2016'!F23</f>
        <v>0</v>
      </c>
      <c r="G203" s="25">
        <f>'3ème trim 2016'!G23</f>
        <v>0</v>
      </c>
      <c r="H203" s="345"/>
      <c r="I203" s="143">
        <f>'3ème trim 2016'!I23</f>
        <v>261.50400000000002</v>
      </c>
      <c r="J203" s="398"/>
    </row>
    <row r="204" spans="1:10" ht="18.75">
      <c r="A204" s="425" t="str">
        <f>'3ème trim 2016'!A24</f>
        <v>07.2016</v>
      </c>
      <c r="B204" s="426">
        <f>'3ème trim 2016'!B24</f>
        <v>465040</v>
      </c>
      <c r="C204" s="652"/>
      <c r="D204" s="338" t="str">
        <f>'3ème trim 2016'!D24</f>
        <v>MOBILE</v>
      </c>
      <c r="E204" s="362"/>
      <c r="F204" s="237">
        <f>'3ème trim 2016'!F24</f>
        <v>0</v>
      </c>
      <c r="G204" s="25">
        <f>'3ème trim 2016'!G24</f>
        <v>0</v>
      </c>
      <c r="H204" s="345"/>
      <c r="I204" s="143">
        <f>'3ème trim 2016'!I24</f>
        <v>60.210100000000004</v>
      </c>
      <c r="J204" s="398"/>
    </row>
    <row r="205" spans="1:10" ht="18.75">
      <c r="A205" s="425" t="str">
        <f>'4ème trim 2016'!A81</f>
        <v>12.2016</v>
      </c>
      <c r="B205" s="426">
        <f>'4ème trim 2016'!B81</f>
        <v>292747</v>
      </c>
      <c r="C205" s="652"/>
      <c r="D205" s="338" t="str">
        <f>'4ème trim 2016'!D81</f>
        <v>P.J.</v>
      </c>
      <c r="E205" s="362"/>
      <c r="F205" s="237">
        <f>'4ème trim 2016'!F81</f>
        <v>0</v>
      </c>
      <c r="G205" s="25">
        <f>'4ème trim 2016'!G81</f>
        <v>0</v>
      </c>
      <c r="H205" s="345"/>
      <c r="I205" s="143">
        <f>'4ème trim 2016'!I81</f>
        <v>39.129000000000005</v>
      </c>
      <c r="J205" s="398"/>
    </row>
    <row r="206" spans="1:10" ht="18.75">
      <c r="A206" s="425" t="str">
        <f>'4eme trim 2017  '!A55</f>
        <v>11.2017</v>
      </c>
      <c r="B206" s="426">
        <f>'4eme trim 2017  '!B55</f>
        <v>970170</v>
      </c>
      <c r="C206" s="652"/>
      <c r="D206" s="338" t="str">
        <f>'4eme trim 2017  '!D55</f>
        <v>REEBOU Family</v>
      </c>
      <c r="E206" s="362"/>
      <c r="F206" s="237">
        <f>'4eme trim 2017  '!F55</f>
        <v>0</v>
      </c>
      <c r="G206" s="25">
        <f>'4eme trim 2017  '!G55</f>
        <v>0</v>
      </c>
      <c r="H206" s="143"/>
      <c r="I206" s="143">
        <f>'4eme trim 2017  '!I55</f>
        <v>0</v>
      </c>
      <c r="J206" s="398"/>
    </row>
    <row r="207" spans="1:10" ht="18.75">
      <c r="A207" s="425" t="str">
        <f>'2eme trim 2017 '!A19</f>
        <v>04.2017</v>
      </c>
      <c r="B207" s="426">
        <f>'2eme trim 2017 '!B19</f>
        <v>521956</v>
      </c>
      <c r="C207" s="652"/>
      <c r="D207" s="338" t="str">
        <f>'2eme trim 2017 '!D19</f>
        <v>MOBILE</v>
      </c>
      <c r="E207" s="362"/>
      <c r="F207" s="237">
        <f>'2eme trim 2017 '!F19</f>
        <v>0</v>
      </c>
      <c r="G207" s="25">
        <f>'2eme trim 2017 '!G19</f>
        <v>0</v>
      </c>
      <c r="H207" s="345"/>
      <c r="I207" s="143">
        <f>'2eme trim 2017 '!I19</f>
        <v>17.327999999999999</v>
      </c>
      <c r="J207" s="398"/>
    </row>
    <row r="208" spans="1:10" ht="18.75">
      <c r="A208" s="425" t="str">
        <f>'2eme trim 2017 '!A20</f>
        <v>04.2017</v>
      </c>
      <c r="B208" s="426">
        <f>'2eme trim 2017 '!B20</f>
        <v>521956</v>
      </c>
      <c r="C208" s="657"/>
      <c r="D208" s="338" t="str">
        <f>'2eme trim 2017 '!D20</f>
        <v>MOBILE</v>
      </c>
      <c r="E208" s="362"/>
      <c r="F208" s="237">
        <f>'2eme trim 2017 '!F20</f>
        <v>0</v>
      </c>
      <c r="G208" s="25">
        <f>'2eme trim 2017 '!G20</f>
        <v>0</v>
      </c>
      <c r="H208" s="143"/>
      <c r="I208" s="345">
        <f>'2eme trim 2017 '!I20</f>
        <v>40.597200000000001</v>
      </c>
      <c r="J208" s="398"/>
    </row>
    <row r="209" spans="1:10" ht="18.75">
      <c r="A209" s="425" t="str">
        <f>'4eme trim 2017  '!A82</f>
        <v>12.2017</v>
      </c>
      <c r="B209" s="426">
        <f>'4eme trim 2017  '!B82</f>
        <v>521956</v>
      </c>
      <c r="C209" s="652"/>
      <c r="D209" s="338" t="str">
        <f>'4eme trim 2017  '!D82</f>
        <v>MOBILE2016</v>
      </c>
      <c r="E209" s="362"/>
      <c r="F209" s="237">
        <f>'4eme trim 2017  '!F82</f>
        <v>0</v>
      </c>
      <c r="G209" s="25">
        <f>'4eme trim 2017  '!G82</f>
        <v>0</v>
      </c>
      <c r="H209" s="345"/>
      <c r="I209" s="143">
        <f>'4eme trim 2017  '!I82</f>
        <v>119.63760000000001</v>
      </c>
      <c r="J209" s="398"/>
    </row>
    <row r="210" spans="1:10" ht="18.75">
      <c r="A210" s="425" t="str">
        <f>'2e trim 2016'!A34</f>
        <v>04.2016</v>
      </c>
      <c r="B210" s="426">
        <f>'2e trim 2016'!B34</f>
        <v>282063</v>
      </c>
      <c r="C210" s="652"/>
      <c r="D210" s="338" t="str">
        <f>'2e trim 2016'!D34</f>
        <v>MOBILE</v>
      </c>
      <c r="E210" s="362"/>
      <c r="F210" s="237">
        <f>'2e trim 2016'!F34</f>
        <v>0</v>
      </c>
      <c r="G210" s="25">
        <f>'2e trim 2016'!G34</f>
        <v>0</v>
      </c>
      <c r="H210" s="345"/>
      <c r="I210" s="143">
        <f>'2e trim 2016'!I34</f>
        <v>126.24</v>
      </c>
      <c r="J210" s="398"/>
    </row>
    <row r="211" spans="1:10" ht="18.75">
      <c r="A211" s="557" t="str">
        <f>'1er trim 2017'!A67</f>
        <v>03.2017</v>
      </c>
      <c r="B211" s="546">
        <f>'1er trim 2017'!B67</f>
        <v>773729</v>
      </c>
      <c r="C211" s="663"/>
      <c r="D211" s="547" t="str">
        <f>'1er trim 2017'!D67</f>
        <v>MOBILE</v>
      </c>
      <c r="E211" s="548"/>
      <c r="F211" s="549">
        <f>'1er trim 2017'!F67</f>
        <v>0</v>
      </c>
      <c r="G211" s="550">
        <f>'1er trim 2017'!G67</f>
        <v>0</v>
      </c>
      <c r="H211" s="551"/>
      <c r="I211" s="552">
        <f>'1er trim 2017'!I67</f>
        <v>152.50319999999999</v>
      </c>
      <c r="J211" s="576"/>
    </row>
    <row r="212" spans="1:10" ht="18.75">
      <c r="A212" s="557" t="str">
        <f>'2e trim 2016'!A46</f>
        <v>06.2016</v>
      </c>
      <c r="B212" s="546">
        <f>'2e trim 2016'!B46</f>
        <v>773729</v>
      </c>
      <c r="C212" s="663"/>
      <c r="D212" s="547" t="str">
        <f>'2e trim 2016'!D46</f>
        <v>MOBILE</v>
      </c>
      <c r="E212" s="548"/>
      <c r="F212" s="549">
        <f>'2e trim 2016'!F46</f>
        <v>0</v>
      </c>
      <c r="G212" s="550">
        <f>'2e trim 2016'!G46</f>
        <v>0</v>
      </c>
      <c r="H212" s="551"/>
      <c r="I212" s="552">
        <f>'2e trim 2016'!I46</f>
        <v>152.50319999999999</v>
      </c>
      <c r="J212" s="576"/>
    </row>
    <row r="213" spans="1:10" ht="18.75">
      <c r="A213" s="425" t="str">
        <f>'2e trim 2016'!A47</f>
        <v>06.2016</v>
      </c>
      <c r="B213" s="426">
        <f>'2e trim 2016'!B47</f>
        <v>773729</v>
      </c>
      <c r="C213" s="657"/>
      <c r="D213" s="338" t="str">
        <f>'2e trim 2016'!D47</f>
        <v>REEBOU FAMILY</v>
      </c>
      <c r="E213" s="360"/>
      <c r="F213" s="237">
        <f>'2e trim 2016'!F47</f>
        <v>0</v>
      </c>
      <c r="G213" s="22">
        <f>'2e trim 2016'!G47</f>
        <v>0</v>
      </c>
      <c r="H213" s="140"/>
      <c r="I213" s="141">
        <f>'2e trim 2016'!I47</f>
        <v>26.321999999999999</v>
      </c>
      <c r="J213" s="398"/>
    </row>
    <row r="214" spans="1:10" ht="18.75">
      <c r="A214" s="425" t="str">
        <f>'2e trim 2016'!A48</f>
        <v>06.2016</v>
      </c>
      <c r="B214" s="426">
        <f>'2e trim 2016'!B48</f>
        <v>773729</v>
      </c>
      <c r="C214" s="652"/>
      <c r="D214" s="338" t="str">
        <f>'2e trim 2016'!D48</f>
        <v>REEBOU PACK</v>
      </c>
      <c r="E214" s="362"/>
      <c r="F214" s="237">
        <f>'2e trim 2016'!F48</f>
        <v>0</v>
      </c>
      <c r="G214" s="25">
        <f>'2e trim 2016'!G48</f>
        <v>0</v>
      </c>
      <c r="H214" s="345"/>
      <c r="I214" s="143">
        <f>'2e trim 2016'!I48</f>
        <v>16.631999999999998</v>
      </c>
      <c r="J214" s="398"/>
    </row>
    <row r="215" spans="1:10" ht="18.75">
      <c r="A215" s="425" t="str">
        <f>'2e trim 2016'!A49</f>
        <v>06.2016</v>
      </c>
      <c r="B215" s="426">
        <f>'2e trim 2016'!B49</f>
        <v>773729</v>
      </c>
      <c r="C215" s="657"/>
      <c r="D215" s="338" t="str">
        <f>'2e trim 2016'!D49</f>
        <v>REEBOU PACK</v>
      </c>
      <c r="E215" s="362"/>
      <c r="F215" s="237">
        <f>'2e trim 2016'!F49</f>
        <v>0</v>
      </c>
      <c r="G215" s="25">
        <f>'2e trim 2016'!G49</f>
        <v>0</v>
      </c>
      <c r="H215" s="143"/>
      <c r="I215" s="345">
        <f>'2e trim 2016'!I49</f>
        <v>25.850999999999999</v>
      </c>
      <c r="J215" s="398"/>
    </row>
    <row r="216" spans="1:10" ht="18.75">
      <c r="A216" s="425" t="str">
        <f>'3ème trim 2016'!A13</f>
        <v>07.2016</v>
      </c>
      <c r="B216" s="426">
        <f>'3ème trim 2016'!B13</f>
        <v>773729</v>
      </c>
      <c r="C216" s="652"/>
      <c r="D216" s="338" t="str">
        <f>'3ème trim 2016'!D13</f>
        <v>MOBILE</v>
      </c>
      <c r="E216" s="362"/>
      <c r="F216" s="237">
        <f>'3ème trim 2016'!F13</f>
        <v>0</v>
      </c>
      <c r="G216" s="25">
        <f>'3ème trim 2016'!G13</f>
        <v>0</v>
      </c>
      <c r="H216" s="345"/>
      <c r="I216" s="345">
        <f>'3ème trim 2016'!I13</f>
        <v>172.0736</v>
      </c>
      <c r="J216" s="398"/>
    </row>
    <row r="217" spans="1:10" ht="18.75">
      <c r="A217" s="633" t="str">
        <f>'1er Trimestre 2018'!A24</f>
        <v>02.2018</v>
      </c>
      <c r="B217" s="593">
        <f>'1er Trimestre 2018'!B24</f>
        <v>737308</v>
      </c>
      <c r="C217" s="696"/>
      <c r="D217" s="634" t="str">
        <f>'1er Trimestre 2018'!D24</f>
        <v>MEDICIS</v>
      </c>
      <c r="E217" s="635"/>
      <c r="F217" s="636">
        <f>'1er Trimestre 2018'!F24</f>
        <v>0</v>
      </c>
      <c r="G217" s="637">
        <f>'1er Trimestre 2018'!G24</f>
        <v>0</v>
      </c>
      <c r="H217" s="638"/>
      <c r="I217" s="143">
        <f>'1er Trimestre 2018'!I24</f>
        <v>616.24500000000012</v>
      </c>
      <c r="J217" s="398"/>
    </row>
    <row r="218" spans="1:10" ht="18.75">
      <c r="A218" s="425" t="str">
        <f>'1er Trimestre 2018'!A51</f>
        <v>03.2018</v>
      </c>
      <c r="B218" s="426">
        <f>'1er Trimestre 2018'!B51</f>
        <v>987828</v>
      </c>
      <c r="C218" s="652"/>
      <c r="D218" s="338" t="str">
        <f>'1er Trimestre 2018'!D51</f>
        <v>MOBILE2016</v>
      </c>
      <c r="E218" s="362"/>
      <c r="F218" s="237">
        <f>'1er Trimestre 2018'!F51</f>
        <v>0</v>
      </c>
      <c r="G218" s="25">
        <f>'1er Trimestre 2018'!G51</f>
        <v>0</v>
      </c>
      <c r="H218" s="345"/>
      <c r="I218" s="143">
        <f>'1er Trimestre 2018'!I51</f>
        <v>55.765749999999997</v>
      </c>
      <c r="J218" s="398"/>
    </row>
    <row r="219" spans="1:10" ht="18.75">
      <c r="A219" s="633" t="str">
        <f>'2eme trim 2017 '!A59</f>
        <v>06.2017</v>
      </c>
      <c r="B219" s="593">
        <f>'2eme trim 2017 '!B59</f>
        <v>763711</v>
      </c>
      <c r="C219" s="697"/>
      <c r="D219" s="634" t="str">
        <f>'2eme trim 2017 '!D59</f>
        <v>MEDICIS</v>
      </c>
      <c r="E219" s="698"/>
      <c r="F219" s="636">
        <f>'2eme trim 2017 '!F59</f>
        <v>0</v>
      </c>
      <c r="G219" s="699">
        <f>'2eme trim 2017 '!G59</f>
        <v>0</v>
      </c>
      <c r="H219" s="700"/>
      <c r="I219" s="141">
        <f>'2eme trim 2017 '!I59</f>
        <v>120.456</v>
      </c>
      <c r="J219" s="398"/>
    </row>
    <row r="220" spans="1:10" ht="18.75">
      <c r="A220" s="425" t="str">
        <f>'1er Trimestre 2018'!A52</f>
        <v>03.2018</v>
      </c>
      <c r="B220" s="426">
        <f>'1er Trimestre 2018'!B52</f>
        <v>789065</v>
      </c>
      <c r="C220" s="652"/>
      <c r="D220" s="338" t="str">
        <f>'1er Trimestre 2018'!D52</f>
        <v>MOBILE2016</v>
      </c>
      <c r="E220" s="362"/>
      <c r="F220" s="237">
        <f>'1er Trimestre 2018'!F52</f>
        <v>0</v>
      </c>
      <c r="G220" s="25">
        <f>'1er Trimestre 2018'!G52</f>
        <v>0</v>
      </c>
      <c r="H220" s="345"/>
      <c r="I220" s="143">
        <f>'1er Trimestre 2018'!I52</f>
        <v>46.494799999999998</v>
      </c>
      <c r="J220" s="398"/>
    </row>
    <row r="221" spans="1:10" ht="18.75">
      <c r="A221" s="425" t="str">
        <f>'2eme trim 2017 '!A18</f>
        <v>04.2017</v>
      </c>
      <c r="B221" s="426">
        <f>'2eme trim 2017 '!B18</f>
        <v>789065</v>
      </c>
      <c r="C221" s="652"/>
      <c r="D221" s="338" t="str">
        <f>'2eme trim 2017 '!D18</f>
        <v>REEBOU FAMILY</v>
      </c>
      <c r="E221" s="362"/>
      <c r="F221" s="237">
        <f>'2eme trim 2017 '!F18</f>
        <v>0</v>
      </c>
      <c r="G221" s="25">
        <f>'2eme trim 2017 '!G18</f>
        <v>0</v>
      </c>
      <c r="H221" s="345"/>
      <c r="I221" s="143">
        <f>'2eme trim 2017 '!I18</f>
        <v>59.777999999999992</v>
      </c>
      <c r="J221" s="398"/>
    </row>
    <row r="222" spans="1:10" ht="18.75">
      <c r="A222" s="633" t="str">
        <f>'3ème trim 2016'!A46</f>
        <v>09.2016</v>
      </c>
      <c r="B222" s="593">
        <f>'3ème trim 2016'!B46</f>
        <v>642719</v>
      </c>
      <c r="C222" s="696"/>
      <c r="D222" s="634" t="str">
        <f>'3ème trim 2016'!D46</f>
        <v>HORIZON 60 CAPI</v>
      </c>
      <c r="E222" s="635"/>
      <c r="F222" s="636">
        <f>'3ème trim 2016'!F46</f>
        <v>0</v>
      </c>
      <c r="G222" s="637">
        <f>'3ème trim 2016'!G46</f>
        <v>0</v>
      </c>
      <c r="H222" s="638"/>
      <c r="I222" s="141">
        <f>'3ème trim 2016'!I46</f>
        <v>537.6</v>
      </c>
      <c r="J222" s="398"/>
    </row>
    <row r="223" spans="1:10" ht="18.75">
      <c r="A223" s="633" t="str">
        <f>'1er Trimestre 2018'!A36</f>
        <v>02.2018</v>
      </c>
      <c r="B223" s="593">
        <f>'1er Trimestre 2018'!B36</f>
        <v>983501</v>
      </c>
      <c r="C223" s="696"/>
      <c r="D223" s="634" t="str">
        <f>'1er Trimestre 2018'!D36</f>
        <v>MEDICIS</v>
      </c>
      <c r="E223" s="635"/>
      <c r="F223" s="636">
        <f>'1er Trimestre 2018'!F36</f>
        <v>0</v>
      </c>
      <c r="G223" s="637">
        <f>'1er Trimestre 2018'!G36</f>
        <v>0</v>
      </c>
      <c r="H223" s="638"/>
      <c r="I223" s="143">
        <f>'1er Trimestre 2018'!I36</f>
        <v>21.157500000000002</v>
      </c>
      <c r="J223" s="398"/>
    </row>
    <row r="224" spans="1:10" ht="18.75">
      <c r="A224" s="425" t="str">
        <f>'1er Trimestre 2018'!A37</f>
        <v>02.2018</v>
      </c>
      <c r="B224" s="426">
        <f>'1er Trimestre 2018'!B37</f>
        <v>983501</v>
      </c>
      <c r="C224" s="652"/>
      <c r="D224" s="338" t="str">
        <f>'1er Trimestre 2018'!D37</f>
        <v>FOCUS</v>
      </c>
      <c r="E224" s="362"/>
      <c r="F224" s="237">
        <f>'1er Trimestre 2018'!F37</f>
        <v>0</v>
      </c>
      <c r="G224" s="25">
        <f>'1er Trimestre 2018'!G37</f>
        <v>0</v>
      </c>
      <c r="H224" s="345"/>
      <c r="I224" s="143">
        <f>'1er Trimestre 2018'!I37</f>
        <v>36.787500000000001</v>
      </c>
      <c r="J224" s="398"/>
    </row>
    <row r="225" spans="1:10" ht="18.75">
      <c r="A225" s="633" t="str">
        <f>'4ème trim 2016'!A63</f>
        <v>12.2016</v>
      </c>
      <c r="B225" s="593">
        <f>'4ème trim 2016'!B63</f>
        <v>480704</v>
      </c>
      <c r="C225" s="696"/>
      <c r="D225" s="634" t="str">
        <f>'4ème trim 2016'!D63</f>
        <v>MEDICIS GROUP</v>
      </c>
      <c r="E225" s="635"/>
      <c r="F225" s="636">
        <f>'4ème trim 2016'!F63</f>
        <v>0</v>
      </c>
      <c r="G225" s="637">
        <f>'4ème trim 2016'!G63</f>
        <v>0</v>
      </c>
      <c r="H225" s="638"/>
      <c r="I225" s="143">
        <f>'4ème trim 2016'!I63</f>
        <v>229.95</v>
      </c>
      <c r="J225" s="398"/>
    </row>
    <row r="226" spans="1:10" ht="18.75">
      <c r="A226" s="425" t="str">
        <f>'4eme trim 2017  '!A83</f>
        <v>12.2017</v>
      </c>
      <c r="B226" s="426">
        <f>'4eme trim 2017  '!B83</f>
        <v>962753</v>
      </c>
      <c r="C226" s="652"/>
      <c r="D226" s="338" t="str">
        <f>'4eme trim 2017  '!D83</f>
        <v>MOBILE2016</v>
      </c>
      <c r="E226" s="362"/>
      <c r="F226" s="237">
        <f>'4eme trim 2017  '!F83</f>
        <v>0</v>
      </c>
      <c r="G226" s="25">
        <f>'4eme trim 2017  '!G83</f>
        <v>0</v>
      </c>
      <c r="H226" s="345"/>
      <c r="I226" s="143">
        <f>'4eme trim 2017  '!I83</f>
        <v>105.02719999999999</v>
      </c>
      <c r="J226" s="398"/>
    </row>
    <row r="227" spans="1:10" ht="18.75">
      <c r="A227" s="425" t="str">
        <f>'4eme trim 2017  '!A31</f>
        <v>10.2017</v>
      </c>
      <c r="B227" s="426">
        <f>'4eme trim 2017  '!B31</f>
        <v>969675</v>
      </c>
      <c r="C227" s="652"/>
      <c r="D227" s="338" t="str">
        <f>'4eme trim 2017  '!D31</f>
        <v>MOBILE2007</v>
      </c>
      <c r="E227" s="362"/>
      <c r="F227" s="237">
        <f>'4eme trim 2017  '!F31</f>
        <v>0</v>
      </c>
      <c r="G227" s="25">
        <f>'4eme trim 2017  '!G31</f>
        <v>0</v>
      </c>
      <c r="H227" s="140"/>
      <c r="I227" s="143">
        <f>'4eme trim 2017  '!I31</f>
        <v>26.024999999999999</v>
      </c>
      <c r="J227" s="398"/>
    </row>
    <row r="228" spans="1:10" ht="30">
      <c r="A228" s="557" t="str">
        <f>'1er trim 2017'!A51</f>
        <v>02.2017</v>
      </c>
      <c r="B228" s="546">
        <f>'1er trim 2017'!B51</f>
        <v>904456</v>
      </c>
      <c r="C228" s="663"/>
      <c r="D228" s="547" t="str">
        <f>'1er trim 2017'!D51</f>
        <v>MEDICIS</v>
      </c>
      <c r="E228" s="548"/>
      <c r="F228" s="549">
        <f>'1er trim 2017'!F51</f>
        <v>0</v>
      </c>
      <c r="G228" s="550">
        <f>'1er trim 2017'!G51</f>
        <v>0</v>
      </c>
      <c r="H228" s="551"/>
      <c r="I228" s="552">
        <f>'1er trim 2017'!I51</f>
        <v>148.36850000000001</v>
      </c>
      <c r="J228" s="576" t="s">
        <v>628</v>
      </c>
    </row>
    <row r="229" spans="1:10" ht="18.75">
      <c r="A229" s="425" t="str">
        <f>'2e trim 2016'!A39</f>
        <v>05.2016</v>
      </c>
      <c r="B229" s="426">
        <f>'2e trim 2016'!B39</f>
        <v>862575</v>
      </c>
      <c r="C229" s="657"/>
      <c r="D229" s="338" t="str">
        <f>'2e trim 2016'!D39</f>
        <v>PJ</v>
      </c>
      <c r="E229" s="325"/>
      <c r="F229" s="371">
        <f>'2e trim 2016'!F39</f>
        <v>0</v>
      </c>
      <c r="G229" s="22">
        <f>'2e trim 2016'!G39</f>
        <v>0</v>
      </c>
      <c r="H229" s="140"/>
      <c r="I229" s="143">
        <f>'2e trim 2016'!I39</f>
        <v>30.435600000000001</v>
      </c>
      <c r="J229" s="398"/>
    </row>
    <row r="230" spans="1:10" ht="18.75">
      <c r="A230" s="633" t="str">
        <f>'4ème trim 2016'!A68</f>
        <v>12.2016</v>
      </c>
      <c r="B230" s="593">
        <f>'4ème trim 2016'!B68</f>
        <v>515179</v>
      </c>
      <c r="C230" s="696"/>
      <c r="D230" s="634" t="str">
        <f>'4ème trim 2016'!D68</f>
        <v>FOCUS INVEST.</v>
      </c>
      <c r="E230" s="635"/>
      <c r="F230" s="636">
        <f>'4ème trim 2016'!F68</f>
        <v>0</v>
      </c>
      <c r="G230" s="637">
        <f>'4ème trim 2016'!G68</f>
        <v>0</v>
      </c>
      <c r="H230" s="638"/>
      <c r="I230" s="143">
        <f>'4ème trim 2016'!I68</f>
        <v>13.811400000000001</v>
      </c>
      <c r="J230" s="398"/>
    </row>
    <row r="231" spans="1:10" ht="18.75">
      <c r="A231" s="633" t="str">
        <f>'2eme trim 2017 '!A13</f>
        <v>04.2017</v>
      </c>
      <c r="B231" s="593">
        <f>'2eme trim 2017 '!B13</f>
        <v>646798</v>
      </c>
      <c r="C231" s="696"/>
      <c r="D231" s="634" t="str">
        <f>'2eme trim 2017 '!D13</f>
        <v>HORIZONT 60 INVEST</v>
      </c>
      <c r="E231" s="635"/>
      <c r="F231" s="636">
        <f>'2eme trim 2017 '!F13</f>
        <v>0</v>
      </c>
      <c r="G231" s="637">
        <f>'2eme trim 2017 '!G13</f>
        <v>2039</v>
      </c>
      <c r="H231" s="638"/>
      <c r="I231" s="143">
        <f>'2eme trim 2017 '!I13</f>
        <v>316.8</v>
      </c>
      <c r="J231" s="398"/>
    </row>
    <row r="232" spans="1:10" ht="18.75">
      <c r="A232" s="425" t="str">
        <f>'4ème trim 2016'!A32</f>
        <v>11.2016</v>
      </c>
      <c r="B232" s="426">
        <f>'4ème trim 2016'!B32</f>
        <v>646798</v>
      </c>
      <c r="C232" s="652"/>
      <c r="D232" s="338" t="str">
        <f>'4ème trim 2016'!D32</f>
        <v>MOBILE 2007</v>
      </c>
      <c r="E232" s="362"/>
      <c r="F232" s="237">
        <f>'4ème trim 2016'!F32</f>
        <v>0</v>
      </c>
      <c r="G232" s="25">
        <f>'4ème trim 2016'!G32</f>
        <v>0</v>
      </c>
      <c r="H232" s="345"/>
      <c r="I232" s="345">
        <f>'4ème trim 2016'!I32</f>
        <v>57.778300000000002</v>
      </c>
      <c r="J232" s="398"/>
    </row>
    <row r="233" spans="1:10" ht="18.75">
      <c r="A233" s="425" t="str">
        <f>'4ème trim 2016'!A33</f>
        <v>11.2016</v>
      </c>
      <c r="B233" s="426">
        <f>'4ème trim 2016'!B33</f>
        <v>646798</v>
      </c>
      <c r="C233" s="652"/>
      <c r="D233" s="338" t="str">
        <f>'4ème trim 2016'!D33</f>
        <v>REEBOU FAMILY</v>
      </c>
      <c r="E233" s="362"/>
      <c r="F233" s="237">
        <f>'4ème trim 2016'!F33</f>
        <v>0</v>
      </c>
      <c r="G233" s="25">
        <f>'4ème trim 2016'!G33</f>
        <v>0</v>
      </c>
      <c r="H233" s="345"/>
      <c r="I233" s="345">
        <f>'4ème trim 2016'!I33</f>
        <v>34.441199999999995</v>
      </c>
      <c r="J233" s="398"/>
    </row>
    <row r="234" spans="1:10" ht="18.75">
      <c r="A234" s="425" t="str">
        <f>'1er trim 2017'!A70</f>
        <v>03.2017</v>
      </c>
      <c r="B234" s="426">
        <f>'1er trim 2017'!B70</f>
        <v>581937</v>
      </c>
      <c r="C234" s="657"/>
      <c r="D234" s="338" t="str">
        <f>'1er trim 2017'!D70</f>
        <v>MOBILE</v>
      </c>
      <c r="E234" s="360"/>
      <c r="F234" s="237">
        <f>'1er trim 2017'!F70</f>
        <v>0</v>
      </c>
      <c r="G234" s="22">
        <f>'1er trim 2017'!G70</f>
        <v>0</v>
      </c>
      <c r="H234" s="140"/>
      <c r="I234" s="143">
        <f>'1er trim 2017'!I70</f>
        <v>53.642699999999998</v>
      </c>
      <c r="J234" s="398"/>
    </row>
    <row r="235" spans="1:10" ht="18.75">
      <c r="A235" s="425" t="str">
        <f>'4eme trim 2017  '!A56</f>
        <v>11.2017</v>
      </c>
      <c r="B235" s="426">
        <f>'4eme trim 2017  '!B56</f>
        <v>945980</v>
      </c>
      <c r="C235" s="652"/>
      <c r="D235" s="338" t="str">
        <f>'4eme trim 2017  '!D56</f>
        <v>SCHWABISCHHALL</v>
      </c>
      <c r="E235" s="362"/>
      <c r="F235" s="237">
        <f>'4eme trim 2017  '!F56</f>
        <v>0</v>
      </c>
      <c r="G235" s="25">
        <f>'4eme trim 2017  '!G56</f>
        <v>0</v>
      </c>
      <c r="H235" s="143"/>
      <c r="I235" s="345">
        <f>'4eme trim 2017  '!I56</f>
        <v>189</v>
      </c>
      <c r="J235" s="398"/>
    </row>
    <row r="236" spans="1:10" ht="18.75">
      <c r="A236" s="425" t="str">
        <f>'4ème trim 2016'!A76</f>
        <v>12.2016</v>
      </c>
      <c r="B236" s="426">
        <f>'4ème trim 2016'!B76</f>
        <v>462817</v>
      </c>
      <c r="C236" s="652"/>
      <c r="D236" s="338" t="str">
        <f>'4ème trim 2016'!D76</f>
        <v>MOBILE 2007</v>
      </c>
      <c r="E236" s="362"/>
      <c r="F236" s="237">
        <f>'4ème trim 2016'!F76</f>
        <v>0</v>
      </c>
      <c r="G236" s="25">
        <f>'4ème trim 2016'!G76</f>
        <v>0</v>
      </c>
      <c r="H236" s="345"/>
      <c r="I236" s="143">
        <f>'4ème trim 2016'!I76</f>
        <v>112.4736</v>
      </c>
      <c r="J236" s="398"/>
    </row>
    <row r="237" spans="1:10" ht="18.75">
      <c r="A237" s="425" t="str">
        <f>'4ème trim 2016'!A77</f>
        <v>12.2016</v>
      </c>
      <c r="B237" s="426">
        <f>'4ème trim 2016'!B77</f>
        <v>462817</v>
      </c>
      <c r="C237" s="652"/>
      <c r="D237" s="338" t="str">
        <f>'4ème trim 2016'!D77</f>
        <v>NOVA PROTECT</v>
      </c>
      <c r="E237" s="362"/>
      <c r="F237" s="237">
        <f>'4ème trim 2016'!F77</f>
        <v>0</v>
      </c>
      <c r="G237" s="25">
        <f>'4ème trim 2016'!G77</f>
        <v>0</v>
      </c>
      <c r="H237" s="345"/>
      <c r="I237" s="143">
        <f>'4ème trim 2016'!I77</f>
        <v>180</v>
      </c>
      <c r="J237" s="398"/>
    </row>
    <row r="238" spans="1:10" ht="18.75">
      <c r="A238" s="425" t="str">
        <f>'4ème trim 2016'!A78</f>
        <v>12.2016</v>
      </c>
      <c r="B238" s="426">
        <f>'4ème trim 2016'!B78</f>
        <v>462817</v>
      </c>
      <c r="C238" s="652"/>
      <c r="D238" s="445" t="str">
        <f>'4ème trim 2016'!D78</f>
        <v>REEBOU FAMILY</v>
      </c>
      <c r="E238" s="362"/>
      <c r="F238" s="237">
        <f>'4ème trim 2016'!F78</f>
        <v>0</v>
      </c>
      <c r="G238" s="25">
        <f>'4ème trim 2016'!G78</f>
        <v>0</v>
      </c>
      <c r="H238" s="345"/>
      <c r="I238" s="345">
        <f>'4ème trim 2016'!I78</f>
        <v>28.38</v>
      </c>
      <c r="J238" s="398"/>
    </row>
    <row r="239" spans="1:10" ht="18.75">
      <c r="A239" s="425" t="str">
        <f>'1er trim 2017'!A39</f>
        <v>02.2017</v>
      </c>
      <c r="B239" s="426">
        <f>'1er trim 2017'!B39</f>
        <v>653485</v>
      </c>
      <c r="C239" s="652"/>
      <c r="D239" s="338" t="str">
        <f>'1er trim 2017'!D39</f>
        <v>MOBILE</v>
      </c>
      <c r="E239" s="362"/>
      <c r="F239" s="237">
        <f>'1er trim 2017'!F39</f>
        <v>0</v>
      </c>
      <c r="G239" s="25">
        <f>'1er trim 2017'!G39</f>
        <v>0</v>
      </c>
      <c r="H239" s="345"/>
      <c r="I239" s="143">
        <f>'1er trim 2017'!I39</f>
        <v>113.2</v>
      </c>
      <c r="J239" s="398"/>
    </row>
    <row r="240" spans="1:10" ht="18.75">
      <c r="A240" s="425" t="str">
        <f>'1er trim 2017'!A40</f>
        <v>02.2017</v>
      </c>
      <c r="B240" s="426">
        <f>'1er trim 2017'!B40</f>
        <v>653485</v>
      </c>
      <c r="C240" s="652"/>
      <c r="D240" s="338" t="str">
        <f>'1er trim 2017'!D40</f>
        <v>REEBOU FAMILY</v>
      </c>
      <c r="E240" s="362"/>
      <c r="F240" s="237">
        <f>'1er trim 2017'!F40</f>
        <v>0</v>
      </c>
      <c r="G240" s="25">
        <f>'1er trim 2017'!G40</f>
        <v>0</v>
      </c>
      <c r="H240" s="345"/>
      <c r="I240" s="143">
        <f>'1er trim 2017'!I40</f>
        <v>25.193999999999999</v>
      </c>
      <c r="J240" s="398"/>
    </row>
    <row r="241" spans="1:10" ht="18.75">
      <c r="A241" s="425" t="str">
        <f>'2e trim 2016'!A30</f>
        <v>04.2016</v>
      </c>
      <c r="B241" s="426">
        <f>'2e trim 2016'!B30</f>
        <v>281857</v>
      </c>
      <c r="C241" s="652"/>
      <c r="D241" s="338" t="str">
        <f>'2e trim 2016'!D30</f>
        <v>REEBOU PRO</v>
      </c>
      <c r="E241" s="362"/>
      <c r="F241" s="237">
        <f>'2e trim 2016'!F30</f>
        <v>0</v>
      </c>
      <c r="G241" s="25">
        <f>'2e trim 2016'!G30</f>
        <v>0</v>
      </c>
      <c r="H241" s="345"/>
      <c r="I241" s="143">
        <f>'2e trim 2016'!I30</f>
        <v>215.4</v>
      </c>
      <c r="J241" s="398"/>
    </row>
    <row r="242" spans="1:10" ht="18.75">
      <c r="A242" s="633" t="str">
        <f>'4eme trim 2017  '!A61</f>
        <v>11.2017</v>
      </c>
      <c r="B242" s="593">
        <f>'4eme trim 2017  '!B61</f>
        <v>848696</v>
      </c>
      <c r="C242" s="696"/>
      <c r="D242" s="634" t="str">
        <f>'4eme trim 2017  '!D61</f>
        <v>MEDICIS</v>
      </c>
      <c r="E242" s="635"/>
      <c r="F242" s="636" t="str">
        <f>'4eme trim 2017  '!F61</f>
        <v>X</v>
      </c>
      <c r="G242" s="637">
        <f>'4eme trim 2017  '!G61</f>
        <v>0</v>
      </c>
      <c r="H242" s="712"/>
      <c r="I242" s="141">
        <f>'4eme trim 2017  '!I61</f>
        <v>64.028999999999996</v>
      </c>
      <c r="J242" s="398"/>
    </row>
    <row r="243" spans="1:10" ht="18.75">
      <c r="A243" s="557" t="str">
        <f>'3ème trim 2016'!A34</f>
        <v>07.2016</v>
      </c>
      <c r="B243" s="546">
        <f>'3ème trim 2016'!B34</f>
        <v>848696</v>
      </c>
      <c r="C243" s="663"/>
      <c r="D243" s="547" t="str">
        <f>'3ème trim 2016'!D34</f>
        <v>SANTE</v>
      </c>
      <c r="E243" s="548"/>
      <c r="F243" s="549">
        <f>'3ème trim 2016'!F34</f>
        <v>0</v>
      </c>
      <c r="G243" s="550">
        <f>'3ème trim 2016'!G34</f>
        <v>0</v>
      </c>
      <c r="H243" s="551"/>
      <c r="I243" s="143">
        <f>'3ème trim 2016'!I34</f>
        <v>51.052750000000003</v>
      </c>
      <c r="J243" s="398"/>
    </row>
    <row r="244" spans="1:10" ht="18.75">
      <c r="A244" s="557" t="str">
        <f>'2e trim 2016'!A55</f>
        <v>06.2016</v>
      </c>
      <c r="B244" s="546">
        <f>'2e trim 2016'!B55</f>
        <v>848696</v>
      </c>
      <c r="C244" s="663"/>
      <c r="D244" s="547" t="str">
        <f>'2e trim 2016'!D55</f>
        <v>SANTE</v>
      </c>
      <c r="E244" s="548"/>
      <c r="F244" s="549">
        <f>'2e trim 2016'!F55</f>
        <v>0</v>
      </c>
      <c r="G244" s="550">
        <f>'2e trim 2016'!G55</f>
        <v>0</v>
      </c>
      <c r="H244" s="551"/>
      <c r="I244" s="143">
        <f>'2e trim 2016'!I55</f>
        <v>396.24900000000002</v>
      </c>
      <c r="J244" s="398"/>
    </row>
    <row r="245" spans="1:10" ht="18.75">
      <c r="A245" s="633" t="str">
        <f>'1er trim 2017'!A34</f>
        <v>02.2017</v>
      </c>
      <c r="B245" s="593">
        <f>'1er trim 2017'!B34</f>
        <v>848696</v>
      </c>
      <c r="C245" s="696"/>
      <c r="D245" s="634" t="str">
        <f>'1er trim 2017'!D34</f>
        <v>MEDICIS</v>
      </c>
      <c r="E245" s="635"/>
      <c r="F245" s="636">
        <f>'1er trim 2017'!F34</f>
        <v>0</v>
      </c>
      <c r="G245" s="637">
        <f>'1er trim 2017'!G34</f>
        <v>0</v>
      </c>
      <c r="H245" s="638"/>
      <c r="I245" s="143">
        <f>'1er trim 2017'!I34</f>
        <v>116.19300000000001</v>
      </c>
      <c r="J245" s="398"/>
    </row>
    <row r="246" spans="1:10" ht="18.75">
      <c r="A246" s="633" t="str">
        <f>'2eme trim 2017 '!A41</f>
        <v>05.2017</v>
      </c>
      <c r="B246" s="593">
        <f>'2eme trim 2017 '!B41</f>
        <v>848696</v>
      </c>
      <c r="C246" s="697"/>
      <c r="D246" s="634" t="str">
        <f>'2eme trim 2017 '!D41</f>
        <v>MEDICIS</v>
      </c>
      <c r="E246" s="698"/>
      <c r="F246" s="636">
        <f>'2eme trim 2017 '!F41</f>
        <v>0</v>
      </c>
      <c r="G246" s="699">
        <f>'2eme trim 2017 '!G41</f>
        <v>0</v>
      </c>
      <c r="H246" s="700"/>
      <c r="I246" s="143">
        <f>'2eme trim 2017 '!I41</f>
        <v>133.035</v>
      </c>
      <c r="J246" s="398"/>
    </row>
    <row r="247" spans="1:10" ht="18.75">
      <c r="A247" s="633" t="str">
        <f>'1er trim 2017'!A33</f>
        <v>02.2017</v>
      </c>
      <c r="B247" s="593">
        <f>'1er trim 2017'!B33</f>
        <v>848696</v>
      </c>
      <c r="C247" s="696"/>
      <c r="D247" s="634" t="str">
        <f>'1er trim 2017'!D33</f>
        <v>MEDICIS</v>
      </c>
      <c r="E247" s="635"/>
      <c r="F247" s="636">
        <f>'1er trim 2017'!F33</f>
        <v>0</v>
      </c>
      <c r="G247" s="637">
        <f>'1er trim 2017'!G33</f>
        <v>0</v>
      </c>
      <c r="H247" s="638"/>
      <c r="I247" s="143">
        <f>'1er trim 2017'!I33</f>
        <v>257.39699999999999</v>
      </c>
      <c r="J247" s="398"/>
    </row>
    <row r="248" spans="1:10" ht="18.75">
      <c r="A248" s="633" t="str">
        <f>'2eme trim 2017 '!A40</f>
        <v>05.2017</v>
      </c>
      <c r="B248" s="593">
        <f>'2eme trim 2017 '!B40</f>
        <v>848696</v>
      </c>
      <c r="C248" s="697"/>
      <c r="D248" s="634" t="str">
        <f>'2eme trim 2017 '!D40</f>
        <v>MEDICIS</v>
      </c>
      <c r="E248" s="698"/>
      <c r="F248" s="636">
        <f>'2eme trim 2017 '!F40</f>
        <v>0</v>
      </c>
      <c r="G248" s="699">
        <f>'2eme trim 2017 '!G40</f>
        <v>0</v>
      </c>
      <c r="H248" s="700"/>
      <c r="I248" s="143">
        <f>'2eme trim 2017 '!I40</f>
        <v>249.12299999999999</v>
      </c>
      <c r="J248" s="398"/>
    </row>
    <row r="249" spans="1:10" ht="18.75">
      <c r="A249" s="633" t="str">
        <f>'1er Trimestre 2018'!A46</f>
        <v>03.2018</v>
      </c>
      <c r="B249" s="593">
        <f>'1er Trimestre 2018'!B46</f>
        <v>848696</v>
      </c>
      <c r="C249" s="696"/>
      <c r="D249" s="634" t="str">
        <f>'1er Trimestre 2018'!D46</f>
        <v>MEDICIS</v>
      </c>
      <c r="E249" s="635"/>
      <c r="F249" s="636">
        <f>'1er Trimestre 2018'!F46</f>
        <v>0</v>
      </c>
      <c r="G249" s="637">
        <f>'1er Trimestre 2018'!G46</f>
        <v>0</v>
      </c>
      <c r="H249" s="638"/>
      <c r="I249" s="143">
        <f>'1er Trimestre 2018'!I46</f>
        <v>250.00499999999997</v>
      </c>
      <c r="J249" s="398"/>
    </row>
    <row r="250" spans="1:10" ht="18.75">
      <c r="A250" s="633" t="str">
        <f>'1er Trimestre 2018'!A47</f>
        <v>03.2018</v>
      </c>
      <c r="B250" s="593">
        <f>'1er Trimestre 2018'!B47</f>
        <v>848696</v>
      </c>
      <c r="C250" s="696"/>
      <c r="D250" s="634" t="str">
        <f>'1er Trimestre 2018'!D47</f>
        <v>MEDICIS</v>
      </c>
      <c r="E250" s="635"/>
      <c r="F250" s="636">
        <f>'1er Trimestre 2018'!F47</f>
        <v>0</v>
      </c>
      <c r="G250" s="637">
        <f>'1er Trimestre 2018'!G47</f>
        <v>0</v>
      </c>
      <c r="H250" s="638"/>
      <c r="I250" s="143">
        <f>'1er Trimestre 2018'!I47</f>
        <v>96.827500000000015</v>
      </c>
      <c r="J250" s="398"/>
    </row>
    <row r="251" spans="1:10" ht="18.75">
      <c r="A251" s="425" t="str">
        <f>'4ème trim 2016'!A13</f>
        <v>10.2016</v>
      </c>
      <c r="B251" s="426">
        <f>'4ème trim 2016'!B13</f>
        <v>415134</v>
      </c>
      <c r="C251" s="657"/>
      <c r="D251" s="338" t="str">
        <f>'4ème trim 2016'!D13</f>
        <v>MOBILE 2007</v>
      </c>
      <c r="E251" s="362"/>
      <c r="F251" s="237">
        <f>'4ème trim 2016'!F13</f>
        <v>0</v>
      </c>
      <c r="G251" s="25">
        <f>'4ème trim 2016'!G13</f>
        <v>0</v>
      </c>
      <c r="H251" s="143"/>
      <c r="I251" s="143">
        <f>'4ème trim 2016'!I13</f>
        <v>131.99119999999999</v>
      </c>
      <c r="J251" s="398"/>
    </row>
    <row r="252" spans="1:10" ht="18.75">
      <c r="A252" s="633" t="str">
        <f>'1er Trimestre 2018'!A10</f>
        <v>01.2018</v>
      </c>
      <c r="B252" s="593">
        <f>'1er Trimestre 2018'!B10</f>
        <v>854434</v>
      </c>
      <c r="C252" s="696"/>
      <c r="D252" s="634" t="str">
        <f>'1er Trimestre 2018'!D10</f>
        <v>HORIZONT60Invest</v>
      </c>
      <c r="E252" s="635"/>
      <c r="F252" s="636">
        <f>'1er Trimestre 2018'!F10</f>
        <v>0</v>
      </c>
      <c r="G252" s="637">
        <f>'1er Trimestre 2018'!G10</f>
        <v>2050</v>
      </c>
      <c r="H252" s="638"/>
      <c r="I252" s="143">
        <f>'1er Trimestre 2018'!I10</f>
        <v>791.04</v>
      </c>
      <c r="J252" s="398"/>
    </row>
    <row r="253" spans="1:10" ht="18.75">
      <c r="A253" s="633" t="str">
        <f>'4ème trim 2016'!A59</f>
        <v>12.2016</v>
      </c>
      <c r="B253" s="593">
        <f>'4ème trim 2016'!B59</f>
        <v>859813</v>
      </c>
      <c r="C253" s="697"/>
      <c r="D253" s="634" t="str">
        <f>'4ème trim 2016'!D59</f>
        <v>HORIZONT 60 CAPI</v>
      </c>
      <c r="E253" s="635"/>
      <c r="F253" s="636">
        <f>'4ème trim 2016'!F59</f>
        <v>0</v>
      </c>
      <c r="G253" s="637">
        <f>'4ème trim 2016'!G59</f>
        <v>2034</v>
      </c>
      <c r="H253" s="712"/>
      <c r="I253" s="345">
        <f>'4ème trim 2016'!I59</f>
        <v>306</v>
      </c>
      <c r="J253" s="398"/>
    </row>
    <row r="254" spans="1:10" ht="18.75">
      <c r="A254" s="425" t="str">
        <f>'4ème trim 2016'!A14</f>
        <v>10.2016</v>
      </c>
      <c r="B254" s="426">
        <f>'4ème trim 2016'!B14</f>
        <v>407702</v>
      </c>
      <c r="C254" s="657"/>
      <c r="D254" s="338" t="str">
        <f>'4ème trim 2016'!D14</f>
        <v>TOUS RISQUE CHANTIER</v>
      </c>
      <c r="E254" s="360"/>
      <c r="F254" s="237">
        <f>'4ème trim 2016'!F14</f>
        <v>0</v>
      </c>
      <c r="G254" s="22">
        <f>'4ème trim 2016'!G14</f>
        <v>0</v>
      </c>
      <c r="H254" s="441"/>
      <c r="I254" s="143">
        <f>'4ème trim 2016'!I14</f>
        <v>219.85700000000003</v>
      </c>
      <c r="J254" s="398"/>
    </row>
    <row r="255" spans="1:10" ht="18.75">
      <c r="A255" s="425" t="str">
        <f>'4ème trim 2016'!A15</f>
        <v>10.2016</v>
      </c>
      <c r="B255" s="426">
        <f>'4ème trim 2016'!B15</f>
        <v>407702</v>
      </c>
      <c r="C255" s="652"/>
      <c r="D255" s="338" t="str">
        <f>'4ème trim 2016'!D15</f>
        <v>REEBOU INVEST</v>
      </c>
      <c r="E255" s="362"/>
      <c r="F255" s="237">
        <f>'4ème trim 2016'!F15</f>
        <v>0</v>
      </c>
      <c r="G255" s="25">
        <f>'4ème trim 2016'!G15</f>
        <v>0</v>
      </c>
      <c r="H255" s="345"/>
      <c r="I255" s="143">
        <f>'4ème trim 2016'!I15</f>
        <v>92.540399999999991</v>
      </c>
      <c r="J255" s="398"/>
    </row>
    <row r="256" spans="1:10" ht="18.75">
      <c r="A256" s="425" t="str">
        <f>'2eme trim 2017 '!A31</f>
        <v>05.2017</v>
      </c>
      <c r="B256" s="426">
        <f>'2eme trim 2017 '!B31</f>
        <v>294016</v>
      </c>
      <c r="C256" s="652"/>
      <c r="D256" s="338" t="str">
        <f>'2eme trim 2017 '!D31</f>
        <v>REEBOU FAMILY</v>
      </c>
      <c r="E256" s="362"/>
      <c r="F256" s="237">
        <f>'2eme trim 2017 '!F31</f>
        <v>0</v>
      </c>
      <c r="G256" s="25">
        <f>'2eme trim 2017 '!G31</f>
        <v>0</v>
      </c>
      <c r="H256" s="345"/>
      <c r="I256" s="345">
        <f>'2eme trim 2017 '!I31</f>
        <v>35.787599999999998</v>
      </c>
      <c r="J256" s="398"/>
    </row>
    <row r="257" spans="1:10" ht="18.75">
      <c r="A257" s="425" t="str">
        <f>'2eme trim 2017 '!A32</f>
        <v>05.2017</v>
      </c>
      <c r="B257" s="426">
        <f>'2eme trim 2017 '!B32</f>
        <v>294016</v>
      </c>
      <c r="C257" s="652"/>
      <c r="D257" s="338" t="str">
        <f>'2eme trim 2017 '!D32</f>
        <v>PACK REEBOU FAMILY</v>
      </c>
      <c r="E257" s="362"/>
      <c r="F257" s="237">
        <f>'2eme trim 2017 '!F32</f>
        <v>0</v>
      </c>
      <c r="G257" s="25">
        <f>'2eme trim 2017 '!G32</f>
        <v>0</v>
      </c>
      <c r="H257" s="345"/>
      <c r="I257" s="143">
        <f>'2eme trim 2017 '!I32</f>
        <v>16.878</v>
      </c>
      <c r="J257" s="398"/>
    </row>
    <row r="258" spans="1:10" ht="18.75">
      <c r="A258" s="425" t="str">
        <f>'2eme trim 2017 '!A33</f>
        <v>05.2017</v>
      </c>
      <c r="B258" s="426">
        <f>'2eme trim 2017 '!B33</f>
        <v>294016</v>
      </c>
      <c r="C258" s="657"/>
      <c r="D258" s="338" t="str">
        <f>'2eme trim 2017 '!D33</f>
        <v>NOVA</v>
      </c>
      <c r="E258" s="360"/>
      <c r="F258" s="237" t="str">
        <f>'2eme trim 2017 '!F33</f>
        <v>x</v>
      </c>
      <c r="G258" s="22">
        <f>'2eme trim 2017 '!G33</f>
        <v>2026</v>
      </c>
      <c r="H258" s="441"/>
      <c r="I258" s="143">
        <f>'2eme trim 2017 '!I33</f>
        <v>40.5</v>
      </c>
      <c r="J258" s="398"/>
    </row>
    <row r="259" spans="1:10">
      <c r="A259" s="526" t="str">
        <f>'3eme trim 2017  '!A47</f>
        <v>08.2017</v>
      </c>
      <c r="B259" s="531">
        <f>'3eme trim 2017  '!B47</f>
        <v>431621</v>
      </c>
      <c r="C259" s="657"/>
      <c r="D259" s="22" t="str">
        <f>'3eme trim 2017  '!D47</f>
        <v>REEBOU Pack</v>
      </c>
      <c r="E259" s="22"/>
      <c r="F259" s="240">
        <f>'3eme trim 2017  '!F47</f>
        <v>0</v>
      </c>
      <c r="G259" s="22">
        <f>'3eme trim 2017  '!G47</f>
        <v>0</v>
      </c>
      <c r="H259" s="143"/>
      <c r="I259" s="143">
        <f>'3eme trim 2017  '!I47</f>
        <v>16.968</v>
      </c>
      <c r="J259" s="398"/>
    </row>
    <row r="260" spans="1:10" ht="18.75">
      <c r="A260" s="425" t="str">
        <f>'3ème trim 2016'!A55</f>
        <v>09.2016</v>
      </c>
      <c r="B260" s="426">
        <f>'3ème trim 2016'!B55</f>
        <v>559422</v>
      </c>
      <c r="C260" s="657"/>
      <c r="D260" s="597" t="str">
        <f>'3ème trim 2016'!D55</f>
        <v>BSH</v>
      </c>
      <c r="E260" s="362"/>
      <c r="F260" s="237">
        <f>'3ème trim 2016'!F55</f>
        <v>0</v>
      </c>
      <c r="G260" s="25">
        <f>'3ème trim 2016'!G55</f>
        <v>0</v>
      </c>
      <c r="H260" s="143"/>
      <c r="I260" s="345">
        <f>'3ème trim 2016'!I55</f>
        <v>176.4</v>
      </c>
      <c r="J260" s="398"/>
    </row>
    <row r="261" spans="1:10" ht="18.75">
      <c r="A261" s="425" t="str">
        <f>'4ème trim 2016'!A85</f>
        <v>12.2016</v>
      </c>
      <c r="B261" s="426">
        <f>'4ème trim 2016'!B85</f>
        <v>559422</v>
      </c>
      <c r="C261" s="652"/>
      <c r="D261" s="597" t="str">
        <f>'4ème trim 2016'!D85</f>
        <v>BSH</v>
      </c>
      <c r="E261" s="362"/>
      <c r="F261" s="237">
        <f>'4ème trim 2016'!F85</f>
        <v>0</v>
      </c>
      <c r="G261" s="25">
        <f>'4ème trim 2016'!G85</f>
        <v>0</v>
      </c>
      <c r="H261" s="345"/>
      <c r="I261" s="143">
        <f>'4ème trim 2016'!I85</f>
        <v>176.4</v>
      </c>
      <c r="J261" s="398"/>
    </row>
    <row r="262" spans="1:10" ht="18.75">
      <c r="A262" s="425" t="str">
        <f>'3ème trim 2016'!A30</f>
        <v>07.2016</v>
      </c>
      <c r="B262" s="426">
        <f>'3ème trim 2016'!B30</f>
        <v>298136</v>
      </c>
      <c r="C262" s="652"/>
      <c r="D262" s="338" t="str">
        <f>'3ème trim 2016'!D30</f>
        <v>RC VIE PRIVE</v>
      </c>
      <c r="E262" s="362"/>
      <c r="F262" s="237">
        <f>'3ème trim 2016'!F30</f>
        <v>0</v>
      </c>
      <c r="G262" s="25">
        <f>'3ème trim 2016'!G30</f>
        <v>0</v>
      </c>
      <c r="H262" s="345"/>
      <c r="I262" s="143">
        <f>'3ème trim 2016'!I30</f>
        <v>11.004</v>
      </c>
      <c r="J262" s="398"/>
    </row>
    <row r="263" spans="1:10" ht="18.75">
      <c r="A263" s="425" t="str">
        <f>'4eme trim 2017  '!A53</f>
        <v>11.2017</v>
      </c>
      <c r="B263" s="426">
        <f>'4eme trim 2017  '!B53</f>
        <v>523259</v>
      </c>
      <c r="C263" s="652"/>
      <c r="D263" s="338" t="str">
        <f>'4eme trim 2017  '!D53</f>
        <v>MOBILE2016</v>
      </c>
      <c r="E263" s="362"/>
      <c r="F263" s="237">
        <f>'4eme trim 2017  '!F53</f>
        <v>0</v>
      </c>
      <c r="G263" s="25">
        <f>'4eme trim 2017  '!G53</f>
        <v>0</v>
      </c>
      <c r="H263" s="143"/>
      <c r="I263" s="143">
        <f>'4eme trim 2017  '!I53</f>
        <v>110.96</v>
      </c>
      <c r="J263" s="399"/>
    </row>
    <row r="264" spans="1:10">
      <c r="A264" s="425" t="str">
        <f>'4ème trim 2016'!A23</f>
        <v>11.2016</v>
      </c>
      <c r="B264" s="426">
        <f>'4ème trim 2016'!B23</f>
        <v>434718</v>
      </c>
      <c r="C264" s="652"/>
      <c r="D264" s="444" t="str">
        <f>'4ème trim 2016'!D23</f>
        <v>REEBOU FAMILY</v>
      </c>
      <c r="E264" s="25"/>
      <c r="F264" s="240">
        <f>'4ème trim 2016'!F23</f>
        <v>0</v>
      </c>
      <c r="G264" s="25">
        <f>'4ème trim 2016'!G23</f>
        <v>0</v>
      </c>
      <c r="H264" s="155"/>
      <c r="I264" s="345">
        <f>'4ème trim 2016'!I23</f>
        <v>27.075599999999998</v>
      </c>
      <c r="J264" s="398"/>
    </row>
    <row r="265" spans="1:10" ht="18.75">
      <c r="A265" s="425" t="str">
        <f>'4ème trim 2016'!A56</f>
        <v>12.2016</v>
      </c>
      <c r="B265" s="426">
        <f>'4ème trim 2016'!B56</f>
        <v>434718</v>
      </c>
      <c r="C265" s="657"/>
      <c r="D265" s="338" t="str">
        <f>'4ème trim 2016'!D56</f>
        <v>MOBILE 2007</v>
      </c>
      <c r="E265" s="364"/>
      <c r="F265" s="237">
        <f>'4ème trim 2016'!F56</f>
        <v>0</v>
      </c>
      <c r="G265" s="28">
        <f>'4ème trim 2016'!G56</f>
        <v>0</v>
      </c>
      <c r="H265" s="346"/>
      <c r="I265" s="141">
        <f>'4ème trim 2016'!I56</f>
        <v>29.8902</v>
      </c>
      <c r="J265" s="398"/>
    </row>
    <row r="266" spans="1:10" ht="18.75">
      <c r="A266" s="425" t="str">
        <f>'4ème trim 2016'!A57</f>
        <v>12.2016</v>
      </c>
      <c r="B266" s="426">
        <f>'4ème trim 2016'!B57</f>
        <v>434718</v>
      </c>
      <c r="C266" s="652"/>
      <c r="D266" s="338" t="str">
        <f>'4ème trim 2016'!D57</f>
        <v>MOBILE 2007</v>
      </c>
      <c r="E266" s="362"/>
      <c r="F266" s="237">
        <f>'4ème trim 2016'!F57</f>
        <v>0</v>
      </c>
      <c r="G266" s="32">
        <f>'4ème trim 2016'!G57</f>
        <v>0</v>
      </c>
      <c r="H266" s="345"/>
      <c r="I266" s="345">
        <f>'4ème trim 2016'!I57</f>
        <v>37.729199999999999</v>
      </c>
      <c r="J266" s="398"/>
    </row>
    <row r="267" spans="1:10" ht="18.75">
      <c r="A267" s="633" t="str">
        <f>'4ème trim 2016'!A75</f>
        <v>12.2016</v>
      </c>
      <c r="B267" s="593">
        <f>'4ème trim 2016'!B75</f>
        <v>777026</v>
      </c>
      <c r="C267" s="697"/>
      <c r="D267" s="634" t="str">
        <f>'4ème trim 2016'!D75</f>
        <v>HORIZONT 60 CAPI</v>
      </c>
      <c r="E267" s="698"/>
      <c r="F267" s="636">
        <f>'4ème trim 2016'!F75</f>
        <v>0</v>
      </c>
      <c r="G267" s="699">
        <f>'4ème trim 2016'!G75</f>
        <v>2052</v>
      </c>
      <c r="H267" s="700"/>
      <c r="I267" s="143">
        <f>'4ème trim 2016'!I75</f>
        <v>648</v>
      </c>
      <c r="J267" s="398"/>
    </row>
    <row r="268" spans="1:10" ht="18.75">
      <c r="A268" s="633" t="str">
        <f>'2eme trim 2017 '!A42</f>
        <v>05.2017</v>
      </c>
      <c r="B268" s="593">
        <f>'2eme trim 2017 '!B42</f>
        <v>526276</v>
      </c>
      <c r="C268" s="696"/>
      <c r="D268" s="634" t="str">
        <f>'2eme trim 2017 '!D42</f>
        <v>MEDICIS</v>
      </c>
      <c r="E268" s="635"/>
      <c r="F268" s="636">
        <f>'2eme trim 2017 '!F42</f>
        <v>0</v>
      </c>
      <c r="G268" s="637">
        <f>'2eme trim 2017 '!G42</f>
        <v>0</v>
      </c>
      <c r="H268" s="638"/>
      <c r="I268" s="143">
        <f>'2eme trim 2017 '!I42</f>
        <v>189.69299999999998</v>
      </c>
      <c r="J268" s="398"/>
    </row>
    <row r="269" spans="1:10" ht="18.75">
      <c r="A269" s="708" t="str">
        <f>'2eme trim 2017 '!A61</f>
        <v>06.2017</v>
      </c>
      <c r="B269" s="599">
        <f>'2eme trim 2017 '!B61</f>
        <v>526276</v>
      </c>
      <c r="C269" s="713"/>
      <c r="D269" s="634" t="str">
        <f>'2eme trim 2017 '!D61</f>
        <v>HORIZONT 60  INVEST</v>
      </c>
      <c r="E269" s="698"/>
      <c r="F269" s="636">
        <f>'2eme trim 2017 '!F61</f>
        <v>0</v>
      </c>
      <c r="G269" s="699">
        <f>'2eme trim 2017 '!G61</f>
        <v>2033</v>
      </c>
      <c r="H269" s="714"/>
      <c r="I269" s="143">
        <f>'2eme trim 2017 '!I61</f>
        <v>115.19999999999999</v>
      </c>
      <c r="J269" s="398"/>
    </row>
    <row r="270" spans="1:10" ht="18.75">
      <c r="A270" s="428" t="str">
        <f>'3ème trim 2016'!A32</f>
        <v>07.2016</v>
      </c>
      <c r="B270" s="532">
        <f>'3ème trim 2016'!B32</f>
        <v>765719</v>
      </c>
      <c r="C270" s="674"/>
      <c r="D270" s="338" t="str">
        <f>'3ème trim 2016'!D32</f>
        <v>REEBOU PACK</v>
      </c>
      <c r="E270" s="362"/>
      <c r="F270" s="237">
        <f>'3ème trim 2016'!F32</f>
        <v>0</v>
      </c>
      <c r="G270" s="25">
        <f>'3ème trim 2016'!G32</f>
        <v>0</v>
      </c>
      <c r="H270" s="345"/>
      <c r="I270" s="143">
        <f>'3ème trim 2016'!I32</f>
        <v>16.631999999999998</v>
      </c>
      <c r="J270" s="398"/>
    </row>
    <row r="271" spans="1:10" ht="18.75">
      <c r="A271" s="428" t="str">
        <f>'3ème trim 2016'!A41</f>
        <v>08.2016</v>
      </c>
      <c r="B271" s="530">
        <f>'3ème trim 2016'!B41</f>
        <v>765719</v>
      </c>
      <c r="C271" s="673"/>
      <c r="D271" s="338" t="str">
        <f>'3ème trim 2016'!D41</f>
        <v>MOBILE</v>
      </c>
      <c r="E271" s="360"/>
      <c r="F271" s="237">
        <f>'3ème trim 2016'!F41</f>
        <v>0</v>
      </c>
      <c r="G271" s="22">
        <f>'3ème trim 2016'!G41</f>
        <v>0</v>
      </c>
      <c r="H271" s="441"/>
      <c r="I271" s="143">
        <f>'3ème trim 2016'!I41</f>
        <v>73.526200000000003</v>
      </c>
      <c r="J271" s="398"/>
    </row>
    <row r="272" spans="1:10" ht="18.75">
      <c r="A272" s="428" t="str">
        <f>'1er Trimestre 2018'!A14</f>
        <v>01.2018</v>
      </c>
      <c r="B272" s="530">
        <f>'1er Trimestre 2018'!B14</f>
        <v>623386</v>
      </c>
      <c r="C272" s="674"/>
      <c r="D272" s="338" t="str">
        <f>'1er Trimestre 2018'!D14</f>
        <v>REEBOU Pro</v>
      </c>
      <c r="E272" s="362"/>
      <c r="F272" s="237">
        <f>'1er Trimestre 2018'!F14</f>
        <v>0</v>
      </c>
      <c r="G272" s="25">
        <f>'1er Trimestre 2018'!G14</f>
        <v>0</v>
      </c>
      <c r="H272" s="345"/>
      <c r="I272" s="143">
        <f>'1er Trimestre 2018'!I14</f>
        <v>31.380800000000001</v>
      </c>
      <c r="J272" s="398"/>
    </row>
    <row r="273" spans="1:10" ht="18.75">
      <c r="A273" s="428" t="str">
        <f>'1er trim 2017'!A36</f>
        <v>02.2017</v>
      </c>
      <c r="B273" s="530">
        <f>'1er trim 2017'!B36</f>
        <v>623396</v>
      </c>
      <c r="C273" s="674"/>
      <c r="D273" s="338" t="str">
        <f>'1er trim 2017'!D36</f>
        <v>REEBOU PRO</v>
      </c>
      <c r="E273" s="362"/>
      <c r="F273" s="237">
        <f>'1er trim 2017'!F36</f>
        <v>0</v>
      </c>
      <c r="G273" s="25">
        <f>'1er trim 2017'!G36</f>
        <v>0</v>
      </c>
      <c r="H273" s="345"/>
      <c r="I273" s="143">
        <f>'1er trim 2017'!I36</f>
        <v>31.5732</v>
      </c>
      <c r="J273" s="398"/>
    </row>
    <row r="274" spans="1:10" ht="18.75">
      <c r="A274" s="708" t="str">
        <f>'4ème trim 2016'!A66</f>
        <v>12.2016</v>
      </c>
      <c r="B274" s="599">
        <f>'4ème trim 2016'!B66</f>
        <v>399539</v>
      </c>
      <c r="C274" s="715"/>
      <c r="D274" s="634" t="str">
        <f>'4ème trim 2016'!D66</f>
        <v>SANTE</v>
      </c>
      <c r="E274" s="635"/>
      <c r="F274" s="636">
        <f>'4ème trim 2016'!F66</f>
        <v>0</v>
      </c>
      <c r="G274" s="637">
        <f>'4ème trim 2016'!G66</f>
        <v>0</v>
      </c>
      <c r="H274" s="638"/>
      <c r="I274" s="143">
        <f>'4ème trim 2016'!I66</f>
        <v>156.94525000000002</v>
      </c>
      <c r="J274" s="398"/>
    </row>
    <row r="275" spans="1:10" ht="18.75">
      <c r="A275" s="428" t="str">
        <f>'3ème trim 2016'!A28</f>
        <v>07.2016</v>
      </c>
      <c r="B275" s="530">
        <f>'3ème trim 2016'!B28</f>
        <v>842814</v>
      </c>
      <c r="C275" s="673"/>
      <c r="D275" s="597" t="str">
        <f>'3ème trim 2016'!D28</f>
        <v>BSH</v>
      </c>
      <c r="E275" s="360"/>
      <c r="F275" s="237">
        <f>'3ème trim 2016'!F28</f>
        <v>0</v>
      </c>
      <c r="G275" s="22">
        <f>'3ème trim 2016'!G28</f>
        <v>0</v>
      </c>
      <c r="H275" s="140"/>
      <c r="I275" s="143">
        <f>'3ème trim 2016'!I28</f>
        <v>340.2</v>
      </c>
      <c r="J275" s="398"/>
    </row>
    <row r="276" spans="1:10" ht="18.75">
      <c r="A276" s="708" t="str">
        <f>'3ème trim 2016'!A53</f>
        <v>10.2016</v>
      </c>
      <c r="B276" s="599">
        <f>'3ème trim 2016'!B53</f>
        <v>842814</v>
      </c>
      <c r="C276" s="713"/>
      <c r="D276" s="634" t="str">
        <f>'3ème trim 2016'!D53</f>
        <v>HORIZON 60 CAPI</v>
      </c>
      <c r="E276" s="698"/>
      <c r="F276" s="636">
        <f>'3ème trim 2016'!F53</f>
        <v>0</v>
      </c>
      <c r="G276" s="699">
        <f>'3ème trim 2016'!G53</f>
        <v>2039</v>
      </c>
      <c r="H276" s="700"/>
      <c r="I276" s="143">
        <f>'3ème trim 2016'!I53</f>
        <v>414</v>
      </c>
      <c r="J276" s="398"/>
    </row>
    <row r="277" spans="1:10" ht="18.75">
      <c r="A277" s="428" t="str">
        <f>'2eme trim 2017 '!A65</f>
        <v>06.2017</v>
      </c>
      <c r="B277" s="530">
        <f>'2eme trim 2017 '!B65</f>
        <v>261094</v>
      </c>
      <c r="C277" s="674"/>
      <c r="D277" s="338" t="str">
        <f>'2eme trim 2017 '!D65</f>
        <v>MOBILE 2016</v>
      </c>
      <c r="E277" s="362"/>
      <c r="F277" s="237">
        <f>'2eme trim 2017 '!F65</f>
        <v>0</v>
      </c>
      <c r="G277" s="32">
        <f>'2eme trim 2017 '!G65</f>
        <v>0</v>
      </c>
      <c r="H277" s="345"/>
      <c r="I277" s="345">
        <f>'2eme trim 2017 '!I65</f>
        <v>77.990099999999998</v>
      </c>
      <c r="J277" s="398"/>
    </row>
    <row r="278" spans="1:10" ht="18.75">
      <c r="A278" s="708" t="str">
        <f>'3ème trim 2016'!A45</f>
        <v>09.2016</v>
      </c>
      <c r="B278" s="599">
        <f>'3ème trim 2016'!B45</f>
        <v>931819</v>
      </c>
      <c r="C278" s="713"/>
      <c r="D278" s="634" t="str">
        <f>'3ème trim 2016'!D45</f>
        <v>HELIOS</v>
      </c>
      <c r="E278" s="698"/>
      <c r="F278" s="636">
        <f>'3ème trim 2016'!F45</f>
        <v>0</v>
      </c>
      <c r="G278" s="699">
        <f>'3ème trim 2016'!G45</f>
        <v>2026</v>
      </c>
      <c r="H278" s="700"/>
      <c r="I278" s="143">
        <f>'3ème trim 2016'!I45</f>
        <v>116.64</v>
      </c>
      <c r="J278" s="398"/>
    </row>
    <row r="279" spans="1:10" ht="18.75">
      <c r="A279" s="708" t="str">
        <f>'4ème trim 2016'!A47</f>
        <v>11.2016</v>
      </c>
      <c r="B279" s="599">
        <f>'4ème trim 2016'!B47</f>
        <v>839931</v>
      </c>
      <c r="C279" s="715"/>
      <c r="D279" s="634" t="str">
        <f>'4ème trim 2016'!D47</f>
        <v>SANTE</v>
      </c>
      <c r="E279" s="635"/>
      <c r="F279" s="636">
        <f>'4ème trim 2016'!F47</f>
        <v>0</v>
      </c>
      <c r="G279" s="637">
        <f>'4ème trim 2016'!G47</f>
        <v>0</v>
      </c>
      <c r="H279" s="638"/>
      <c r="I279" s="143">
        <f>'4ème trim 2016'!I47</f>
        <v>159.09424999999999</v>
      </c>
      <c r="J279" s="398"/>
    </row>
    <row r="280" spans="1:10" ht="18.75">
      <c r="A280" s="428" t="str">
        <f>'4eme trim 2017  '!A62</f>
        <v>11.2017</v>
      </c>
      <c r="B280" s="530">
        <f>'4eme trim 2017  '!B62</f>
        <v>971770</v>
      </c>
      <c r="C280" s="675"/>
      <c r="D280" s="533" t="str">
        <f>'4eme trim 2017  '!D62</f>
        <v>MOBILE2016</v>
      </c>
      <c r="E280" s="447"/>
      <c r="F280" s="448">
        <f>'4eme trim 2017  '!F62</f>
        <v>0</v>
      </c>
      <c r="G280" s="106">
        <f>'4eme trim 2017  '!G62</f>
        <v>0</v>
      </c>
      <c r="H280" s="345"/>
      <c r="I280" s="345">
        <f>'4eme trim 2017  '!I62</f>
        <v>60.605600000000003</v>
      </c>
      <c r="J280" s="398"/>
    </row>
    <row r="281" spans="1:10" ht="18.75">
      <c r="A281" s="428" t="str">
        <f>'1er Trimestre 2018'!A21</f>
        <v>01.2018</v>
      </c>
      <c r="B281" s="530">
        <f>'1er Trimestre 2018'!B21</f>
        <v>971770</v>
      </c>
      <c r="C281" s="674"/>
      <c r="D281" s="338" t="str">
        <f>'1er Trimestre 2018'!D21</f>
        <v>REEBOU Family</v>
      </c>
      <c r="E281" s="362"/>
      <c r="F281" s="237">
        <f>'1er Trimestre 2018'!F21</f>
        <v>0</v>
      </c>
      <c r="G281" s="25">
        <f>'1er Trimestre 2018'!G21</f>
        <v>0</v>
      </c>
      <c r="H281" s="345"/>
      <c r="I281" s="143">
        <f>'1er Trimestre 2018'!I21</f>
        <v>17.697600000000001</v>
      </c>
      <c r="J281" s="398"/>
    </row>
    <row r="282" spans="1:10" ht="18.75">
      <c r="A282" s="428" t="str">
        <f>'2eme trim 2017 '!A38</f>
        <v>05.2017</v>
      </c>
      <c r="B282" s="530">
        <f>'2eme trim 2017 '!B38</f>
        <v>849012</v>
      </c>
      <c r="C282" s="674"/>
      <c r="D282" s="338" t="str">
        <f>'2eme trim 2017 '!D38</f>
        <v>REEBOU FAMILY</v>
      </c>
      <c r="E282" s="362"/>
      <c r="F282" s="237" t="str">
        <f>'2eme trim 2017 '!F38</f>
        <v>X</v>
      </c>
      <c r="G282" s="25">
        <f>'2eme trim 2017 '!G38</f>
        <v>0</v>
      </c>
      <c r="H282" s="345"/>
      <c r="I282" s="143">
        <f>'2eme trim 2017 '!I38</f>
        <v>14.479800000000001</v>
      </c>
      <c r="J282" s="398"/>
    </row>
    <row r="283" spans="1:10" ht="18.75">
      <c r="A283" s="600" t="str">
        <f>'2eme trim 2017 '!A39</f>
        <v>05.2017</v>
      </c>
      <c r="B283" s="601">
        <f>'2eme trim 2017 '!B39</f>
        <v>849012</v>
      </c>
      <c r="C283" s="676"/>
      <c r="D283" s="602" t="str">
        <f>'2eme trim 2017 '!D39</f>
        <v>FOCUS INVESTISSEMENT</v>
      </c>
      <c r="E283" s="603"/>
      <c r="F283" s="604" t="str">
        <f>'2eme trim 2017 '!F39</f>
        <v>X</v>
      </c>
      <c r="G283" s="605">
        <f>'2eme trim 2017 '!G39</f>
        <v>0</v>
      </c>
      <c r="H283" s="606"/>
      <c r="I283" s="607">
        <f>'2eme trim 2017 '!I39</f>
        <v>33.772500000000001</v>
      </c>
      <c r="J283" s="398"/>
    </row>
    <row r="284" spans="1:10">
      <c r="A284" s="716" t="str">
        <f>'3eme trim 2017  '!A36</f>
        <v>07.2017</v>
      </c>
      <c r="B284" s="619">
        <f>'3eme trim 2017  '!B36</f>
        <v>849012</v>
      </c>
      <c r="C284" s="713"/>
      <c r="D284" s="699" t="str">
        <f>'3eme trim 2017  '!D36</f>
        <v>MEDICIS</v>
      </c>
      <c r="E284" s="699"/>
      <c r="F284" s="717">
        <f>'3eme trim 2017  '!F36</f>
        <v>0</v>
      </c>
      <c r="G284" s="699">
        <f>'3eme trim 2017  '!G36</f>
        <v>0</v>
      </c>
      <c r="H284" s="712"/>
      <c r="I284" s="143">
        <f>'3eme trim 2017  '!I36</f>
        <v>133.035</v>
      </c>
      <c r="J284" s="398"/>
    </row>
    <row r="285" spans="1:10">
      <c r="A285" s="610" t="str">
        <f>'3eme trim 2017  '!A37</f>
        <v>07.2017</v>
      </c>
      <c r="B285" s="611">
        <f>'3eme trim 2017  '!B37</f>
        <v>849012</v>
      </c>
      <c r="C285" s="677"/>
      <c r="D285" s="574" t="str">
        <f>'3eme trim 2017  '!D37</f>
        <v>REEBOU FAMILY</v>
      </c>
      <c r="E285" s="574"/>
      <c r="F285" s="583">
        <f>'3eme trim 2017  '!F37</f>
        <v>0</v>
      </c>
      <c r="G285" s="574">
        <f>'3eme trim 2017  '!G37</f>
        <v>0</v>
      </c>
      <c r="H285" s="552"/>
      <c r="I285" s="552">
        <f>'3eme trim 2017  '!I37</f>
        <v>27.489599999999999</v>
      </c>
      <c r="J285" s="398" t="s">
        <v>620</v>
      </c>
    </row>
    <row r="286" spans="1:10" ht="18.75">
      <c r="A286" s="708" t="str">
        <f>'4eme trim 2017  '!A59</f>
        <v>11.2017</v>
      </c>
      <c r="B286" s="599">
        <f>'4eme trim 2017  '!B59</f>
        <v>849012</v>
      </c>
      <c r="C286" s="715"/>
      <c r="D286" s="634" t="str">
        <f>'4eme trim 2017  '!D59</f>
        <v>REEBOU Family</v>
      </c>
      <c r="E286" s="635"/>
      <c r="F286" s="636">
        <f>'4eme trim 2017  '!F59</f>
        <v>0</v>
      </c>
      <c r="G286" s="637">
        <f>'4eme trim 2017  '!G59</f>
        <v>0</v>
      </c>
      <c r="H286" s="638"/>
      <c r="I286" s="143">
        <f>'4eme trim 2017  '!I59</f>
        <v>34.449599999999997</v>
      </c>
      <c r="J286" s="398"/>
    </row>
    <row r="287" spans="1:10" ht="18.75">
      <c r="A287" s="708" t="str">
        <f>'2e trim 2016'!A29</f>
        <v>04.2016</v>
      </c>
      <c r="B287" s="599">
        <f>'2e trim 2016'!B29</f>
        <v>262680</v>
      </c>
      <c r="C287" s="715"/>
      <c r="D287" s="634" t="str">
        <f>'2e trim 2016'!D29</f>
        <v>SANTE</v>
      </c>
      <c r="E287" s="635"/>
      <c r="F287" s="636">
        <f>'2e trim 2016'!F29</f>
        <v>0</v>
      </c>
      <c r="G287" s="637">
        <f>'2e trim 2016'!G29</f>
        <v>0</v>
      </c>
      <c r="H287" s="638"/>
      <c r="I287" s="143">
        <f>'2e trim 2016'!I29</f>
        <v>25.389000000000003</v>
      </c>
      <c r="J287" s="398"/>
    </row>
    <row r="288" spans="1:10" ht="18.75">
      <c r="A288" s="428" t="str">
        <f>'4eme trim 2017  '!A33</f>
        <v>10.2017</v>
      </c>
      <c r="B288" s="530">
        <f>'4eme trim 2017  '!B33</f>
        <v>965877</v>
      </c>
      <c r="C288" s="674"/>
      <c r="D288" s="338" t="str">
        <f>'4eme trim 2017  '!D33</f>
        <v>MOBILE2016</v>
      </c>
      <c r="E288" s="362"/>
      <c r="F288" s="237">
        <f>'4eme trim 2017  '!F33</f>
        <v>0</v>
      </c>
      <c r="G288" s="25">
        <f>'4eme trim 2017  '!G33</f>
        <v>0</v>
      </c>
      <c r="H288" s="140"/>
      <c r="I288" s="143">
        <f>'4eme trim 2017  '!I33</f>
        <v>14.284199999999998</v>
      </c>
      <c r="J288" s="398"/>
    </row>
    <row r="289" spans="1:10" ht="18.75">
      <c r="A289" s="428" t="str">
        <f>'4eme trim 2017  '!A34</f>
        <v>10.2017</v>
      </c>
      <c r="B289" s="530">
        <f>'4eme trim 2017  '!B34</f>
        <v>965877</v>
      </c>
      <c r="C289" s="674"/>
      <c r="D289" s="338" t="str">
        <f>'4eme trim 2017  '!D34</f>
        <v>MOBILE2016</v>
      </c>
      <c r="E289" s="362"/>
      <c r="F289" s="237">
        <f>'4eme trim 2017  '!F34</f>
        <v>0</v>
      </c>
      <c r="G289" s="25">
        <f>'4eme trim 2017  '!G34</f>
        <v>0</v>
      </c>
      <c r="H289" s="143"/>
      <c r="I289" s="143">
        <f>'4eme trim 2017  '!I34</f>
        <v>31.689599999999999</v>
      </c>
      <c r="J289" s="398"/>
    </row>
    <row r="290" spans="1:10" ht="18.75">
      <c r="A290" s="428" t="str">
        <f>'4eme trim 2017  '!A35</f>
        <v>10.2017</v>
      </c>
      <c r="B290" s="530">
        <f>'4eme trim 2017  '!B35</f>
        <v>965877</v>
      </c>
      <c r="C290" s="674"/>
      <c r="D290" s="338" t="str">
        <f>'4eme trim 2017  '!D35</f>
        <v>REEBOU Family</v>
      </c>
      <c r="E290" s="362"/>
      <c r="F290" s="237">
        <f>'4eme trim 2017  '!F35</f>
        <v>0</v>
      </c>
      <c r="G290" s="25">
        <f>'4eme trim 2017  '!G35</f>
        <v>0</v>
      </c>
      <c r="H290" s="143"/>
      <c r="I290" s="143">
        <f>'4eme trim 2017  '!I35</f>
        <v>23.708399999999997</v>
      </c>
      <c r="J290" s="398"/>
    </row>
    <row r="291" spans="1:10" ht="18.75">
      <c r="A291" s="428" t="str">
        <f>'4ème trim 2016'!A79</f>
        <v>12.2016</v>
      </c>
      <c r="B291" s="530">
        <f>'4ème trim 2016'!B79</f>
        <v>531103</v>
      </c>
      <c r="C291" s="673"/>
      <c r="D291" s="338" t="str">
        <f>'4ème trim 2016'!D79</f>
        <v>MOBILE 2007</v>
      </c>
      <c r="E291" s="360"/>
      <c r="F291" s="237">
        <f>'4ème trim 2016'!F79</f>
        <v>0</v>
      </c>
      <c r="G291" s="22">
        <f>'4ème trim 2016'!G79</f>
        <v>0</v>
      </c>
      <c r="H291" s="441"/>
      <c r="I291" s="143">
        <f>'4ème trim 2016'!I79</f>
        <v>63.703100000000006</v>
      </c>
      <c r="J291" s="398"/>
    </row>
    <row r="292" spans="1:10">
      <c r="A292" s="716" t="str">
        <f>'2eme trim 2017 '!A69</f>
        <v>06.2017</v>
      </c>
      <c r="B292" s="619">
        <f>'2eme trim 2017 '!B69</f>
        <v>782333</v>
      </c>
      <c r="C292" s="713"/>
      <c r="D292" s="699" t="str">
        <f>'2eme trim 2017 '!D69</f>
        <v>HORIZONT 60 INVEST</v>
      </c>
      <c r="E292" s="699"/>
      <c r="F292" s="717">
        <f>'2eme trim 2017 '!F69</f>
        <v>0</v>
      </c>
      <c r="G292" s="699">
        <f>'2eme trim 2017 '!G69</f>
        <v>2033</v>
      </c>
      <c r="H292" s="712"/>
      <c r="I292" s="143">
        <f>'2eme trim 2017 '!I69</f>
        <v>211.2</v>
      </c>
      <c r="J292" s="398"/>
    </row>
    <row r="293" spans="1:10">
      <c r="A293" s="436" t="str">
        <f>'2eme trim 2017 '!A70</f>
        <v>06.2017</v>
      </c>
      <c r="B293" s="429">
        <f>'2eme trim 2017 '!B70</f>
        <v>782333</v>
      </c>
      <c r="C293" s="673"/>
      <c r="D293" s="684" t="str">
        <f>'2eme trim 2017 '!D70</f>
        <v>BSH</v>
      </c>
      <c r="E293" s="22"/>
      <c r="F293" s="240">
        <f>'2eme trim 2017 '!F70</f>
        <v>0</v>
      </c>
      <c r="G293" s="22">
        <f>'2eme trim 2017 '!G70</f>
        <v>0</v>
      </c>
      <c r="H293" s="143"/>
      <c r="I293" s="143">
        <f>'2eme trim 2017 '!I70</f>
        <v>189</v>
      </c>
      <c r="J293" s="398"/>
    </row>
    <row r="294" spans="1:10">
      <c r="A294" s="716" t="str">
        <f>'3eme trim 2017  '!A40</f>
        <v>07.2017</v>
      </c>
      <c r="B294" s="620">
        <f>'3eme trim 2017  '!B40</f>
        <v>782333</v>
      </c>
      <c r="C294" s="713"/>
      <c r="D294" s="699" t="str">
        <f>'3eme trim 2017  '!D40</f>
        <v>HORIZONT 60 INVEST</v>
      </c>
      <c r="E294" s="699"/>
      <c r="F294" s="717">
        <f>'3eme trim 2017  '!F40</f>
        <v>0</v>
      </c>
      <c r="G294" s="699">
        <f>'3eme trim 2017  '!G40</f>
        <v>2036</v>
      </c>
      <c r="H294" s="712"/>
      <c r="I294" s="143">
        <f>'3eme trim 2017  '!I40</f>
        <v>250.79999999999998</v>
      </c>
      <c r="J294" s="398"/>
    </row>
    <row r="295" spans="1:10" ht="30">
      <c r="A295" s="428" t="str">
        <f>'4eme trim 2017  '!A88</f>
        <v>12.2017</v>
      </c>
      <c r="B295" s="568">
        <f>'4eme trim 2017  '!B88</f>
        <v>782333</v>
      </c>
      <c r="C295" s="621"/>
      <c r="D295" s="384" t="str">
        <f>'4eme trim 2017  '!D88</f>
        <v>HORIZONT 60 INVEST</v>
      </c>
      <c r="E295" s="566"/>
      <c r="F295" s="237">
        <f>'4eme trim 2017  '!F88</f>
        <v>0</v>
      </c>
      <c r="G295" s="35">
        <f>'4eme trim 2017  '!G88</f>
        <v>2033</v>
      </c>
      <c r="H295" s="567"/>
      <c r="I295" s="567">
        <f>'4eme trim 2017  '!I88</f>
        <v>-211.2</v>
      </c>
      <c r="J295" s="443" t="str">
        <f>'4eme trim 2017  '!K88</f>
        <v>Rectification juin annulation samy</v>
      </c>
    </row>
    <row r="296" spans="1:10" ht="18.75">
      <c r="A296" s="708" t="str">
        <f>'2e trim 2016'!A38</f>
        <v>05.2016</v>
      </c>
      <c r="B296" s="599">
        <f>'2e trim 2016'!B38</f>
        <v>849394</v>
      </c>
      <c r="C296" s="713"/>
      <c r="D296" s="634" t="str">
        <f>'2e trim 2016'!D38</f>
        <v>SANTE</v>
      </c>
      <c r="E296" s="698"/>
      <c r="F296" s="636">
        <f>'2e trim 2016'!F38</f>
        <v>0</v>
      </c>
      <c r="G296" s="699">
        <f>'2e trim 2016'!G38</f>
        <v>0</v>
      </c>
      <c r="H296" s="700"/>
      <c r="I296" s="718">
        <f>'2e trim 2016'!I38</f>
        <v>130.78800000000001</v>
      </c>
      <c r="J296" s="576"/>
    </row>
    <row r="297" spans="1:10" ht="18.75">
      <c r="A297" s="428" t="str">
        <f>'1er Trimestre 2018'!A44</f>
        <v>03.2018</v>
      </c>
      <c r="B297" s="530">
        <f>'1er Trimestre 2018'!B44</f>
        <v>985885</v>
      </c>
      <c r="C297" s="674"/>
      <c r="D297" s="338" t="str">
        <f>'1er Trimestre 2018'!D44</f>
        <v>REEBOU Family</v>
      </c>
      <c r="E297" s="362"/>
      <c r="F297" s="237">
        <f>'1er Trimestre 2018'!F44</f>
        <v>0</v>
      </c>
      <c r="G297" s="25">
        <f>'1er Trimestre 2018'!G44</f>
        <v>0</v>
      </c>
      <c r="H297" s="345"/>
      <c r="I297" s="143">
        <f>'1er Trimestre 2018'!I44</f>
        <v>18.5472</v>
      </c>
      <c r="J297" s="398"/>
    </row>
    <row r="298" spans="1:10" ht="18.75">
      <c r="A298" s="608" t="str">
        <f>'2eme trim 2017 '!A11</f>
        <v>04.2017</v>
      </c>
      <c r="B298" s="609">
        <f>'2eme trim 2017 '!B11</f>
        <v>533374</v>
      </c>
      <c r="C298" s="678"/>
      <c r="D298" s="547" t="str">
        <f>'2eme trim 2017 '!D11</f>
        <v>HORIZONT 60 INVEST</v>
      </c>
      <c r="E298" s="548"/>
      <c r="F298" s="549">
        <f>'2eme trim 2017 '!F11</f>
        <v>0</v>
      </c>
      <c r="G298" s="550">
        <f>'2eme trim 2017 '!G11</f>
        <v>2041</v>
      </c>
      <c r="H298" s="551"/>
      <c r="I298" s="143">
        <f>'2eme trim 2017 '!I11</f>
        <v>432</v>
      </c>
      <c r="J298" s="398" t="s">
        <v>622</v>
      </c>
    </row>
    <row r="299" spans="1:10" ht="18.75">
      <c r="A299" s="708" t="str">
        <f>'2eme trim 2017 '!A62</f>
        <v>06.2017</v>
      </c>
      <c r="B299" s="599">
        <f>'2eme trim 2017 '!B62</f>
        <v>855692</v>
      </c>
      <c r="C299" s="715"/>
      <c r="D299" s="634" t="str">
        <f>'2eme trim 2017 '!D62</f>
        <v>MEDICIS</v>
      </c>
      <c r="E299" s="635"/>
      <c r="F299" s="636">
        <f>'2eme trim 2017 '!F62</f>
        <v>0</v>
      </c>
      <c r="G299" s="637">
        <f>'2eme trim 2017 '!G62</f>
        <v>0</v>
      </c>
      <c r="H299" s="638"/>
      <c r="I299" s="143">
        <f>'2eme trim 2017 '!I62</f>
        <v>25.389000000000003</v>
      </c>
      <c r="J299" s="398"/>
    </row>
    <row r="300" spans="1:10" ht="18.75">
      <c r="A300" s="708" t="str">
        <f>'2eme trim 2017 '!A63</f>
        <v>06.2017</v>
      </c>
      <c r="B300" s="599">
        <f>'2eme trim 2017 '!B63</f>
        <v>855692</v>
      </c>
      <c r="C300" s="715"/>
      <c r="D300" s="634" t="str">
        <f>'2eme trim 2017 '!D63</f>
        <v>HORIZONT 60 INVEST</v>
      </c>
      <c r="E300" s="635"/>
      <c r="F300" s="636">
        <f>'2eme trim 2017 '!F63</f>
        <v>0</v>
      </c>
      <c r="G300" s="637">
        <f>'2eme trim 2017 '!G63</f>
        <v>2045</v>
      </c>
      <c r="H300" s="638"/>
      <c r="I300" s="345">
        <f>'2eme trim 2017 '!I63</f>
        <v>403.2</v>
      </c>
      <c r="J300" s="398"/>
    </row>
    <row r="301" spans="1:10" ht="18.75">
      <c r="A301" s="708" t="str">
        <f>'2eme trim 2017 '!A12</f>
        <v>04.2017</v>
      </c>
      <c r="B301" s="599">
        <f>'2eme trim 2017 '!B12</f>
        <v>760929</v>
      </c>
      <c r="C301" s="715"/>
      <c r="D301" s="634" t="str">
        <f>'2eme trim 2017 '!D12</f>
        <v>HORIZONT 60 INVEST</v>
      </c>
      <c r="E301" s="635"/>
      <c r="F301" s="636">
        <f>'2eme trim 2017 '!F12</f>
        <v>0</v>
      </c>
      <c r="G301" s="637">
        <f>'2eme trim 2017 '!G12</f>
        <v>2047</v>
      </c>
      <c r="H301" s="638"/>
      <c r="I301" s="143">
        <f>'2eme trim 2017 '!I12</f>
        <v>432</v>
      </c>
      <c r="J301" s="398"/>
    </row>
    <row r="302" spans="1:10" ht="18.75">
      <c r="A302" s="708" t="str">
        <f>'2eme trim 2017 '!A14</f>
        <v>04.2017</v>
      </c>
      <c r="B302" s="599">
        <f>'2eme trim 2017 '!B14</f>
        <v>760929</v>
      </c>
      <c r="C302" s="715"/>
      <c r="D302" s="634" t="str">
        <f>'2eme trim 2017 '!D14</f>
        <v>MEDICIS</v>
      </c>
      <c r="E302" s="635"/>
      <c r="F302" s="636">
        <f>'2eme trim 2017 '!F14</f>
        <v>0</v>
      </c>
      <c r="G302" s="637">
        <f>'2eme trim 2017 '!G14</f>
        <v>0</v>
      </c>
      <c r="H302" s="638"/>
      <c r="I302" s="143">
        <f>'2eme trim 2017 '!I14</f>
        <v>124.551</v>
      </c>
      <c r="J302" s="398"/>
    </row>
    <row r="303" spans="1:10" ht="18.75">
      <c r="A303" s="428" t="str">
        <f>'2eme trim 2017 '!A15</f>
        <v>04.2017</v>
      </c>
      <c r="B303" s="530">
        <f>'2eme trim 2017 '!B15</f>
        <v>760929</v>
      </c>
      <c r="C303" s="674"/>
      <c r="D303" s="338" t="str">
        <f>'2eme trim 2017 '!D15</f>
        <v>MOBILE Tr</v>
      </c>
      <c r="E303" s="362"/>
      <c r="F303" s="237" t="str">
        <f>'2eme trim 2017 '!F15</f>
        <v>X</v>
      </c>
      <c r="G303" s="25">
        <f>'2eme trim 2017 '!G15</f>
        <v>0</v>
      </c>
      <c r="H303" s="345"/>
      <c r="I303" s="143">
        <f>'2eme trim 2017 '!I15</f>
        <v>46.945650000000001</v>
      </c>
      <c r="J303" s="398"/>
    </row>
    <row r="304" spans="1:10">
      <c r="A304" s="436" t="str">
        <f>'2eme trim 2017 '!A73</f>
        <v>06.2017</v>
      </c>
      <c r="B304" s="429">
        <f>'2eme trim 2017 '!B73</f>
        <v>760929</v>
      </c>
      <c r="C304" s="679"/>
      <c r="D304" s="28" t="str">
        <f>'2eme trim 2017 '!D73</f>
        <v>MOBILE</v>
      </c>
      <c r="E304" s="28"/>
      <c r="F304" s="240">
        <f>'2eme trim 2017 '!F73</f>
        <v>0</v>
      </c>
      <c r="G304" s="28">
        <f>'2eme trim 2017 '!G73</f>
        <v>0</v>
      </c>
      <c r="H304" s="346"/>
      <c r="I304" s="346">
        <f>'2eme trim 2017 '!I73</f>
        <v>67.131</v>
      </c>
      <c r="J304" s="398"/>
    </row>
    <row r="305" spans="1:10" ht="18.75">
      <c r="A305" s="428" t="str">
        <f>'2eme trim 2017 '!A16</f>
        <v>04.2017</v>
      </c>
      <c r="B305" s="530">
        <f>'2eme trim 2017 '!B16</f>
        <v>569553</v>
      </c>
      <c r="C305" s="674"/>
      <c r="D305" s="338" t="str">
        <f>'2eme trim 2017 '!D16</f>
        <v>PACK REEBOU FAMILY</v>
      </c>
      <c r="E305" s="362"/>
      <c r="F305" s="237">
        <f>'2eme trim 2017 '!F16</f>
        <v>0</v>
      </c>
      <c r="G305" s="25">
        <f>'2eme trim 2017 '!G16</f>
        <v>0</v>
      </c>
      <c r="H305" s="345"/>
      <c r="I305" s="143">
        <f>'2eme trim 2017 '!I16</f>
        <v>56.845500000000001</v>
      </c>
      <c r="J305" s="398"/>
    </row>
    <row r="306" spans="1:10" ht="18.75">
      <c r="A306" s="428" t="str">
        <f>'3ème trim 2016'!A49</f>
        <v>09.2016</v>
      </c>
      <c r="B306" s="530">
        <f>'3ème trim 2016'!B49</f>
        <v>210428</v>
      </c>
      <c r="C306" s="674"/>
      <c r="D306" s="338" t="str">
        <f>'3ème trim 2016'!D49</f>
        <v>REEBOU PACK</v>
      </c>
      <c r="E306" s="362"/>
      <c r="F306" s="237">
        <f>'3ème trim 2016'!F49</f>
        <v>0</v>
      </c>
      <c r="G306" s="25">
        <f>'3ème trim 2016'!G49</f>
        <v>0</v>
      </c>
      <c r="H306" s="345"/>
      <c r="I306" s="143">
        <f>'3ème trim 2016'!I49</f>
        <v>18.741</v>
      </c>
      <c r="J306" s="398"/>
    </row>
    <row r="307" spans="1:10" ht="18.75">
      <c r="A307" s="425" t="str">
        <f>'1er trim 2017'!A13</f>
        <v>01.2017</v>
      </c>
      <c r="B307" s="426">
        <f>'1er trim 2017'!B13</f>
        <v>294775</v>
      </c>
      <c r="C307" s="652"/>
      <c r="D307" s="338" t="str">
        <f>'1er trim 2017'!D13</f>
        <v>REEBOU PRO</v>
      </c>
      <c r="E307" s="362"/>
      <c r="F307" s="237">
        <f>'1er trim 2017'!F13</f>
        <v>0</v>
      </c>
      <c r="G307" s="25">
        <f>'1er trim 2017'!G13</f>
        <v>0</v>
      </c>
      <c r="H307" s="345"/>
      <c r="I307" s="143">
        <f>'1er trim 2017'!I13</f>
        <v>29.3796</v>
      </c>
      <c r="J307" s="398"/>
    </row>
    <row r="308" spans="1:10" ht="18.75">
      <c r="A308" s="425" t="str">
        <f>'2e trim 2016'!A62</f>
        <v>06.2016</v>
      </c>
      <c r="B308" s="426">
        <f>'2e trim 2016'!B62</f>
        <v>294775</v>
      </c>
      <c r="C308" s="652"/>
      <c r="D308" s="338" t="str">
        <f>'2e trim 2016'!D62</f>
        <v>MOBILE</v>
      </c>
      <c r="E308" s="362"/>
      <c r="F308" s="237">
        <f>'2e trim 2016'!F62</f>
        <v>0</v>
      </c>
      <c r="G308" s="25">
        <f>'2e trim 2016'!G62</f>
        <v>0</v>
      </c>
      <c r="H308" s="345"/>
      <c r="I308" s="143">
        <f>'2e trim 2016'!I62</f>
        <v>94.962999999999994</v>
      </c>
      <c r="J308" s="398"/>
    </row>
    <row r="309" spans="1:10" ht="18.75">
      <c r="A309" s="425" t="str">
        <f>'3ème trim 2016'!A15</f>
        <v>07.2016</v>
      </c>
      <c r="B309" s="426">
        <f>'3ème trim 2016'!B15</f>
        <v>294775</v>
      </c>
      <c r="C309" s="652"/>
      <c r="D309" s="338" t="str">
        <f>'3ème trim 2016'!D15</f>
        <v>REEBOU FAMILY</v>
      </c>
      <c r="E309" s="362"/>
      <c r="F309" s="237">
        <f>'3ème trim 2016'!F15</f>
        <v>0</v>
      </c>
      <c r="G309" s="25">
        <f>'3ème trim 2016'!G15</f>
        <v>0</v>
      </c>
      <c r="H309" s="345"/>
      <c r="I309" s="143">
        <f>'3ème trim 2016'!I15</f>
        <v>67.948800000000006</v>
      </c>
      <c r="J309" s="398"/>
    </row>
    <row r="310" spans="1:10" ht="18.75">
      <c r="A310" s="425" t="str">
        <f>'3ème trim 2016'!A16</f>
        <v>07.2016</v>
      </c>
      <c r="B310" s="426">
        <f>'3ème trim 2016'!B16</f>
        <v>294775</v>
      </c>
      <c r="C310" s="652"/>
      <c r="D310" s="338" t="str">
        <f>'3ème trim 2016'!D16</f>
        <v>MOBILE</v>
      </c>
      <c r="E310" s="362"/>
      <c r="F310" s="237">
        <f>'3ème trim 2016'!F16</f>
        <v>0</v>
      </c>
      <c r="G310" s="25">
        <f>'3ème trim 2016'!G16</f>
        <v>0</v>
      </c>
      <c r="H310" s="345"/>
      <c r="I310" s="143">
        <f>'3ème trim 2016'!I16</f>
        <v>52.699100000000001</v>
      </c>
      <c r="J310" s="398"/>
    </row>
    <row r="311" spans="1:10" ht="18.75">
      <c r="A311" s="425" t="str">
        <f>'2eme trim 2017 '!A28</f>
        <v>05.2017</v>
      </c>
      <c r="B311" s="426">
        <f>'2eme trim 2017 '!B28</f>
        <v>813408</v>
      </c>
      <c r="C311" s="652"/>
      <c r="D311" s="338" t="str">
        <f>'2eme trim 2017 '!D28</f>
        <v xml:space="preserve">MOBILE </v>
      </c>
      <c r="E311" s="362"/>
      <c r="F311" s="237">
        <f>'2eme trim 2017 '!F28</f>
        <v>0</v>
      </c>
      <c r="G311" s="25">
        <f>'2eme trim 2017 '!G28</f>
        <v>0</v>
      </c>
      <c r="H311" s="345"/>
      <c r="I311" s="143">
        <f>'2eme trim 2017 '!I28</f>
        <v>143.12720000000002</v>
      </c>
      <c r="J311" s="398"/>
    </row>
    <row r="312" spans="1:10" ht="18.75">
      <c r="A312" s="633" t="str">
        <f>'3eme trim 2017  '!A80</f>
        <v>09.2017</v>
      </c>
      <c r="B312" s="593">
        <f>'3eme trim 2017  '!B80</f>
        <v>741050</v>
      </c>
      <c r="C312" s="696"/>
      <c r="D312" s="634" t="str">
        <f>'3eme trim 2017  '!D80</f>
        <v>HELIOS100Invest</v>
      </c>
      <c r="E312" s="635"/>
      <c r="F312" s="636">
        <f>'3eme trim 2017  '!F80</f>
        <v>0</v>
      </c>
      <c r="G312" s="637">
        <f>'3eme trim 2017  '!G80</f>
        <v>2032</v>
      </c>
      <c r="H312" s="638"/>
      <c r="I312" s="143">
        <f>'3eme trim 2017  '!I80</f>
        <v>145.79999999999998</v>
      </c>
      <c r="J312" s="398"/>
    </row>
    <row r="313" spans="1:10" ht="18.75">
      <c r="A313" s="425" t="str">
        <f>'3eme trim 2017  '!A81</f>
        <v>09.2017</v>
      </c>
      <c r="B313" s="426">
        <f>'3eme trim 2017  '!B81</f>
        <v>741050</v>
      </c>
      <c r="C313" s="652"/>
      <c r="D313" s="338" t="str">
        <f>'3eme trim 2017  '!D81</f>
        <v>RC ENSEIGNANT</v>
      </c>
      <c r="E313" s="362"/>
      <c r="F313" s="237" t="str">
        <f>'3eme trim 2017  '!F81</f>
        <v>X</v>
      </c>
      <c r="G313" s="25">
        <f>'3eme trim 2017  '!G81</f>
        <v>0</v>
      </c>
      <c r="H313" s="345"/>
      <c r="I313" s="143">
        <f>'3eme trim 2017  '!I81</f>
        <v>4.3043999999999993</v>
      </c>
      <c r="J313" s="398"/>
    </row>
    <row r="314" spans="1:10" ht="18.75">
      <c r="A314" s="425" t="str">
        <f>'3eme trim 2017  '!A82</f>
        <v>09.2017</v>
      </c>
      <c r="B314" s="426">
        <f>'3eme trim 2017  '!B82</f>
        <v>741050</v>
      </c>
      <c r="C314" s="652"/>
      <c r="D314" s="338" t="str">
        <f>'3eme trim 2017  '!D82</f>
        <v>MOBILE2016</v>
      </c>
      <c r="E314" s="362"/>
      <c r="F314" s="237" t="str">
        <f>'3eme trim 2017  '!F82</f>
        <v>X</v>
      </c>
      <c r="G314" s="25">
        <f>'3eme trim 2017  '!G82</f>
        <v>0</v>
      </c>
      <c r="H314" s="345"/>
      <c r="I314" s="143">
        <f>'3eme trim 2017  '!I82</f>
        <v>57.042000000000002</v>
      </c>
      <c r="J314" s="398"/>
    </row>
    <row r="315" spans="1:10" ht="18.75">
      <c r="A315" s="633" t="str">
        <f>'4eme trim 2017  '!A54</f>
        <v>11.2017</v>
      </c>
      <c r="B315" s="593">
        <f>'4eme trim 2017  '!B54</f>
        <v>716291</v>
      </c>
      <c r="C315" s="696"/>
      <c r="D315" s="634" t="str">
        <f>'4eme trim 2017  '!D54</f>
        <v>HELIOS100Protect</v>
      </c>
      <c r="E315" s="635"/>
      <c r="F315" s="636">
        <f>'4eme trim 2017  '!F54</f>
        <v>0</v>
      </c>
      <c r="G315" s="637">
        <f>'4eme trim 2017  '!G54</f>
        <v>2027</v>
      </c>
      <c r="H315" s="712"/>
      <c r="I315" s="143">
        <f>'4eme trim 2017  '!I54</f>
        <v>72</v>
      </c>
      <c r="J315" s="398"/>
    </row>
    <row r="316" spans="1:10" ht="18.75">
      <c r="A316" s="571" t="str">
        <f>'4ème trim 2016'!A69</f>
        <v>12.2016</v>
      </c>
      <c r="B316" s="592">
        <f>'4ème trim 2016'!B69</f>
        <v>726792</v>
      </c>
      <c r="C316" s="669"/>
      <c r="D316" s="594" t="str">
        <f>'4ème trim 2016'!D69</f>
        <v>HORIZONT 60 CAPI</v>
      </c>
      <c r="E316" s="595"/>
      <c r="F316" s="586">
        <f>'4ème trim 2016'!F69</f>
        <v>0</v>
      </c>
      <c r="G316" s="578">
        <f>'4ème trim 2016'!G69</f>
        <v>2027</v>
      </c>
      <c r="H316" s="580"/>
      <c r="I316" s="143">
        <f>'4ème trim 2016'!I69</f>
        <v>231</v>
      </c>
      <c r="J316" s="398" t="s">
        <v>624</v>
      </c>
    </row>
    <row r="317" spans="1:10" ht="18.75">
      <c r="A317" s="425" t="str">
        <f>'3ème trim 2016'!A18</f>
        <v>07.2016</v>
      </c>
      <c r="B317" s="426">
        <f>'3ème trim 2016'!B18</f>
        <v>722631</v>
      </c>
      <c r="C317" s="652"/>
      <c r="D317" s="338" t="str">
        <f>'3ème trim 2016'!D18</f>
        <v>REEBOU PRO</v>
      </c>
      <c r="E317" s="362"/>
      <c r="F317" s="237">
        <f>'3ème trim 2016'!F18</f>
        <v>0</v>
      </c>
      <c r="G317" s="25">
        <f>'3ème trim 2016'!G18</f>
        <v>0</v>
      </c>
      <c r="H317" s="345"/>
      <c r="I317" s="143">
        <f>'3ème trim 2016'!I18</f>
        <v>120.5076</v>
      </c>
      <c r="J317" s="398"/>
    </row>
    <row r="318" spans="1:10" ht="18.75">
      <c r="A318" s="425" t="str">
        <f>'4eme trim 2017  '!A81</f>
        <v>12.2017</v>
      </c>
      <c r="B318" s="426">
        <f>'4eme trim 2017  '!B81</f>
        <v>971952</v>
      </c>
      <c r="C318" s="652"/>
      <c r="D318" s="338" t="str">
        <f>'4eme trim 2017  '!D81</f>
        <v>REEBOUImmo</v>
      </c>
      <c r="E318" s="362"/>
      <c r="F318" s="237">
        <f>'4eme trim 2017  '!F81</f>
        <v>0</v>
      </c>
      <c r="G318" s="25">
        <f>'4eme trim 2017  '!G81</f>
        <v>0</v>
      </c>
      <c r="H318" s="345"/>
      <c r="I318" s="345">
        <f>'4eme trim 2017  '!I81</f>
        <v>81.470399999999998</v>
      </c>
      <c r="J318" s="398"/>
    </row>
    <row r="319" spans="1:10" ht="18.75">
      <c r="A319" s="425" t="str">
        <f>'1er trim 2017'!A32</f>
        <v>02.2017</v>
      </c>
      <c r="B319" s="426">
        <f>'1er trim 2017'!B32</f>
        <v>411055</v>
      </c>
      <c r="C319" s="652"/>
      <c r="D319" s="338" t="str">
        <f>'1er trim 2017'!D32</f>
        <v>REEBOU PRO</v>
      </c>
      <c r="E319" s="362"/>
      <c r="F319" s="237">
        <f>'1er trim 2017'!F32</f>
        <v>0</v>
      </c>
      <c r="G319" s="25">
        <f>'1er trim 2017'!G32</f>
        <v>0</v>
      </c>
      <c r="H319" s="345"/>
      <c r="I319" s="143">
        <f>'1er trim 2017'!I32</f>
        <v>20.748000000000001</v>
      </c>
      <c r="J319" s="398"/>
    </row>
    <row r="320" spans="1:10" ht="18.75">
      <c r="A320" s="425" t="str">
        <f>'1er Trimestre 2018'!A38</f>
        <v>02.2018</v>
      </c>
      <c r="B320" s="426">
        <f>'1er Trimestre 2018'!B38</f>
        <v>411055</v>
      </c>
      <c r="C320" s="652"/>
      <c r="D320" s="338" t="str">
        <f>'1er Trimestre 2018'!D38</f>
        <v>MOBILE2016</v>
      </c>
      <c r="E320" s="362"/>
      <c r="F320" s="237">
        <f>'1er Trimestre 2018'!F38</f>
        <v>0</v>
      </c>
      <c r="G320" s="25">
        <f>'1er Trimestre 2018'!G38</f>
        <v>0</v>
      </c>
      <c r="H320" s="345"/>
      <c r="I320" s="143">
        <f>'1er Trimestre 2018'!I38</f>
        <v>121.30720000000001</v>
      </c>
      <c r="J320" s="398"/>
    </row>
    <row r="321" spans="1:10" ht="18.75">
      <c r="A321" s="425" t="str">
        <f>'4ème trim 2016'!A16</f>
        <v>10.2016</v>
      </c>
      <c r="B321" s="426">
        <f>'4ème trim 2016'!B16</f>
        <v>411055</v>
      </c>
      <c r="C321" s="652"/>
      <c r="D321" s="338" t="str">
        <f>'4ème trim 2016'!D16</f>
        <v>REEBOU PRO</v>
      </c>
      <c r="E321" s="362"/>
      <c r="F321" s="237">
        <f>'4ème trim 2016'!F16</f>
        <v>0</v>
      </c>
      <c r="G321" s="25">
        <f>'4ème trim 2016'!G16</f>
        <v>0</v>
      </c>
      <c r="H321" s="345"/>
      <c r="I321" s="143">
        <f>'4ème trim 2016'!I16</f>
        <v>20.597999999999999</v>
      </c>
      <c r="J321" s="398"/>
    </row>
    <row r="322" spans="1:10" ht="18.75">
      <c r="A322" s="425" t="str">
        <f>'4eme trim 2017  '!A63</f>
        <v>11.2017</v>
      </c>
      <c r="B322" s="426">
        <f>'4eme trim 2017  '!B63</f>
        <v>411055</v>
      </c>
      <c r="C322" s="652"/>
      <c r="D322" s="338" t="str">
        <f>'4eme trim 2017  '!D63</f>
        <v>REEBOU Pro</v>
      </c>
      <c r="E322" s="362"/>
      <c r="F322" s="237">
        <f>'4eme trim 2017  '!F63</f>
        <v>0</v>
      </c>
      <c r="G322" s="25">
        <f>'4eme trim 2017  '!G63</f>
        <v>0</v>
      </c>
      <c r="H322" s="143"/>
      <c r="I322" s="345">
        <f>'4eme trim 2017  '!I63</f>
        <v>61.7376</v>
      </c>
      <c r="J322" s="398"/>
    </row>
    <row r="323" spans="1:10" ht="18.75">
      <c r="A323" s="425" t="str">
        <f>'4eme trim 2017  '!A64</f>
        <v>11.2017</v>
      </c>
      <c r="B323" s="426">
        <f>'4eme trim 2017  '!B64</f>
        <v>411056</v>
      </c>
      <c r="C323" s="652"/>
      <c r="D323" s="338" t="str">
        <f>'4eme trim 2017  '!D64</f>
        <v>REEBOU Pro</v>
      </c>
      <c r="E323" s="362"/>
      <c r="F323" s="237">
        <f>'4eme trim 2017  '!F64</f>
        <v>0</v>
      </c>
      <c r="G323" s="25">
        <f>'4eme trim 2017  '!G64</f>
        <v>0</v>
      </c>
      <c r="H323" s="345"/>
      <c r="I323" s="143">
        <f>'4eme trim 2017  '!I64</f>
        <v>15.507599999999998</v>
      </c>
      <c r="J323" s="398"/>
    </row>
    <row r="324" spans="1:10" ht="18.75">
      <c r="A324" s="425" t="str">
        <f>'2eme trim 2017 '!A29</f>
        <v>05.2017</v>
      </c>
      <c r="B324" s="426">
        <f>'2eme trim 2017 '!B29</f>
        <v>797110</v>
      </c>
      <c r="C324" s="652"/>
      <c r="D324" s="338" t="str">
        <f>'2eme trim 2017 '!D29</f>
        <v xml:space="preserve">MOBILE </v>
      </c>
      <c r="E324" s="362"/>
      <c r="F324" s="237">
        <f>'2eme trim 2017 '!F29</f>
        <v>0</v>
      </c>
      <c r="G324" s="25">
        <f>'2eme trim 2017 '!G29</f>
        <v>0</v>
      </c>
      <c r="H324" s="345"/>
      <c r="I324" s="143">
        <f>'2eme trim 2017 '!I29</f>
        <v>153.37439999999998</v>
      </c>
      <c r="J324" s="398"/>
    </row>
    <row r="325" spans="1:10">
      <c r="A325" s="526" t="str">
        <f>'3eme trim 2017  '!A42</f>
        <v>07.2017</v>
      </c>
      <c r="B325" s="529">
        <f>'3eme trim 2017  '!B42</f>
        <v>674507</v>
      </c>
      <c r="C325" s="657"/>
      <c r="D325" s="22" t="str">
        <f>'3eme trim 2017  '!D42</f>
        <v>REEBOU FAMILY</v>
      </c>
      <c r="E325" s="22"/>
      <c r="F325" s="240">
        <f>'3eme trim 2017  '!F42</f>
        <v>0</v>
      </c>
      <c r="G325" s="22">
        <f>'3eme trim 2017  '!G42</f>
        <v>0</v>
      </c>
      <c r="H325" s="143"/>
      <c r="I325" s="143">
        <f>'3eme trim 2017  '!I42</f>
        <v>20.614799999999999</v>
      </c>
      <c r="J325" s="398"/>
    </row>
    <row r="326" spans="1:10">
      <c r="A326" s="526" t="str">
        <f>'3eme trim 2017  '!A43</f>
        <v>07.2017</v>
      </c>
      <c r="B326" s="529">
        <f>'3eme trim 2017  '!B43</f>
        <v>674507</v>
      </c>
      <c r="C326" s="657"/>
      <c r="D326" s="22" t="str">
        <f>'3eme trim 2017  '!D43</f>
        <v>PACK REEBOU FAMILY</v>
      </c>
      <c r="E326" s="22"/>
      <c r="F326" s="240">
        <f>'3eme trim 2017  '!F43</f>
        <v>0</v>
      </c>
      <c r="G326" s="22">
        <f>'3eme trim 2017  '!G43</f>
        <v>0</v>
      </c>
      <c r="H326" s="143"/>
      <c r="I326" s="143">
        <f>'3eme trim 2017  '!I43</f>
        <v>16.907999999999998</v>
      </c>
      <c r="J326" s="398"/>
    </row>
    <row r="327" spans="1:10">
      <c r="A327" s="719" t="str">
        <f>'3eme trim 2017  '!A55</f>
        <v>08.2017</v>
      </c>
      <c r="B327" s="720">
        <f>'3eme trim 2017  '!B55</f>
        <v>674507</v>
      </c>
      <c r="C327" s="696"/>
      <c r="D327" s="637" t="str">
        <f>'3eme trim 2017  '!D55</f>
        <v>HORIZONT60invest</v>
      </c>
      <c r="E327" s="637"/>
      <c r="F327" s="717">
        <f>'3eme trim 2017  '!F55</f>
        <v>0</v>
      </c>
      <c r="G327" s="637">
        <f>'3eme trim 2017  '!G55</f>
        <v>2047</v>
      </c>
      <c r="H327" s="638"/>
      <c r="I327" s="345">
        <f>'3eme trim 2017  '!I55</f>
        <v>302.39999999999998</v>
      </c>
      <c r="J327" s="398"/>
    </row>
    <row r="328" spans="1:10">
      <c r="A328" s="719" t="str">
        <f>'3eme trim 2017  '!A70</f>
        <v>09.2017</v>
      </c>
      <c r="B328" s="596">
        <f>'3eme trim 2017  '!B70</f>
        <v>957574</v>
      </c>
      <c r="C328" s="696"/>
      <c r="D328" s="637" t="str">
        <f>'3eme trim 2017  '!D70</f>
        <v>FOCUS</v>
      </c>
      <c r="E328" s="721"/>
      <c r="F328" s="722">
        <f>'3eme trim 2017  '!F70</f>
        <v>0</v>
      </c>
      <c r="G328" s="637">
        <f>'3eme trim 2017  '!G70</f>
        <v>2041</v>
      </c>
      <c r="H328" s="638"/>
      <c r="I328" s="345">
        <f>'3eme trim 2017  '!I70</f>
        <v>23.578200000000002</v>
      </c>
      <c r="J328" s="398"/>
    </row>
    <row r="329" spans="1:10">
      <c r="A329" s="719" t="str">
        <f>'3eme trim 2017  '!A71</f>
        <v>09.2017</v>
      </c>
      <c r="B329" s="720">
        <f>'3eme trim 2017  '!B71</f>
        <v>957574</v>
      </c>
      <c r="C329" s="723"/>
      <c r="D329" s="724" t="str">
        <f>'3eme trim 2017  '!D71</f>
        <v>FOCUS</v>
      </c>
      <c r="E329" s="724"/>
      <c r="F329" s="717">
        <f>'3eme trim 2017  '!F71</f>
        <v>0</v>
      </c>
      <c r="G329" s="724">
        <f>'3eme trim 2017  '!G71</f>
        <v>2041</v>
      </c>
      <c r="H329" s="725"/>
      <c r="I329" s="346">
        <f>'3eme trim 2017  '!I71</f>
        <v>802.81431274454997</v>
      </c>
      <c r="J329" s="398"/>
    </row>
    <row r="330" spans="1:10">
      <c r="A330" s="726" t="str">
        <f>'3eme trim 2017  '!A50</f>
        <v>08.2017</v>
      </c>
      <c r="B330" s="596">
        <f>'3eme trim 2017  '!B50</f>
        <v>932605</v>
      </c>
      <c r="C330" s="697"/>
      <c r="D330" s="724" t="str">
        <f>'3eme trim 2017  '!D50</f>
        <v>HORIZONT60invest</v>
      </c>
      <c r="E330" s="699"/>
      <c r="F330" s="717">
        <f>'3eme trim 2017  '!F50</f>
        <v>0</v>
      </c>
      <c r="G330" s="699">
        <f>'3eme trim 2017  '!G50</f>
        <v>2056</v>
      </c>
      <c r="H330" s="712"/>
      <c r="I330" s="143">
        <f>'3eme trim 2017  '!I50</f>
        <v>393.12</v>
      </c>
      <c r="J330" s="398" t="s">
        <v>524</v>
      </c>
    </row>
    <row r="331" spans="1:10" ht="18.75">
      <c r="A331" s="633" t="str">
        <f>'4eme trim 2017  '!A84</f>
        <v>12.2017</v>
      </c>
      <c r="B331" s="593">
        <f>'4eme trim 2017  '!B84</f>
        <v>976480</v>
      </c>
      <c r="C331" s="696"/>
      <c r="D331" s="634" t="str">
        <f>'4eme trim 2017  '!D84</f>
        <v>HORIZONT60Capi</v>
      </c>
      <c r="E331" s="635"/>
      <c r="F331" s="636">
        <f>'4eme trim 2017  '!F84</f>
        <v>0</v>
      </c>
      <c r="G331" s="637">
        <f>'4eme trim 2017  '!G84</f>
        <v>2028</v>
      </c>
      <c r="H331" s="638"/>
      <c r="I331" s="143">
        <f>'4eme trim 2017  '!I84</f>
        <v>422.38944000000004</v>
      </c>
      <c r="J331" s="398" t="s">
        <v>524</v>
      </c>
    </row>
    <row r="332" spans="1:10" ht="18.75">
      <c r="A332" s="425" t="str">
        <f>'3ème trim 2016'!A50</f>
        <v>09.2016</v>
      </c>
      <c r="B332" s="426">
        <f>'3ème trim 2016'!B50</f>
        <v>367848</v>
      </c>
      <c r="C332" s="652"/>
      <c r="D332" s="338" t="str">
        <f>'3ème trim 2016'!D50</f>
        <v>MOBILE</v>
      </c>
      <c r="E332" s="362"/>
      <c r="F332" s="237">
        <f>'3ème trim 2016'!F50</f>
        <v>0</v>
      </c>
      <c r="G332" s="25">
        <f>'3ème trim 2016'!G50</f>
        <v>0</v>
      </c>
      <c r="H332" s="345"/>
      <c r="I332" s="143">
        <f>'3ème trim 2016'!I50</f>
        <v>12.2826</v>
      </c>
      <c r="J332" s="398"/>
    </row>
    <row r="333" spans="1:10" ht="18.75">
      <c r="A333" s="425" t="str">
        <f>'2e trim 2016'!A50</f>
        <v>06.2016</v>
      </c>
      <c r="B333" s="426">
        <f>'2e trim 2016'!B50</f>
        <v>690308</v>
      </c>
      <c r="C333" s="652"/>
      <c r="D333" s="338" t="str">
        <f>'2e trim 2016'!D50</f>
        <v>MOBILE</v>
      </c>
      <c r="E333" s="362"/>
      <c r="F333" s="237">
        <f>'2e trim 2016'!F50</f>
        <v>0</v>
      </c>
      <c r="G333" s="25">
        <f>'2e trim 2016'!G50</f>
        <v>0</v>
      </c>
      <c r="H333" s="345"/>
      <c r="I333" s="143">
        <f>'2e trim 2016'!I50</f>
        <v>57.788800000000002</v>
      </c>
      <c r="J333" s="398"/>
    </row>
    <row r="334" spans="1:10" ht="18.75">
      <c r="A334" s="425" t="str">
        <f>'1er trim 2017'!A48</f>
        <v>02.2017</v>
      </c>
      <c r="B334" s="426">
        <f>'1er trim 2017'!B48</f>
        <v>672695</v>
      </c>
      <c r="C334" s="652"/>
      <c r="D334" s="338" t="str">
        <f>'1er trim 2017'!D48</f>
        <v>MOBILE</v>
      </c>
      <c r="E334" s="362"/>
      <c r="F334" s="237">
        <f>'1er trim 2017'!F48</f>
        <v>0</v>
      </c>
      <c r="G334" s="32">
        <f>'1er trim 2017'!G48</f>
        <v>0</v>
      </c>
      <c r="H334" s="345"/>
      <c r="I334" s="345">
        <f>'1er trim 2017'!I48</f>
        <v>82.084400000000002</v>
      </c>
      <c r="J334" s="398"/>
    </row>
    <row r="335" spans="1:10" ht="18.75">
      <c r="A335" s="425" t="str">
        <f>'2e trim 2016'!A53</f>
        <v>06.2016</v>
      </c>
      <c r="B335" s="426">
        <f>'2e trim 2016'!B53</f>
        <v>607388</v>
      </c>
      <c r="C335" s="657"/>
      <c r="D335" s="338" t="str">
        <f>'2e trim 2016'!D53</f>
        <v>MOBILE</v>
      </c>
      <c r="E335" s="364"/>
      <c r="F335" s="237">
        <f>'2e trim 2016'!F53</f>
        <v>0</v>
      </c>
      <c r="G335" s="22">
        <f>'2e trim 2016'!G53</f>
        <v>0</v>
      </c>
      <c r="H335" s="143"/>
      <c r="I335" s="345">
        <f>'2e trim 2016'!I53</f>
        <v>114.32</v>
      </c>
      <c r="J335" s="398"/>
    </row>
    <row r="336" spans="1:10" ht="18.75">
      <c r="A336" s="425" t="str">
        <f>'2e trim 2016'!A54</f>
        <v>06.2016</v>
      </c>
      <c r="B336" s="426">
        <f>'2e trim 2016'!B54</f>
        <v>607388</v>
      </c>
      <c r="C336" s="657"/>
      <c r="D336" s="338" t="str">
        <f>'2e trim 2016'!D54</f>
        <v>MOBILE Tr.</v>
      </c>
      <c r="E336" s="362"/>
      <c r="F336" s="237">
        <f>'2e trim 2016'!F54</f>
        <v>0</v>
      </c>
      <c r="G336" s="25">
        <f>'2e trim 2016'!G54</f>
        <v>0</v>
      </c>
      <c r="H336" s="345"/>
      <c r="I336" s="345">
        <f>'2e trim 2016'!I54</f>
        <v>14.49</v>
      </c>
      <c r="J336" s="398"/>
    </row>
    <row r="337" spans="1:10" ht="18.75">
      <c r="A337" s="633" t="str">
        <f>'1er trim 2017'!A20</f>
        <v>01.2017</v>
      </c>
      <c r="B337" s="593">
        <f>'1er trim 2017'!B20</f>
        <v>597572</v>
      </c>
      <c r="C337" s="696"/>
      <c r="D337" s="634" t="str">
        <f>'1er trim 2017'!D20</f>
        <v>HORIZONT 60 INVEST</v>
      </c>
      <c r="E337" s="635"/>
      <c r="F337" s="636">
        <f>'1er trim 2017'!F20</f>
        <v>0</v>
      </c>
      <c r="G337" s="637">
        <f>'1er trim 2017'!G20</f>
        <v>2028</v>
      </c>
      <c r="H337" s="638"/>
      <c r="I337" s="143">
        <f>'1er trim 2017'!I20</f>
        <v>158.4</v>
      </c>
      <c r="J337" s="398"/>
    </row>
    <row r="338" spans="1:10" ht="18.75">
      <c r="A338" s="633" t="str">
        <f>'1er trim 2017'!A21</f>
        <v>01.2017</v>
      </c>
      <c r="B338" s="593">
        <f>'1er trim 2017'!B21</f>
        <v>597551</v>
      </c>
      <c r="C338" s="696"/>
      <c r="D338" s="634" t="str">
        <f>'1er trim 2017'!D21</f>
        <v>HORIZONT 60 INVEST</v>
      </c>
      <c r="E338" s="635"/>
      <c r="F338" s="636">
        <f>'1er trim 2017'!F21</f>
        <v>0</v>
      </c>
      <c r="G338" s="637">
        <f>'1er trim 2017'!G21</f>
        <v>2026</v>
      </c>
      <c r="H338" s="638"/>
      <c r="I338" s="143">
        <f>'1er trim 2017'!I21</f>
        <v>129.6</v>
      </c>
      <c r="J338" s="398"/>
    </row>
    <row r="339" spans="1:10" ht="18.75">
      <c r="A339" s="557" t="str">
        <f>'2eme trim 2017 '!A66</f>
        <v>06.2017</v>
      </c>
      <c r="B339" s="546">
        <f>'2eme trim 2017 '!B66</f>
        <v>583445</v>
      </c>
      <c r="C339" s="663"/>
      <c r="D339" s="547" t="str">
        <f>'2eme trim 2017 '!D66</f>
        <v>MEDICIS</v>
      </c>
      <c r="E339" s="548"/>
      <c r="F339" s="549">
        <f>'2eme trim 2017 '!F66</f>
        <v>0</v>
      </c>
      <c r="G339" s="550">
        <f>'2eme trim 2017 '!G66</f>
        <v>0</v>
      </c>
      <c r="H339" s="551"/>
      <c r="I339" s="143">
        <f>'2eme trim 2017 '!I66</f>
        <v>184.86299999999997</v>
      </c>
      <c r="J339" s="398" t="s">
        <v>640</v>
      </c>
    </row>
    <row r="340" spans="1:10" ht="18.75">
      <c r="A340" s="557" t="str">
        <f>'3ème trim 2016'!A47</f>
        <v>09.2016</v>
      </c>
      <c r="B340" s="546">
        <f>'3ème trim 2016'!B47</f>
        <v>583445</v>
      </c>
      <c r="C340" s="665"/>
      <c r="D340" s="547" t="str">
        <f>'3ème trim 2016'!D47</f>
        <v>SANTE</v>
      </c>
      <c r="E340" s="572"/>
      <c r="F340" s="549">
        <f>'3ème trim 2016'!F47</f>
        <v>0</v>
      </c>
      <c r="G340" s="574">
        <f>'3ème trim 2016'!G47</f>
        <v>0</v>
      </c>
      <c r="H340" s="701"/>
      <c r="I340" s="143">
        <f>'3ème trim 2016'!I47</f>
        <v>233.87700000000001</v>
      </c>
      <c r="J340" s="398" t="s">
        <v>640</v>
      </c>
    </row>
    <row r="341" spans="1:10" ht="18.75">
      <c r="A341" s="425" t="str">
        <f>'4ème trim 2016'!A21</f>
        <v>11.2016</v>
      </c>
      <c r="B341" s="426">
        <f>'4ème trim 2016'!B21</f>
        <v>570348</v>
      </c>
      <c r="C341" s="652"/>
      <c r="D341" s="338" t="str">
        <f>'4ème trim 2016'!D21</f>
        <v>MOBILE 2007</v>
      </c>
      <c r="E341" s="362"/>
      <c r="F341" s="237">
        <f>'4ème trim 2016'!F21</f>
        <v>0</v>
      </c>
      <c r="G341" s="25">
        <f>'4ème trim 2016'!G21</f>
        <v>0</v>
      </c>
      <c r="H341" s="345"/>
      <c r="I341" s="143">
        <f>'4ème trim 2016'!I21</f>
        <v>116.488</v>
      </c>
      <c r="J341" s="398"/>
    </row>
    <row r="342" spans="1:10" ht="18.75">
      <c r="A342" s="425" t="str">
        <f>'3ème trim 2016'!A38</f>
        <v>08.2016</v>
      </c>
      <c r="B342" s="426">
        <f>'3ème trim 2016'!B38</f>
        <v>863855</v>
      </c>
      <c r="C342" s="652"/>
      <c r="D342" s="338" t="str">
        <f>'3ème trim 2016'!D38</f>
        <v>TR MOBILE</v>
      </c>
      <c r="E342" s="362"/>
      <c r="F342" s="237" t="str">
        <f>'3ème trim 2016'!F38</f>
        <v>X</v>
      </c>
      <c r="G342" s="25">
        <f>'3ème trim 2016'!G38</f>
        <v>0</v>
      </c>
      <c r="H342" s="345"/>
      <c r="I342" s="143">
        <f>'3ème trim 2016'!I38</f>
        <v>35.359250000000003</v>
      </c>
      <c r="J342" s="398"/>
    </row>
    <row r="343" spans="1:10" ht="18.75">
      <c r="A343" s="425" t="str">
        <f>'3ème trim 2016'!A39</f>
        <v>08.2016</v>
      </c>
      <c r="B343" s="426">
        <f>'3ème trim 2016'!B39</f>
        <v>863855</v>
      </c>
      <c r="C343" s="657"/>
      <c r="D343" s="338" t="str">
        <f>'3ème trim 2016'!D39</f>
        <v xml:space="preserve">REEBOU FAMILY </v>
      </c>
      <c r="E343" s="362"/>
      <c r="F343" s="237">
        <f>'3ème trim 2016'!F39</f>
        <v>0</v>
      </c>
      <c r="G343" s="25">
        <f>'3ème trim 2016'!G39</f>
        <v>0</v>
      </c>
      <c r="H343" s="143"/>
      <c r="I343" s="143">
        <f>'3ème trim 2016'!I39</f>
        <v>19.172999999999998</v>
      </c>
      <c r="J343" s="398"/>
    </row>
    <row r="344" spans="1:10" ht="18.75">
      <c r="A344" s="425" t="str">
        <f>'3ème trim 2016'!A40</f>
        <v>08.2016</v>
      </c>
      <c r="B344" s="426">
        <f>'3ème trim 2016'!B40</f>
        <v>863855</v>
      </c>
      <c r="C344" s="657"/>
      <c r="D344" s="338" t="str">
        <f>'3ème trim 2016'!D40</f>
        <v>AXI Tr</v>
      </c>
      <c r="E344" s="360"/>
      <c r="F344" s="237">
        <f>'3ème trim 2016'!F40</f>
        <v>0</v>
      </c>
      <c r="G344" s="22">
        <f>'3ème trim 2016'!G40</f>
        <v>0</v>
      </c>
      <c r="H344" s="140"/>
      <c r="I344" s="143">
        <f>'3ème trim 2016'!I40</f>
        <v>10.5336</v>
      </c>
      <c r="J344" s="398"/>
    </row>
    <row r="345" spans="1:10" ht="18.75">
      <c r="A345" s="425" t="str">
        <f>'2e trim 2016'!A40</f>
        <v>05.2016</v>
      </c>
      <c r="B345" s="426">
        <f>'2e trim 2016'!B40</f>
        <v>882269</v>
      </c>
      <c r="C345" s="652"/>
      <c r="D345" s="338" t="str">
        <f>'2e trim 2016'!D40</f>
        <v>REEBOU FAMILY</v>
      </c>
      <c r="E345" s="362"/>
      <c r="F345" s="237">
        <f>'2e trim 2016'!F40</f>
        <v>0</v>
      </c>
      <c r="G345" s="32">
        <f>'2e trim 2016'!G40</f>
        <v>0</v>
      </c>
      <c r="H345" s="345"/>
      <c r="I345" s="345">
        <f>'2e trim 2016'!I40</f>
        <v>36.656400000000005</v>
      </c>
      <c r="J345" s="398"/>
    </row>
    <row r="346" spans="1:10" ht="18.75">
      <c r="A346" s="425" t="str">
        <f>'2e trim 2016'!A41</f>
        <v>05.2016</v>
      </c>
      <c r="B346" s="426">
        <f>'2e trim 2016'!B41</f>
        <v>882269</v>
      </c>
      <c r="C346" s="657"/>
      <c r="D346" s="338" t="str">
        <f>'2e trim 2016'!D41</f>
        <v>REEBOU PACK</v>
      </c>
      <c r="E346" s="360"/>
      <c r="F346" s="237">
        <f>'2e trim 2016'!F41</f>
        <v>0</v>
      </c>
      <c r="G346" s="22">
        <f>'2e trim 2016'!G41</f>
        <v>0</v>
      </c>
      <c r="H346" s="143"/>
      <c r="I346" s="345">
        <f>'2e trim 2016'!I41</f>
        <v>16.631999999999998</v>
      </c>
      <c r="J346" s="398"/>
    </row>
    <row r="347" spans="1:10" ht="18.75">
      <c r="A347" s="425" t="str">
        <f>'1er Trimestre 2018'!A13</f>
        <v>01.2018</v>
      </c>
      <c r="B347" s="559">
        <f>'1er Trimestre 2018'!B13</f>
        <v>978168</v>
      </c>
      <c r="C347" s="652"/>
      <c r="D347" s="338" t="str">
        <f>'1er Trimestre 2018'!D13</f>
        <v>HORIZONT60Invest</v>
      </c>
      <c r="E347" s="362"/>
      <c r="F347" s="237">
        <f>'1er Trimestre 2018'!F13</f>
        <v>0</v>
      </c>
      <c r="G347" s="25">
        <f>'1er Trimestre 2018'!G13</f>
        <v>2030</v>
      </c>
      <c r="H347" s="345"/>
      <c r="I347" s="143">
        <f>'1er Trimestre 2018'!I13</f>
        <v>384</v>
      </c>
      <c r="J347" s="398"/>
    </row>
    <row r="348" spans="1:10" ht="18.75">
      <c r="A348" s="557" t="str">
        <f>'4eme trim 2017  '!A85</f>
        <v>12.2017</v>
      </c>
      <c r="B348" s="546">
        <f>'4eme trim 2017  '!B85</f>
        <v>793853</v>
      </c>
      <c r="C348" s="663"/>
      <c r="D348" s="547" t="str">
        <f>'4eme trim 2017  '!D85</f>
        <v>MEDICIS</v>
      </c>
      <c r="E348" s="548"/>
      <c r="F348" s="549">
        <f>'4eme trim 2017  '!F85</f>
        <v>0</v>
      </c>
      <c r="G348" s="550">
        <f>'4eme trim 2017  '!G85</f>
        <v>0</v>
      </c>
      <c r="H348" s="551"/>
      <c r="I348" s="143">
        <f>'4eme trim 2017  '!I85</f>
        <v>25.389000000000003</v>
      </c>
      <c r="J348" s="398" t="s">
        <v>640</v>
      </c>
    </row>
    <row r="349" spans="1:10" ht="18.75">
      <c r="A349" s="557" t="str">
        <f>'2e trim 2016'!A59</f>
        <v>06.2016</v>
      </c>
      <c r="B349" s="546">
        <f>'2e trim 2016'!B59</f>
        <v>793853</v>
      </c>
      <c r="C349" s="663"/>
      <c r="D349" s="547" t="str">
        <f>'2e trim 2016'!D59</f>
        <v>SANTE</v>
      </c>
      <c r="E349" s="548"/>
      <c r="F349" s="549">
        <f>'2e trim 2016'!F59</f>
        <v>0</v>
      </c>
      <c r="G349" s="550">
        <f>'2e trim 2016'!G59</f>
        <v>0</v>
      </c>
      <c r="H349" s="551"/>
      <c r="I349" s="143">
        <f>'2e trim 2016'!I59</f>
        <v>116.55</v>
      </c>
      <c r="J349" s="751" t="s">
        <v>660</v>
      </c>
    </row>
    <row r="350" spans="1:10" ht="18.75">
      <c r="A350" s="633" t="str">
        <f>'4ème trim 2016'!A73</f>
        <v>12.2016</v>
      </c>
      <c r="B350" s="593">
        <f>'4ème trim 2016'!B73</f>
        <v>614914</v>
      </c>
      <c r="C350" s="696"/>
      <c r="D350" s="634" t="str">
        <f>'4ème trim 2016'!D73</f>
        <v>FOCUS INVEST.</v>
      </c>
      <c r="E350" s="635"/>
      <c r="F350" s="636">
        <f>'4ème trim 2016'!F73</f>
        <v>0</v>
      </c>
      <c r="G350" s="637">
        <f>'4ème trim 2016'!G73</f>
        <v>2037</v>
      </c>
      <c r="H350" s="638"/>
      <c r="I350" s="143">
        <f>'4ème trim 2016'!I73</f>
        <v>11.386799999999999</v>
      </c>
      <c r="J350" s="398"/>
    </row>
    <row r="351" spans="1:10" ht="18.75">
      <c r="A351" s="425" t="str">
        <f>'3eme trim 2017  '!A74</f>
        <v>09.2017</v>
      </c>
      <c r="B351" s="426">
        <f>'3eme trim 2017  '!B74</f>
        <v>644354</v>
      </c>
      <c r="C351" s="652"/>
      <c r="D351" s="338" t="str">
        <f>'3eme trim 2017  '!D74</f>
        <v>REEBOU Family</v>
      </c>
      <c r="E351" s="362"/>
      <c r="F351" s="237">
        <f>'3eme trim 2017  '!F74</f>
        <v>0</v>
      </c>
      <c r="G351" s="25">
        <f>'3eme trim 2017  '!G74</f>
        <v>0</v>
      </c>
      <c r="H351" s="345"/>
      <c r="I351" s="143">
        <f>'3eme trim 2017  '!I74</f>
        <v>22.6296</v>
      </c>
      <c r="J351" s="398"/>
    </row>
    <row r="352" spans="1:10" ht="18.75">
      <c r="A352" s="425" t="str">
        <f>'3eme trim 2017  '!A75</f>
        <v>09.2017</v>
      </c>
      <c r="B352" s="426">
        <f>'3eme trim 2017  '!B75</f>
        <v>644354</v>
      </c>
      <c r="C352" s="652"/>
      <c r="D352" s="338" t="str">
        <f>'3eme trim 2017  '!D75</f>
        <v>REEBOU Pack</v>
      </c>
      <c r="E352" s="362"/>
      <c r="F352" s="237">
        <f>'3eme trim 2017  '!F75</f>
        <v>0</v>
      </c>
      <c r="G352" s="25">
        <f>'3eme trim 2017  '!G75</f>
        <v>0</v>
      </c>
      <c r="H352" s="345"/>
      <c r="I352" s="143">
        <f>'3eme trim 2017  '!I75</f>
        <v>16.968</v>
      </c>
      <c r="J352" s="398"/>
    </row>
    <row r="353" spans="1:10" ht="18.75">
      <c r="A353" s="425" t="str">
        <f>'3eme trim 2017  '!A76</f>
        <v>09.2017</v>
      </c>
      <c r="B353" s="426">
        <f>'3eme trim 2017  '!B76</f>
        <v>228411</v>
      </c>
      <c r="C353" s="652"/>
      <c r="D353" s="338" t="str">
        <f>'3eme trim 2017  '!D76</f>
        <v>REEBOU Family</v>
      </c>
      <c r="E353" s="362"/>
      <c r="F353" s="237" t="str">
        <f>'3eme trim 2017  '!F76</f>
        <v>X</v>
      </c>
      <c r="G353" s="25">
        <f>'3eme trim 2017  '!G76</f>
        <v>0</v>
      </c>
      <c r="H353" s="345"/>
      <c r="I353" s="143">
        <f>'3eme trim 2017  '!I76</f>
        <v>30.325800000000001</v>
      </c>
      <c r="J353" s="398"/>
    </row>
    <row r="354" spans="1:10" ht="18.75">
      <c r="A354" s="425" t="str">
        <f>'3ème trim 2016'!A48</f>
        <v>09.2016</v>
      </c>
      <c r="B354" s="426">
        <f>'3ème trim 2016'!B48</f>
        <v>228633</v>
      </c>
      <c r="C354" s="652"/>
      <c r="D354" s="625" t="str">
        <f>'3ème trim 2016'!D48</f>
        <v>BSH</v>
      </c>
      <c r="E354" s="362"/>
      <c r="F354" s="237">
        <f>'3ème trim 2016'!F48</f>
        <v>0</v>
      </c>
      <c r="G354" s="25">
        <f>'3ème trim 2016'!G48</f>
        <v>0</v>
      </c>
      <c r="H354" s="345"/>
      <c r="I354" s="143">
        <f>'3ème trim 2016'!I48</f>
        <v>277.2</v>
      </c>
      <c r="J354" s="398"/>
    </row>
    <row r="355" spans="1:10" ht="18.75">
      <c r="A355" s="633" t="str">
        <f>'1er Trimestre 2018'!A40</f>
        <v>02.2018</v>
      </c>
      <c r="B355" s="593">
        <f>'1er Trimestre 2018'!B40</f>
        <v>259955</v>
      </c>
      <c r="C355" s="696"/>
      <c r="D355" s="634" t="str">
        <f>'1er Trimestre 2018'!D40</f>
        <v>MEDICIS</v>
      </c>
      <c r="E355" s="635"/>
      <c r="F355" s="636">
        <f>'1er Trimestre 2018'!F40</f>
        <v>0</v>
      </c>
      <c r="G355" s="637">
        <f>'1er Trimestre 2018'!G40</f>
        <v>0</v>
      </c>
      <c r="H355" s="638"/>
      <c r="I355" s="564">
        <f>'1er Trimestre 2018'!I40</f>
        <v>21.157500000000002</v>
      </c>
      <c r="J355" s="648"/>
    </row>
    <row r="356" spans="1:10" ht="18.75">
      <c r="A356" s="633" t="str">
        <f>'4eme trim 2017  '!A77</f>
        <v>12.2017</v>
      </c>
      <c r="B356" s="593">
        <f>'4eme trim 2017  '!B77</f>
        <v>259955</v>
      </c>
      <c r="C356" s="696"/>
      <c r="D356" s="634" t="str">
        <f>'4eme trim 2017  '!D77</f>
        <v>MEDICIS</v>
      </c>
      <c r="E356" s="635"/>
      <c r="F356" s="636">
        <f>'4eme trim 2017  '!F77</f>
        <v>0</v>
      </c>
      <c r="G356" s="637">
        <f>'4eme trim 2017  '!G77</f>
        <v>0</v>
      </c>
      <c r="H356" s="712"/>
      <c r="I356" s="564">
        <f>'4eme trim 2017  '!I77</f>
        <v>126.60899999999998</v>
      </c>
      <c r="J356" s="648"/>
    </row>
    <row r="357" spans="1:10" ht="18.75">
      <c r="A357" s="425" t="str">
        <f>'2eme trim 2017 '!A34</f>
        <v>05.2017</v>
      </c>
      <c r="B357" s="426">
        <f>'2eme trim 2017 '!B34</f>
        <v>751934</v>
      </c>
      <c r="C357" s="652"/>
      <c r="D357" s="338" t="str">
        <f>'2eme trim 2017 '!D34</f>
        <v>MOBILE</v>
      </c>
      <c r="E357" s="362"/>
      <c r="F357" s="237">
        <f>'2eme trim 2017 '!F34</f>
        <v>0</v>
      </c>
      <c r="G357" s="25">
        <f>'2eme trim 2017 '!G34</f>
        <v>0</v>
      </c>
      <c r="H357" s="345"/>
      <c r="I357" s="143">
        <f>'2eme trim 2017 '!I34</f>
        <v>67.312299999999993</v>
      </c>
      <c r="J357" s="398"/>
    </row>
    <row r="358" spans="1:10" ht="18.75">
      <c r="A358" s="425" t="str">
        <f>'1er Trimestre 2018'!A32</f>
        <v>02.2018</v>
      </c>
      <c r="B358" s="426">
        <f>'1er Trimestre 2018'!B32</f>
        <v>982792</v>
      </c>
      <c r="C358" s="652"/>
      <c r="D358" s="338" t="str">
        <f>'1er Trimestre 2018'!D32</f>
        <v>HORIZONT60Invest</v>
      </c>
      <c r="E358" s="362"/>
      <c r="F358" s="237">
        <f>'1er Trimestre 2018'!F32</f>
        <v>0</v>
      </c>
      <c r="G358" s="25">
        <f>'1er Trimestre 2018'!G32</f>
        <v>2033</v>
      </c>
      <c r="H358" s="345"/>
      <c r="I358" s="143">
        <f>'1er Trimestre 2018'!I32</f>
        <v>478.8</v>
      </c>
      <c r="J358" s="398"/>
    </row>
    <row r="359" spans="1:10" ht="18.75">
      <c r="A359" s="425" t="str">
        <f>'4eme trim 2017  '!A87</f>
        <v>12.2017</v>
      </c>
      <c r="B359" s="426">
        <f>'4eme trim 2017  '!B87</f>
        <v>974377</v>
      </c>
      <c r="C359" s="652"/>
      <c r="D359" s="338" t="str">
        <f>'4eme trim 2017  '!D87</f>
        <v>REEBOU Family</v>
      </c>
      <c r="E359" s="362"/>
      <c r="F359" s="237">
        <f>'4eme trim 2017  '!F87</f>
        <v>0</v>
      </c>
      <c r="G359" s="25">
        <f>'4eme trim 2017  '!G87</f>
        <v>0</v>
      </c>
      <c r="H359" s="345"/>
      <c r="I359" s="143">
        <f>'4eme trim 2017  '!I87</f>
        <v>20.22</v>
      </c>
      <c r="J359" s="398"/>
    </row>
    <row r="360" spans="1:10" ht="18.75">
      <c r="A360" s="425" t="str">
        <f>'2e trim 2016'!A63</f>
        <v>06.2016</v>
      </c>
      <c r="B360" s="426">
        <f>'2e trim 2016'!B63</f>
        <v>294538</v>
      </c>
      <c r="C360" s="652"/>
      <c r="D360" s="338" t="str">
        <f>'2e trim 2016'!D63</f>
        <v>MOBILE</v>
      </c>
      <c r="E360" s="362"/>
      <c r="F360" s="237">
        <f>'2e trim 2016'!F63</f>
        <v>0</v>
      </c>
      <c r="G360" s="25">
        <f>'2e trim 2016'!G63</f>
        <v>0</v>
      </c>
      <c r="H360" s="345"/>
      <c r="I360" s="345">
        <f>'2e trim 2016'!I63</f>
        <v>70.400000000000006</v>
      </c>
      <c r="J360" s="398"/>
    </row>
    <row r="361" spans="1:10" ht="18.75">
      <c r="A361" s="633" t="str">
        <f>'1er Trimestre 2018'!A20</f>
        <v>01.2018</v>
      </c>
      <c r="B361" s="593">
        <f>'1er Trimestre 2018'!B20</f>
        <v>976301</v>
      </c>
      <c r="C361" s="696"/>
      <c r="D361" s="634" t="str">
        <f>'1er Trimestre 2018'!D20</f>
        <v>MEDICIS</v>
      </c>
      <c r="E361" s="635"/>
      <c r="F361" s="636">
        <f>'1er Trimestre 2018'!F20</f>
        <v>0</v>
      </c>
      <c r="G361" s="637">
        <f>'1er Trimestre 2018'!G20</f>
        <v>0</v>
      </c>
      <c r="H361" s="638"/>
      <c r="I361" s="143">
        <f>'1er Trimestre 2018'!I20</f>
        <v>112.5425</v>
      </c>
      <c r="J361" s="398"/>
    </row>
    <row r="362" spans="1:10" ht="18.75">
      <c r="A362" s="633" t="str">
        <f>'4ème trim 2016'!A71</f>
        <v>12.2016</v>
      </c>
      <c r="B362" s="593">
        <f>'4ème trim 2016'!B71</f>
        <v>498511</v>
      </c>
      <c r="C362" s="697"/>
      <c r="D362" s="634" t="str">
        <f>'4ème trim 2016'!D71</f>
        <v>HORIZONT 60 CAPI</v>
      </c>
      <c r="E362" s="635"/>
      <c r="F362" s="636">
        <f>'4ème trim 2016'!F71</f>
        <v>0</v>
      </c>
      <c r="G362" s="637">
        <f>'4ème trim 2016'!G71</f>
        <v>2041</v>
      </c>
      <c r="H362" s="712"/>
      <c r="I362" s="143">
        <f>'4ème trim 2016'!I71</f>
        <v>450</v>
      </c>
      <c r="J362" s="398"/>
    </row>
    <row r="363" spans="1:10" ht="18.75">
      <c r="A363" s="425" t="str">
        <f>'4ème trim 2016'!A60</f>
        <v>12.2016</v>
      </c>
      <c r="B363" s="426">
        <f>'4ème trim 2016'!B60</f>
        <v>294523</v>
      </c>
      <c r="C363" s="652"/>
      <c r="D363" s="338" t="str">
        <f>'4ème trim 2016'!D60</f>
        <v>REEBOU FAMILY</v>
      </c>
      <c r="E363" s="362"/>
      <c r="F363" s="237">
        <f>'4ème trim 2016'!F60</f>
        <v>0</v>
      </c>
      <c r="G363" s="25">
        <f>'4ème trim 2016'!G60</f>
        <v>0</v>
      </c>
      <c r="H363" s="345"/>
      <c r="I363" s="143">
        <f>'4ème trim 2016'!I60</f>
        <v>23.808</v>
      </c>
      <c r="J363" s="398"/>
    </row>
    <row r="364" spans="1:10" ht="18.75">
      <c r="A364" s="425" t="str">
        <f>'4ème trim 2016'!A61</f>
        <v>12.2016</v>
      </c>
      <c r="B364" s="426">
        <f>'4ème trim 2016'!B61</f>
        <v>294523</v>
      </c>
      <c r="C364" s="652"/>
      <c r="D364" s="338" t="str">
        <f>'4ème trim 2016'!D61</f>
        <v>PACK REEBOU</v>
      </c>
      <c r="E364" s="362"/>
      <c r="F364" s="237">
        <f>'4ème trim 2016'!F61</f>
        <v>0</v>
      </c>
      <c r="G364" s="25">
        <f>'4ème trim 2016'!G61</f>
        <v>0</v>
      </c>
      <c r="H364" s="345"/>
      <c r="I364" s="143">
        <f>'4ème trim 2016'!I61</f>
        <v>16.631999999999998</v>
      </c>
      <c r="J364" s="398"/>
    </row>
    <row r="365" spans="1:10" ht="18.75">
      <c r="A365" s="425" t="str">
        <f>'1er trim 2017'!A69</f>
        <v>03.2017</v>
      </c>
      <c r="B365" s="426">
        <f>'1er trim 2017'!B69</f>
        <v>792018</v>
      </c>
      <c r="C365" s="657"/>
      <c r="D365" s="338" t="str">
        <f>'1er trim 2017'!D69</f>
        <v>REEBOU FAMILY</v>
      </c>
      <c r="E365" s="360"/>
      <c r="F365" s="237">
        <f>'1er trim 2017'!F69</f>
        <v>0</v>
      </c>
      <c r="G365" s="22">
        <f>'1er trim 2017'!G69</f>
        <v>0</v>
      </c>
      <c r="H365" s="140"/>
      <c r="I365" s="345">
        <f>'1er trim 2017'!I69</f>
        <v>4.2395999999999994</v>
      </c>
      <c r="J365" s="398"/>
    </row>
    <row r="366" spans="1:10" ht="18.75">
      <c r="A366" s="633" t="str">
        <f>'4ème trim 2016'!A72</f>
        <v>12.2016</v>
      </c>
      <c r="B366" s="593">
        <f>'4ème trim 2016'!B72</f>
        <v>792018</v>
      </c>
      <c r="C366" s="697"/>
      <c r="D366" s="634" t="str">
        <f>'4ème trim 2016'!D72</f>
        <v>SANTE</v>
      </c>
      <c r="E366" s="635"/>
      <c r="F366" s="636">
        <f>'4ème trim 2016'!F72</f>
        <v>0</v>
      </c>
      <c r="G366" s="637">
        <f>'4ème trim 2016'!G72</f>
        <v>0</v>
      </c>
      <c r="H366" s="712"/>
      <c r="I366" s="143">
        <f>'4ème trim 2016'!I72</f>
        <v>107.17174999999999</v>
      </c>
      <c r="J366" s="398"/>
    </row>
    <row r="367" spans="1:10" ht="18.75">
      <c r="A367" s="425" t="str">
        <f>'4ème trim 2016'!A40</f>
        <v>11.2016</v>
      </c>
      <c r="B367" s="426">
        <f>'4ème trim 2016'!B40</f>
        <v>766988</v>
      </c>
      <c r="C367" s="652"/>
      <c r="D367" s="338" t="str">
        <f>'4ème trim 2016'!D40</f>
        <v>MOBILE 2007</v>
      </c>
      <c r="E367" s="362"/>
      <c r="F367" s="237">
        <f>'4ème trim 2016'!F40</f>
        <v>0</v>
      </c>
      <c r="G367" s="25">
        <f>'4ème trim 2016'!G40</f>
        <v>0</v>
      </c>
      <c r="H367" s="345"/>
      <c r="I367" s="143">
        <f>'4ème trim 2016'!I40</f>
        <v>128.88640000000001</v>
      </c>
      <c r="J367" s="398"/>
    </row>
    <row r="368" spans="1:10" ht="18.75">
      <c r="A368" s="633" t="str">
        <f>'4ème trim 2016'!A41</f>
        <v>11.2016</v>
      </c>
      <c r="B368" s="593">
        <f>'4ème trim 2016'!B41</f>
        <v>766988</v>
      </c>
      <c r="C368" s="696"/>
      <c r="D368" s="634" t="str">
        <f>'4ème trim 2016'!D41</f>
        <v>SANTE</v>
      </c>
      <c r="E368" s="635"/>
      <c r="F368" s="636">
        <f>'4ème trim 2016'!F41</f>
        <v>0</v>
      </c>
      <c r="G368" s="637">
        <f>'4ème trim 2016'!G41</f>
        <v>0</v>
      </c>
      <c r="H368" s="638"/>
      <c r="I368" s="143">
        <f>'4ème trim 2016'!I41</f>
        <v>88.263000000000005</v>
      </c>
      <c r="J368" s="398"/>
    </row>
    <row r="369" spans="1:10" ht="18.75">
      <c r="A369" s="425" t="str">
        <f>'4ème trim 2016'!A42</f>
        <v>11.2016</v>
      </c>
      <c r="B369" s="426">
        <f>'4ème trim 2016'!B42</f>
        <v>233039</v>
      </c>
      <c r="C369" s="652"/>
      <c r="D369" s="338" t="str">
        <f>'4ème trim 2016'!D42</f>
        <v>MOBILE 2007</v>
      </c>
      <c r="E369" s="362"/>
      <c r="F369" s="237">
        <f>'4ème trim 2016'!F42</f>
        <v>0</v>
      </c>
      <c r="G369" s="25">
        <f>'4ème trim 2016'!G42</f>
        <v>0</v>
      </c>
      <c r="H369" s="345"/>
      <c r="I369" s="143">
        <f>'4ème trim 2016'!I42</f>
        <v>72.628799999999998</v>
      </c>
      <c r="J369" s="398"/>
    </row>
    <row r="370" spans="1:10" ht="18.75">
      <c r="A370" s="425" t="str">
        <f>'4ème trim 2016'!A43</f>
        <v>11.2016</v>
      </c>
      <c r="B370" s="426">
        <f>'4ème trim 2016'!B43</f>
        <v>233039</v>
      </c>
      <c r="C370" s="652"/>
      <c r="D370" s="338" t="str">
        <f>'4ème trim 2016'!D43</f>
        <v>MOBILE 2007</v>
      </c>
      <c r="E370" s="362"/>
      <c r="F370" s="237">
        <f>'4ème trim 2016'!F43</f>
        <v>0</v>
      </c>
      <c r="G370" s="25">
        <f>'4ème trim 2016'!G43</f>
        <v>0</v>
      </c>
      <c r="H370" s="345"/>
      <c r="I370" s="143">
        <f>'4ème trim 2016'!I43</f>
        <v>35.420999999999999</v>
      </c>
      <c r="J370" s="398"/>
    </row>
    <row r="371" spans="1:10" ht="18.75">
      <c r="A371" s="428" t="str">
        <f>'4ème trim 2016'!A44</f>
        <v>11.2016</v>
      </c>
      <c r="B371" s="530">
        <f>'4ème trim 2016'!B44</f>
        <v>233039</v>
      </c>
      <c r="C371" s="674"/>
      <c r="D371" s="338" t="str">
        <f>'4ème trim 2016'!D44</f>
        <v>MOBILE 2007</v>
      </c>
      <c r="E371" s="362"/>
      <c r="F371" s="237">
        <f>'4ème trim 2016'!F44</f>
        <v>0</v>
      </c>
      <c r="G371" s="25">
        <f>'4ème trim 2016'!G44</f>
        <v>0</v>
      </c>
      <c r="H371" s="345"/>
      <c r="I371" s="143">
        <f>'4ème trim 2016'!I44</f>
        <v>72.380300000000005</v>
      </c>
      <c r="J371" s="398"/>
    </row>
    <row r="372" spans="1:10" ht="18.75">
      <c r="A372" s="428" t="str">
        <f>'4ème trim 2016'!A45</f>
        <v>11.2016</v>
      </c>
      <c r="B372" s="530">
        <f>'4ème trim 2016'!B45</f>
        <v>233039</v>
      </c>
      <c r="C372" s="675"/>
      <c r="D372" s="533" t="str">
        <f>'4ème trim 2016'!D45</f>
        <v>P.J.</v>
      </c>
      <c r="E372" s="447"/>
      <c r="F372" s="448">
        <f>'4ème trim 2016'!F45</f>
        <v>0</v>
      </c>
      <c r="G372" s="106">
        <f>'4ème trim 2016'!G45</f>
        <v>0</v>
      </c>
      <c r="H372" s="449"/>
      <c r="I372" s="475">
        <f>'4ème trim 2016'!I45</f>
        <v>28.555000000000003</v>
      </c>
      <c r="J372" s="398"/>
    </row>
    <row r="373" spans="1:10" ht="18.75">
      <c r="A373" s="708" t="str">
        <f>'4ème trim 2016'!A46</f>
        <v>11.2016</v>
      </c>
      <c r="B373" s="599">
        <f>'4ème trim 2016'!B46</f>
        <v>233039</v>
      </c>
      <c r="C373" s="715"/>
      <c r="D373" s="634" t="str">
        <f>'4ème trim 2016'!D46</f>
        <v>SANTE</v>
      </c>
      <c r="E373" s="635"/>
      <c r="F373" s="636">
        <f>'4ème trim 2016'!F46</f>
        <v>0</v>
      </c>
      <c r="G373" s="637">
        <f>'4ème trim 2016'!G46</f>
        <v>0</v>
      </c>
      <c r="H373" s="638"/>
      <c r="I373" s="143">
        <f>'4ème trim 2016'!I46</f>
        <v>51.177</v>
      </c>
      <c r="J373" s="398"/>
    </row>
    <row r="374" spans="1:10" ht="18.75">
      <c r="A374" s="599" t="str">
        <f>'1er Trimestre 2018'!A15</f>
        <v>01.2018</v>
      </c>
      <c r="B374" s="599">
        <f>'1er Trimestre 2018'!B15</f>
        <v>842474</v>
      </c>
      <c r="C374" s="715"/>
      <c r="D374" s="634" t="str">
        <f>'1er Trimestre 2018'!D15</f>
        <v>MEDICIS</v>
      </c>
      <c r="E374" s="635"/>
      <c r="F374" s="636">
        <f>'1er Trimestre 2018'!F15</f>
        <v>0</v>
      </c>
      <c r="G374" s="637">
        <f>'1er Trimestre 2018'!G15</f>
        <v>0</v>
      </c>
      <c r="H374" s="638"/>
      <c r="I374" s="143">
        <f>'1er Trimestre 2018'!I15</f>
        <v>255.90249999999997</v>
      </c>
      <c r="J374" s="398"/>
    </row>
    <row r="375" spans="1:10" ht="18.75">
      <c r="A375" s="428" t="str">
        <f>'1er Trimestre 2018'!A16</f>
        <v>01.2018</v>
      </c>
      <c r="B375" s="530">
        <f>'1er Trimestre 2018'!B16</f>
        <v>842474</v>
      </c>
      <c r="C375" s="674"/>
      <c r="D375" s="338" t="str">
        <f>'1er Trimestre 2018'!D16</f>
        <v>MOBILE2016</v>
      </c>
      <c r="E375" s="362"/>
      <c r="F375" s="237">
        <f>'1er Trimestre 2018'!F16</f>
        <v>0</v>
      </c>
      <c r="G375" s="25">
        <f>'1er Trimestre 2018'!G16</f>
        <v>0</v>
      </c>
      <c r="H375" s="345"/>
      <c r="I375" s="143">
        <f>'1er Trimestre 2018'!I16</f>
        <v>78.88300000000001</v>
      </c>
      <c r="J375" s="398"/>
    </row>
    <row r="376" spans="1:10" ht="18.75">
      <c r="A376" s="428" t="str">
        <f>'1er Trimestre 2018'!A17</f>
        <v>01.2018</v>
      </c>
      <c r="B376" s="530">
        <f>'1er Trimestre 2018'!B17</f>
        <v>842474</v>
      </c>
      <c r="C376" s="674"/>
      <c r="D376" s="338" t="str">
        <f>'1er Trimestre 2018'!D17</f>
        <v>MOBILE2016</v>
      </c>
      <c r="E376" s="362"/>
      <c r="F376" s="237">
        <f>'1er Trimestre 2018'!F17</f>
        <v>0</v>
      </c>
      <c r="G376" s="25">
        <f>'1er Trimestre 2018'!G17</f>
        <v>0</v>
      </c>
      <c r="H376" s="345"/>
      <c r="I376" s="143">
        <f>'1er Trimestre 2018'!I17</f>
        <v>91.067900000000009</v>
      </c>
      <c r="J376" s="398"/>
    </row>
    <row r="377" spans="1:10" ht="18.75">
      <c r="A377" s="428" t="str">
        <f>'1er Trimestre 2018'!A18</f>
        <v>01.2018</v>
      </c>
      <c r="B377" s="530">
        <f>'1er Trimestre 2018'!B18</f>
        <v>842474</v>
      </c>
      <c r="C377" s="674"/>
      <c r="D377" s="338" t="str">
        <f>'1er Trimestre 2018'!D18</f>
        <v>REEBOU Family</v>
      </c>
      <c r="E377" s="362"/>
      <c r="F377" s="237">
        <f>'1er Trimestre 2018'!F18</f>
        <v>0</v>
      </c>
      <c r="G377" s="25">
        <f>'1er Trimestre 2018'!G18</f>
        <v>0</v>
      </c>
      <c r="H377" s="345"/>
      <c r="I377" s="143">
        <f>'1er Trimestre 2018'!I18</f>
        <v>41.091200000000001</v>
      </c>
      <c r="J377" s="398"/>
    </row>
    <row r="378" spans="1:10" ht="18.75">
      <c r="A378" s="428" t="str">
        <f>'1er Trimestre 2018'!A19</f>
        <v>01.2018</v>
      </c>
      <c r="B378" s="530">
        <f>'1er Trimestre 2018'!B19</f>
        <v>842474</v>
      </c>
      <c r="C378" s="674"/>
      <c r="D378" s="338" t="str">
        <f>'1er Trimestre 2018'!D19</f>
        <v>REEBOU Pack</v>
      </c>
      <c r="E378" s="362"/>
      <c r="F378" s="237">
        <f>'1er Trimestre 2018'!F19</f>
        <v>0</v>
      </c>
      <c r="G378" s="25">
        <f>'1er Trimestre 2018'!G19</f>
        <v>0</v>
      </c>
      <c r="H378" s="345"/>
      <c r="I378" s="143">
        <f>'1er Trimestre 2018'!I19</f>
        <v>9.1151999999999997</v>
      </c>
      <c r="J378" s="398"/>
    </row>
    <row r="379" spans="1:10" ht="18.75">
      <c r="A379" s="708" t="str">
        <f>'1er trim 2017'!A43</f>
        <v>02.2017</v>
      </c>
      <c r="B379" s="599">
        <f>'1er trim 2017'!B43</f>
        <v>397325</v>
      </c>
      <c r="C379" s="713"/>
      <c r="D379" s="634" t="str">
        <f>'1er trim 2017'!D43</f>
        <v>HORIZONT 60 INVEST</v>
      </c>
      <c r="E379" s="635"/>
      <c r="F379" s="636">
        <f>'1er trim 2017'!F43</f>
        <v>0</v>
      </c>
      <c r="G379" s="637">
        <f>'1er trim 2017'!G43</f>
        <v>2038</v>
      </c>
      <c r="H379" s="712"/>
      <c r="I379" s="345">
        <f>'1er trim 2017'!I43</f>
        <v>302.39999999999998</v>
      </c>
      <c r="J379" s="398"/>
    </row>
    <row r="380" spans="1:10" ht="18.75">
      <c r="A380" s="708" t="str">
        <f>'2e trim 2016'!A22</f>
        <v>04.2016</v>
      </c>
      <c r="B380" s="599">
        <f>'2e trim 2016'!B22</f>
        <v>604554</v>
      </c>
      <c r="C380" s="715"/>
      <c r="D380" s="634" t="str">
        <f>'2e trim 2016'!D22</f>
        <v>HORIZON 60 Invest</v>
      </c>
      <c r="E380" s="635"/>
      <c r="F380" s="636">
        <f>'2e trim 2016'!F22</f>
        <v>0</v>
      </c>
      <c r="G380" s="637">
        <f>'2e trim 2016'!G22</f>
        <v>2045</v>
      </c>
      <c r="H380" s="638"/>
      <c r="I380" s="143">
        <f>'2e trim 2016'!I22</f>
        <v>522</v>
      </c>
      <c r="J380" s="398"/>
    </row>
    <row r="381" spans="1:10" ht="18.75">
      <c r="A381" s="425" t="str">
        <f>'2eme trim 2017 '!A47</f>
        <v>05.2017</v>
      </c>
      <c r="B381" s="426">
        <f>'2eme trim 2017 '!B47</f>
        <v>851740</v>
      </c>
      <c r="C381" s="652"/>
      <c r="D381" s="338" t="str">
        <f>'2eme trim 2017 '!D47</f>
        <v>REEBOU FAMILY</v>
      </c>
      <c r="E381" s="362"/>
      <c r="F381" s="237">
        <f>'2eme trim 2017 '!F47</f>
        <v>0</v>
      </c>
      <c r="G381" s="25">
        <f>'2eme trim 2017 '!G47</f>
        <v>0</v>
      </c>
      <c r="H381" s="345"/>
      <c r="I381" s="143">
        <f>'2eme trim 2017 '!I47</f>
        <v>24.097200000000001</v>
      </c>
      <c r="J381" s="398"/>
    </row>
    <row r="382" spans="1:10" ht="18.75">
      <c r="A382" s="425" t="str">
        <f>'2eme trim 2017 '!A58</f>
        <v>06.2017</v>
      </c>
      <c r="B382" s="426">
        <f>'2eme trim 2017 '!B58</f>
        <v>546111</v>
      </c>
      <c r="C382" s="657"/>
      <c r="D382" s="338" t="str">
        <f>'2eme trim 2017 '!D58</f>
        <v>MOBILE</v>
      </c>
      <c r="E382" s="360"/>
      <c r="F382" s="237">
        <f>'2eme trim 2017 '!F58</f>
        <v>0</v>
      </c>
      <c r="G382" s="22">
        <f>'2eme trim 2017 '!G58</f>
        <v>0</v>
      </c>
      <c r="H382" s="140"/>
      <c r="I382" s="141">
        <f>'2eme trim 2017 '!I58</f>
        <v>121.1328</v>
      </c>
      <c r="J382" s="398"/>
    </row>
    <row r="383" spans="1:10" ht="18.75">
      <c r="A383" s="633" t="str">
        <f>'1er trim 2017'!A29</f>
        <v>01.2017</v>
      </c>
      <c r="B383" s="593">
        <f>'1er trim 2017'!B29</f>
        <v>756960</v>
      </c>
      <c r="C383" s="696"/>
      <c r="D383" s="634" t="str">
        <f>'1er trim 2017'!D29</f>
        <v>MEDICIS</v>
      </c>
      <c r="E383" s="635"/>
      <c r="F383" s="636">
        <f>'1er trim 2017'!F29</f>
        <v>0</v>
      </c>
      <c r="G383" s="637">
        <f>'1er trim 2017'!G29</f>
        <v>0</v>
      </c>
      <c r="H383" s="638"/>
      <c r="I383" s="143">
        <f>'1er trim 2017'!I29</f>
        <v>116.19300000000001</v>
      </c>
      <c r="J383" s="398"/>
    </row>
    <row r="384" spans="1:10" ht="18.75">
      <c r="A384" s="425" t="str">
        <f>'4eme trim 2017  '!A47</f>
        <v>10.2017</v>
      </c>
      <c r="B384" s="426">
        <f>'4eme trim 2017  '!B47</f>
        <v>348319</v>
      </c>
      <c r="C384" s="652"/>
      <c r="D384" s="338" t="str">
        <f>'4eme trim 2017  '!D47</f>
        <v>REEBOU Family</v>
      </c>
      <c r="E384" s="362"/>
      <c r="F384" s="237">
        <f>'4eme trim 2017  '!F47</f>
        <v>0</v>
      </c>
      <c r="G384" s="25">
        <f>'4eme trim 2017  '!G47</f>
        <v>0</v>
      </c>
      <c r="H384" s="345"/>
      <c r="I384" s="143">
        <f>'4eme trim 2017  '!I47</f>
        <v>18.3324</v>
      </c>
      <c r="J384" s="398"/>
    </row>
    <row r="385" spans="1:10">
      <c r="A385" s="527" t="str">
        <f>'3eme trim 2017  '!A57</f>
        <v>08.2017</v>
      </c>
      <c r="B385" s="528">
        <f>'3eme trim 2017  '!B57</f>
        <v>961947</v>
      </c>
      <c r="C385" s="670"/>
      <c r="D385" s="28" t="str">
        <f>'3eme trim 2017  '!D57</f>
        <v>MOBILE2016</v>
      </c>
      <c r="E385" s="25"/>
      <c r="F385" s="240">
        <f>'3eme trim 2017  '!F57</f>
        <v>0</v>
      </c>
      <c r="G385" s="25">
        <f>'3eme trim 2017  '!G57</f>
        <v>0</v>
      </c>
      <c r="H385" s="345"/>
      <c r="I385" s="345">
        <f>'3eme trim 2017  '!I57</f>
        <v>73.277000000000001</v>
      </c>
      <c r="J385" s="398"/>
    </row>
    <row r="386" spans="1:10" ht="18.75">
      <c r="A386" s="425" t="str">
        <f>'1er Trimestre 2018'!A33</f>
        <v>02.2018</v>
      </c>
      <c r="B386" s="426">
        <f>'1er Trimestre 2018'!B33</f>
        <v>979486</v>
      </c>
      <c r="C386" s="652"/>
      <c r="D386" s="338" t="str">
        <f>'1er Trimestre 2018'!D33</f>
        <v>REEBOU Family</v>
      </c>
      <c r="E386" s="362"/>
      <c r="F386" s="237">
        <f>'1er Trimestre 2018'!F33</f>
        <v>0</v>
      </c>
      <c r="G386" s="25">
        <f>'1er Trimestre 2018'!G33</f>
        <v>0</v>
      </c>
      <c r="H386" s="345"/>
      <c r="I386" s="143">
        <f>'1er Trimestre 2018'!I33</f>
        <v>12.6136</v>
      </c>
      <c r="J386" s="398"/>
    </row>
    <row r="387" spans="1:10" ht="18.75">
      <c r="A387" s="425" t="str">
        <f>'1er Trimestre 2018'!A34</f>
        <v>02.2018</v>
      </c>
      <c r="B387" s="426">
        <f>'1er Trimestre 2018'!B34</f>
        <v>979486</v>
      </c>
      <c r="C387" s="652"/>
      <c r="D387" s="338" t="str">
        <f>'1er Trimestre 2018'!D34</f>
        <v>MOBILE2016</v>
      </c>
      <c r="E387" s="362"/>
      <c r="F387" s="237">
        <f>'1er Trimestre 2018'!F34</f>
        <v>0</v>
      </c>
      <c r="G387" s="25">
        <f>'1er Trimestre 2018'!G34</f>
        <v>0</v>
      </c>
      <c r="H387" s="345"/>
      <c r="I387" s="143">
        <f>'1er Trimestre 2018'!I34</f>
        <v>100.03659999999999</v>
      </c>
      <c r="J387" s="398"/>
    </row>
    <row r="388" spans="1:10" ht="18.75">
      <c r="A388" s="425" t="str">
        <f>'2e trim 2016'!A18</f>
        <v>04.2016</v>
      </c>
      <c r="B388" s="426">
        <f>'2e trim 2016'!B18</f>
        <v>604541</v>
      </c>
      <c r="C388" s="652"/>
      <c r="D388" s="625" t="str">
        <f>'2e trim 2016'!D18</f>
        <v>BSH</v>
      </c>
      <c r="E388" s="362"/>
      <c r="F388" s="237">
        <f>'2e trim 2016'!F18</f>
        <v>0</v>
      </c>
      <c r="G388" s="25">
        <f>'2e trim 2016'!G18</f>
        <v>0</v>
      </c>
      <c r="H388" s="345"/>
      <c r="I388" s="143">
        <f>'2e trim 2016'!I18</f>
        <v>176.39999999999995</v>
      </c>
      <c r="J388" s="398"/>
    </row>
    <row r="389" spans="1:10" ht="18.75">
      <c r="A389" s="425" t="str">
        <f>'4ème trim 2016'!A84</f>
        <v>12.2016</v>
      </c>
      <c r="B389" s="426">
        <f>'4ème trim 2016'!B84</f>
        <v>834160</v>
      </c>
      <c r="C389" s="652"/>
      <c r="D389" s="338" t="str">
        <f>'4ème trim 2016'!D84</f>
        <v>PACK REEBOU</v>
      </c>
      <c r="E389" s="362"/>
      <c r="F389" s="237">
        <f>'4ème trim 2016'!F84</f>
        <v>0</v>
      </c>
      <c r="G389" s="25">
        <f>'4ème trim 2016'!G84</f>
        <v>0</v>
      </c>
      <c r="H389" s="345"/>
      <c r="I389" s="143">
        <f>'4ème trim 2016'!I84</f>
        <v>16.631999999999998</v>
      </c>
      <c r="J389" s="398"/>
    </row>
    <row r="390" spans="1:10" ht="18.75">
      <c r="A390" s="633" t="str">
        <f>'4eme trim 2017  '!A78</f>
        <v>12.2017</v>
      </c>
      <c r="B390" s="593">
        <f>'4eme trim 2017  '!B78</f>
        <v>952598</v>
      </c>
      <c r="C390" s="696"/>
      <c r="D390" s="634" t="str">
        <f>'4eme trim 2017  '!D78</f>
        <v>HORIZONT60Invest</v>
      </c>
      <c r="E390" s="635"/>
      <c r="F390" s="636">
        <f>'4eme trim 2017  '!F78</f>
        <v>0</v>
      </c>
      <c r="G390" s="637">
        <f>'4eme trim 2017  '!G78</f>
        <v>2045</v>
      </c>
      <c r="H390" s="638"/>
      <c r="I390" s="143">
        <f>'4eme trim 2017  '!I78</f>
        <v>395.29728000000006</v>
      </c>
      <c r="J390" s="398"/>
    </row>
    <row r="391" spans="1:10">
      <c r="A391" s="526" t="str">
        <f>'3eme trim 2017  '!A48</f>
        <v>08.2017</v>
      </c>
      <c r="B391" s="529">
        <f>'3eme trim 2017  '!B48</f>
        <v>664441</v>
      </c>
      <c r="C391" s="657"/>
      <c r="D391" s="25" t="str">
        <f>'3eme trim 2017  '!D48</f>
        <v>REEBOU Pack</v>
      </c>
      <c r="E391" s="22"/>
      <c r="F391" s="240">
        <f>'3eme trim 2017  '!F48</f>
        <v>0</v>
      </c>
      <c r="G391" s="22">
        <f>'3eme trim 2017  '!G48</f>
        <v>0</v>
      </c>
      <c r="H391" s="143"/>
      <c r="I391" s="143">
        <f>'3eme trim 2017  '!I48</f>
        <v>16.968</v>
      </c>
      <c r="J391" s="398"/>
    </row>
    <row r="392" spans="1:10" ht="18.75">
      <c r="A392" s="633" t="str">
        <f>'4ème trim 2016'!A49</f>
        <v>11.2016</v>
      </c>
      <c r="B392" s="593">
        <f>'4ème trim 2016'!B49</f>
        <v>862831</v>
      </c>
      <c r="C392" s="696"/>
      <c r="D392" s="634" t="str">
        <f>'4ème trim 2016'!D49</f>
        <v>HORIZONT CAPI</v>
      </c>
      <c r="E392" s="635"/>
      <c r="F392" s="636">
        <f>'4ème trim 2016'!F49</f>
        <v>0</v>
      </c>
      <c r="G392" s="637">
        <f>'4ème trim 2016'!G49</f>
        <v>2025</v>
      </c>
      <c r="H392" s="638"/>
      <c r="I392" s="143">
        <f>'4ème trim 2016'!I49</f>
        <v>57.599999999999994</v>
      </c>
      <c r="J392" s="398"/>
    </row>
    <row r="393" spans="1:10" ht="18.75">
      <c r="A393" s="425" t="str">
        <f>'1er trim 2017'!A15</f>
        <v>01.2017</v>
      </c>
      <c r="B393" s="426">
        <f>'1er trim 2017'!B15</f>
        <v>556862</v>
      </c>
      <c r="C393" s="652"/>
      <c r="D393" s="338" t="str">
        <f>'1er trim 2017'!D15</f>
        <v>REBOU FAMILY</v>
      </c>
      <c r="E393" s="362"/>
      <c r="F393" s="237">
        <f>'1er trim 2017'!F15</f>
        <v>0</v>
      </c>
      <c r="G393" s="25">
        <f>'1er trim 2017'!G15</f>
        <v>0</v>
      </c>
      <c r="H393" s="345"/>
      <c r="I393" s="143">
        <f>'1er trim 2017'!I15</f>
        <v>23.9544</v>
      </c>
      <c r="J393" s="398"/>
    </row>
    <row r="394" spans="1:10" ht="18.75">
      <c r="A394" s="633" t="str">
        <f>'1er trim 2017'!A16</f>
        <v>01.2017</v>
      </c>
      <c r="B394" s="593">
        <f>'1er trim 2017'!B16</f>
        <v>556862</v>
      </c>
      <c r="C394" s="696"/>
      <c r="D394" s="634" t="str">
        <f>'1er trim 2017'!D16</f>
        <v>MEDICIS</v>
      </c>
      <c r="E394" s="635"/>
      <c r="F394" s="636">
        <f>'1er trim 2017'!F16</f>
        <v>0</v>
      </c>
      <c r="G394" s="637">
        <f>'1er trim 2017'!G16</f>
        <v>0</v>
      </c>
      <c r="H394" s="638"/>
      <c r="I394" s="143">
        <f>'1er trim 2017'!I16</f>
        <v>120.456</v>
      </c>
      <c r="J394" s="398"/>
    </row>
    <row r="395" spans="1:10" ht="18.75">
      <c r="A395" s="425" t="str">
        <f>'4eme trim 2017  '!A39</f>
        <v>10.2017</v>
      </c>
      <c r="B395" s="426">
        <f>'4eme trim 2017  '!B39</f>
        <v>273601</v>
      </c>
      <c r="C395" s="652"/>
      <c r="D395" s="338" t="str">
        <f>'4eme trim 2017  '!D39</f>
        <v>MOBILE Regio</v>
      </c>
      <c r="E395" s="362"/>
      <c r="F395" s="237">
        <f>'4eme trim 2017  '!F39</f>
        <v>0</v>
      </c>
      <c r="G395" s="25">
        <f>'4eme trim 2017  '!G39</f>
        <v>0</v>
      </c>
      <c r="H395" s="140"/>
      <c r="I395" s="345">
        <f>'4eme trim 2017  '!I39</f>
        <v>39.4878</v>
      </c>
      <c r="J395" s="398"/>
    </row>
    <row r="396" spans="1:10" ht="18.75">
      <c r="A396" s="425" t="str">
        <f>'1er trim 2017'!A55</f>
        <v>03.2017</v>
      </c>
      <c r="B396" s="426">
        <f>'1er trim 2017'!B55</f>
        <v>243203</v>
      </c>
      <c r="C396" s="652"/>
      <c r="D396" s="338" t="str">
        <f>'1er trim 2017'!D55</f>
        <v xml:space="preserve">MOBILE </v>
      </c>
      <c r="E396" s="362"/>
      <c r="F396" s="237" t="str">
        <f>'1er trim 2017'!F55</f>
        <v>X</v>
      </c>
      <c r="G396" s="25">
        <f>'1er trim 2017'!G55</f>
        <v>0</v>
      </c>
      <c r="H396" s="345"/>
      <c r="I396" s="143">
        <f>'1er trim 2017'!I55</f>
        <v>50.701500000000003</v>
      </c>
      <c r="J396" s="398"/>
    </row>
    <row r="397" spans="1:10" ht="18.75">
      <c r="A397" s="425" t="str">
        <f>'1er trim 2017'!A73</f>
        <v>03.2017</v>
      </c>
      <c r="B397" s="426">
        <f>'1er trim 2017'!B73</f>
        <v>727461</v>
      </c>
      <c r="C397" s="652"/>
      <c r="D397" s="338" t="str">
        <f>'1er trim 2017'!D73</f>
        <v>REEBOU FAMILY</v>
      </c>
      <c r="E397" s="362"/>
      <c r="F397" s="237">
        <f>'1er trim 2017'!F73</f>
        <v>0</v>
      </c>
      <c r="G397" s="25">
        <f>'1er trim 2017'!G73</f>
        <v>0</v>
      </c>
      <c r="H397" s="345"/>
      <c r="I397" s="143">
        <f>'1er trim 2017'!I73</f>
        <v>22.165199999999999</v>
      </c>
      <c r="J397" s="398"/>
    </row>
    <row r="398" spans="1:10" ht="18.75">
      <c r="A398" s="425" t="str">
        <f>'1er trim 2017'!A49</f>
        <v>02.2017</v>
      </c>
      <c r="B398" s="426">
        <f>'1er trim 2017'!B49</f>
        <v>727461</v>
      </c>
      <c r="C398" s="652"/>
      <c r="D398" s="625" t="str">
        <f>'1er trim 2017'!D49</f>
        <v>BSH</v>
      </c>
      <c r="E398" s="362"/>
      <c r="F398" s="237">
        <f>'1er trim 2017'!F49</f>
        <v>0</v>
      </c>
      <c r="G398" s="25">
        <f>'1er trim 2017'!G49</f>
        <v>0</v>
      </c>
      <c r="H398" s="345"/>
      <c r="I398" s="143">
        <f>'1er trim 2017'!I49</f>
        <v>168</v>
      </c>
      <c r="J398" s="398"/>
    </row>
    <row r="399" spans="1:10">
      <c r="A399" s="719" t="str">
        <f>'3eme trim 2017  '!A58</f>
        <v>08.2017</v>
      </c>
      <c r="B399" s="720">
        <f>'3eme trim 2017  '!B58</f>
        <v>616905</v>
      </c>
      <c r="C399" s="696"/>
      <c r="D399" s="724" t="str">
        <f>'3eme trim 2017  '!D58</f>
        <v>MEDICIS</v>
      </c>
      <c r="E399" s="637"/>
      <c r="F399" s="717" t="str">
        <f>'3eme trim 2017  '!F58</f>
        <v>X</v>
      </c>
      <c r="G399" s="637">
        <f>'3eme trim 2017  '!G58</f>
        <v>0</v>
      </c>
      <c r="H399" s="638"/>
      <c r="I399" s="345">
        <f>'3eme trim 2017  '!I58</f>
        <v>89.488875000000007</v>
      </c>
      <c r="J399" s="398"/>
    </row>
    <row r="400" spans="1:10" ht="18.75">
      <c r="A400" s="633" t="str">
        <f>'4eme trim 2017  '!A76</f>
        <v>12.2017</v>
      </c>
      <c r="B400" s="593">
        <f>'4eme trim 2017  '!B76</f>
        <v>973272</v>
      </c>
      <c r="C400" s="696"/>
      <c r="D400" s="634" t="str">
        <f>'4eme trim 2017  '!D76</f>
        <v>MEDICIS</v>
      </c>
      <c r="E400" s="635"/>
      <c r="F400" s="636">
        <f>'4eme trim 2017  '!F76</f>
        <v>0</v>
      </c>
      <c r="G400" s="637">
        <f>'4eme trim 2017  '!G76</f>
        <v>0</v>
      </c>
      <c r="H400" s="712"/>
      <c r="I400" s="143">
        <f>'4eme trim 2017  '!I76</f>
        <v>116.19300000000001</v>
      </c>
      <c r="J400" s="398"/>
    </row>
    <row r="401" spans="1:10" ht="18.75">
      <c r="A401" s="633" t="str">
        <f>'1er Trimestre 2018'!A25</f>
        <v>02.2018</v>
      </c>
      <c r="B401" s="593">
        <f>'1er Trimestre 2018'!B25</f>
        <v>358748</v>
      </c>
      <c r="C401" s="696"/>
      <c r="D401" s="634" t="str">
        <f>'1er Trimestre 2018'!D25</f>
        <v>MEDICIS</v>
      </c>
      <c r="E401" s="635"/>
      <c r="F401" s="636">
        <f>'1er Trimestre 2018'!F25</f>
        <v>0</v>
      </c>
      <c r="G401" s="637">
        <f>'1er Trimestre 2018'!G25</f>
        <v>0</v>
      </c>
      <c r="H401" s="638"/>
      <c r="I401" s="143">
        <f>'1er Trimestre 2018'!I25</f>
        <v>103.54020833333333</v>
      </c>
      <c r="J401" s="398"/>
    </row>
    <row r="402" spans="1:10" ht="18.75">
      <c r="A402" s="425" t="str">
        <f>'3ème trim 2016'!A51</f>
        <v>09.2016</v>
      </c>
      <c r="B402" s="426">
        <f>'3ème trim 2016'!B51</f>
        <v>492356</v>
      </c>
      <c r="C402" s="652"/>
      <c r="D402" s="338" t="str">
        <f>'3ème trim 2016'!D51</f>
        <v>LOGGIA</v>
      </c>
      <c r="E402" s="362"/>
      <c r="F402" s="237">
        <f>'3ème trim 2016'!F51</f>
        <v>0</v>
      </c>
      <c r="G402" s="25">
        <f>'3ème trim 2016'!G51</f>
        <v>0</v>
      </c>
      <c r="H402" s="345"/>
      <c r="I402" s="143">
        <f>'3ème trim 2016'!I51</f>
        <v>21.065999999999999</v>
      </c>
      <c r="J402" s="398"/>
    </row>
    <row r="403" spans="1:10" ht="18.75">
      <c r="A403" s="425" t="str">
        <f>'3ème trim 2016'!A52</f>
        <v>10.2016</v>
      </c>
      <c r="B403" s="426">
        <f>'3ème trim 2016'!B52</f>
        <v>492356</v>
      </c>
      <c r="C403" s="652"/>
      <c r="D403" s="625" t="str">
        <f>'3ème trim 2016'!D52</f>
        <v>BSH</v>
      </c>
      <c r="E403" s="362"/>
      <c r="F403" s="237">
        <f>'3ème trim 2016'!F52</f>
        <v>0</v>
      </c>
      <c r="G403" s="25">
        <f>'3ème trim 2016'!G52</f>
        <v>0</v>
      </c>
      <c r="H403" s="345"/>
      <c r="I403" s="143">
        <f>'3ème trim 2016'!I52</f>
        <v>252</v>
      </c>
      <c r="J403" s="398"/>
    </row>
    <row r="404" spans="1:10" ht="18.75">
      <c r="A404" s="633" t="str">
        <f>'4ème trim 2016'!A52</f>
        <v>12.2016</v>
      </c>
      <c r="B404" s="593">
        <f>'4ème trim 2016'!B52</f>
        <v>492356</v>
      </c>
      <c r="C404" s="697"/>
      <c r="D404" s="634" t="str">
        <f>'4ème trim 2016'!D52</f>
        <v>FOCUS INVEST.</v>
      </c>
      <c r="E404" s="635"/>
      <c r="F404" s="636">
        <f>'4ème trim 2016'!F52</f>
        <v>0</v>
      </c>
      <c r="G404" s="637">
        <f>'4ème trim 2016'!G52</f>
        <v>0</v>
      </c>
      <c r="H404" s="638"/>
      <c r="I404" s="345">
        <f>'4ème trim 2016'!I52</f>
        <v>380.92500000000001</v>
      </c>
      <c r="J404" s="398"/>
    </row>
    <row r="405" spans="1:10" ht="18.75">
      <c r="A405" s="425" t="str">
        <f>'4eme trim 2017  '!A79</f>
        <v>12.2017</v>
      </c>
      <c r="B405" s="426">
        <f>'4eme trim 2017  '!B79</f>
        <v>492356</v>
      </c>
      <c r="C405" s="670"/>
      <c r="D405" s="338" t="str">
        <f>'4eme trim 2017  '!D79</f>
        <v>HORIZONT60Invest</v>
      </c>
      <c r="E405" s="362"/>
      <c r="F405" s="237">
        <f>'4eme trim 2017  '!F79</f>
        <v>0</v>
      </c>
      <c r="G405" s="25">
        <f>'4eme trim 2017  '!G79</f>
        <v>2033</v>
      </c>
      <c r="H405" s="454"/>
      <c r="I405" s="143">
        <f>'4eme trim 2017  '!I79</f>
        <v>158.12351999999998</v>
      </c>
      <c r="J405" s="398"/>
    </row>
    <row r="406" spans="1:10" ht="18.75">
      <c r="A406" s="425" t="str">
        <f>'3ème trim 2016'!A17</f>
        <v>07.2016</v>
      </c>
      <c r="B406" s="426">
        <f>'3ème trim 2016'!B17</f>
        <v>310263</v>
      </c>
      <c r="C406" s="652"/>
      <c r="D406" s="338" t="str">
        <f>'3ème trim 2016'!D17</f>
        <v>REEBOU PACK</v>
      </c>
      <c r="E406" s="362"/>
      <c r="F406" s="237">
        <f>'3ème trim 2016'!F17</f>
        <v>0</v>
      </c>
      <c r="G406" s="25">
        <f>'3ème trim 2016'!G17</f>
        <v>0</v>
      </c>
      <c r="H406" s="345"/>
      <c r="I406" s="143">
        <f>'3ème trim 2016'!I17</f>
        <v>16.5</v>
      </c>
      <c r="J406" s="398"/>
    </row>
    <row r="407" spans="1:10">
      <c r="A407" s="526" t="str">
        <f>'3eme trim 2017  '!A34</f>
        <v>07.2017</v>
      </c>
      <c r="B407" s="531">
        <f>'3eme trim 2017  '!B34</f>
        <v>960430</v>
      </c>
      <c r="C407" s="657"/>
      <c r="D407" s="22" t="str">
        <f>'3eme trim 2017  '!D34</f>
        <v>MOBILE 2016</v>
      </c>
      <c r="E407" s="22"/>
      <c r="F407" s="240">
        <f>'3eme trim 2017  '!F34</f>
        <v>0</v>
      </c>
      <c r="G407" s="22">
        <f>'3eme trim 2017  '!G34</f>
        <v>0</v>
      </c>
      <c r="H407" s="346"/>
      <c r="I407" s="143">
        <f>'3eme trim 2017  '!I34</f>
        <v>129.66239999999999</v>
      </c>
      <c r="J407" s="398"/>
    </row>
    <row r="408" spans="1:10">
      <c r="A408" s="526" t="str">
        <f>'3eme trim 2017  '!A35</f>
        <v>07.2017</v>
      </c>
      <c r="B408" s="529">
        <f>'3eme trim 2017  '!B35</f>
        <v>960430</v>
      </c>
      <c r="C408" s="657"/>
      <c r="D408" s="22" t="str">
        <f>'3eme trim 2017  '!D35</f>
        <v>REEBOU FAMILY</v>
      </c>
      <c r="E408" s="22"/>
      <c r="F408" s="240">
        <f>'3eme trim 2017  '!F35</f>
        <v>0</v>
      </c>
      <c r="G408" s="22">
        <f>'3eme trim 2017  '!G35</f>
        <v>0</v>
      </c>
      <c r="H408" s="143"/>
      <c r="I408" s="143">
        <f>'3eme trim 2017  '!I35</f>
        <v>35.826000000000001</v>
      </c>
      <c r="J408" s="398"/>
    </row>
    <row r="409" spans="1:10" ht="18.75">
      <c r="A409" s="425" t="str">
        <f>'3ème trim 2016'!A42</f>
        <v>08.2016</v>
      </c>
      <c r="B409" s="426">
        <f>'3ème trim 2016'!B42</f>
        <v>860025</v>
      </c>
      <c r="C409" s="657"/>
      <c r="D409" s="338" t="str">
        <f>'3ème trim 2016'!D42</f>
        <v>LOGGIA</v>
      </c>
      <c r="E409" s="360"/>
      <c r="F409" s="237">
        <f>'3ème trim 2016'!F42</f>
        <v>0</v>
      </c>
      <c r="G409" s="22">
        <f>'3ème trim 2016'!G42</f>
        <v>0</v>
      </c>
      <c r="H409" s="140"/>
      <c r="I409" s="143">
        <f>'3ème trim 2016'!I42</f>
        <v>57.316799999999994</v>
      </c>
      <c r="J409" s="398"/>
    </row>
    <row r="410" spans="1:10" ht="18.75">
      <c r="A410" s="425" t="str">
        <f>'1er Trimestre 2018'!A53</f>
        <v>03.2018</v>
      </c>
      <c r="B410" s="426">
        <f>'1er Trimestre 2018'!B53</f>
        <v>606245</v>
      </c>
      <c r="C410" s="652"/>
      <c r="D410" s="338" t="str">
        <f>'1er Trimestre 2018'!D53</f>
        <v>REEBOU Pack</v>
      </c>
      <c r="E410" s="362"/>
      <c r="F410" s="237">
        <f>'1er Trimestre 2018'!F53</f>
        <v>0</v>
      </c>
      <c r="G410" s="25">
        <f>'1er Trimestre 2018'!G53</f>
        <v>0</v>
      </c>
      <c r="H410" s="345"/>
      <c r="I410" s="143">
        <f>'1er Trimestre 2018'!I53</f>
        <v>21.914400000000001</v>
      </c>
      <c r="J410" s="398"/>
    </row>
    <row r="411" spans="1:10" ht="18.75">
      <c r="A411" s="425" t="str">
        <f>'1er trim 2017'!A26</f>
        <v>01.2017</v>
      </c>
      <c r="B411" s="426">
        <f>'1er trim 2017'!B26</f>
        <v>606245</v>
      </c>
      <c r="C411" s="652"/>
      <c r="D411" s="338" t="str">
        <f>'1er trim 2017'!D26</f>
        <v>REEBOU FAMILY</v>
      </c>
      <c r="E411" s="362"/>
      <c r="F411" s="237">
        <f>'1er trim 2017'!F26</f>
        <v>0</v>
      </c>
      <c r="G411" s="25">
        <f>'1er trim 2017'!G26</f>
        <v>0</v>
      </c>
      <c r="H411" s="345"/>
      <c r="I411" s="143">
        <f>'1er trim 2017'!I26</f>
        <v>54.535199999999996</v>
      </c>
      <c r="J411" s="398"/>
    </row>
    <row r="412" spans="1:10" ht="18.75">
      <c r="A412" s="425" t="str">
        <f>'1er trim 2017'!A37</f>
        <v>02.2017</v>
      </c>
      <c r="B412" s="426">
        <f>'1er trim 2017'!B37</f>
        <v>606245</v>
      </c>
      <c r="C412" s="652"/>
      <c r="D412" s="338" t="str">
        <f>'1er trim 2017'!D37</f>
        <v>MOBILE</v>
      </c>
      <c r="E412" s="362"/>
      <c r="F412" s="237">
        <f>'1er trim 2017'!F37</f>
        <v>0</v>
      </c>
      <c r="G412" s="25">
        <f>'1er trim 2017'!G37</f>
        <v>0</v>
      </c>
      <c r="H412" s="345"/>
      <c r="I412" s="143">
        <f>'1er trim 2017'!I37</f>
        <v>31.242599999999999</v>
      </c>
      <c r="J412" s="398"/>
    </row>
    <row r="413" spans="1:10" ht="18.75">
      <c r="A413" s="425" t="str">
        <f>'1er trim 2017'!A38</f>
        <v>02.2017</v>
      </c>
      <c r="B413" s="426">
        <f>'1er trim 2017'!B38</f>
        <v>606245</v>
      </c>
      <c r="C413" s="657"/>
      <c r="D413" s="338" t="str">
        <f>'1er trim 2017'!D38</f>
        <v>REEBOU FAMILY</v>
      </c>
      <c r="E413" s="362"/>
      <c r="F413" s="237">
        <f>'1er trim 2017'!F38</f>
        <v>0</v>
      </c>
      <c r="G413" s="25" t="str">
        <f>'1er trim 2017'!G38</f>
        <v>Effet Reporté au 01/18</v>
      </c>
      <c r="H413" s="143"/>
      <c r="I413" s="345">
        <f>'1er trim 2017'!I38</f>
        <v>0</v>
      </c>
      <c r="J413" s="398"/>
    </row>
    <row r="414" spans="1:10" ht="18.75">
      <c r="A414" s="425" t="str">
        <f>'1er trim 2017'!A24</f>
        <v>01.2017</v>
      </c>
      <c r="B414" s="426">
        <f>'1er trim 2017'!B24</f>
        <v>601423</v>
      </c>
      <c r="C414" s="652"/>
      <c r="D414" s="338" t="str">
        <f>'1er trim 2017'!D24</f>
        <v>MOBILE 2016</v>
      </c>
      <c r="E414" s="362"/>
      <c r="F414" s="237">
        <f>'1er trim 2017'!F24</f>
        <v>0</v>
      </c>
      <c r="G414" s="25">
        <f>'1er trim 2017'!G24</f>
        <v>0</v>
      </c>
      <c r="H414" s="345"/>
      <c r="I414" s="143">
        <f>'1er trim 2017'!I24</f>
        <v>74.0505</v>
      </c>
      <c r="J414" s="398"/>
    </row>
    <row r="415" spans="1:10" ht="18.75">
      <c r="A415" s="425" t="str">
        <f>'1er trim 2017'!A25</f>
        <v>01.2017</v>
      </c>
      <c r="B415" s="426">
        <f>'1er trim 2017'!B25</f>
        <v>601423</v>
      </c>
      <c r="C415" s="652"/>
      <c r="D415" s="338" t="str">
        <f>'1er trim 2017'!D25</f>
        <v>REEBOU FAMILY</v>
      </c>
      <c r="E415" s="362"/>
      <c r="F415" s="237">
        <f>'1er trim 2017'!F25</f>
        <v>0</v>
      </c>
      <c r="G415" s="25">
        <f>'1er trim 2017'!G25</f>
        <v>0</v>
      </c>
      <c r="H415" s="345"/>
      <c r="I415" s="143">
        <f>'1er trim 2017'!I25</f>
        <v>15.6792</v>
      </c>
      <c r="J415" s="398"/>
    </row>
    <row r="416" spans="1:10" ht="18.75">
      <c r="A416" s="633" t="str">
        <f>'1er Trimestre 2018'!A26</f>
        <v>02.2018</v>
      </c>
      <c r="B416" s="593">
        <f>'1er Trimestre 2018'!B26</f>
        <v>601423</v>
      </c>
      <c r="C416" s="696"/>
      <c r="D416" s="634" t="str">
        <f>'1er Trimestre 2018'!D26</f>
        <v>HORIZONT60Invest</v>
      </c>
      <c r="E416" s="635"/>
      <c r="F416" s="636">
        <f>'1er Trimestre 2018'!F26</f>
        <v>0</v>
      </c>
      <c r="G416" s="637">
        <f>'1er Trimestre 2018'!G26</f>
        <v>2052</v>
      </c>
      <c r="H416" s="638"/>
      <c r="I416" s="143">
        <f>'1er Trimestre 2018'!I26</f>
        <v>489.6</v>
      </c>
      <c r="J416" s="398"/>
    </row>
    <row r="417" spans="1:16382" ht="18.75">
      <c r="A417" s="425" t="str">
        <f>'2eme trim 2017 '!A30</f>
        <v>05.2017</v>
      </c>
      <c r="B417" s="426">
        <f>'2eme trim 2017 '!B30</f>
        <v>843169</v>
      </c>
      <c r="C417" s="657"/>
      <c r="D417" s="338" t="str">
        <f>'2eme trim 2017 '!D30</f>
        <v>PACK REEBOU FAMILY</v>
      </c>
      <c r="E417" s="360"/>
      <c r="F417" s="237">
        <f>'2eme trim 2017 '!F30</f>
        <v>0</v>
      </c>
      <c r="G417" s="22">
        <f>'2eme trim 2017 '!G30</f>
        <v>0</v>
      </c>
      <c r="H417" s="140"/>
      <c r="I417" s="143">
        <f>'2eme trim 2017 '!I30</f>
        <v>30.2895</v>
      </c>
      <c r="J417" s="398"/>
    </row>
    <row r="418" spans="1:16382" ht="18.75">
      <c r="A418" s="633" t="str">
        <f>'4eme trim 2017  '!A43</f>
        <v>10.2017</v>
      </c>
      <c r="B418" s="593">
        <f>'4eme trim 2017  '!B43</f>
        <v>481859</v>
      </c>
      <c r="C418" s="696"/>
      <c r="D418" s="634" t="str">
        <f>'4eme trim 2017  '!D43</f>
        <v>HORIZONT60Invest</v>
      </c>
      <c r="E418" s="635"/>
      <c r="F418" s="636">
        <f>'4eme trim 2017  '!F43</f>
        <v>0</v>
      </c>
      <c r="G418" s="637">
        <f>'4eme trim 2017  '!G43</f>
        <v>2035</v>
      </c>
      <c r="H418" s="638"/>
      <c r="I418" s="143">
        <f>'4eme trim 2017  '!I43</f>
        <v>259.2</v>
      </c>
      <c r="J418" s="398"/>
    </row>
    <row r="419" spans="1:16382" ht="18.75">
      <c r="A419" s="633" t="str">
        <f>'2eme trim 2017 '!A27</f>
        <v>05.2017</v>
      </c>
      <c r="B419" s="593">
        <f>'2eme trim 2017 '!B27</f>
        <v>414852</v>
      </c>
      <c r="C419" s="709"/>
      <c r="D419" s="634" t="str">
        <f>'2eme trim 2017 '!D27</f>
        <v>MEDICIS</v>
      </c>
      <c r="E419" s="635"/>
      <c r="F419" s="636">
        <f>'2eme trim 2017 '!F27</f>
        <v>0</v>
      </c>
      <c r="G419" s="637">
        <f>'2eme trim 2017 '!G27</f>
        <v>0</v>
      </c>
      <c r="H419" s="638"/>
      <c r="I419" s="143">
        <f>'2eme trim 2017 '!I27</f>
        <v>25.514999999999997</v>
      </c>
      <c r="J419" s="398"/>
    </row>
    <row r="420" spans="1:16382" ht="18.75">
      <c r="A420" s="426" t="str">
        <f>'3eme trim 2017  '!A77</f>
        <v>09.2017</v>
      </c>
      <c r="B420" s="426">
        <f>'3eme trim 2017  '!B77</f>
        <v>842467</v>
      </c>
      <c r="C420" s="652"/>
      <c r="D420" s="338" t="str">
        <f>'3eme trim 2017  '!D77</f>
        <v>REEBOU Family</v>
      </c>
      <c r="E420" s="362"/>
      <c r="F420" s="237" t="str">
        <f>'3eme trim 2017  '!F77</f>
        <v>X</v>
      </c>
      <c r="G420" s="25">
        <f>'3eme trim 2017  '!G77</f>
        <v>0</v>
      </c>
      <c r="H420" s="345"/>
      <c r="I420" s="143">
        <f>'3eme trim 2017  '!I77</f>
        <v>60.599999999999994</v>
      </c>
      <c r="J420" s="649"/>
      <c r="K420" s="416"/>
      <c r="L420" s="416"/>
      <c r="M420" s="416"/>
      <c r="N420" s="416"/>
      <c r="O420" s="416"/>
      <c r="P420" s="416"/>
      <c r="Q420" s="416"/>
      <c r="R420" s="416"/>
      <c r="S420" s="416"/>
      <c r="T420" s="416"/>
      <c r="U420" s="416"/>
      <c r="V420" s="416"/>
      <c r="W420" s="416"/>
      <c r="X420" s="416"/>
      <c r="Y420" s="416"/>
      <c r="Z420" s="416"/>
      <c r="AA420" s="416"/>
      <c r="AB420" s="416"/>
      <c r="AC420" s="416"/>
      <c r="AD420" s="416"/>
      <c r="AE420" s="416"/>
      <c r="AF420" s="416"/>
      <c r="AG420" s="416"/>
      <c r="AH420" s="416"/>
      <c r="AI420" s="416"/>
      <c r="AJ420" s="416"/>
      <c r="AK420" s="416"/>
      <c r="AL420" s="416"/>
      <c r="AM420" s="416"/>
      <c r="AN420" s="416"/>
      <c r="AO420" s="416"/>
      <c r="AP420" s="416"/>
      <c r="AQ420" s="416"/>
      <c r="AR420" s="416"/>
      <c r="AS420" s="416"/>
      <c r="AT420" s="416"/>
      <c r="AU420" s="416"/>
      <c r="AV420" s="416"/>
      <c r="AW420" s="416"/>
      <c r="AX420" s="416"/>
      <c r="AY420" s="416"/>
      <c r="AZ420" s="416"/>
      <c r="BA420" s="416"/>
      <c r="BB420" s="416"/>
      <c r="BC420" s="416"/>
      <c r="BD420" s="416"/>
      <c r="BE420" s="416"/>
      <c r="BF420" s="416"/>
      <c r="BG420" s="416"/>
      <c r="BH420" s="416"/>
      <c r="BI420" s="416"/>
      <c r="BJ420" s="416"/>
      <c r="BK420" s="416"/>
      <c r="BL420" s="416"/>
      <c r="BM420" s="416"/>
      <c r="BN420" s="416"/>
      <c r="BO420" s="416"/>
      <c r="BP420" s="416"/>
      <c r="BQ420" s="416"/>
      <c r="BR420" s="416"/>
      <c r="BS420" s="416"/>
      <c r="BT420" s="416"/>
      <c r="BU420" s="416"/>
      <c r="BV420" s="416"/>
      <c r="BW420" s="416"/>
      <c r="BX420" s="416"/>
      <c r="BY420" s="416"/>
      <c r="BZ420" s="416"/>
      <c r="CA420" s="416"/>
      <c r="CB420" s="416"/>
      <c r="CC420" s="416"/>
      <c r="CD420" s="416"/>
      <c r="CE420" s="416"/>
      <c r="CF420" s="416"/>
      <c r="CG420" s="416"/>
      <c r="CH420" s="416"/>
      <c r="CI420" s="416"/>
      <c r="CJ420" s="416"/>
      <c r="CK420" s="416"/>
      <c r="CL420" s="416"/>
      <c r="CM420" s="416"/>
      <c r="CN420" s="416"/>
      <c r="CO420" s="416"/>
      <c r="CP420" s="416"/>
      <c r="CQ420" s="416"/>
      <c r="CR420" s="416"/>
      <c r="CS420" s="416"/>
      <c r="CT420" s="416"/>
      <c r="CU420" s="416"/>
      <c r="CV420" s="416"/>
      <c r="CW420" s="416"/>
      <c r="CX420" s="416"/>
      <c r="CY420" s="416"/>
      <c r="CZ420" s="416"/>
      <c r="DA420" s="416"/>
      <c r="DB420" s="416"/>
      <c r="DC420" s="416"/>
      <c r="DD420" s="416"/>
      <c r="DE420" s="416"/>
      <c r="DF420" s="416"/>
      <c r="DG420" s="416"/>
      <c r="DH420" s="416"/>
      <c r="DI420" s="416"/>
      <c r="DJ420" s="416"/>
      <c r="DK420" s="416"/>
      <c r="DL420" s="416"/>
      <c r="DM420" s="416"/>
      <c r="DN420" s="416"/>
      <c r="DO420" s="416"/>
      <c r="DP420" s="416"/>
      <c r="DQ420" s="416"/>
      <c r="DR420" s="416"/>
      <c r="DS420" s="416"/>
      <c r="DT420" s="416"/>
      <c r="DU420" s="416"/>
      <c r="DV420" s="416"/>
      <c r="DW420" s="416"/>
      <c r="DX420" s="416"/>
      <c r="DY420" s="416"/>
      <c r="DZ420" s="416"/>
      <c r="EA420" s="416"/>
      <c r="EB420" s="416"/>
      <c r="EC420" s="416"/>
      <c r="ED420" s="416"/>
      <c r="EE420" s="416"/>
      <c r="EF420" s="416"/>
      <c r="EG420" s="416"/>
      <c r="EH420" s="416"/>
      <c r="EI420" s="416"/>
      <c r="EJ420" s="416"/>
      <c r="EK420" s="416"/>
      <c r="EL420" s="416"/>
      <c r="EM420" s="416"/>
      <c r="EN420" s="416"/>
      <c r="EO420" s="416"/>
      <c r="EP420" s="416"/>
      <c r="EQ420" s="416"/>
      <c r="ER420" s="416"/>
      <c r="ES420" s="416"/>
      <c r="ET420" s="416"/>
      <c r="EU420" s="416"/>
      <c r="EV420" s="416"/>
      <c r="EW420" s="416"/>
      <c r="EX420" s="416"/>
      <c r="EY420" s="416"/>
      <c r="EZ420" s="416"/>
      <c r="FA420" s="416"/>
      <c r="FB420" s="416"/>
      <c r="FC420" s="416"/>
      <c r="FD420" s="416"/>
      <c r="FE420" s="416"/>
      <c r="FF420" s="416"/>
      <c r="FG420" s="416"/>
      <c r="FH420" s="416"/>
      <c r="FI420" s="416"/>
      <c r="FJ420" s="416"/>
      <c r="FK420" s="416"/>
      <c r="FL420" s="416"/>
      <c r="FM420" s="416"/>
      <c r="FN420" s="416"/>
      <c r="FO420" s="416"/>
      <c r="FP420" s="416"/>
      <c r="FQ420" s="416"/>
      <c r="FR420" s="416"/>
      <c r="FS420" s="416"/>
      <c r="FT420" s="416"/>
      <c r="FU420" s="416"/>
      <c r="FV420" s="416"/>
      <c r="FW420" s="416"/>
      <c r="FX420" s="416"/>
      <c r="FY420" s="416"/>
      <c r="FZ420" s="416"/>
      <c r="GA420" s="416"/>
      <c r="GB420" s="416"/>
      <c r="GC420" s="416"/>
      <c r="GD420" s="416"/>
      <c r="GE420" s="416"/>
      <c r="GF420" s="416"/>
      <c r="GG420" s="416"/>
      <c r="GH420" s="416"/>
      <c r="GI420" s="416"/>
      <c r="GJ420" s="416"/>
      <c r="GK420" s="416"/>
      <c r="GL420" s="416"/>
      <c r="GM420" s="416"/>
      <c r="GN420" s="416"/>
      <c r="GO420" s="416"/>
      <c r="GP420" s="416"/>
      <c r="GQ420" s="416"/>
      <c r="GR420" s="416"/>
      <c r="GS420" s="416"/>
      <c r="GT420" s="416"/>
      <c r="GU420" s="416"/>
      <c r="GV420" s="416"/>
      <c r="GW420" s="416"/>
      <c r="GX420" s="416"/>
      <c r="GY420" s="416"/>
      <c r="GZ420" s="416"/>
      <c r="HA420" s="416"/>
      <c r="HB420" s="416"/>
      <c r="HC420" s="416"/>
      <c r="HD420" s="416"/>
      <c r="HE420" s="416"/>
      <c r="HF420" s="416"/>
      <c r="HG420" s="416"/>
      <c r="HH420" s="416"/>
      <c r="HI420" s="416"/>
      <c r="HJ420" s="416"/>
      <c r="HK420" s="416"/>
      <c r="HL420" s="416"/>
      <c r="HM420" s="416"/>
      <c r="HN420" s="416"/>
      <c r="HO420" s="416"/>
      <c r="HP420" s="416"/>
      <c r="HQ420" s="416"/>
      <c r="HR420" s="416"/>
      <c r="HS420" s="416"/>
      <c r="HT420" s="416"/>
      <c r="HU420" s="416"/>
      <c r="HV420" s="416"/>
      <c r="HW420" s="416"/>
      <c r="HX420" s="416"/>
      <c r="HY420" s="416"/>
      <c r="HZ420" s="416"/>
      <c r="IA420" s="416"/>
      <c r="IB420" s="416"/>
      <c r="IC420" s="416"/>
      <c r="ID420" s="416"/>
      <c r="IE420" s="416"/>
      <c r="IF420" s="416"/>
      <c r="IG420" s="416"/>
      <c r="IH420" s="416"/>
      <c r="II420" s="416"/>
      <c r="IJ420" s="416"/>
      <c r="IK420" s="416"/>
      <c r="IL420" s="416"/>
      <c r="IM420" s="416"/>
      <c r="IN420" s="416"/>
      <c r="IO420" s="416"/>
      <c r="IP420" s="416"/>
      <c r="IQ420" s="416"/>
      <c r="IR420" s="416"/>
      <c r="IS420" s="416"/>
      <c r="IT420" s="416"/>
      <c r="IU420" s="416"/>
      <c r="IV420" s="416"/>
      <c r="IW420" s="416"/>
      <c r="IX420" s="416"/>
      <c r="IY420" s="416"/>
      <c r="IZ420" s="416"/>
      <c r="JA420" s="416"/>
      <c r="JB420" s="416"/>
      <c r="JC420" s="416"/>
      <c r="JD420" s="416"/>
      <c r="JE420" s="416"/>
      <c r="JF420" s="416"/>
      <c r="JG420" s="416"/>
      <c r="JH420" s="416"/>
      <c r="JI420" s="416"/>
      <c r="JJ420" s="416"/>
      <c r="JK420" s="416"/>
      <c r="JL420" s="416"/>
      <c r="JM420" s="416"/>
      <c r="JN420" s="416"/>
      <c r="JO420" s="416"/>
      <c r="JP420" s="416"/>
      <c r="JQ420" s="416"/>
      <c r="JR420" s="416"/>
      <c r="JS420" s="416"/>
      <c r="JT420" s="416"/>
      <c r="JU420" s="416"/>
      <c r="JV420" s="416"/>
      <c r="JW420" s="416"/>
      <c r="JX420" s="416"/>
      <c r="JY420" s="416"/>
      <c r="JZ420" s="416"/>
      <c r="KA420" s="416"/>
      <c r="KB420" s="416"/>
      <c r="KC420" s="416"/>
      <c r="KD420" s="416"/>
      <c r="KE420" s="416"/>
      <c r="KF420" s="416"/>
      <c r="KG420" s="416"/>
      <c r="KH420" s="416"/>
      <c r="KI420" s="416"/>
      <c r="KJ420" s="416"/>
      <c r="KK420" s="416"/>
      <c r="KL420" s="416"/>
      <c r="KM420" s="416"/>
      <c r="KN420" s="416"/>
      <c r="KO420" s="416"/>
      <c r="KP420" s="416"/>
      <c r="KQ420" s="416"/>
      <c r="KR420" s="416"/>
      <c r="KS420" s="416"/>
      <c r="KT420" s="416"/>
      <c r="KU420" s="416"/>
      <c r="KV420" s="416"/>
      <c r="KW420" s="416"/>
      <c r="KX420" s="416"/>
      <c r="KY420" s="416"/>
      <c r="KZ420" s="416"/>
      <c r="LA420" s="416"/>
      <c r="LB420" s="416"/>
      <c r="LC420" s="416"/>
      <c r="LD420" s="416"/>
      <c r="LE420" s="416"/>
      <c r="LF420" s="416"/>
      <c r="LG420" s="416"/>
      <c r="LH420" s="416"/>
      <c r="LI420" s="416"/>
      <c r="LJ420" s="416"/>
      <c r="LK420" s="416"/>
      <c r="LL420" s="416"/>
      <c r="LM420" s="416"/>
      <c r="LN420" s="416"/>
      <c r="LO420" s="416"/>
      <c r="LP420" s="416"/>
      <c r="LQ420" s="416"/>
      <c r="LR420" s="416"/>
      <c r="LS420" s="416"/>
      <c r="LT420" s="416"/>
      <c r="LU420" s="416"/>
      <c r="LV420" s="416"/>
      <c r="LW420" s="416"/>
      <c r="LX420" s="416"/>
      <c r="LY420" s="416"/>
      <c r="LZ420" s="416"/>
      <c r="MA420" s="416"/>
      <c r="MB420" s="416"/>
      <c r="MC420" s="416"/>
      <c r="MD420" s="416"/>
      <c r="ME420" s="416"/>
      <c r="MF420" s="416"/>
      <c r="MG420" s="416"/>
      <c r="MH420" s="416"/>
      <c r="MI420" s="416"/>
      <c r="MJ420" s="416"/>
      <c r="MK420" s="416"/>
      <c r="ML420" s="416"/>
      <c r="MM420" s="416"/>
      <c r="MN420" s="416"/>
      <c r="MO420" s="416"/>
      <c r="MP420" s="416"/>
      <c r="MQ420" s="416"/>
      <c r="MR420" s="416"/>
      <c r="MS420" s="416"/>
      <c r="MT420" s="416"/>
      <c r="MU420" s="416"/>
      <c r="MV420" s="416"/>
      <c r="MW420" s="416"/>
      <c r="MX420" s="416"/>
      <c r="MY420" s="416"/>
      <c r="MZ420" s="416"/>
      <c r="NA420" s="416"/>
      <c r="NB420" s="416"/>
      <c r="NC420" s="416"/>
      <c r="ND420" s="416"/>
      <c r="NE420" s="416"/>
      <c r="NF420" s="416"/>
      <c r="NG420" s="416"/>
      <c r="NH420" s="416"/>
      <c r="NI420" s="416"/>
      <c r="NJ420" s="416"/>
      <c r="NK420" s="416"/>
      <c r="NL420" s="416"/>
      <c r="NM420" s="416"/>
      <c r="NN420" s="416"/>
      <c r="NO420" s="416"/>
      <c r="NP420" s="416"/>
      <c r="NQ420" s="416"/>
      <c r="NR420" s="416"/>
      <c r="NS420" s="416"/>
      <c r="NT420" s="416"/>
      <c r="NU420" s="416"/>
      <c r="NV420" s="416"/>
      <c r="NW420" s="416"/>
      <c r="NX420" s="416"/>
      <c r="NY420" s="416"/>
      <c r="NZ420" s="416"/>
      <c r="OA420" s="416"/>
      <c r="OB420" s="416"/>
      <c r="OC420" s="416"/>
      <c r="OD420" s="416"/>
      <c r="OE420" s="416"/>
      <c r="OF420" s="416"/>
      <c r="OG420" s="416"/>
      <c r="OH420" s="416"/>
      <c r="OI420" s="416"/>
      <c r="OJ420" s="416"/>
      <c r="OK420" s="416"/>
      <c r="OL420" s="416"/>
      <c r="OM420" s="416"/>
      <c r="ON420" s="416"/>
      <c r="OO420" s="416"/>
      <c r="OP420" s="416"/>
      <c r="OQ420" s="416"/>
      <c r="OR420" s="416"/>
      <c r="OS420" s="416"/>
      <c r="OT420" s="416"/>
      <c r="OU420" s="416"/>
      <c r="OV420" s="416"/>
      <c r="OW420" s="416"/>
      <c r="OX420" s="416"/>
      <c r="OY420" s="416"/>
      <c r="OZ420" s="416"/>
      <c r="PA420" s="416"/>
      <c r="PB420" s="416"/>
      <c r="PC420" s="416"/>
      <c r="PD420" s="416"/>
      <c r="PE420" s="416"/>
      <c r="PF420" s="416"/>
      <c r="PG420" s="416"/>
      <c r="PH420" s="416"/>
      <c r="PI420" s="416"/>
      <c r="PJ420" s="416"/>
      <c r="PK420" s="416"/>
      <c r="PL420" s="416"/>
      <c r="PM420" s="416"/>
      <c r="PN420" s="416"/>
      <c r="PO420" s="416"/>
      <c r="PP420" s="416"/>
      <c r="PQ420" s="416"/>
      <c r="PR420" s="416"/>
      <c r="PS420" s="416"/>
      <c r="PT420" s="416"/>
      <c r="PU420" s="416"/>
      <c r="PV420" s="416"/>
      <c r="PW420" s="416"/>
      <c r="PX420" s="416"/>
      <c r="PY420" s="416"/>
      <c r="PZ420" s="416"/>
      <c r="QA420" s="416"/>
      <c r="QB420" s="416"/>
      <c r="QC420" s="416"/>
      <c r="QD420" s="416"/>
      <c r="QE420" s="416"/>
      <c r="QF420" s="416"/>
      <c r="QG420" s="416"/>
      <c r="QH420" s="416"/>
      <c r="QI420" s="416"/>
      <c r="QJ420" s="416"/>
      <c r="QK420" s="416"/>
      <c r="QL420" s="416"/>
      <c r="QM420" s="416"/>
      <c r="QN420" s="416"/>
      <c r="QO420" s="416"/>
      <c r="QP420" s="416"/>
      <c r="QQ420" s="416"/>
      <c r="QR420" s="416"/>
      <c r="QS420" s="416"/>
      <c r="QT420" s="416"/>
      <c r="QU420" s="416"/>
      <c r="QV420" s="416"/>
      <c r="QW420" s="416"/>
      <c r="QX420" s="416"/>
      <c r="QY420" s="416"/>
      <c r="QZ420" s="416"/>
      <c r="RA420" s="416"/>
      <c r="RB420" s="416"/>
      <c r="RC420" s="416"/>
      <c r="RD420" s="416"/>
      <c r="RE420" s="416"/>
      <c r="RF420" s="416"/>
      <c r="RG420" s="416"/>
      <c r="RH420" s="416"/>
      <c r="RI420" s="416"/>
      <c r="RJ420" s="416"/>
      <c r="RK420" s="416"/>
      <c r="RL420" s="416"/>
      <c r="RM420" s="416"/>
      <c r="RN420" s="416"/>
      <c r="RO420" s="416"/>
      <c r="RP420" s="416"/>
      <c r="RQ420" s="416"/>
      <c r="RR420" s="416"/>
      <c r="RS420" s="416"/>
      <c r="RT420" s="416"/>
      <c r="RU420" s="416"/>
      <c r="RV420" s="416"/>
      <c r="RW420" s="416"/>
      <c r="RX420" s="416"/>
      <c r="RY420" s="416"/>
      <c r="RZ420" s="416"/>
      <c r="SA420" s="416"/>
      <c r="SB420" s="416"/>
      <c r="SC420" s="416"/>
      <c r="SD420" s="416"/>
      <c r="SE420" s="416"/>
      <c r="SF420" s="416"/>
      <c r="SG420" s="416"/>
      <c r="SH420" s="416"/>
      <c r="SI420" s="416"/>
      <c r="SJ420" s="416"/>
      <c r="SK420" s="416"/>
      <c r="SL420" s="416"/>
      <c r="SM420" s="416"/>
      <c r="SN420" s="416"/>
      <c r="SO420" s="416"/>
      <c r="SP420" s="416"/>
      <c r="SQ420" s="416"/>
      <c r="SR420" s="416"/>
      <c r="SS420" s="416"/>
      <c r="ST420" s="416"/>
      <c r="SU420" s="416"/>
      <c r="SV420" s="416"/>
      <c r="SW420" s="416"/>
      <c r="SX420" s="416"/>
      <c r="SY420" s="416"/>
      <c r="SZ420" s="416"/>
      <c r="TA420" s="416"/>
      <c r="TB420" s="416"/>
      <c r="TC420" s="416"/>
      <c r="TD420" s="416"/>
      <c r="TE420" s="416"/>
      <c r="TF420" s="416"/>
      <c r="TG420" s="416"/>
      <c r="TH420" s="416"/>
      <c r="TI420" s="416"/>
      <c r="TJ420" s="416"/>
      <c r="TK420" s="416"/>
      <c r="TL420" s="416"/>
      <c r="TM420" s="416"/>
      <c r="TN420" s="416"/>
      <c r="TO420" s="416"/>
      <c r="TP420" s="416"/>
      <c r="TQ420" s="416"/>
      <c r="TR420" s="416"/>
      <c r="TS420" s="416"/>
      <c r="TT420" s="416"/>
      <c r="TU420" s="416"/>
      <c r="TV420" s="416"/>
      <c r="TW420" s="416"/>
      <c r="TX420" s="416"/>
      <c r="TY420" s="416"/>
      <c r="TZ420" s="416"/>
      <c r="UA420" s="416"/>
      <c r="UB420" s="416"/>
      <c r="UC420" s="416"/>
      <c r="UD420" s="416"/>
      <c r="UE420" s="416"/>
      <c r="UF420" s="416"/>
      <c r="UG420" s="416"/>
      <c r="UH420" s="416"/>
      <c r="UI420" s="416"/>
      <c r="UJ420" s="416"/>
      <c r="UK420" s="416"/>
      <c r="UL420" s="416"/>
      <c r="UM420" s="416"/>
      <c r="UN420" s="416"/>
      <c r="UO420" s="416"/>
      <c r="UP420" s="416"/>
      <c r="UQ420" s="416"/>
      <c r="UR420" s="416"/>
      <c r="US420" s="416"/>
      <c r="UT420" s="416"/>
      <c r="UU420" s="416"/>
      <c r="UV420" s="416"/>
      <c r="UW420" s="416"/>
      <c r="UX420" s="416"/>
      <c r="UY420" s="416"/>
      <c r="UZ420" s="416"/>
      <c r="VA420" s="416"/>
      <c r="VB420" s="416"/>
      <c r="VC420" s="416"/>
      <c r="VD420" s="416"/>
      <c r="VE420" s="416"/>
      <c r="VF420" s="416"/>
      <c r="VG420" s="416"/>
      <c r="VH420" s="416"/>
      <c r="VI420" s="416"/>
      <c r="VJ420" s="416"/>
      <c r="VK420" s="416"/>
      <c r="VL420" s="416"/>
      <c r="VM420" s="416"/>
      <c r="VN420" s="416"/>
      <c r="VO420" s="416"/>
      <c r="VP420" s="416"/>
      <c r="VQ420" s="416"/>
      <c r="VR420" s="416"/>
      <c r="VS420" s="416"/>
      <c r="VT420" s="416"/>
      <c r="VU420" s="416"/>
      <c r="VV420" s="416"/>
      <c r="VW420" s="416"/>
      <c r="VX420" s="416"/>
      <c r="VY420" s="416"/>
      <c r="VZ420" s="416"/>
      <c r="WA420" s="416"/>
      <c r="WB420" s="416"/>
      <c r="WC420" s="416"/>
      <c r="WD420" s="416"/>
      <c r="WE420" s="416"/>
      <c r="WF420" s="416"/>
      <c r="WG420" s="416"/>
      <c r="WH420" s="416"/>
      <c r="WI420" s="416"/>
      <c r="WJ420" s="416"/>
      <c r="WK420" s="416"/>
      <c r="WL420" s="416"/>
      <c r="WM420" s="416"/>
      <c r="WN420" s="416"/>
      <c r="WO420" s="416"/>
      <c r="WP420" s="416"/>
      <c r="WQ420" s="416"/>
      <c r="WR420" s="416"/>
      <c r="WS420" s="416"/>
      <c r="WT420" s="416"/>
      <c r="WU420" s="416"/>
      <c r="WV420" s="416"/>
      <c r="WW420" s="416"/>
      <c r="WX420" s="416"/>
      <c r="WY420" s="416"/>
      <c r="WZ420" s="416"/>
      <c r="XA420" s="416"/>
      <c r="XB420" s="416"/>
      <c r="XC420" s="416"/>
      <c r="XD420" s="416"/>
      <c r="XE420" s="416"/>
      <c r="XF420" s="416"/>
      <c r="XG420" s="416"/>
      <c r="XH420" s="416"/>
      <c r="XI420" s="416"/>
      <c r="XJ420" s="416"/>
      <c r="XK420" s="416"/>
      <c r="XL420" s="416"/>
      <c r="XM420" s="416"/>
      <c r="XN420" s="416"/>
      <c r="XO420" s="416"/>
      <c r="XP420" s="416"/>
      <c r="XQ420" s="416"/>
      <c r="XR420" s="416"/>
      <c r="XS420" s="416"/>
      <c r="XT420" s="416"/>
      <c r="XU420" s="416"/>
      <c r="XV420" s="416"/>
      <c r="XW420" s="416"/>
      <c r="XX420" s="416"/>
      <c r="XY420" s="416"/>
      <c r="XZ420" s="416"/>
      <c r="YA420" s="416"/>
      <c r="YB420" s="416"/>
      <c r="YC420" s="416"/>
      <c r="YD420" s="416"/>
      <c r="YE420" s="416"/>
      <c r="YF420" s="416"/>
      <c r="YG420" s="416"/>
      <c r="YH420" s="416"/>
      <c r="YI420" s="416"/>
      <c r="YJ420" s="416"/>
      <c r="YK420" s="416"/>
      <c r="YL420" s="416"/>
      <c r="YM420" s="416"/>
      <c r="YN420" s="416"/>
      <c r="YO420" s="416"/>
      <c r="YP420" s="416"/>
      <c r="YQ420" s="416"/>
      <c r="YR420" s="416"/>
      <c r="YS420" s="416"/>
      <c r="YT420" s="416"/>
      <c r="YU420" s="416"/>
      <c r="YV420" s="416"/>
      <c r="YW420" s="416"/>
      <c r="YX420" s="416"/>
      <c r="YY420" s="416"/>
      <c r="YZ420" s="416"/>
      <c r="ZA420" s="416"/>
      <c r="ZB420" s="416"/>
      <c r="ZC420" s="416"/>
      <c r="ZD420" s="416"/>
      <c r="ZE420" s="416"/>
      <c r="ZF420" s="416"/>
      <c r="ZG420" s="416"/>
      <c r="ZH420" s="416"/>
      <c r="ZI420" s="416"/>
      <c r="ZJ420" s="416"/>
      <c r="ZK420" s="416"/>
      <c r="ZL420" s="416"/>
      <c r="ZM420" s="416"/>
      <c r="ZN420" s="416"/>
      <c r="ZO420" s="416"/>
      <c r="ZP420" s="416"/>
      <c r="ZQ420" s="416"/>
      <c r="ZR420" s="416"/>
      <c r="ZS420" s="416"/>
      <c r="ZT420" s="416"/>
      <c r="ZU420" s="416"/>
      <c r="ZV420" s="416"/>
      <c r="ZW420" s="416"/>
      <c r="ZX420" s="416"/>
      <c r="ZY420" s="416"/>
      <c r="ZZ420" s="416"/>
      <c r="AAA420" s="416"/>
      <c r="AAB420" s="416"/>
      <c r="AAC420" s="416"/>
      <c r="AAD420" s="416"/>
      <c r="AAE420" s="416"/>
      <c r="AAF420" s="416"/>
      <c r="AAG420" s="416"/>
      <c r="AAH420" s="416"/>
      <c r="AAI420" s="416"/>
      <c r="AAJ420" s="416"/>
      <c r="AAK420" s="416"/>
      <c r="AAL420" s="416"/>
      <c r="AAM420" s="416"/>
      <c r="AAN420" s="416"/>
      <c r="AAO420" s="416"/>
      <c r="AAP420" s="416"/>
      <c r="AAQ420" s="416"/>
      <c r="AAR420" s="416"/>
      <c r="AAS420" s="416"/>
      <c r="AAT420" s="416"/>
      <c r="AAU420" s="416"/>
      <c r="AAV420" s="416"/>
      <c r="AAW420" s="416"/>
      <c r="AAX420" s="416"/>
      <c r="AAY420" s="416"/>
      <c r="AAZ420" s="416"/>
      <c r="ABA420" s="416"/>
      <c r="ABB420" s="416"/>
      <c r="ABC420" s="416"/>
      <c r="ABD420" s="416"/>
      <c r="ABE420" s="416"/>
      <c r="ABF420" s="416"/>
      <c r="ABG420" s="416"/>
      <c r="ABH420" s="416"/>
      <c r="ABI420" s="416"/>
      <c r="ABJ420" s="416"/>
      <c r="ABK420" s="416"/>
      <c r="ABL420" s="416"/>
      <c r="ABM420" s="416"/>
      <c r="ABN420" s="416"/>
      <c r="ABO420" s="416"/>
      <c r="ABP420" s="416"/>
      <c r="ABQ420" s="416"/>
      <c r="ABR420" s="416"/>
      <c r="ABS420" s="416"/>
      <c r="ABT420" s="416"/>
      <c r="ABU420" s="416"/>
      <c r="ABV420" s="416"/>
      <c r="ABW420" s="416"/>
      <c r="ABX420" s="416"/>
      <c r="ABY420" s="416"/>
      <c r="ABZ420" s="416"/>
      <c r="ACA420" s="416"/>
      <c r="ACB420" s="416"/>
      <c r="ACC420" s="416"/>
      <c r="ACD420" s="416"/>
      <c r="ACE420" s="416"/>
      <c r="ACF420" s="416"/>
      <c r="ACG420" s="416"/>
      <c r="ACH420" s="416"/>
      <c r="ACI420" s="416"/>
      <c r="ACJ420" s="416"/>
      <c r="ACK420" s="416"/>
      <c r="ACL420" s="416"/>
      <c r="ACM420" s="416"/>
      <c r="ACN420" s="416"/>
      <c r="ACO420" s="416"/>
      <c r="ACP420" s="416"/>
      <c r="ACQ420" s="416"/>
      <c r="ACR420" s="416"/>
      <c r="ACS420" s="416"/>
      <c r="ACT420" s="416"/>
      <c r="ACU420" s="416"/>
      <c r="ACV420" s="416"/>
      <c r="ACW420" s="416"/>
      <c r="ACX420" s="416"/>
      <c r="ACY420" s="416"/>
      <c r="ACZ420" s="416"/>
      <c r="ADA420" s="416"/>
      <c r="ADB420" s="416"/>
      <c r="ADC420" s="416"/>
      <c r="ADD420" s="416"/>
      <c r="ADE420" s="416"/>
      <c r="ADF420" s="416"/>
      <c r="ADG420" s="416"/>
      <c r="ADH420" s="416"/>
      <c r="ADI420" s="416"/>
      <c r="ADJ420" s="416"/>
      <c r="ADK420" s="416"/>
      <c r="ADL420" s="416"/>
      <c r="ADM420" s="416"/>
      <c r="ADN420" s="416"/>
      <c r="ADO420" s="416"/>
      <c r="ADP420" s="416"/>
      <c r="ADQ420" s="416"/>
      <c r="ADR420" s="416"/>
      <c r="ADS420" s="416"/>
      <c r="ADT420" s="416"/>
      <c r="ADU420" s="416"/>
      <c r="ADV420" s="416"/>
      <c r="ADW420" s="416"/>
      <c r="ADX420" s="416"/>
      <c r="ADY420" s="416"/>
      <c r="ADZ420" s="416"/>
      <c r="AEA420" s="416"/>
      <c r="AEB420" s="416"/>
      <c r="AEC420" s="416"/>
      <c r="AED420" s="416"/>
      <c r="AEE420" s="416"/>
      <c r="AEF420" s="416"/>
      <c r="AEG420" s="416"/>
      <c r="AEH420" s="416"/>
      <c r="AEI420" s="416"/>
      <c r="AEJ420" s="416"/>
      <c r="AEK420" s="416"/>
      <c r="AEL420" s="416"/>
      <c r="AEM420" s="416"/>
      <c r="AEN420" s="416"/>
      <c r="AEO420" s="416"/>
      <c r="AEP420" s="416"/>
      <c r="AEQ420" s="416"/>
      <c r="AER420" s="416"/>
      <c r="AES420" s="416"/>
      <c r="AET420" s="416"/>
      <c r="AEU420" s="416"/>
      <c r="AEV420" s="416"/>
      <c r="AEW420" s="416"/>
      <c r="AEX420" s="416"/>
      <c r="AEY420" s="416"/>
      <c r="AEZ420" s="416"/>
      <c r="AFA420" s="416"/>
      <c r="AFB420" s="416"/>
      <c r="AFC420" s="416"/>
      <c r="AFD420" s="416"/>
      <c r="AFE420" s="416"/>
      <c r="AFF420" s="416"/>
      <c r="AFG420" s="416"/>
      <c r="AFH420" s="416"/>
      <c r="AFI420" s="416"/>
      <c r="AFJ420" s="416"/>
      <c r="AFK420" s="416"/>
      <c r="AFL420" s="416"/>
      <c r="AFM420" s="416"/>
      <c r="AFN420" s="416"/>
      <c r="AFO420" s="416"/>
      <c r="AFP420" s="416"/>
      <c r="AFQ420" s="416"/>
      <c r="AFR420" s="416"/>
      <c r="AFS420" s="416"/>
      <c r="AFT420" s="416"/>
      <c r="AFU420" s="416"/>
      <c r="AFV420" s="416"/>
      <c r="AFW420" s="416"/>
      <c r="AFX420" s="416"/>
      <c r="AFY420" s="416"/>
      <c r="AFZ420" s="416"/>
      <c r="AGA420" s="416"/>
      <c r="AGB420" s="416"/>
      <c r="AGC420" s="416"/>
      <c r="AGD420" s="416"/>
      <c r="AGE420" s="416"/>
      <c r="AGF420" s="416"/>
      <c r="AGG420" s="416"/>
      <c r="AGH420" s="416"/>
      <c r="AGI420" s="416"/>
      <c r="AGJ420" s="416"/>
      <c r="AGK420" s="416"/>
      <c r="AGL420" s="416"/>
      <c r="AGM420" s="416"/>
      <c r="AGN420" s="416"/>
      <c r="AGO420" s="416"/>
      <c r="AGP420" s="416"/>
      <c r="AGQ420" s="416"/>
      <c r="AGR420" s="416"/>
      <c r="AGS420" s="416"/>
      <c r="AGT420" s="416"/>
      <c r="AGU420" s="416"/>
      <c r="AGV420" s="416"/>
      <c r="AGW420" s="416"/>
      <c r="AGX420" s="416"/>
      <c r="AGY420" s="416"/>
      <c r="AGZ420" s="416"/>
      <c r="AHA420" s="416"/>
      <c r="AHB420" s="416"/>
      <c r="AHC420" s="416"/>
      <c r="AHD420" s="416"/>
      <c r="AHE420" s="416"/>
      <c r="AHF420" s="416"/>
      <c r="AHG420" s="416"/>
      <c r="AHH420" s="416"/>
      <c r="AHI420" s="416"/>
      <c r="AHJ420" s="416"/>
      <c r="AHK420" s="416"/>
      <c r="AHL420" s="416"/>
      <c r="AHM420" s="416"/>
      <c r="AHN420" s="416"/>
      <c r="AHO420" s="416"/>
      <c r="AHP420" s="416"/>
      <c r="AHQ420" s="416"/>
      <c r="AHR420" s="416"/>
      <c r="AHS420" s="416"/>
      <c r="AHT420" s="416"/>
      <c r="AHU420" s="416"/>
      <c r="AHV420" s="416"/>
      <c r="AHW420" s="416"/>
      <c r="AHX420" s="416"/>
      <c r="AHY420" s="416"/>
      <c r="AHZ420" s="416"/>
      <c r="AIA420" s="416"/>
      <c r="AIB420" s="416"/>
      <c r="AIC420" s="416"/>
      <c r="AID420" s="416"/>
      <c r="AIE420" s="416"/>
      <c r="AIF420" s="416"/>
      <c r="AIG420" s="416"/>
      <c r="AIH420" s="416"/>
      <c r="AII420" s="416"/>
      <c r="AIJ420" s="416"/>
      <c r="AIK420" s="416"/>
      <c r="AIL420" s="416"/>
      <c r="AIM420" s="416"/>
      <c r="AIN420" s="416"/>
      <c r="AIO420" s="416"/>
      <c r="AIP420" s="416"/>
      <c r="AIQ420" s="416"/>
      <c r="AIR420" s="416"/>
      <c r="AIS420" s="416"/>
      <c r="AIT420" s="416"/>
      <c r="AIU420" s="416"/>
      <c r="AIV420" s="416"/>
      <c r="AIW420" s="416"/>
      <c r="AIX420" s="416"/>
      <c r="AIY420" s="416"/>
      <c r="AIZ420" s="416"/>
      <c r="AJA420" s="416"/>
      <c r="AJB420" s="416"/>
      <c r="AJC420" s="416"/>
      <c r="AJD420" s="416"/>
      <c r="AJE420" s="416"/>
      <c r="AJF420" s="416"/>
      <c r="AJG420" s="416"/>
      <c r="AJH420" s="416"/>
      <c r="AJI420" s="416"/>
      <c r="AJJ420" s="416"/>
      <c r="AJK420" s="416"/>
      <c r="AJL420" s="416"/>
      <c r="AJM420" s="416"/>
      <c r="AJN420" s="416"/>
      <c r="AJO420" s="416"/>
      <c r="AJP420" s="416"/>
      <c r="AJQ420" s="416"/>
      <c r="AJR420" s="416"/>
      <c r="AJS420" s="416"/>
      <c r="AJT420" s="416"/>
      <c r="AJU420" s="416"/>
      <c r="AJV420" s="416"/>
      <c r="AJW420" s="416"/>
      <c r="AJX420" s="416"/>
      <c r="AJY420" s="416"/>
      <c r="AJZ420" s="416"/>
      <c r="AKA420" s="416"/>
      <c r="AKB420" s="416"/>
      <c r="AKC420" s="416"/>
      <c r="AKD420" s="416"/>
      <c r="AKE420" s="416"/>
      <c r="AKF420" s="416"/>
      <c r="AKG420" s="416"/>
      <c r="AKH420" s="416"/>
      <c r="AKI420" s="416"/>
      <c r="AKJ420" s="416"/>
      <c r="AKK420" s="416"/>
      <c r="AKL420" s="416"/>
      <c r="AKM420" s="416"/>
      <c r="AKN420" s="416"/>
      <c r="AKO420" s="416"/>
      <c r="AKP420" s="416"/>
      <c r="AKQ420" s="416"/>
      <c r="AKR420" s="416"/>
      <c r="AKS420" s="416"/>
      <c r="AKT420" s="416"/>
      <c r="AKU420" s="416"/>
      <c r="AKV420" s="416"/>
      <c r="AKW420" s="416"/>
      <c r="AKX420" s="416"/>
      <c r="AKY420" s="416"/>
      <c r="AKZ420" s="416"/>
      <c r="ALA420" s="416"/>
      <c r="ALB420" s="416"/>
      <c r="ALC420" s="416"/>
      <c r="ALD420" s="416"/>
      <c r="ALE420" s="416"/>
      <c r="ALF420" s="416"/>
      <c r="ALG420" s="416"/>
      <c r="ALH420" s="416"/>
      <c r="ALI420" s="416"/>
      <c r="ALJ420" s="416"/>
      <c r="ALK420" s="416"/>
      <c r="ALL420" s="416"/>
      <c r="ALM420" s="416"/>
      <c r="ALN420" s="416"/>
      <c r="ALO420" s="416"/>
      <c r="ALP420" s="416"/>
      <c r="ALQ420" s="416"/>
      <c r="ALR420" s="416"/>
      <c r="ALS420" s="416"/>
      <c r="ALT420" s="416"/>
      <c r="ALU420" s="416"/>
      <c r="ALV420" s="416"/>
      <c r="ALW420" s="416"/>
      <c r="ALX420" s="416"/>
      <c r="ALY420" s="416"/>
      <c r="ALZ420" s="416"/>
      <c r="AMA420" s="416"/>
      <c r="AMB420" s="416"/>
      <c r="AMC420" s="416"/>
      <c r="AMD420" s="416"/>
      <c r="AME420" s="416"/>
      <c r="AMF420" s="416"/>
      <c r="AMG420" s="416"/>
      <c r="AMH420" s="416"/>
      <c r="AMI420" s="416"/>
      <c r="AMJ420" s="416"/>
      <c r="AMK420" s="416"/>
      <c r="AML420" s="416"/>
      <c r="AMM420" s="416"/>
      <c r="AMN420" s="416"/>
      <c r="AMO420" s="416"/>
      <c r="AMP420" s="416"/>
      <c r="AMQ420" s="416"/>
      <c r="AMR420" s="416"/>
      <c r="AMS420" s="416"/>
      <c r="AMT420" s="416"/>
      <c r="AMU420" s="416"/>
      <c r="AMV420" s="416"/>
      <c r="AMW420" s="416"/>
      <c r="AMX420" s="416"/>
      <c r="AMY420" s="416"/>
      <c r="AMZ420" s="416"/>
      <c r="ANA420" s="416"/>
      <c r="ANB420" s="416"/>
      <c r="ANC420" s="416"/>
      <c r="AND420" s="416"/>
      <c r="ANE420" s="416"/>
      <c r="ANF420" s="416"/>
      <c r="ANG420" s="416"/>
      <c r="ANH420" s="416"/>
      <c r="ANI420" s="416"/>
      <c r="ANJ420" s="416"/>
      <c r="ANK420" s="416"/>
      <c r="ANL420" s="416"/>
      <c r="ANM420" s="416"/>
      <c r="ANN420" s="416"/>
      <c r="ANO420" s="416"/>
      <c r="ANP420" s="416"/>
      <c r="ANQ420" s="416"/>
      <c r="ANR420" s="416"/>
      <c r="ANS420" s="416"/>
      <c r="ANT420" s="416"/>
      <c r="ANU420" s="416"/>
      <c r="ANV420" s="416"/>
      <c r="ANW420" s="416"/>
      <c r="ANX420" s="416"/>
      <c r="ANY420" s="416"/>
      <c r="ANZ420" s="416"/>
      <c r="AOA420" s="416"/>
      <c r="AOB420" s="416"/>
      <c r="AOC420" s="416"/>
      <c r="AOD420" s="416"/>
      <c r="AOE420" s="416"/>
      <c r="AOF420" s="416"/>
      <c r="AOG420" s="416"/>
      <c r="AOH420" s="416"/>
      <c r="AOI420" s="416"/>
      <c r="AOJ420" s="416"/>
      <c r="AOK420" s="416"/>
      <c r="AOL420" s="416"/>
      <c r="AOM420" s="416"/>
      <c r="AON420" s="416"/>
      <c r="AOO420" s="416"/>
      <c r="AOP420" s="416"/>
      <c r="AOQ420" s="416"/>
      <c r="AOR420" s="416"/>
      <c r="AOS420" s="416"/>
      <c r="AOT420" s="416"/>
      <c r="AOU420" s="416"/>
      <c r="AOV420" s="416"/>
      <c r="AOW420" s="416"/>
      <c r="AOX420" s="416"/>
      <c r="AOY420" s="416"/>
      <c r="AOZ420" s="416"/>
      <c r="APA420" s="416"/>
      <c r="APB420" s="416"/>
      <c r="APC420" s="416"/>
      <c r="APD420" s="416"/>
      <c r="APE420" s="416"/>
      <c r="APF420" s="416"/>
      <c r="APG420" s="416"/>
      <c r="APH420" s="416"/>
      <c r="API420" s="416"/>
      <c r="APJ420" s="416"/>
      <c r="APK420" s="416"/>
      <c r="APL420" s="416"/>
      <c r="APM420" s="416"/>
      <c r="APN420" s="416"/>
      <c r="APO420" s="416"/>
      <c r="APP420" s="416"/>
      <c r="APQ420" s="416"/>
      <c r="APR420" s="416"/>
      <c r="APS420" s="416"/>
      <c r="APT420" s="416"/>
      <c r="APU420" s="416"/>
      <c r="APV420" s="416"/>
      <c r="APW420" s="416"/>
      <c r="APX420" s="416"/>
      <c r="APY420" s="416"/>
      <c r="APZ420" s="416"/>
      <c r="AQA420" s="416"/>
      <c r="AQB420" s="416"/>
      <c r="AQC420" s="416"/>
      <c r="AQD420" s="416"/>
      <c r="AQE420" s="416"/>
      <c r="AQF420" s="416"/>
      <c r="AQG420" s="416"/>
      <c r="AQH420" s="416"/>
      <c r="AQI420" s="416"/>
      <c r="AQJ420" s="416"/>
      <c r="AQK420" s="416"/>
      <c r="AQL420" s="416"/>
      <c r="AQM420" s="416"/>
      <c r="AQN420" s="416"/>
      <c r="AQO420" s="416"/>
      <c r="AQP420" s="416"/>
      <c r="AQQ420" s="416"/>
      <c r="AQR420" s="416"/>
      <c r="AQS420" s="416"/>
      <c r="AQT420" s="416"/>
      <c r="AQU420" s="416"/>
      <c r="AQV420" s="416"/>
      <c r="AQW420" s="416"/>
      <c r="AQX420" s="416"/>
      <c r="AQY420" s="416"/>
      <c r="AQZ420" s="416"/>
      <c r="ARA420" s="416"/>
      <c r="ARB420" s="416"/>
      <c r="ARC420" s="416"/>
      <c r="ARD420" s="416"/>
      <c r="ARE420" s="416"/>
      <c r="ARF420" s="416"/>
      <c r="ARG420" s="416"/>
      <c r="ARH420" s="416"/>
      <c r="ARI420" s="416"/>
      <c r="ARJ420" s="416"/>
      <c r="ARK420" s="416"/>
      <c r="ARL420" s="416"/>
      <c r="ARM420" s="416"/>
      <c r="ARN420" s="416"/>
      <c r="ARO420" s="416"/>
      <c r="ARP420" s="416"/>
      <c r="ARQ420" s="416"/>
      <c r="ARR420" s="416"/>
      <c r="ARS420" s="416"/>
      <c r="ART420" s="416"/>
      <c r="ARU420" s="416"/>
      <c r="ARV420" s="416"/>
      <c r="ARW420" s="416"/>
      <c r="ARX420" s="416"/>
      <c r="ARY420" s="416"/>
      <c r="ARZ420" s="416"/>
      <c r="ASA420" s="416"/>
      <c r="ASB420" s="416"/>
      <c r="ASC420" s="416"/>
      <c r="ASD420" s="416"/>
      <c r="ASE420" s="416"/>
      <c r="ASF420" s="416"/>
      <c r="ASG420" s="416"/>
      <c r="ASH420" s="416"/>
      <c r="ASI420" s="416"/>
      <c r="ASJ420" s="416"/>
      <c r="ASK420" s="416"/>
      <c r="ASL420" s="416"/>
      <c r="ASM420" s="416"/>
      <c r="ASN420" s="416"/>
      <c r="ASO420" s="416"/>
      <c r="ASP420" s="416"/>
      <c r="ASQ420" s="416"/>
      <c r="ASR420" s="416"/>
      <c r="ASS420" s="416"/>
      <c r="AST420" s="416"/>
      <c r="ASU420" s="416"/>
      <c r="ASV420" s="416"/>
      <c r="ASW420" s="416"/>
      <c r="ASX420" s="416"/>
      <c r="ASY420" s="416"/>
      <c r="ASZ420" s="416"/>
      <c r="ATA420" s="416"/>
      <c r="ATB420" s="416"/>
      <c r="ATC420" s="416"/>
      <c r="ATD420" s="416"/>
      <c r="ATE420" s="416"/>
      <c r="ATF420" s="416"/>
      <c r="ATG420" s="416"/>
      <c r="ATH420" s="416"/>
      <c r="ATI420" s="416"/>
      <c r="ATJ420" s="416"/>
      <c r="ATK420" s="416"/>
      <c r="ATL420" s="416"/>
      <c r="ATM420" s="416"/>
      <c r="ATN420" s="416"/>
      <c r="ATO420" s="416"/>
      <c r="ATP420" s="416"/>
      <c r="ATQ420" s="416"/>
      <c r="ATR420" s="416"/>
      <c r="ATS420" s="416"/>
      <c r="ATT420" s="416"/>
      <c r="ATU420" s="416"/>
      <c r="ATV420" s="416"/>
      <c r="ATW420" s="416"/>
      <c r="ATX420" s="416"/>
      <c r="ATY420" s="416"/>
      <c r="ATZ420" s="416"/>
      <c r="AUA420" s="416"/>
      <c r="AUB420" s="416"/>
      <c r="AUC420" s="416"/>
      <c r="AUD420" s="416"/>
      <c r="AUE420" s="416"/>
      <c r="AUF420" s="416"/>
      <c r="AUG420" s="416"/>
      <c r="AUH420" s="416"/>
      <c r="AUI420" s="416"/>
      <c r="AUJ420" s="416"/>
      <c r="AUK420" s="416"/>
      <c r="AUL420" s="416"/>
      <c r="AUM420" s="416"/>
      <c r="AUN420" s="416"/>
      <c r="AUO420" s="416"/>
      <c r="AUP420" s="416"/>
      <c r="AUQ420" s="416"/>
      <c r="AUR420" s="416"/>
      <c r="AUS420" s="416"/>
      <c r="AUT420" s="416"/>
      <c r="AUU420" s="416"/>
      <c r="AUV420" s="416"/>
      <c r="AUW420" s="416"/>
      <c r="AUX420" s="416"/>
      <c r="AUY420" s="416"/>
      <c r="AUZ420" s="416"/>
      <c r="AVA420" s="416"/>
      <c r="AVB420" s="416"/>
      <c r="AVC420" s="416"/>
      <c r="AVD420" s="416"/>
      <c r="AVE420" s="416"/>
      <c r="AVF420" s="416"/>
      <c r="AVG420" s="416"/>
      <c r="AVH420" s="416"/>
      <c r="AVI420" s="416"/>
      <c r="AVJ420" s="416"/>
      <c r="AVK420" s="416"/>
      <c r="AVL420" s="416"/>
      <c r="AVM420" s="416"/>
      <c r="AVN420" s="416"/>
      <c r="AVO420" s="416"/>
      <c r="AVP420" s="416"/>
      <c r="AVQ420" s="416"/>
      <c r="AVR420" s="416"/>
      <c r="AVS420" s="416"/>
      <c r="AVT420" s="416"/>
      <c r="AVU420" s="416"/>
      <c r="AVV420" s="416"/>
      <c r="AVW420" s="416"/>
      <c r="AVX420" s="416"/>
      <c r="AVY420" s="416"/>
      <c r="AVZ420" s="416"/>
      <c r="AWA420" s="416"/>
      <c r="AWB420" s="416"/>
      <c r="AWC420" s="416"/>
      <c r="AWD420" s="416"/>
      <c r="AWE420" s="416"/>
      <c r="AWF420" s="416"/>
      <c r="AWG420" s="416"/>
      <c r="AWH420" s="416"/>
      <c r="AWI420" s="416"/>
      <c r="AWJ420" s="416"/>
      <c r="AWK420" s="416"/>
      <c r="AWL420" s="416"/>
      <c r="AWM420" s="416"/>
      <c r="AWN420" s="416"/>
      <c r="AWO420" s="416"/>
      <c r="AWP420" s="416"/>
      <c r="AWQ420" s="416"/>
      <c r="AWR420" s="416"/>
      <c r="AWS420" s="416"/>
      <c r="AWT420" s="416"/>
      <c r="AWU420" s="416"/>
      <c r="AWV420" s="416"/>
      <c r="AWW420" s="416"/>
      <c r="AWX420" s="416"/>
      <c r="AWY420" s="416"/>
      <c r="AWZ420" s="416"/>
      <c r="AXA420" s="416"/>
      <c r="AXB420" s="416"/>
      <c r="AXC420" s="416"/>
      <c r="AXD420" s="416"/>
      <c r="AXE420" s="416"/>
      <c r="AXF420" s="416"/>
      <c r="AXG420" s="416"/>
      <c r="AXH420" s="416"/>
      <c r="AXI420" s="416"/>
      <c r="AXJ420" s="416"/>
      <c r="AXK420" s="416"/>
      <c r="AXL420" s="416"/>
      <c r="AXM420" s="416"/>
      <c r="AXN420" s="416"/>
      <c r="AXO420" s="416"/>
      <c r="AXP420" s="416"/>
      <c r="AXQ420" s="416"/>
      <c r="AXR420" s="416"/>
      <c r="AXS420" s="416"/>
      <c r="AXT420" s="416"/>
      <c r="AXU420" s="416"/>
      <c r="AXV420" s="416"/>
      <c r="AXW420" s="416"/>
      <c r="AXX420" s="416"/>
      <c r="AXY420" s="416"/>
      <c r="AXZ420" s="416"/>
      <c r="AYA420" s="416"/>
      <c r="AYB420" s="416"/>
      <c r="AYC420" s="416"/>
      <c r="AYD420" s="416"/>
      <c r="AYE420" s="416"/>
      <c r="AYF420" s="416"/>
      <c r="AYG420" s="416"/>
      <c r="AYH420" s="416"/>
      <c r="AYI420" s="416"/>
      <c r="AYJ420" s="416"/>
      <c r="AYK420" s="416"/>
      <c r="AYL420" s="416"/>
      <c r="AYM420" s="416"/>
      <c r="AYN420" s="416"/>
      <c r="AYO420" s="416"/>
      <c r="AYP420" s="416"/>
      <c r="AYQ420" s="416"/>
      <c r="AYR420" s="416"/>
      <c r="AYS420" s="416"/>
      <c r="AYT420" s="416"/>
      <c r="AYU420" s="416"/>
      <c r="AYV420" s="416"/>
      <c r="AYW420" s="416"/>
      <c r="AYX420" s="416"/>
      <c r="AYY420" s="416"/>
      <c r="AYZ420" s="416"/>
      <c r="AZA420" s="416"/>
      <c r="AZB420" s="416"/>
      <c r="AZC420" s="416"/>
      <c r="AZD420" s="416"/>
      <c r="AZE420" s="416"/>
      <c r="AZF420" s="416"/>
      <c r="AZG420" s="416"/>
      <c r="AZH420" s="416"/>
      <c r="AZI420" s="416"/>
      <c r="AZJ420" s="416"/>
      <c r="AZK420" s="416"/>
      <c r="AZL420" s="416"/>
      <c r="AZM420" s="416"/>
      <c r="AZN420" s="416"/>
      <c r="AZO420" s="416"/>
      <c r="AZP420" s="416"/>
      <c r="AZQ420" s="416"/>
      <c r="AZR420" s="416"/>
      <c r="AZS420" s="416"/>
      <c r="AZT420" s="416"/>
      <c r="AZU420" s="416"/>
      <c r="AZV420" s="416"/>
      <c r="AZW420" s="416"/>
      <c r="AZX420" s="416"/>
      <c r="AZY420" s="416"/>
      <c r="AZZ420" s="416"/>
      <c r="BAA420" s="416"/>
      <c r="BAB420" s="416"/>
      <c r="BAC420" s="416"/>
      <c r="BAD420" s="416"/>
      <c r="BAE420" s="416"/>
      <c r="BAF420" s="416"/>
      <c r="BAG420" s="416"/>
      <c r="BAH420" s="416"/>
      <c r="BAI420" s="416"/>
      <c r="BAJ420" s="416"/>
      <c r="BAK420" s="416"/>
      <c r="BAL420" s="416"/>
      <c r="BAM420" s="416"/>
      <c r="BAN420" s="416"/>
      <c r="BAO420" s="416"/>
      <c r="BAP420" s="416"/>
      <c r="BAQ420" s="416"/>
      <c r="BAR420" s="416"/>
      <c r="BAS420" s="416"/>
      <c r="BAT420" s="416"/>
      <c r="BAU420" s="416"/>
      <c r="BAV420" s="416"/>
      <c r="BAW420" s="416"/>
      <c r="BAX420" s="416"/>
      <c r="BAY420" s="416"/>
      <c r="BAZ420" s="416"/>
      <c r="BBA420" s="416"/>
      <c r="BBB420" s="416"/>
      <c r="BBC420" s="416"/>
      <c r="BBD420" s="416"/>
      <c r="BBE420" s="416"/>
      <c r="BBF420" s="416"/>
      <c r="BBG420" s="416"/>
      <c r="BBH420" s="416"/>
      <c r="BBI420" s="416"/>
      <c r="BBJ420" s="416"/>
      <c r="BBK420" s="416"/>
      <c r="BBL420" s="416"/>
      <c r="BBM420" s="416"/>
      <c r="BBN420" s="416"/>
      <c r="BBO420" s="416"/>
      <c r="BBP420" s="416"/>
      <c r="BBQ420" s="416"/>
      <c r="BBR420" s="416"/>
      <c r="BBS420" s="416"/>
      <c r="BBT420" s="416"/>
      <c r="BBU420" s="416"/>
      <c r="BBV420" s="416"/>
      <c r="BBW420" s="416"/>
      <c r="BBX420" s="416"/>
      <c r="BBY420" s="416"/>
      <c r="BBZ420" s="416"/>
      <c r="BCA420" s="416"/>
      <c r="BCB420" s="416"/>
      <c r="BCC420" s="416"/>
      <c r="BCD420" s="416"/>
      <c r="BCE420" s="416"/>
      <c r="BCF420" s="416"/>
      <c r="BCG420" s="416"/>
      <c r="BCH420" s="416"/>
      <c r="BCI420" s="416"/>
      <c r="BCJ420" s="416"/>
      <c r="BCK420" s="416"/>
      <c r="BCL420" s="416"/>
      <c r="BCM420" s="416"/>
      <c r="BCN420" s="416"/>
      <c r="BCO420" s="416"/>
      <c r="BCP420" s="416"/>
      <c r="BCQ420" s="416"/>
      <c r="BCR420" s="416"/>
      <c r="BCS420" s="416"/>
      <c r="BCT420" s="416"/>
      <c r="BCU420" s="416"/>
      <c r="BCV420" s="416"/>
      <c r="BCW420" s="416"/>
      <c r="BCX420" s="416"/>
      <c r="BCY420" s="416"/>
      <c r="BCZ420" s="416"/>
      <c r="BDA420" s="416"/>
      <c r="BDB420" s="416"/>
      <c r="BDC420" s="416"/>
      <c r="BDD420" s="416"/>
      <c r="BDE420" s="416"/>
      <c r="BDF420" s="416"/>
      <c r="BDG420" s="416"/>
      <c r="BDH420" s="416"/>
      <c r="BDI420" s="416"/>
      <c r="BDJ420" s="416"/>
      <c r="BDK420" s="416"/>
      <c r="BDL420" s="416"/>
      <c r="BDM420" s="416"/>
      <c r="BDN420" s="416"/>
      <c r="BDO420" s="416"/>
      <c r="BDP420" s="416"/>
      <c r="BDQ420" s="416"/>
      <c r="BDR420" s="416"/>
      <c r="BDS420" s="416"/>
      <c r="BDT420" s="416"/>
      <c r="BDU420" s="416"/>
      <c r="BDV420" s="416"/>
      <c r="BDW420" s="416"/>
      <c r="BDX420" s="416"/>
      <c r="BDY420" s="416"/>
      <c r="BDZ420" s="416"/>
      <c r="BEA420" s="416"/>
      <c r="BEB420" s="416"/>
      <c r="BEC420" s="416"/>
      <c r="BED420" s="416"/>
      <c r="BEE420" s="416"/>
      <c r="BEF420" s="416"/>
      <c r="BEG420" s="416"/>
      <c r="BEH420" s="416"/>
      <c r="BEI420" s="416"/>
      <c r="BEJ420" s="416"/>
      <c r="BEK420" s="416"/>
      <c r="BEL420" s="416"/>
      <c r="BEM420" s="416"/>
      <c r="BEN420" s="416"/>
      <c r="BEO420" s="416"/>
      <c r="BEP420" s="416"/>
      <c r="BEQ420" s="416"/>
      <c r="BER420" s="416"/>
      <c r="BES420" s="416"/>
      <c r="BET420" s="416"/>
      <c r="BEU420" s="416"/>
      <c r="BEV420" s="416"/>
      <c r="BEW420" s="416"/>
      <c r="BEX420" s="416"/>
      <c r="BEY420" s="416"/>
      <c r="BEZ420" s="416"/>
      <c r="BFA420" s="416"/>
      <c r="BFB420" s="416"/>
      <c r="BFC420" s="416"/>
      <c r="BFD420" s="416"/>
      <c r="BFE420" s="416"/>
      <c r="BFF420" s="416"/>
      <c r="BFG420" s="416"/>
      <c r="BFH420" s="416"/>
      <c r="BFI420" s="416"/>
      <c r="BFJ420" s="416"/>
      <c r="BFK420" s="416"/>
      <c r="BFL420" s="416"/>
      <c r="BFM420" s="416"/>
      <c r="BFN420" s="416"/>
      <c r="BFO420" s="416"/>
      <c r="BFP420" s="416"/>
      <c r="BFQ420" s="416"/>
      <c r="BFR420" s="416"/>
      <c r="BFS420" s="416"/>
      <c r="BFT420" s="416"/>
      <c r="BFU420" s="416"/>
      <c r="BFV420" s="416"/>
      <c r="BFW420" s="416"/>
      <c r="BFX420" s="416"/>
      <c r="BFY420" s="416"/>
      <c r="BFZ420" s="416"/>
      <c r="BGA420" s="416"/>
      <c r="BGB420" s="416"/>
      <c r="BGC420" s="416"/>
      <c r="BGD420" s="416"/>
      <c r="BGE420" s="416"/>
      <c r="BGF420" s="416"/>
      <c r="BGG420" s="416"/>
      <c r="BGH420" s="416"/>
      <c r="BGI420" s="416"/>
      <c r="BGJ420" s="416"/>
      <c r="BGK420" s="416"/>
      <c r="BGL420" s="416"/>
      <c r="BGM420" s="416"/>
      <c r="BGN420" s="416"/>
      <c r="BGO420" s="416"/>
      <c r="BGP420" s="416"/>
      <c r="BGQ420" s="416"/>
      <c r="BGR420" s="416"/>
      <c r="BGS420" s="416"/>
      <c r="BGT420" s="416"/>
      <c r="BGU420" s="416"/>
      <c r="BGV420" s="416"/>
      <c r="BGW420" s="416"/>
      <c r="BGX420" s="416"/>
      <c r="BGY420" s="416"/>
      <c r="BGZ420" s="416"/>
      <c r="BHA420" s="416"/>
      <c r="BHB420" s="416"/>
      <c r="BHC420" s="416"/>
      <c r="BHD420" s="416"/>
      <c r="BHE420" s="416"/>
      <c r="BHF420" s="416"/>
      <c r="BHG420" s="416"/>
      <c r="BHH420" s="416"/>
      <c r="BHI420" s="416"/>
      <c r="BHJ420" s="416"/>
      <c r="BHK420" s="416"/>
      <c r="BHL420" s="416"/>
      <c r="BHM420" s="416"/>
      <c r="BHN420" s="416"/>
      <c r="BHO420" s="416"/>
      <c r="BHP420" s="416"/>
      <c r="BHQ420" s="416"/>
      <c r="BHR420" s="416"/>
      <c r="BHS420" s="416"/>
      <c r="BHT420" s="416"/>
      <c r="BHU420" s="416"/>
      <c r="BHV420" s="416"/>
      <c r="BHW420" s="416"/>
      <c r="BHX420" s="416"/>
      <c r="BHY420" s="416"/>
      <c r="BHZ420" s="416"/>
      <c r="BIA420" s="416"/>
      <c r="BIB420" s="416"/>
      <c r="BIC420" s="416"/>
      <c r="BID420" s="416"/>
      <c r="BIE420" s="416"/>
      <c r="BIF420" s="416"/>
      <c r="BIG420" s="416"/>
      <c r="BIH420" s="416"/>
      <c r="BII420" s="416"/>
      <c r="BIJ420" s="416"/>
      <c r="BIK420" s="416"/>
      <c r="BIL420" s="416"/>
      <c r="BIM420" s="416"/>
      <c r="BIN420" s="416"/>
      <c r="BIO420" s="416"/>
      <c r="BIP420" s="416"/>
      <c r="BIQ420" s="416"/>
      <c r="BIR420" s="416"/>
      <c r="BIS420" s="416"/>
      <c r="BIT420" s="416"/>
      <c r="BIU420" s="416"/>
      <c r="BIV420" s="416"/>
      <c r="BIW420" s="416"/>
      <c r="BIX420" s="416"/>
      <c r="BIY420" s="416"/>
      <c r="BIZ420" s="416"/>
      <c r="BJA420" s="416"/>
      <c r="BJB420" s="416"/>
      <c r="BJC420" s="416"/>
      <c r="BJD420" s="416"/>
      <c r="BJE420" s="416"/>
      <c r="BJF420" s="416"/>
      <c r="BJG420" s="416"/>
      <c r="BJH420" s="416"/>
      <c r="BJI420" s="416"/>
      <c r="BJJ420" s="416"/>
      <c r="BJK420" s="416"/>
      <c r="BJL420" s="416"/>
      <c r="BJM420" s="416"/>
      <c r="BJN420" s="416"/>
      <c r="BJO420" s="416"/>
      <c r="BJP420" s="416"/>
      <c r="BJQ420" s="416"/>
      <c r="BJR420" s="416"/>
      <c r="BJS420" s="416"/>
      <c r="BJT420" s="416"/>
      <c r="BJU420" s="416"/>
      <c r="BJV420" s="416"/>
      <c r="BJW420" s="416"/>
      <c r="BJX420" s="416"/>
      <c r="BJY420" s="416"/>
      <c r="BJZ420" s="416"/>
      <c r="BKA420" s="416"/>
      <c r="BKB420" s="416"/>
      <c r="BKC420" s="416"/>
      <c r="BKD420" s="416"/>
      <c r="BKE420" s="416"/>
      <c r="BKF420" s="416"/>
      <c r="BKG420" s="416"/>
      <c r="BKH420" s="416"/>
      <c r="BKI420" s="416"/>
      <c r="BKJ420" s="416"/>
      <c r="BKK420" s="416"/>
      <c r="BKL420" s="416"/>
      <c r="BKM420" s="416"/>
      <c r="BKN420" s="416"/>
      <c r="BKO420" s="416"/>
      <c r="BKP420" s="416"/>
      <c r="BKQ420" s="416"/>
      <c r="BKR420" s="416"/>
      <c r="BKS420" s="416"/>
      <c r="BKT420" s="416"/>
      <c r="BKU420" s="416"/>
      <c r="BKV420" s="416"/>
      <c r="BKW420" s="416"/>
      <c r="BKX420" s="416"/>
      <c r="BKY420" s="416"/>
      <c r="BKZ420" s="416"/>
      <c r="BLA420" s="416"/>
      <c r="BLB420" s="416"/>
      <c r="BLC420" s="416"/>
      <c r="BLD420" s="416"/>
      <c r="BLE420" s="416"/>
      <c r="BLF420" s="416"/>
      <c r="BLG420" s="416"/>
      <c r="BLH420" s="416"/>
      <c r="BLI420" s="416"/>
      <c r="BLJ420" s="416"/>
      <c r="BLK420" s="416"/>
      <c r="BLL420" s="416"/>
      <c r="BLM420" s="416"/>
      <c r="BLN420" s="416"/>
      <c r="BLO420" s="416"/>
      <c r="BLP420" s="416"/>
      <c r="BLQ420" s="416"/>
      <c r="BLR420" s="416"/>
      <c r="BLS420" s="416"/>
      <c r="BLT420" s="416"/>
      <c r="BLU420" s="416"/>
      <c r="BLV420" s="416"/>
      <c r="BLW420" s="416"/>
      <c r="BLX420" s="416"/>
      <c r="BLY420" s="416"/>
      <c r="BLZ420" s="416"/>
      <c r="BMA420" s="416"/>
      <c r="BMB420" s="416"/>
      <c r="BMC420" s="416"/>
      <c r="BMD420" s="416"/>
      <c r="BME420" s="416"/>
      <c r="BMF420" s="416"/>
      <c r="BMG420" s="416"/>
      <c r="BMH420" s="416"/>
      <c r="BMI420" s="416"/>
      <c r="BMJ420" s="416"/>
      <c r="BMK420" s="416"/>
      <c r="BML420" s="416"/>
      <c r="BMM420" s="416"/>
      <c r="BMN420" s="416"/>
      <c r="BMO420" s="416"/>
      <c r="BMP420" s="416"/>
      <c r="BMQ420" s="416"/>
      <c r="BMR420" s="416"/>
      <c r="BMS420" s="416"/>
      <c r="BMT420" s="416"/>
      <c r="BMU420" s="416"/>
      <c r="BMV420" s="416"/>
      <c r="BMW420" s="416"/>
      <c r="BMX420" s="416"/>
      <c r="BMY420" s="416"/>
      <c r="BMZ420" s="416"/>
      <c r="BNA420" s="416"/>
      <c r="BNB420" s="416"/>
      <c r="BNC420" s="416"/>
      <c r="BND420" s="416"/>
      <c r="BNE420" s="416"/>
      <c r="BNF420" s="416"/>
      <c r="BNG420" s="416"/>
      <c r="BNH420" s="416"/>
      <c r="BNI420" s="416"/>
      <c r="BNJ420" s="416"/>
      <c r="BNK420" s="416"/>
      <c r="BNL420" s="416"/>
      <c r="BNM420" s="416"/>
      <c r="BNN420" s="416"/>
      <c r="BNO420" s="416"/>
      <c r="BNP420" s="416"/>
      <c r="BNQ420" s="416"/>
      <c r="BNR420" s="416"/>
      <c r="BNS420" s="416"/>
      <c r="BNT420" s="416"/>
      <c r="BNU420" s="416"/>
      <c r="BNV420" s="416"/>
      <c r="BNW420" s="416"/>
      <c r="BNX420" s="416"/>
      <c r="BNY420" s="416"/>
      <c r="BNZ420" s="416"/>
      <c r="BOA420" s="416"/>
      <c r="BOB420" s="416"/>
      <c r="BOC420" s="416"/>
      <c r="BOD420" s="416"/>
      <c r="BOE420" s="416"/>
      <c r="BOF420" s="416"/>
      <c r="BOG420" s="416"/>
      <c r="BOH420" s="416"/>
      <c r="BOI420" s="416"/>
      <c r="BOJ420" s="416"/>
      <c r="BOK420" s="416"/>
      <c r="BOL420" s="416"/>
      <c r="BOM420" s="416"/>
      <c r="BON420" s="416"/>
      <c r="BOO420" s="416"/>
      <c r="BOP420" s="416"/>
      <c r="BOQ420" s="416"/>
      <c r="BOR420" s="416"/>
      <c r="BOS420" s="416"/>
      <c r="BOT420" s="416"/>
      <c r="BOU420" s="416"/>
      <c r="BOV420" s="416"/>
      <c r="BOW420" s="416"/>
      <c r="BOX420" s="416"/>
      <c r="BOY420" s="416"/>
      <c r="BOZ420" s="416"/>
      <c r="BPA420" s="416"/>
      <c r="BPB420" s="416"/>
      <c r="BPC420" s="416"/>
      <c r="BPD420" s="416"/>
      <c r="BPE420" s="416"/>
      <c r="BPF420" s="416"/>
      <c r="BPG420" s="416"/>
      <c r="BPH420" s="416"/>
      <c r="BPI420" s="416"/>
      <c r="BPJ420" s="416"/>
      <c r="BPK420" s="416"/>
      <c r="BPL420" s="416"/>
      <c r="BPM420" s="416"/>
      <c r="BPN420" s="416"/>
      <c r="BPO420" s="416"/>
      <c r="BPP420" s="416"/>
      <c r="BPQ420" s="416"/>
      <c r="BPR420" s="416"/>
      <c r="BPS420" s="416"/>
      <c r="BPT420" s="416"/>
      <c r="BPU420" s="416"/>
      <c r="BPV420" s="416"/>
      <c r="BPW420" s="416"/>
      <c r="BPX420" s="416"/>
      <c r="BPY420" s="416"/>
      <c r="BPZ420" s="416"/>
      <c r="BQA420" s="416"/>
      <c r="BQB420" s="416"/>
      <c r="BQC420" s="416"/>
      <c r="BQD420" s="416"/>
      <c r="BQE420" s="416"/>
      <c r="BQF420" s="416"/>
      <c r="BQG420" s="416"/>
      <c r="BQH420" s="416"/>
      <c r="BQI420" s="416"/>
      <c r="BQJ420" s="416"/>
      <c r="BQK420" s="416"/>
      <c r="BQL420" s="416"/>
      <c r="BQM420" s="416"/>
      <c r="BQN420" s="416"/>
      <c r="BQO420" s="416"/>
      <c r="BQP420" s="416"/>
      <c r="BQQ420" s="416"/>
      <c r="BQR420" s="416"/>
      <c r="BQS420" s="416"/>
      <c r="BQT420" s="416"/>
      <c r="BQU420" s="416"/>
      <c r="BQV420" s="416"/>
      <c r="BQW420" s="416"/>
      <c r="BQX420" s="416"/>
      <c r="BQY420" s="416"/>
      <c r="BQZ420" s="416"/>
      <c r="BRA420" s="416"/>
      <c r="BRB420" s="416"/>
      <c r="BRC420" s="416"/>
      <c r="BRD420" s="416"/>
      <c r="BRE420" s="416"/>
      <c r="BRF420" s="416"/>
      <c r="BRG420" s="416"/>
      <c r="BRH420" s="416"/>
      <c r="BRI420" s="416"/>
      <c r="BRJ420" s="416"/>
      <c r="BRK420" s="416"/>
      <c r="BRL420" s="416"/>
      <c r="BRM420" s="416"/>
      <c r="BRN420" s="416"/>
      <c r="BRO420" s="416"/>
      <c r="BRP420" s="416"/>
      <c r="BRQ420" s="416"/>
      <c r="BRR420" s="416"/>
      <c r="BRS420" s="416"/>
      <c r="BRT420" s="416"/>
      <c r="BRU420" s="416"/>
      <c r="BRV420" s="416"/>
      <c r="BRW420" s="416"/>
      <c r="BRX420" s="416"/>
      <c r="BRY420" s="416"/>
      <c r="BRZ420" s="416"/>
      <c r="BSA420" s="416"/>
      <c r="BSB420" s="416"/>
      <c r="BSC420" s="416"/>
      <c r="BSD420" s="416"/>
      <c r="BSE420" s="416"/>
      <c r="BSF420" s="416"/>
      <c r="BSG420" s="416"/>
      <c r="BSH420" s="416"/>
      <c r="BSI420" s="416"/>
      <c r="BSJ420" s="416"/>
      <c r="BSK420" s="416"/>
      <c r="BSL420" s="416"/>
      <c r="BSM420" s="416"/>
      <c r="BSN420" s="416"/>
      <c r="BSO420" s="416"/>
      <c r="BSP420" s="416"/>
      <c r="BSQ420" s="416"/>
      <c r="BSR420" s="416"/>
      <c r="BSS420" s="416"/>
      <c r="BST420" s="416"/>
      <c r="BSU420" s="416"/>
      <c r="BSV420" s="416"/>
      <c r="BSW420" s="416"/>
      <c r="BSX420" s="416"/>
      <c r="BSY420" s="416"/>
      <c r="BSZ420" s="416"/>
      <c r="BTA420" s="416"/>
      <c r="BTB420" s="416"/>
      <c r="BTC420" s="416"/>
      <c r="BTD420" s="416"/>
      <c r="BTE420" s="416"/>
      <c r="BTF420" s="416"/>
      <c r="BTG420" s="416"/>
      <c r="BTH420" s="416"/>
      <c r="BTI420" s="416"/>
      <c r="BTJ420" s="416"/>
      <c r="BTK420" s="416"/>
      <c r="BTL420" s="416"/>
      <c r="BTM420" s="416"/>
      <c r="BTN420" s="416"/>
      <c r="BTO420" s="416"/>
      <c r="BTP420" s="416"/>
      <c r="BTQ420" s="416"/>
      <c r="BTR420" s="416"/>
      <c r="BTS420" s="416"/>
      <c r="BTT420" s="416"/>
      <c r="BTU420" s="416"/>
      <c r="BTV420" s="416"/>
      <c r="BTW420" s="416"/>
      <c r="BTX420" s="416"/>
      <c r="BTY420" s="416"/>
      <c r="BTZ420" s="416"/>
      <c r="BUA420" s="416"/>
      <c r="BUB420" s="416"/>
      <c r="BUC420" s="416"/>
      <c r="BUD420" s="416"/>
      <c r="BUE420" s="416"/>
      <c r="BUF420" s="416"/>
      <c r="BUG420" s="416"/>
      <c r="BUH420" s="416"/>
      <c r="BUI420" s="416"/>
      <c r="BUJ420" s="416"/>
      <c r="BUK420" s="416"/>
      <c r="BUL420" s="416"/>
      <c r="BUM420" s="416"/>
      <c r="BUN420" s="416"/>
      <c r="BUO420" s="416"/>
      <c r="BUP420" s="416"/>
      <c r="BUQ420" s="416"/>
      <c r="BUR420" s="416"/>
      <c r="BUS420" s="416"/>
      <c r="BUT420" s="416"/>
      <c r="BUU420" s="416"/>
      <c r="BUV420" s="416"/>
      <c r="BUW420" s="416"/>
      <c r="BUX420" s="416"/>
      <c r="BUY420" s="416"/>
      <c r="BUZ420" s="416"/>
      <c r="BVA420" s="416"/>
      <c r="BVB420" s="416"/>
      <c r="BVC420" s="416"/>
      <c r="BVD420" s="416"/>
      <c r="BVE420" s="416"/>
      <c r="BVF420" s="416"/>
      <c r="BVG420" s="416"/>
      <c r="BVH420" s="416"/>
      <c r="BVI420" s="416"/>
      <c r="BVJ420" s="416"/>
      <c r="BVK420" s="416"/>
      <c r="BVL420" s="416"/>
      <c r="BVM420" s="416"/>
      <c r="BVN420" s="416"/>
      <c r="BVO420" s="416"/>
      <c r="BVP420" s="416"/>
      <c r="BVQ420" s="416"/>
      <c r="BVR420" s="416"/>
      <c r="BVS420" s="416"/>
      <c r="BVT420" s="416"/>
      <c r="BVU420" s="416"/>
      <c r="BVV420" s="416"/>
      <c r="BVW420" s="416"/>
      <c r="BVX420" s="416"/>
      <c r="BVY420" s="416"/>
      <c r="BVZ420" s="416"/>
      <c r="BWA420" s="416"/>
      <c r="BWB420" s="416"/>
      <c r="BWC420" s="416"/>
      <c r="BWD420" s="416"/>
      <c r="BWE420" s="416"/>
      <c r="BWF420" s="416"/>
      <c r="BWG420" s="416"/>
      <c r="BWH420" s="416"/>
      <c r="BWI420" s="416"/>
      <c r="BWJ420" s="416"/>
      <c r="BWK420" s="416"/>
      <c r="BWL420" s="416"/>
      <c r="BWM420" s="416"/>
      <c r="BWN420" s="416"/>
      <c r="BWO420" s="416"/>
      <c r="BWP420" s="416"/>
      <c r="BWQ420" s="416"/>
      <c r="BWR420" s="416"/>
      <c r="BWS420" s="416"/>
      <c r="BWT420" s="416"/>
      <c r="BWU420" s="416"/>
      <c r="BWV420" s="416"/>
      <c r="BWW420" s="416"/>
      <c r="BWX420" s="416"/>
      <c r="BWY420" s="416"/>
      <c r="BWZ420" s="416"/>
      <c r="BXA420" s="416"/>
      <c r="BXB420" s="416"/>
      <c r="BXC420" s="416"/>
      <c r="BXD420" s="416"/>
      <c r="BXE420" s="416"/>
      <c r="BXF420" s="416"/>
      <c r="BXG420" s="416"/>
      <c r="BXH420" s="416"/>
      <c r="BXI420" s="416"/>
      <c r="BXJ420" s="416"/>
      <c r="BXK420" s="416"/>
      <c r="BXL420" s="416"/>
      <c r="BXM420" s="416"/>
      <c r="BXN420" s="416"/>
      <c r="BXO420" s="416"/>
      <c r="BXP420" s="416"/>
      <c r="BXQ420" s="416"/>
      <c r="BXR420" s="416"/>
      <c r="BXS420" s="416"/>
      <c r="BXT420" s="416"/>
      <c r="BXU420" s="416"/>
      <c r="BXV420" s="416"/>
      <c r="BXW420" s="416"/>
      <c r="BXX420" s="416"/>
      <c r="BXY420" s="416"/>
      <c r="BXZ420" s="416"/>
      <c r="BYA420" s="416"/>
      <c r="BYB420" s="416"/>
      <c r="BYC420" s="416"/>
      <c r="BYD420" s="416"/>
      <c r="BYE420" s="416"/>
      <c r="BYF420" s="416"/>
      <c r="BYG420" s="416"/>
      <c r="BYH420" s="416"/>
      <c r="BYI420" s="416"/>
      <c r="BYJ420" s="416"/>
      <c r="BYK420" s="416"/>
      <c r="BYL420" s="416"/>
      <c r="BYM420" s="416"/>
      <c r="BYN420" s="416"/>
      <c r="BYO420" s="416"/>
      <c r="BYP420" s="416"/>
      <c r="BYQ420" s="416"/>
      <c r="BYR420" s="416"/>
      <c r="BYS420" s="416"/>
      <c r="BYT420" s="416"/>
      <c r="BYU420" s="416"/>
      <c r="BYV420" s="416"/>
      <c r="BYW420" s="416"/>
      <c r="BYX420" s="416"/>
      <c r="BYY420" s="416"/>
      <c r="BYZ420" s="416"/>
      <c r="BZA420" s="416"/>
      <c r="BZB420" s="416"/>
      <c r="BZC420" s="416"/>
      <c r="BZD420" s="416"/>
      <c r="BZE420" s="416"/>
      <c r="BZF420" s="416"/>
      <c r="BZG420" s="416"/>
      <c r="BZH420" s="416"/>
      <c r="BZI420" s="416"/>
      <c r="BZJ420" s="416"/>
      <c r="BZK420" s="416"/>
      <c r="BZL420" s="416"/>
      <c r="BZM420" s="416"/>
      <c r="BZN420" s="416"/>
      <c r="BZO420" s="416"/>
      <c r="BZP420" s="416"/>
      <c r="BZQ420" s="416"/>
      <c r="BZR420" s="416"/>
      <c r="BZS420" s="416"/>
      <c r="BZT420" s="416"/>
      <c r="BZU420" s="416"/>
      <c r="BZV420" s="416"/>
      <c r="BZW420" s="416"/>
      <c r="BZX420" s="416"/>
      <c r="BZY420" s="416"/>
      <c r="BZZ420" s="416"/>
      <c r="CAA420" s="416"/>
      <c r="CAB420" s="416"/>
      <c r="CAC420" s="416"/>
      <c r="CAD420" s="416"/>
      <c r="CAE420" s="416"/>
      <c r="CAF420" s="416"/>
      <c r="CAG420" s="416"/>
      <c r="CAH420" s="416"/>
      <c r="CAI420" s="416"/>
      <c r="CAJ420" s="416"/>
      <c r="CAK420" s="416"/>
      <c r="CAL420" s="416"/>
      <c r="CAM420" s="416"/>
      <c r="CAN420" s="416"/>
      <c r="CAO420" s="416"/>
      <c r="CAP420" s="416"/>
      <c r="CAQ420" s="416"/>
      <c r="CAR420" s="416"/>
      <c r="CAS420" s="416"/>
      <c r="CAT420" s="416"/>
      <c r="CAU420" s="416"/>
      <c r="CAV420" s="416"/>
      <c r="CAW420" s="416"/>
      <c r="CAX420" s="416"/>
      <c r="CAY420" s="416"/>
      <c r="CAZ420" s="416"/>
      <c r="CBA420" s="416"/>
      <c r="CBB420" s="416"/>
      <c r="CBC420" s="416"/>
      <c r="CBD420" s="416"/>
      <c r="CBE420" s="416"/>
      <c r="CBF420" s="416"/>
      <c r="CBG420" s="416"/>
      <c r="CBH420" s="416"/>
      <c r="CBI420" s="416"/>
      <c r="CBJ420" s="416"/>
      <c r="CBK420" s="416"/>
      <c r="CBL420" s="416"/>
      <c r="CBM420" s="416"/>
      <c r="CBN420" s="416"/>
      <c r="CBO420" s="416"/>
      <c r="CBP420" s="416"/>
      <c r="CBQ420" s="416"/>
      <c r="CBR420" s="416"/>
      <c r="CBS420" s="416"/>
      <c r="CBT420" s="416"/>
      <c r="CBU420" s="416"/>
      <c r="CBV420" s="416"/>
      <c r="CBW420" s="416"/>
      <c r="CBX420" s="416"/>
      <c r="CBY420" s="416"/>
      <c r="CBZ420" s="416"/>
      <c r="CCA420" s="416"/>
      <c r="CCB420" s="416"/>
      <c r="CCC420" s="416"/>
      <c r="CCD420" s="416"/>
      <c r="CCE420" s="416"/>
      <c r="CCF420" s="416"/>
      <c r="CCG420" s="416"/>
      <c r="CCH420" s="416"/>
      <c r="CCI420" s="416"/>
      <c r="CCJ420" s="416"/>
      <c r="CCK420" s="416"/>
      <c r="CCL420" s="416"/>
      <c r="CCM420" s="416"/>
      <c r="CCN420" s="416"/>
      <c r="CCO420" s="416"/>
      <c r="CCP420" s="416"/>
      <c r="CCQ420" s="416"/>
      <c r="CCR420" s="416"/>
      <c r="CCS420" s="416"/>
      <c r="CCT420" s="416"/>
      <c r="CCU420" s="416"/>
      <c r="CCV420" s="416"/>
      <c r="CCW420" s="416"/>
      <c r="CCX420" s="416"/>
      <c r="CCY420" s="416"/>
      <c r="CCZ420" s="416"/>
      <c r="CDA420" s="416"/>
      <c r="CDB420" s="416"/>
      <c r="CDC420" s="416"/>
      <c r="CDD420" s="416"/>
      <c r="CDE420" s="416"/>
      <c r="CDF420" s="416"/>
      <c r="CDG420" s="416"/>
      <c r="CDH420" s="416"/>
      <c r="CDI420" s="416"/>
      <c r="CDJ420" s="416"/>
      <c r="CDK420" s="416"/>
      <c r="CDL420" s="416"/>
      <c r="CDM420" s="416"/>
      <c r="CDN420" s="416"/>
      <c r="CDO420" s="416"/>
      <c r="CDP420" s="416"/>
      <c r="CDQ420" s="416"/>
      <c r="CDR420" s="416"/>
      <c r="CDS420" s="416"/>
      <c r="CDT420" s="416"/>
      <c r="CDU420" s="416"/>
      <c r="CDV420" s="416"/>
      <c r="CDW420" s="416"/>
      <c r="CDX420" s="416"/>
      <c r="CDY420" s="416"/>
      <c r="CDZ420" s="416"/>
      <c r="CEA420" s="416"/>
      <c r="CEB420" s="416"/>
      <c r="CEC420" s="416"/>
      <c r="CED420" s="416"/>
      <c r="CEE420" s="416"/>
      <c r="CEF420" s="416"/>
      <c r="CEG420" s="416"/>
      <c r="CEH420" s="416"/>
      <c r="CEI420" s="416"/>
      <c r="CEJ420" s="416"/>
      <c r="CEK420" s="416"/>
      <c r="CEL420" s="416"/>
      <c r="CEM420" s="416"/>
      <c r="CEN420" s="416"/>
      <c r="CEO420" s="416"/>
      <c r="CEP420" s="416"/>
      <c r="CEQ420" s="416"/>
      <c r="CER420" s="416"/>
      <c r="CES420" s="416"/>
      <c r="CET420" s="416"/>
      <c r="CEU420" s="416"/>
      <c r="CEV420" s="416"/>
      <c r="CEW420" s="416"/>
      <c r="CEX420" s="416"/>
      <c r="CEY420" s="416"/>
      <c r="CEZ420" s="416"/>
      <c r="CFA420" s="416"/>
      <c r="CFB420" s="416"/>
      <c r="CFC420" s="416"/>
      <c r="CFD420" s="416"/>
      <c r="CFE420" s="416"/>
      <c r="CFF420" s="416"/>
      <c r="CFG420" s="416"/>
      <c r="CFH420" s="416"/>
      <c r="CFI420" s="416"/>
      <c r="CFJ420" s="416"/>
      <c r="CFK420" s="416"/>
      <c r="CFL420" s="416"/>
      <c r="CFM420" s="416"/>
      <c r="CFN420" s="416"/>
      <c r="CFO420" s="416"/>
      <c r="CFP420" s="416"/>
      <c r="CFQ420" s="416"/>
      <c r="CFR420" s="416"/>
      <c r="CFS420" s="416"/>
      <c r="CFT420" s="416"/>
      <c r="CFU420" s="416"/>
      <c r="CFV420" s="416"/>
      <c r="CFW420" s="416"/>
      <c r="CFX420" s="416"/>
      <c r="CFY420" s="416"/>
      <c r="CFZ420" s="416"/>
      <c r="CGA420" s="416"/>
      <c r="CGB420" s="416"/>
      <c r="CGC420" s="416"/>
      <c r="CGD420" s="416"/>
      <c r="CGE420" s="416"/>
      <c r="CGF420" s="416"/>
      <c r="CGG420" s="416"/>
      <c r="CGH420" s="416"/>
      <c r="CGI420" s="416"/>
      <c r="CGJ420" s="416"/>
      <c r="CGK420" s="416"/>
      <c r="CGL420" s="416"/>
      <c r="CGM420" s="416"/>
      <c r="CGN420" s="416"/>
      <c r="CGO420" s="416"/>
      <c r="CGP420" s="416"/>
      <c r="CGQ420" s="416"/>
      <c r="CGR420" s="416"/>
      <c r="CGS420" s="416"/>
      <c r="CGT420" s="416"/>
      <c r="CGU420" s="416"/>
      <c r="CGV420" s="416"/>
      <c r="CGW420" s="416"/>
      <c r="CGX420" s="416"/>
      <c r="CGY420" s="416"/>
      <c r="CGZ420" s="416"/>
      <c r="CHA420" s="416"/>
      <c r="CHB420" s="416"/>
      <c r="CHC420" s="416"/>
      <c r="CHD420" s="416"/>
      <c r="CHE420" s="416"/>
      <c r="CHF420" s="416"/>
      <c r="CHG420" s="416"/>
      <c r="CHH420" s="416"/>
      <c r="CHI420" s="416"/>
      <c r="CHJ420" s="416"/>
      <c r="CHK420" s="416"/>
      <c r="CHL420" s="416"/>
      <c r="CHM420" s="416"/>
      <c r="CHN420" s="416"/>
      <c r="CHO420" s="416"/>
      <c r="CHP420" s="416"/>
      <c r="CHQ420" s="416"/>
      <c r="CHR420" s="416"/>
      <c r="CHS420" s="416"/>
      <c r="CHT420" s="416"/>
      <c r="CHU420" s="416"/>
      <c r="CHV420" s="416"/>
      <c r="CHW420" s="416"/>
      <c r="CHX420" s="416"/>
      <c r="CHY420" s="416"/>
      <c r="CHZ420" s="416"/>
      <c r="CIA420" s="416"/>
      <c r="CIB420" s="416"/>
      <c r="CIC420" s="416"/>
      <c r="CID420" s="416"/>
      <c r="CIE420" s="416"/>
      <c r="CIF420" s="416"/>
      <c r="CIG420" s="416"/>
      <c r="CIH420" s="416"/>
      <c r="CII420" s="416"/>
      <c r="CIJ420" s="416"/>
      <c r="CIK420" s="416"/>
      <c r="CIL420" s="416"/>
      <c r="CIM420" s="416"/>
      <c r="CIN420" s="416"/>
      <c r="CIO420" s="416"/>
      <c r="CIP420" s="416"/>
      <c r="CIQ420" s="416"/>
      <c r="CIR420" s="416"/>
      <c r="CIS420" s="416"/>
      <c r="CIT420" s="416"/>
      <c r="CIU420" s="416"/>
      <c r="CIV420" s="416"/>
      <c r="CIW420" s="416"/>
      <c r="CIX420" s="416"/>
      <c r="CIY420" s="416"/>
      <c r="CIZ420" s="416"/>
      <c r="CJA420" s="416"/>
      <c r="CJB420" s="416"/>
      <c r="CJC420" s="416"/>
      <c r="CJD420" s="416"/>
      <c r="CJE420" s="416"/>
      <c r="CJF420" s="416"/>
      <c r="CJG420" s="416"/>
      <c r="CJH420" s="416"/>
      <c r="CJI420" s="416"/>
      <c r="CJJ420" s="416"/>
      <c r="CJK420" s="416"/>
      <c r="CJL420" s="416"/>
      <c r="CJM420" s="416"/>
      <c r="CJN420" s="416"/>
      <c r="CJO420" s="416"/>
      <c r="CJP420" s="416"/>
      <c r="CJQ420" s="416"/>
      <c r="CJR420" s="416"/>
      <c r="CJS420" s="416"/>
      <c r="CJT420" s="416"/>
      <c r="CJU420" s="416"/>
      <c r="CJV420" s="416"/>
      <c r="CJW420" s="416"/>
      <c r="CJX420" s="416"/>
      <c r="CJY420" s="416"/>
      <c r="CJZ420" s="416"/>
      <c r="CKA420" s="416"/>
      <c r="CKB420" s="416"/>
      <c r="CKC420" s="416"/>
      <c r="CKD420" s="416"/>
      <c r="CKE420" s="416"/>
      <c r="CKF420" s="416"/>
      <c r="CKG420" s="416"/>
      <c r="CKH420" s="416"/>
      <c r="CKI420" s="416"/>
      <c r="CKJ420" s="416"/>
      <c r="CKK420" s="416"/>
      <c r="CKL420" s="416"/>
      <c r="CKM420" s="416"/>
      <c r="CKN420" s="416"/>
      <c r="CKO420" s="416"/>
      <c r="CKP420" s="416"/>
      <c r="CKQ420" s="416"/>
      <c r="CKR420" s="416"/>
      <c r="CKS420" s="416"/>
      <c r="CKT420" s="416"/>
      <c r="CKU420" s="416"/>
      <c r="CKV420" s="416"/>
      <c r="CKW420" s="416"/>
      <c r="CKX420" s="416"/>
      <c r="CKY420" s="416"/>
      <c r="CKZ420" s="416"/>
      <c r="CLA420" s="416"/>
      <c r="CLB420" s="416"/>
      <c r="CLC420" s="416"/>
      <c r="CLD420" s="416"/>
      <c r="CLE420" s="416"/>
      <c r="CLF420" s="416"/>
      <c r="CLG420" s="416"/>
      <c r="CLH420" s="416"/>
      <c r="CLI420" s="416"/>
      <c r="CLJ420" s="416"/>
      <c r="CLK420" s="416"/>
      <c r="CLL420" s="416"/>
      <c r="CLM420" s="416"/>
      <c r="CLN420" s="416"/>
      <c r="CLO420" s="416"/>
      <c r="CLP420" s="416"/>
      <c r="CLQ420" s="416"/>
      <c r="CLR420" s="416"/>
      <c r="CLS420" s="416"/>
      <c r="CLT420" s="416"/>
      <c r="CLU420" s="416"/>
      <c r="CLV420" s="416"/>
      <c r="CLW420" s="416"/>
      <c r="CLX420" s="416"/>
      <c r="CLY420" s="416"/>
      <c r="CLZ420" s="416"/>
      <c r="CMA420" s="416"/>
      <c r="CMB420" s="416"/>
      <c r="CMC420" s="416"/>
      <c r="CMD420" s="416"/>
      <c r="CME420" s="416"/>
      <c r="CMF420" s="416"/>
      <c r="CMG420" s="416"/>
      <c r="CMH420" s="416"/>
      <c r="CMI420" s="416"/>
      <c r="CMJ420" s="416"/>
      <c r="CMK420" s="416"/>
      <c r="CML420" s="416"/>
      <c r="CMM420" s="416"/>
      <c r="CMN420" s="416"/>
      <c r="CMO420" s="416"/>
      <c r="CMP420" s="416"/>
      <c r="CMQ420" s="416"/>
      <c r="CMR420" s="416"/>
      <c r="CMS420" s="416"/>
      <c r="CMT420" s="416"/>
      <c r="CMU420" s="416"/>
      <c r="CMV420" s="416"/>
      <c r="CMW420" s="416"/>
      <c r="CMX420" s="416"/>
      <c r="CMY420" s="416"/>
      <c r="CMZ420" s="416"/>
      <c r="CNA420" s="416"/>
      <c r="CNB420" s="416"/>
      <c r="CNC420" s="416"/>
      <c r="CND420" s="416"/>
      <c r="CNE420" s="416"/>
      <c r="CNF420" s="416"/>
      <c r="CNG420" s="416"/>
      <c r="CNH420" s="416"/>
      <c r="CNI420" s="416"/>
      <c r="CNJ420" s="416"/>
      <c r="CNK420" s="416"/>
      <c r="CNL420" s="416"/>
      <c r="CNM420" s="416"/>
      <c r="CNN420" s="416"/>
      <c r="CNO420" s="416"/>
      <c r="CNP420" s="416"/>
      <c r="CNQ420" s="416"/>
      <c r="CNR420" s="416"/>
      <c r="CNS420" s="416"/>
      <c r="CNT420" s="416"/>
      <c r="CNU420" s="416"/>
      <c r="CNV420" s="416"/>
      <c r="CNW420" s="416"/>
      <c r="CNX420" s="416"/>
      <c r="CNY420" s="416"/>
      <c r="CNZ420" s="416"/>
      <c r="COA420" s="416"/>
      <c r="COB420" s="416"/>
      <c r="COC420" s="416"/>
      <c r="COD420" s="416"/>
      <c r="COE420" s="416"/>
      <c r="COF420" s="416"/>
      <c r="COG420" s="416"/>
      <c r="COH420" s="416"/>
      <c r="COI420" s="416"/>
      <c r="COJ420" s="416"/>
      <c r="COK420" s="416"/>
      <c r="COL420" s="416"/>
      <c r="COM420" s="416"/>
      <c r="CON420" s="416"/>
      <c r="COO420" s="416"/>
      <c r="COP420" s="416"/>
      <c r="COQ420" s="416"/>
      <c r="COR420" s="416"/>
      <c r="COS420" s="416"/>
      <c r="COT420" s="416"/>
      <c r="COU420" s="416"/>
      <c r="COV420" s="416"/>
      <c r="COW420" s="416"/>
      <c r="COX420" s="416"/>
      <c r="COY420" s="416"/>
      <c r="COZ420" s="416"/>
      <c r="CPA420" s="416"/>
      <c r="CPB420" s="416"/>
      <c r="CPC420" s="416"/>
      <c r="CPD420" s="416"/>
      <c r="CPE420" s="416"/>
      <c r="CPF420" s="416"/>
      <c r="CPG420" s="416"/>
      <c r="CPH420" s="416"/>
      <c r="CPI420" s="416"/>
      <c r="CPJ420" s="416"/>
      <c r="CPK420" s="416"/>
      <c r="CPL420" s="416"/>
      <c r="CPM420" s="416"/>
      <c r="CPN420" s="416"/>
      <c r="CPO420" s="416"/>
      <c r="CPP420" s="416"/>
      <c r="CPQ420" s="416"/>
      <c r="CPR420" s="416"/>
      <c r="CPS420" s="416"/>
      <c r="CPT420" s="416"/>
      <c r="CPU420" s="416"/>
      <c r="CPV420" s="416"/>
      <c r="CPW420" s="416"/>
      <c r="CPX420" s="416"/>
      <c r="CPY420" s="416"/>
      <c r="CPZ420" s="416"/>
      <c r="CQA420" s="416"/>
      <c r="CQB420" s="416"/>
      <c r="CQC420" s="416"/>
      <c r="CQD420" s="416"/>
      <c r="CQE420" s="416"/>
      <c r="CQF420" s="416"/>
      <c r="CQG420" s="416"/>
      <c r="CQH420" s="416"/>
      <c r="CQI420" s="416"/>
      <c r="CQJ420" s="416"/>
      <c r="CQK420" s="416"/>
      <c r="CQL420" s="416"/>
      <c r="CQM420" s="416"/>
      <c r="CQN420" s="416"/>
      <c r="CQO420" s="416"/>
      <c r="CQP420" s="416"/>
      <c r="CQQ420" s="416"/>
      <c r="CQR420" s="416"/>
      <c r="CQS420" s="416"/>
      <c r="CQT420" s="416"/>
      <c r="CQU420" s="416"/>
      <c r="CQV420" s="416"/>
      <c r="CQW420" s="416"/>
      <c r="CQX420" s="416"/>
      <c r="CQY420" s="416"/>
      <c r="CQZ420" s="416"/>
      <c r="CRA420" s="416"/>
      <c r="CRB420" s="416"/>
      <c r="CRC420" s="416"/>
      <c r="CRD420" s="416"/>
      <c r="CRE420" s="416"/>
      <c r="CRF420" s="416"/>
      <c r="CRG420" s="416"/>
      <c r="CRH420" s="416"/>
      <c r="CRI420" s="416"/>
      <c r="CRJ420" s="416"/>
      <c r="CRK420" s="416"/>
      <c r="CRL420" s="416"/>
      <c r="CRM420" s="416"/>
      <c r="CRN420" s="416"/>
      <c r="CRO420" s="416"/>
      <c r="CRP420" s="416"/>
      <c r="CRQ420" s="416"/>
      <c r="CRR420" s="416"/>
      <c r="CRS420" s="416"/>
      <c r="CRT420" s="416"/>
      <c r="CRU420" s="416"/>
      <c r="CRV420" s="416"/>
      <c r="CRW420" s="416"/>
      <c r="CRX420" s="416"/>
      <c r="CRY420" s="416"/>
      <c r="CRZ420" s="416"/>
      <c r="CSA420" s="416"/>
      <c r="CSB420" s="416"/>
      <c r="CSC420" s="416"/>
      <c r="CSD420" s="416"/>
      <c r="CSE420" s="416"/>
      <c r="CSF420" s="416"/>
      <c r="CSG420" s="416"/>
      <c r="CSH420" s="416"/>
      <c r="CSI420" s="416"/>
      <c r="CSJ420" s="416"/>
      <c r="CSK420" s="416"/>
      <c r="CSL420" s="416"/>
      <c r="CSM420" s="416"/>
      <c r="CSN420" s="416"/>
      <c r="CSO420" s="416"/>
      <c r="CSP420" s="416"/>
      <c r="CSQ420" s="416"/>
      <c r="CSR420" s="416"/>
      <c r="CSS420" s="416"/>
      <c r="CST420" s="416"/>
      <c r="CSU420" s="416"/>
      <c r="CSV420" s="416"/>
      <c r="CSW420" s="416"/>
      <c r="CSX420" s="416"/>
      <c r="CSY420" s="416"/>
      <c r="CSZ420" s="416"/>
      <c r="CTA420" s="416"/>
      <c r="CTB420" s="416"/>
      <c r="CTC420" s="416"/>
      <c r="CTD420" s="416"/>
      <c r="CTE420" s="416"/>
      <c r="CTF420" s="416"/>
      <c r="CTG420" s="416"/>
      <c r="CTH420" s="416"/>
      <c r="CTI420" s="416"/>
      <c r="CTJ420" s="416"/>
      <c r="CTK420" s="416"/>
      <c r="CTL420" s="416"/>
      <c r="CTM420" s="416"/>
      <c r="CTN420" s="416"/>
      <c r="CTO420" s="416"/>
      <c r="CTP420" s="416"/>
      <c r="CTQ420" s="416"/>
      <c r="CTR420" s="416"/>
      <c r="CTS420" s="416"/>
      <c r="CTT420" s="416"/>
      <c r="CTU420" s="416"/>
      <c r="CTV420" s="416"/>
      <c r="CTW420" s="416"/>
      <c r="CTX420" s="416"/>
      <c r="CTY420" s="416"/>
      <c r="CTZ420" s="416"/>
      <c r="CUA420" s="416"/>
      <c r="CUB420" s="416"/>
      <c r="CUC420" s="416"/>
      <c r="CUD420" s="416"/>
      <c r="CUE420" s="416"/>
      <c r="CUF420" s="416"/>
      <c r="CUG420" s="416"/>
      <c r="CUH420" s="416"/>
      <c r="CUI420" s="416"/>
      <c r="CUJ420" s="416"/>
      <c r="CUK420" s="416"/>
      <c r="CUL420" s="416"/>
      <c r="CUM420" s="416"/>
      <c r="CUN420" s="416"/>
      <c r="CUO420" s="416"/>
      <c r="CUP420" s="416"/>
      <c r="CUQ420" s="416"/>
      <c r="CUR420" s="416"/>
      <c r="CUS420" s="416"/>
      <c r="CUT420" s="416"/>
      <c r="CUU420" s="416"/>
      <c r="CUV420" s="416"/>
      <c r="CUW420" s="416"/>
      <c r="CUX420" s="416"/>
      <c r="CUY420" s="416"/>
      <c r="CUZ420" s="416"/>
      <c r="CVA420" s="416"/>
      <c r="CVB420" s="416"/>
      <c r="CVC420" s="416"/>
      <c r="CVD420" s="416"/>
      <c r="CVE420" s="416"/>
      <c r="CVF420" s="416"/>
      <c r="CVG420" s="416"/>
      <c r="CVH420" s="416"/>
      <c r="CVI420" s="416"/>
      <c r="CVJ420" s="416"/>
      <c r="CVK420" s="416"/>
      <c r="CVL420" s="416"/>
      <c r="CVM420" s="416"/>
      <c r="CVN420" s="416"/>
      <c r="CVO420" s="416"/>
      <c r="CVP420" s="416"/>
      <c r="CVQ420" s="416"/>
      <c r="CVR420" s="416"/>
      <c r="CVS420" s="416"/>
      <c r="CVT420" s="416"/>
      <c r="CVU420" s="416"/>
      <c r="CVV420" s="416"/>
      <c r="CVW420" s="416"/>
      <c r="CVX420" s="416"/>
      <c r="CVY420" s="416"/>
      <c r="CVZ420" s="416"/>
      <c r="CWA420" s="416"/>
      <c r="CWB420" s="416"/>
      <c r="CWC420" s="416"/>
      <c r="CWD420" s="416"/>
      <c r="CWE420" s="416"/>
      <c r="CWF420" s="416"/>
      <c r="CWG420" s="416"/>
      <c r="CWH420" s="416"/>
      <c r="CWI420" s="416"/>
      <c r="CWJ420" s="416"/>
      <c r="CWK420" s="416"/>
      <c r="CWL420" s="416"/>
      <c r="CWM420" s="416"/>
      <c r="CWN420" s="416"/>
      <c r="CWO420" s="416"/>
      <c r="CWP420" s="416"/>
      <c r="CWQ420" s="416"/>
      <c r="CWR420" s="416"/>
      <c r="CWS420" s="416"/>
      <c r="CWT420" s="416"/>
      <c r="CWU420" s="416"/>
      <c r="CWV420" s="416"/>
      <c r="CWW420" s="416"/>
      <c r="CWX420" s="416"/>
      <c r="CWY420" s="416"/>
      <c r="CWZ420" s="416"/>
      <c r="CXA420" s="416"/>
      <c r="CXB420" s="416"/>
      <c r="CXC420" s="416"/>
      <c r="CXD420" s="416"/>
      <c r="CXE420" s="416"/>
      <c r="CXF420" s="416"/>
      <c r="CXG420" s="416"/>
      <c r="CXH420" s="416"/>
      <c r="CXI420" s="416"/>
      <c r="CXJ420" s="416"/>
      <c r="CXK420" s="416"/>
      <c r="CXL420" s="416"/>
      <c r="CXM420" s="416"/>
      <c r="CXN420" s="416"/>
      <c r="CXO420" s="416"/>
      <c r="CXP420" s="416"/>
      <c r="CXQ420" s="416"/>
      <c r="CXR420" s="416"/>
      <c r="CXS420" s="416"/>
      <c r="CXT420" s="416"/>
      <c r="CXU420" s="416"/>
      <c r="CXV420" s="416"/>
      <c r="CXW420" s="416"/>
      <c r="CXX420" s="416"/>
      <c r="CXY420" s="416"/>
      <c r="CXZ420" s="416"/>
      <c r="CYA420" s="416"/>
      <c r="CYB420" s="416"/>
      <c r="CYC420" s="416"/>
      <c r="CYD420" s="416"/>
      <c r="CYE420" s="416"/>
      <c r="CYF420" s="416"/>
      <c r="CYG420" s="416"/>
      <c r="CYH420" s="416"/>
      <c r="CYI420" s="416"/>
      <c r="CYJ420" s="416"/>
      <c r="CYK420" s="416"/>
      <c r="CYL420" s="416"/>
      <c r="CYM420" s="416"/>
      <c r="CYN420" s="416"/>
      <c r="CYO420" s="416"/>
      <c r="CYP420" s="416"/>
      <c r="CYQ420" s="416"/>
      <c r="CYR420" s="416"/>
      <c r="CYS420" s="416"/>
      <c r="CYT420" s="416"/>
      <c r="CYU420" s="416"/>
      <c r="CYV420" s="416"/>
      <c r="CYW420" s="416"/>
      <c r="CYX420" s="416"/>
      <c r="CYY420" s="416"/>
      <c r="CYZ420" s="416"/>
      <c r="CZA420" s="416"/>
      <c r="CZB420" s="416"/>
      <c r="CZC420" s="416"/>
      <c r="CZD420" s="416"/>
      <c r="CZE420" s="416"/>
      <c r="CZF420" s="416"/>
      <c r="CZG420" s="416"/>
      <c r="CZH420" s="416"/>
      <c r="CZI420" s="416"/>
      <c r="CZJ420" s="416"/>
      <c r="CZK420" s="416"/>
      <c r="CZL420" s="416"/>
      <c r="CZM420" s="416"/>
      <c r="CZN420" s="416"/>
      <c r="CZO420" s="416"/>
      <c r="CZP420" s="416"/>
      <c r="CZQ420" s="416"/>
      <c r="CZR420" s="416"/>
      <c r="CZS420" s="416"/>
      <c r="CZT420" s="416"/>
      <c r="CZU420" s="416"/>
      <c r="CZV420" s="416"/>
      <c r="CZW420" s="416"/>
      <c r="CZX420" s="416"/>
      <c r="CZY420" s="416"/>
      <c r="CZZ420" s="416"/>
      <c r="DAA420" s="416"/>
      <c r="DAB420" s="416"/>
      <c r="DAC420" s="416"/>
      <c r="DAD420" s="416"/>
      <c r="DAE420" s="416"/>
      <c r="DAF420" s="416"/>
      <c r="DAG420" s="416"/>
      <c r="DAH420" s="416"/>
      <c r="DAI420" s="416"/>
      <c r="DAJ420" s="416"/>
      <c r="DAK420" s="416"/>
      <c r="DAL420" s="416"/>
      <c r="DAM420" s="416"/>
      <c r="DAN420" s="416"/>
      <c r="DAO420" s="416"/>
      <c r="DAP420" s="416"/>
      <c r="DAQ420" s="416"/>
      <c r="DAR420" s="416"/>
      <c r="DAS420" s="416"/>
      <c r="DAT420" s="416"/>
      <c r="DAU420" s="416"/>
      <c r="DAV420" s="416"/>
      <c r="DAW420" s="416"/>
      <c r="DAX420" s="416"/>
      <c r="DAY420" s="416"/>
      <c r="DAZ420" s="416"/>
      <c r="DBA420" s="416"/>
      <c r="DBB420" s="416"/>
      <c r="DBC420" s="416"/>
      <c r="DBD420" s="416"/>
      <c r="DBE420" s="416"/>
      <c r="DBF420" s="416"/>
      <c r="DBG420" s="416"/>
      <c r="DBH420" s="416"/>
      <c r="DBI420" s="416"/>
      <c r="DBJ420" s="416"/>
      <c r="DBK420" s="416"/>
      <c r="DBL420" s="416"/>
      <c r="DBM420" s="416"/>
      <c r="DBN420" s="416"/>
      <c r="DBO420" s="416"/>
      <c r="DBP420" s="416"/>
      <c r="DBQ420" s="416"/>
      <c r="DBR420" s="416"/>
      <c r="DBS420" s="416"/>
      <c r="DBT420" s="416"/>
      <c r="DBU420" s="416"/>
      <c r="DBV420" s="416"/>
      <c r="DBW420" s="416"/>
      <c r="DBX420" s="416"/>
      <c r="DBY420" s="416"/>
      <c r="DBZ420" s="416"/>
      <c r="DCA420" s="416"/>
      <c r="DCB420" s="416"/>
      <c r="DCC420" s="416"/>
      <c r="DCD420" s="416"/>
      <c r="DCE420" s="416"/>
      <c r="DCF420" s="416"/>
      <c r="DCG420" s="416"/>
      <c r="DCH420" s="416"/>
      <c r="DCI420" s="416"/>
      <c r="DCJ420" s="416"/>
      <c r="DCK420" s="416"/>
      <c r="DCL420" s="416"/>
      <c r="DCM420" s="416"/>
      <c r="DCN420" s="416"/>
      <c r="DCO420" s="416"/>
      <c r="DCP420" s="416"/>
      <c r="DCQ420" s="416"/>
      <c r="DCR420" s="416"/>
      <c r="DCS420" s="416"/>
      <c r="DCT420" s="416"/>
      <c r="DCU420" s="416"/>
      <c r="DCV420" s="416"/>
      <c r="DCW420" s="416"/>
      <c r="DCX420" s="416"/>
      <c r="DCY420" s="416"/>
      <c r="DCZ420" s="416"/>
      <c r="DDA420" s="416"/>
      <c r="DDB420" s="416"/>
      <c r="DDC420" s="416"/>
      <c r="DDD420" s="416"/>
      <c r="DDE420" s="416"/>
      <c r="DDF420" s="416"/>
      <c r="DDG420" s="416"/>
      <c r="DDH420" s="416"/>
      <c r="DDI420" s="416"/>
      <c r="DDJ420" s="416"/>
      <c r="DDK420" s="416"/>
      <c r="DDL420" s="416"/>
      <c r="DDM420" s="416"/>
      <c r="DDN420" s="416"/>
      <c r="DDO420" s="416"/>
      <c r="DDP420" s="416"/>
      <c r="DDQ420" s="416"/>
      <c r="DDR420" s="416"/>
      <c r="DDS420" s="416"/>
      <c r="DDT420" s="416"/>
      <c r="DDU420" s="416"/>
      <c r="DDV420" s="416"/>
      <c r="DDW420" s="416"/>
      <c r="DDX420" s="416"/>
      <c r="DDY420" s="416"/>
      <c r="DDZ420" s="416"/>
      <c r="DEA420" s="416"/>
      <c r="DEB420" s="416"/>
      <c r="DEC420" s="416"/>
      <c r="DED420" s="416"/>
      <c r="DEE420" s="416"/>
      <c r="DEF420" s="416"/>
      <c r="DEG420" s="416"/>
      <c r="DEH420" s="416"/>
      <c r="DEI420" s="416"/>
      <c r="DEJ420" s="416"/>
      <c r="DEK420" s="416"/>
      <c r="DEL420" s="416"/>
      <c r="DEM420" s="416"/>
      <c r="DEN420" s="416"/>
      <c r="DEO420" s="416"/>
      <c r="DEP420" s="416"/>
      <c r="DEQ420" s="416"/>
      <c r="DER420" s="416"/>
      <c r="DES420" s="416"/>
      <c r="DET420" s="416"/>
      <c r="DEU420" s="416"/>
      <c r="DEV420" s="416"/>
      <c r="DEW420" s="416"/>
      <c r="DEX420" s="416"/>
      <c r="DEY420" s="416"/>
      <c r="DEZ420" s="416"/>
      <c r="DFA420" s="416"/>
      <c r="DFB420" s="416"/>
      <c r="DFC420" s="416"/>
      <c r="DFD420" s="416"/>
      <c r="DFE420" s="416"/>
      <c r="DFF420" s="416"/>
      <c r="DFG420" s="416"/>
      <c r="DFH420" s="416"/>
      <c r="DFI420" s="416"/>
      <c r="DFJ420" s="416"/>
      <c r="DFK420" s="416"/>
      <c r="DFL420" s="416"/>
      <c r="DFM420" s="416"/>
      <c r="DFN420" s="416"/>
      <c r="DFO420" s="416"/>
      <c r="DFP420" s="416"/>
      <c r="DFQ420" s="416"/>
      <c r="DFR420" s="416"/>
      <c r="DFS420" s="416"/>
      <c r="DFT420" s="416"/>
      <c r="DFU420" s="416"/>
      <c r="DFV420" s="416"/>
      <c r="DFW420" s="416"/>
      <c r="DFX420" s="416"/>
      <c r="DFY420" s="416"/>
      <c r="DFZ420" s="416"/>
      <c r="DGA420" s="416"/>
      <c r="DGB420" s="416"/>
      <c r="DGC420" s="416"/>
      <c r="DGD420" s="416"/>
      <c r="DGE420" s="416"/>
      <c r="DGF420" s="416"/>
      <c r="DGG420" s="416"/>
      <c r="DGH420" s="416"/>
      <c r="DGI420" s="416"/>
      <c r="DGJ420" s="416"/>
      <c r="DGK420" s="416"/>
      <c r="DGL420" s="416"/>
      <c r="DGM420" s="416"/>
      <c r="DGN420" s="416"/>
      <c r="DGO420" s="416"/>
      <c r="DGP420" s="416"/>
      <c r="DGQ420" s="416"/>
      <c r="DGR420" s="416"/>
      <c r="DGS420" s="416"/>
      <c r="DGT420" s="416"/>
      <c r="DGU420" s="416"/>
      <c r="DGV420" s="416"/>
      <c r="DGW420" s="416"/>
      <c r="DGX420" s="416"/>
      <c r="DGY420" s="416"/>
      <c r="DGZ420" s="416"/>
      <c r="DHA420" s="416"/>
      <c r="DHB420" s="416"/>
      <c r="DHC420" s="416"/>
      <c r="DHD420" s="416"/>
      <c r="DHE420" s="416"/>
      <c r="DHF420" s="416"/>
      <c r="DHG420" s="416"/>
      <c r="DHH420" s="416"/>
      <c r="DHI420" s="416"/>
      <c r="DHJ420" s="416"/>
      <c r="DHK420" s="416"/>
      <c r="DHL420" s="416"/>
      <c r="DHM420" s="416"/>
      <c r="DHN420" s="416"/>
      <c r="DHO420" s="416"/>
      <c r="DHP420" s="416"/>
      <c r="DHQ420" s="416"/>
      <c r="DHR420" s="416"/>
      <c r="DHS420" s="416"/>
      <c r="DHT420" s="416"/>
      <c r="DHU420" s="416"/>
      <c r="DHV420" s="416"/>
      <c r="DHW420" s="416"/>
      <c r="DHX420" s="416"/>
      <c r="DHY420" s="416"/>
      <c r="DHZ420" s="416"/>
      <c r="DIA420" s="416"/>
      <c r="DIB420" s="416"/>
      <c r="DIC420" s="416"/>
      <c r="DID420" s="416"/>
      <c r="DIE420" s="416"/>
      <c r="DIF420" s="416"/>
      <c r="DIG420" s="416"/>
      <c r="DIH420" s="416"/>
      <c r="DII420" s="416"/>
      <c r="DIJ420" s="416"/>
      <c r="DIK420" s="416"/>
      <c r="DIL420" s="416"/>
      <c r="DIM420" s="416"/>
      <c r="DIN420" s="416"/>
      <c r="DIO420" s="416"/>
      <c r="DIP420" s="416"/>
      <c r="DIQ420" s="416"/>
      <c r="DIR420" s="416"/>
      <c r="DIS420" s="416"/>
      <c r="DIT420" s="416"/>
      <c r="DIU420" s="416"/>
      <c r="DIV420" s="416"/>
      <c r="DIW420" s="416"/>
      <c r="DIX420" s="416"/>
      <c r="DIY420" s="416"/>
      <c r="DIZ420" s="416"/>
      <c r="DJA420" s="416"/>
      <c r="DJB420" s="416"/>
      <c r="DJC420" s="416"/>
      <c r="DJD420" s="416"/>
      <c r="DJE420" s="416"/>
      <c r="DJF420" s="416"/>
      <c r="DJG420" s="416"/>
      <c r="DJH420" s="416"/>
      <c r="DJI420" s="416"/>
      <c r="DJJ420" s="416"/>
      <c r="DJK420" s="416"/>
      <c r="DJL420" s="416"/>
      <c r="DJM420" s="416"/>
      <c r="DJN420" s="416"/>
      <c r="DJO420" s="416"/>
      <c r="DJP420" s="416"/>
      <c r="DJQ420" s="416"/>
      <c r="DJR420" s="416"/>
      <c r="DJS420" s="416"/>
      <c r="DJT420" s="416"/>
      <c r="DJU420" s="416"/>
      <c r="DJV420" s="416"/>
      <c r="DJW420" s="416"/>
      <c r="DJX420" s="416"/>
      <c r="DJY420" s="416"/>
      <c r="DJZ420" s="416"/>
      <c r="DKA420" s="416"/>
      <c r="DKB420" s="416"/>
      <c r="DKC420" s="416"/>
      <c r="DKD420" s="416"/>
      <c r="DKE420" s="416"/>
      <c r="DKF420" s="416"/>
      <c r="DKG420" s="416"/>
      <c r="DKH420" s="416"/>
      <c r="DKI420" s="416"/>
      <c r="DKJ420" s="416"/>
      <c r="DKK420" s="416"/>
      <c r="DKL420" s="416"/>
      <c r="DKM420" s="416"/>
      <c r="DKN420" s="416"/>
      <c r="DKO420" s="416"/>
      <c r="DKP420" s="416"/>
      <c r="DKQ420" s="416"/>
      <c r="DKR420" s="416"/>
      <c r="DKS420" s="416"/>
      <c r="DKT420" s="416"/>
      <c r="DKU420" s="416"/>
      <c r="DKV420" s="416"/>
      <c r="DKW420" s="416"/>
      <c r="DKX420" s="416"/>
      <c r="DKY420" s="416"/>
      <c r="DKZ420" s="416"/>
      <c r="DLA420" s="416"/>
      <c r="DLB420" s="416"/>
      <c r="DLC420" s="416"/>
      <c r="DLD420" s="416"/>
      <c r="DLE420" s="416"/>
      <c r="DLF420" s="416"/>
      <c r="DLG420" s="416"/>
      <c r="DLH420" s="416"/>
      <c r="DLI420" s="416"/>
      <c r="DLJ420" s="416"/>
      <c r="DLK420" s="416"/>
      <c r="DLL420" s="416"/>
      <c r="DLM420" s="416"/>
      <c r="DLN420" s="416"/>
      <c r="DLO420" s="416"/>
      <c r="DLP420" s="416"/>
      <c r="DLQ420" s="416"/>
      <c r="DLR420" s="416"/>
      <c r="DLS420" s="416"/>
      <c r="DLT420" s="416"/>
      <c r="DLU420" s="416"/>
      <c r="DLV420" s="416"/>
      <c r="DLW420" s="416"/>
      <c r="DLX420" s="416"/>
      <c r="DLY420" s="416"/>
      <c r="DLZ420" s="416"/>
      <c r="DMA420" s="416"/>
      <c r="DMB420" s="416"/>
      <c r="DMC420" s="416"/>
      <c r="DMD420" s="416"/>
      <c r="DME420" s="416"/>
      <c r="DMF420" s="416"/>
      <c r="DMG420" s="416"/>
      <c r="DMH420" s="416"/>
      <c r="DMI420" s="416"/>
      <c r="DMJ420" s="416"/>
      <c r="DMK420" s="416"/>
      <c r="DML420" s="416"/>
      <c r="DMM420" s="416"/>
      <c r="DMN420" s="416"/>
      <c r="DMO420" s="416"/>
      <c r="DMP420" s="416"/>
      <c r="DMQ420" s="416"/>
      <c r="DMR420" s="416"/>
      <c r="DMS420" s="416"/>
      <c r="DMT420" s="416"/>
      <c r="DMU420" s="416"/>
      <c r="DMV420" s="416"/>
      <c r="DMW420" s="416"/>
      <c r="DMX420" s="416"/>
      <c r="DMY420" s="416"/>
      <c r="DMZ420" s="416"/>
      <c r="DNA420" s="416"/>
      <c r="DNB420" s="416"/>
      <c r="DNC420" s="416"/>
      <c r="DND420" s="416"/>
      <c r="DNE420" s="416"/>
      <c r="DNF420" s="416"/>
      <c r="DNG420" s="416"/>
      <c r="DNH420" s="416"/>
      <c r="DNI420" s="416"/>
      <c r="DNJ420" s="416"/>
      <c r="DNK420" s="416"/>
      <c r="DNL420" s="416"/>
      <c r="DNM420" s="416"/>
      <c r="DNN420" s="416"/>
      <c r="DNO420" s="416"/>
      <c r="DNP420" s="416"/>
      <c r="DNQ420" s="416"/>
      <c r="DNR420" s="416"/>
      <c r="DNS420" s="416"/>
      <c r="DNT420" s="416"/>
      <c r="DNU420" s="416"/>
      <c r="DNV420" s="416"/>
      <c r="DNW420" s="416"/>
      <c r="DNX420" s="416"/>
      <c r="DNY420" s="416"/>
      <c r="DNZ420" s="416"/>
      <c r="DOA420" s="416"/>
      <c r="DOB420" s="416"/>
      <c r="DOC420" s="416"/>
      <c r="DOD420" s="416"/>
      <c r="DOE420" s="416"/>
      <c r="DOF420" s="416"/>
      <c r="DOG420" s="416"/>
      <c r="DOH420" s="416"/>
      <c r="DOI420" s="416"/>
      <c r="DOJ420" s="416"/>
      <c r="DOK420" s="416"/>
      <c r="DOL420" s="416"/>
      <c r="DOM420" s="416"/>
      <c r="DON420" s="416"/>
      <c r="DOO420" s="416"/>
      <c r="DOP420" s="416"/>
      <c r="DOQ420" s="416"/>
      <c r="DOR420" s="416"/>
      <c r="DOS420" s="416"/>
      <c r="DOT420" s="416"/>
      <c r="DOU420" s="416"/>
      <c r="DOV420" s="416"/>
      <c r="DOW420" s="416"/>
      <c r="DOX420" s="416"/>
      <c r="DOY420" s="416"/>
      <c r="DOZ420" s="416"/>
      <c r="DPA420" s="416"/>
      <c r="DPB420" s="416"/>
      <c r="DPC420" s="416"/>
      <c r="DPD420" s="416"/>
      <c r="DPE420" s="416"/>
      <c r="DPF420" s="416"/>
      <c r="DPG420" s="416"/>
      <c r="DPH420" s="416"/>
      <c r="DPI420" s="416"/>
      <c r="DPJ420" s="416"/>
      <c r="DPK420" s="416"/>
      <c r="DPL420" s="416"/>
      <c r="DPM420" s="416"/>
      <c r="DPN420" s="416"/>
      <c r="DPO420" s="416"/>
      <c r="DPP420" s="416"/>
      <c r="DPQ420" s="416"/>
      <c r="DPR420" s="416"/>
      <c r="DPS420" s="416"/>
      <c r="DPT420" s="416"/>
      <c r="DPU420" s="416"/>
      <c r="DPV420" s="416"/>
      <c r="DPW420" s="416"/>
      <c r="DPX420" s="416"/>
      <c r="DPY420" s="416"/>
      <c r="DPZ420" s="416"/>
      <c r="DQA420" s="416"/>
      <c r="DQB420" s="416"/>
      <c r="DQC420" s="416"/>
      <c r="DQD420" s="416"/>
      <c r="DQE420" s="416"/>
      <c r="DQF420" s="416"/>
      <c r="DQG420" s="416"/>
      <c r="DQH420" s="416"/>
      <c r="DQI420" s="416"/>
      <c r="DQJ420" s="416"/>
      <c r="DQK420" s="416"/>
      <c r="DQL420" s="416"/>
      <c r="DQM420" s="416"/>
      <c r="DQN420" s="416"/>
      <c r="DQO420" s="416"/>
      <c r="DQP420" s="416"/>
      <c r="DQQ420" s="416"/>
      <c r="DQR420" s="416"/>
      <c r="DQS420" s="416"/>
      <c r="DQT420" s="416"/>
      <c r="DQU420" s="416"/>
      <c r="DQV420" s="416"/>
      <c r="DQW420" s="416"/>
      <c r="DQX420" s="416"/>
      <c r="DQY420" s="416"/>
      <c r="DQZ420" s="416"/>
      <c r="DRA420" s="416"/>
      <c r="DRB420" s="416"/>
      <c r="DRC420" s="416"/>
      <c r="DRD420" s="416"/>
      <c r="DRE420" s="416"/>
      <c r="DRF420" s="416"/>
      <c r="DRG420" s="416"/>
      <c r="DRH420" s="416"/>
      <c r="DRI420" s="416"/>
      <c r="DRJ420" s="416"/>
      <c r="DRK420" s="416"/>
      <c r="DRL420" s="416"/>
      <c r="DRM420" s="416"/>
      <c r="DRN420" s="416"/>
      <c r="DRO420" s="416"/>
      <c r="DRP420" s="416"/>
      <c r="DRQ420" s="416"/>
      <c r="DRR420" s="416"/>
      <c r="DRS420" s="416"/>
      <c r="DRT420" s="416"/>
      <c r="DRU420" s="416"/>
      <c r="DRV420" s="416"/>
      <c r="DRW420" s="416"/>
      <c r="DRX420" s="416"/>
      <c r="DRY420" s="416"/>
      <c r="DRZ420" s="416"/>
      <c r="DSA420" s="416"/>
      <c r="DSB420" s="416"/>
      <c r="DSC420" s="416"/>
      <c r="DSD420" s="416"/>
      <c r="DSE420" s="416"/>
      <c r="DSF420" s="416"/>
      <c r="DSG420" s="416"/>
      <c r="DSH420" s="416"/>
      <c r="DSI420" s="416"/>
      <c r="DSJ420" s="416"/>
      <c r="DSK420" s="416"/>
      <c r="DSL420" s="416"/>
      <c r="DSM420" s="416"/>
      <c r="DSN420" s="416"/>
      <c r="DSO420" s="416"/>
      <c r="DSP420" s="416"/>
      <c r="DSQ420" s="416"/>
      <c r="DSR420" s="416"/>
      <c r="DSS420" s="416"/>
      <c r="DST420" s="416"/>
      <c r="DSU420" s="416"/>
      <c r="DSV420" s="416"/>
      <c r="DSW420" s="416"/>
      <c r="DSX420" s="416"/>
      <c r="DSY420" s="416"/>
      <c r="DSZ420" s="416"/>
      <c r="DTA420" s="416"/>
      <c r="DTB420" s="416"/>
      <c r="DTC420" s="416"/>
      <c r="DTD420" s="416"/>
      <c r="DTE420" s="416"/>
      <c r="DTF420" s="416"/>
      <c r="DTG420" s="416"/>
      <c r="DTH420" s="416"/>
      <c r="DTI420" s="416"/>
      <c r="DTJ420" s="416"/>
      <c r="DTK420" s="416"/>
      <c r="DTL420" s="416"/>
      <c r="DTM420" s="416"/>
      <c r="DTN420" s="416"/>
      <c r="DTO420" s="416"/>
      <c r="DTP420" s="416"/>
      <c r="DTQ420" s="416"/>
      <c r="DTR420" s="416"/>
      <c r="DTS420" s="416"/>
      <c r="DTT420" s="416"/>
      <c r="DTU420" s="416"/>
      <c r="DTV420" s="416"/>
      <c r="DTW420" s="416"/>
      <c r="DTX420" s="416"/>
      <c r="DTY420" s="416"/>
      <c r="DTZ420" s="416"/>
      <c r="DUA420" s="416"/>
      <c r="DUB420" s="416"/>
      <c r="DUC420" s="416"/>
      <c r="DUD420" s="416"/>
      <c r="DUE420" s="416"/>
      <c r="DUF420" s="416"/>
      <c r="DUG420" s="416"/>
      <c r="DUH420" s="416"/>
      <c r="DUI420" s="416"/>
      <c r="DUJ420" s="416"/>
      <c r="DUK420" s="416"/>
      <c r="DUL420" s="416"/>
      <c r="DUM420" s="416"/>
      <c r="DUN420" s="416"/>
      <c r="DUO420" s="416"/>
      <c r="DUP420" s="416"/>
      <c r="DUQ420" s="416"/>
      <c r="DUR420" s="416"/>
      <c r="DUS420" s="416"/>
      <c r="DUT420" s="416"/>
      <c r="DUU420" s="416"/>
      <c r="DUV420" s="416"/>
      <c r="DUW420" s="416"/>
      <c r="DUX420" s="416"/>
      <c r="DUY420" s="416"/>
      <c r="DUZ420" s="416"/>
      <c r="DVA420" s="416"/>
      <c r="DVB420" s="416"/>
      <c r="DVC420" s="416"/>
      <c r="DVD420" s="416"/>
      <c r="DVE420" s="416"/>
      <c r="DVF420" s="416"/>
      <c r="DVG420" s="416"/>
      <c r="DVH420" s="416"/>
      <c r="DVI420" s="416"/>
      <c r="DVJ420" s="416"/>
      <c r="DVK420" s="416"/>
      <c r="DVL420" s="416"/>
      <c r="DVM420" s="416"/>
      <c r="DVN420" s="416"/>
      <c r="DVO420" s="416"/>
      <c r="DVP420" s="416"/>
      <c r="DVQ420" s="416"/>
      <c r="DVR420" s="416"/>
      <c r="DVS420" s="416"/>
      <c r="DVT420" s="416"/>
      <c r="DVU420" s="416"/>
      <c r="DVV420" s="416"/>
      <c r="DVW420" s="416"/>
      <c r="DVX420" s="416"/>
      <c r="DVY420" s="416"/>
      <c r="DVZ420" s="416"/>
      <c r="DWA420" s="416"/>
      <c r="DWB420" s="416"/>
      <c r="DWC420" s="416"/>
      <c r="DWD420" s="416"/>
      <c r="DWE420" s="416"/>
      <c r="DWF420" s="416"/>
      <c r="DWG420" s="416"/>
      <c r="DWH420" s="416"/>
      <c r="DWI420" s="416"/>
      <c r="DWJ420" s="416"/>
      <c r="DWK420" s="416"/>
      <c r="DWL420" s="416"/>
      <c r="DWM420" s="416"/>
      <c r="DWN420" s="416"/>
      <c r="DWO420" s="416"/>
      <c r="DWP420" s="416"/>
      <c r="DWQ420" s="416"/>
      <c r="DWR420" s="416"/>
      <c r="DWS420" s="416"/>
      <c r="DWT420" s="416"/>
      <c r="DWU420" s="416"/>
      <c r="DWV420" s="416"/>
      <c r="DWW420" s="416"/>
      <c r="DWX420" s="416"/>
      <c r="DWY420" s="416"/>
      <c r="DWZ420" s="416"/>
      <c r="DXA420" s="416"/>
      <c r="DXB420" s="416"/>
      <c r="DXC420" s="416"/>
      <c r="DXD420" s="416"/>
      <c r="DXE420" s="416"/>
      <c r="DXF420" s="416"/>
      <c r="DXG420" s="416"/>
      <c r="DXH420" s="416"/>
      <c r="DXI420" s="416"/>
      <c r="DXJ420" s="416"/>
      <c r="DXK420" s="416"/>
      <c r="DXL420" s="416"/>
      <c r="DXM420" s="416"/>
      <c r="DXN420" s="416"/>
      <c r="DXO420" s="416"/>
      <c r="DXP420" s="416"/>
      <c r="DXQ420" s="416"/>
      <c r="DXR420" s="416"/>
      <c r="DXS420" s="416"/>
      <c r="DXT420" s="416"/>
      <c r="DXU420" s="416"/>
      <c r="DXV420" s="416"/>
      <c r="DXW420" s="416"/>
      <c r="DXX420" s="416"/>
      <c r="DXY420" s="416"/>
      <c r="DXZ420" s="416"/>
      <c r="DYA420" s="416"/>
      <c r="DYB420" s="416"/>
      <c r="DYC420" s="416"/>
      <c r="DYD420" s="416"/>
      <c r="DYE420" s="416"/>
      <c r="DYF420" s="416"/>
      <c r="DYG420" s="416"/>
      <c r="DYH420" s="416"/>
      <c r="DYI420" s="416"/>
      <c r="DYJ420" s="416"/>
      <c r="DYK420" s="416"/>
      <c r="DYL420" s="416"/>
      <c r="DYM420" s="416"/>
      <c r="DYN420" s="416"/>
      <c r="DYO420" s="416"/>
      <c r="DYP420" s="416"/>
      <c r="DYQ420" s="416"/>
      <c r="DYR420" s="416"/>
      <c r="DYS420" s="416"/>
      <c r="DYT420" s="416"/>
      <c r="DYU420" s="416"/>
      <c r="DYV420" s="416"/>
      <c r="DYW420" s="416"/>
      <c r="DYX420" s="416"/>
      <c r="DYY420" s="416"/>
      <c r="DYZ420" s="416"/>
      <c r="DZA420" s="416"/>
      <c r="DZB420" s="416"/>
      <c r="DZC420" s="416"/>
      <c r="DZD420" s="416"/>
      <c r="DZE420" s="416"/>
      <c r="DZF420" s="416"/>
      <c r="DZG420" s="416"/>
      <c r="DZH420" s="416"/>
      <c r="DZI420" s="416"/>
      <c r="DZJ420" s="416"/>
      <c r="DZK420" s="416"/>
      <c r="DZL420" s="416"/>
      <c r="DZM420" s="416"/>
      <c r="DZN420" s="416"/>
      <c r="DZO420" s="416"/>
      <c r="DZP420" s="416"/>
      <c r="DZQ420" s="416"/>
      <c r="DZR420" s="416"/>
      <c r="DZS420" s="416"/>
      <c r="DZT420" s="416"/>
      <c r="DZU420" s="416"/>
      <c r="DZV420" s="416"/>
      <c r="DZW420" s="416"/>
      <c r="DZX420" s="416"/>
      <c r="DZY420" s="416"/>
      <c r="DZZ420" s="416"/>
      <c r="EAA420" s="416"/>
      <c r="EAB420" s="416"/>
      <c r="EAC420" s="416"/>
      <c r="EAD420" s="416"/>
      <c r="EAE420" s="416"/>
      <c r="EAF420" s="416"/>
      <c r="EAG420" s="416"/>
      <c r="EAH420" s="416"/>
      <c r="EAI420" s="416"/>
      <c r="EAJ420" s="416"/>
      <c r="EAK420" s="416"/>
      <c r="EAL420" s="416"/>
      <c r="EAM420" s="416"/>
      <c r="EAN420" s="416"/>
      <c r="EAO420" s="416"/>
      <c r="EAP420" s="416"/>
      <c r="EAQ420" s="416"/>
      <c r="EAR420" s="416"/>
      <c r="EAS420" s="416"/>
      <c r="EAT420" s="416"/>
      <c r="EAU420" s="416"/>
      <c r="EAV420" s="416"/>
      <c r="EAW420" s="416"/>
      <c r="EAX420" s="416"/>
      <c r="EAY420" s="416"/>
      <c r="EAZ420" s="416"/>
      <c r="EBA420" s="416"/>
      <c r="EBB420" s="416"/>
      <c r="EBC420" s="416"/>
      <c r="EBD420" s="416"/>
      <c r="EBE420" s="416"/>
      <c r="EBF420" s="416"/>
      <c r="EBG420" s="416"/>
      <c r="EBH420" s="416"/>
      <c r="EBI420" s="416"/>
      <c r="EBJ420" s="416"/>
      <c r="EBK420" s="416"/>
      <c r="EBL420" s="416"/>
      <c r="EBM420" s="416"/>
      <c r="EBN420" s="416"/>
      <c r="EBO420" s="416"/>
      <c r="EBP420" s="416"/>
      <c r="EBQ420" s="416"/>
      <c r="EBR420" s="416"/>
      <c r="EBS420" s="416"/>
      <c r="EBT420" s="416"/>
      <c r="EBU420" s="416"/>
      <c r="EBV420" s="416"/>
      <c r="EBW420" s="416"/>
      <c r="EBX420" s="416"/>
      <c r="EBY420" s="416"/>
      <c r="EBZ420" s="416"/>
      <c r="ECA420" s="416"/>
      <c r="ECB420" s="416"/>
      <c r="ECC420" s="416"/>
      <c r="ECD420" s="416"/>
      <c r="ECE420" s="416"/>
      <c r="ECF420" s="416"/>
      <c r="ECG420" s="416"/>
      <c r="ECH420" s="416"/>
      <c r="ECI420" s="416"/>
      <c r="ECJ420" s="416"/>
      <c r="ECK420" s="416"/>
      <c r="ECL420" s="416"/>
      <c r="ECM420" s="416"/>
      <c r="ECN420" s="416"/>
      <c r="ECO420" s="416"/>
      <c r="ECP420" s="416"/>
      <c r="ECQ420" s="416"/>
      <c r="ECR420" s="416"/>
      <c r="ECS420" s="416"/>
      <c r="ECT420" s="416"/>
      <c r="ECU420" s="416"/>
      <c r="ECV420" s="416"/>
      <c r="ECW420" s="416"/>
      <c r="ECX420" s="416"/>
      <c r="ECY420" s="416"/>
      <c r="ECZ420" s="416"/>
      <c r="EDA420" s="416"/>
      <c r="EDB420" s="416"/>
      <c r="EDC420" s="416"/>
      <c r="EDD420" s="416"/>
      <c r="EDE420" s="416"/>
      <c r="EDF420" s="416"/>
      <c r="EDG420" s="416"/>
      <c r="EDH420" s="416"/>
      <c r="EDI420" s="416"/>
      <c r="EDJ420" s="416"/>
      <c r="EDK420" s="416"/>
      <c r="EDL420" s="416"/>
      <c r="EDM420" s="416"/>
      <c r="EDN420" s="416"/>
      <c r="EDO420" s="416"/>
      <c r="EDP420" s="416"/>
      <c r="EDQ420" s="416"/>
      <c r="EDR420" s="416"/>
      <c r="EDS420" s="416"/>
      <c r="EDT420" s="416"/>
      <c r="EDU420" s="416"/>
      <c r="EDV420" s="416"/>
      <c r="EDW420" s="416"/>
      <c r="EDX420" s="416"/>
      <c r="EDY420" s="416"/>
      <c r="EDZ420" s="416"/>
      <c r="EEA420" s="416"/>
      <c r="EEB420" s="416"/>
      <c r="EEC420" s="416"/>
      <c r="EED420" s="416"/>
      <c r="EEE420" s="416"/>
      <c r="EEF420" s="416"/>
      <c r="EEG420" s="416"/>
      <c r="EEH420" s="416"/>
      <c r="EEI420" s="416"/>
      <c r="EEJ420" s="416"/>
      <c r="EEK420" s="416"/>
      <c r="EEL420" s="416"/>
      <c r="EEM420" s="416"/>
      <c r="EEN420" s="416"/>
      <c r="EEO420" s="416"/>
      <c r="EEP420" s="416"/>
      <c r="EEQ420" s="416"/>
      <c r="EER420" s="416"/>
      <c r="EES420" s="416"/>
      <c r="EET420" s="416"/>
      <c r="EEU420" s="416"/>
      <c r="EEV420" s="416"/>
      <c r="EEW420" s="416"/>
      <c r="EEX420" s="416"/>
      <c r="EEY420" s="416"/>
      <c r="EEZ420" s="416"/>
      <c r="EFA420" s="416"/>
      <c r="EFB420" s="416"/>
      <c r="EFC420" s="416"/>
      <c r="EFD420" s="416"/>
      <c r="EFE420" s="416"/>
      <c r="EFF420" s="416"/>
      <c r="EFG420" s="416"/>
      <c r="EFH420" s="416"/>
      <c r="EFI420" s="416"/>
      <c r="EFJ420" s="416"/>
      <c r="EFK420" s="416"/>
      <c r="EFL420" s="416"/>
      <c r="EFM420" s="416"/>
      <c r="EFN420" s="416"/>
      <c r="EFO420" s="416"/>
      <c r="EFP420" s="416"/>
      <c r="EFQ420" s="416"/>
      <c r="EFR420" s="416"/>
      <c r="EFS420" s="416"/>
      <c r="EFT420" s="416"/>
      <c r="EFU420" s="416"/>
      <c r="EFV420" s="416"/>
      <c r="EFW420" s="416"/>
      <c r="EFX420" s="416"/>
      <c r="EFY420" s="416"/>
      <c r="EFZ420" s="416"/>
      <c r="EGA420" s="416"/>
      <c r="EGB420" s="416"/>
      <c r="EGC420" s="416"/>
      <c r="EGD420" s="416"/>
      <c r="EGE420" s="416"/>
      <c r="EGF420" s="416"/>
      <c r="EGG420" s="416"/>
      <c r="EGH420" s="416"/>
      <c r="EGI420" s="416"/>
      <c r="EGJ420" s="416"/>
      <c r="EGK420" s="416"/>
      <c r="EGL420" s="416"/>
      <c r="EGM420" s="416"/>
      <c r="EGN420" s="416"/>
      <c r="EGO420" s="416"/>
      <c r="EGP420" s="416"/>
      <c r="EGQ420" s="416"/>
      <c r="EGR420" s="416"/>
      <c r="EGS420" s="416"/>
      <c r="EGT420" s="416"/>
      <c r="EGU420" s="416"/>
      <c r="EGV420" s="416"/>
      <c r="EGW420" s="416"/>
      <c r="EGX420" s="416"/>
      <c r="EGY420" s="416"/>
      <c r="EGZ420" s="416"/>
      <c r="EHA420" s="416"/>
      <c r="EHB420" s="416"/>
      <c r="EHC420" s="416"/>
      <c r="EHD420" s="416"/>
      <c r="EHE420" s="416"/>
      <c r="EHF420" s="416"/>
      <c r="EHG420" s="416"/>
      <c r="EHH420" s="416"/>
      <c r="EHI420" s="416"/>
      <c r="EHJ420" s="416"/>
      <c r="EHK420" s="416"/>
      <c r="EHL420" s="416"/>
      <c r="EHM420" s="416"/>
      <c r="EHN420" s="416"/>
      <c r="EHO420" s="416"/>
      <c r="EHP420" s="416"/>
      <c r="EHQ420" s="416"/>
      <c r="EHR420" s="416"/>
      <c r="EHS420" s="416"/>
      <c r="EHT420" s="416"/>
      <c r="EHU420" s="416"/>
      <c r="EHV420" s="416"/>
      <c r="EHW420" s="416"/>
      <c r="EHX420" s="416"/>
      <c r="EHY420" s="416"/>
      <c r="EHZ420" s="416"/>
      <c r="EIA420" s="416"/>
      <c r="EIB420" s="416"/>
      <c r="EIC420" s="416"/>
      <c r="EID420" s="416"/>
      <c r="EIE420" s="416"/>
      <c r="EIF420" s="416"/>
      <c r="EIG420" s="416"/>
      <c r="EIH420" s="416"/>
      <c r="EII420" s="416"/>
      <c r="EIJ420" s="416"/>
      <c r="EIK420" s="416"/>
      <c r="EIL420" s="416"/>
      <c r="EIM420" s="416"/>
      <c r="EIN420" s="416"/>
      <c r="EIO420" s="416"/>
      <c r="EIP420" s="416"/>
      <c r="EIQ420" s="416"/>
      <c r="EIR420" s="416"/>
      <c r="EIS420" s="416"/>
      <c r="EIT420" s="416"/>
      <c r="EIU420" s="416"/>
      <c r="EIV420" s="416"/>
      <c r="EIW420" s="416"/>
      <c r="EIX420" s="416"/>
      <c r="EIY420" s="416"/>
      <c r="EIZ420" s="416"/>
      <c r="EJA420" s="416"/>
      <c r="EJB420" s="416"/>
      <c r="EJC420" s="416"/>
      <c r="EJD420" s="416"/>
      <c r="EJE420" s="416"/>
      <c r="EJF420" s="416"/>
      <c r="EJG420" s="416"/>
      <c r="EJH420" s="416"/>
      <c r="EJI420" s="416"/>
      <c r="EJJ420" s="416"/>
      <c r="EJK420" s="416"/>
      <c r="EJL420" s="416"/>
      <c r="EJM420" s="416"/>
      <c r="EJN420" s="416"/>
      <c r="EJO420" s="416"/>
      <c r="EJP420" s="416"/>
      <c r="EJQ420" s="416"/>
      <c r="EJR420" s="416"/>
      <c r="EJS420" s="416"/>
      <c r="EJT420" s="416"/>
      <c r="EJU420" s="416"/>
      <c r="EJV420" s="416"/>
      <c r="EJW420" s="416"/>
      <c r="EJX420" s="416"/>
      <c r="EJY420" s="416"/>
      <c r="EJZ420" s="416"/>
      <c r="EKA420" s="416"/>
      <c r="EKB420" s="416"/>
      <c r="EKC420" s="416"/>
      <c r="EKD420" s="416"/>
      <c r="EKE420" s="416"/>
      <c r="EKF420" s="416"/>
      <c r="EKG420" s="416"/>
      <c r="EKH420" s="416"/>
      <c r="EKI420" s="416"/>
      <c r="EKJ420" s="416"/>
      <c r="EKK420" s="416"/>
      <c r="EKL420" s="416"/>
      <c r="EKM420" s="416"/>
      <c r="EKN420" s="416"/>
      <c r="EKO420" s="416"/>
      <c r="EKP420" s="416"/>
      <c r="EKQ420" s="416"/>
      <c r="EKR420" s="416"/>
      <c r="EKS420" s="416"/>
      <c r="EKT420" s="416"/>
      <c r="EKU420" s="416"/>
      <c r="EKV420" s="416"/>
      <c r="EKW420" s="416"/>
      <c r="EKX420" s="416"/>
      <c r="EKY420" s="416"/>
      <c r="EKZ420" s="416"/>
      <c r="ELA420" s="416"/>
      <c r="ELB420" s="416"/>
      <c r="ELC420" s="416"/>
      <c r="ELD420" s="416"/>
      <c r="ELE420" s="416"/>
      <c r="ELF420" s="416"/>
      <c r="ELG420" s="416"/>
      <c r="ELH420" s="416"/>
      <c r="ELI420" s="416"/>
      <c r="ELJ420" s="416"/>
      <c r="ELK420" s="416"/>
      <c r="ELL420" s="416"/>
      <c r="ELM420" s="416"/>
      <c r="ELN420" s="416"/>
      <c r="ELO420" s="416"/>
      <c r="ELP420" s="416"/>
      <c r="ELQ420" s="416"/>
      <c r="ELR420" s="416"/>
      <c r="ELS420" s="416"/>
      <c r="ELT420" s="416"/>
      <c r="ELU420" s="416"/>
      <c r="ELV420" s="416"/>
      <c r="ELW420" s="416"/>
      <c r="ELX420" s="416"/>
      <c r="ELY420" s="416"/>
      <c r="ELZ420" s="416"/>
      <c r="EMA420" s="416"/>
      <c r="EMB420" s="416"/>
      <c r="EMC420" s="416"/>
      <c r="EMD420" s="416"/>
      <c r="EME420" s="416"/>
      <c r="EMF420" s="416"/>
      <c r="EMG420" s="416"/>
      <c r="EMH420" s="416"/>
      <c r="EMI420" s="416"/>
      <c r="EMJ420" s="416"/>
      <c r="EMK420" s="416"/>
      <c r="EML420" s="416"/>
      <c r="EMM420" s="416"/>
      <c r="EMN420" s="416"/>
      <c r="EMO420" s="416"/>
      <c r="EMP420" s="416"/>
      <c r="EMQ420" s="416"/>
      <c r="EMR420" s="416"/>
      <c r="EMS420" s="416"/>
      <c r="EMT420" s="416"/>
      <c r="EMU420" s="416"/>
      <c r="EMV420" s="416"/>
      <c r="EMW420" s="416"/>
      <c r="EMX420" s="416"/>
      <c r="EMY420" s="416"/>
      <c r="EMZ420" s="416"/>
      <c r="ENA420" s="416"/>
      <c r="ENB420" s="416"/>
      <c r="ENC420" s="416"/>
      <c r="END420" s="416"/>
      <c r="ENE420" s="416"/>
      <c r="ENF420" s="416"/>
      <c r="ENG420" s="416"/>
      <c r="ENH420" s="416"/>
      <c r="ENI420" s="416"/>
      <c r="ENJ420" s="416"/>
      <c r="ENK420" s="416"/>
      <c r="ENL420" s="416"/>
      <c r="ENM420" s="416"/>
      <c r="ENN420" s="416"/>
      <c r="ENO420" s="416"/>
      <c r="ENP420" s="416"/>
      <c r="ENQ420" s="416"/>
      <c r="ENR420" s="416"/>
      <c r="ENS420" s="416"/>
      <c r="ENT420" s="416"/>
      <c r="ENU420" s="416"/>
      <c r="ENV420" s="416"/>
      <c r="ENW420" s="416"/>
      <c r="ENX420" s="416"/>
      <c r="ENY420" s="416"/>
      <c r="ENZ420" s="416"/>
      <c r="EOA420" s="416"/>
      <c r="EOB420" s="416"/>
      <c r="EOC420" s="416"/>
      <c r="EOD420" s="416"/>
      <c r="EOE420" s="416"/>
      <c r="EOF420" s="416"/>
      <c r="EOG420" s="416"/>
      <c r="EOH420" s="416"/>
      <c r="EOI420" s="416"/>
      <c r="EOJ420" s="416"/>
      <c r="EOK420" s="416"/>
      <c r="EOL420" s="416"/>
      <c r="EOM420" s="416"/>
      <c r="EON420" s="416"/>
      <c r="EOO420" s="416"/>
      <c r="EOP420" s="416"/>
      <c r="EOQ420" s="416"/>
      <c r="EOR420" s="416"/>
      <c r="EOS420" s="416"/>
      <c r="EOT420" s="416"/>
      <c r="EOU420" s="416"/>
      <c r="EOV420" s="416"/>
      <c r="EOW420" s="416"/>
      <c r="EOX420" s="416"/>
      <c r="EOY420" s="416"/>
      <c r="EOZ420" s="416"/>
      <c r="EPA420" s="416"/>
      <c r="EPB420" s="416"/>
      <c r="EPC420" s="416"/>
      <c r="EPD420" s="416"/>
      <c r="EPE420" s="416"/>
      <c r="EPF420" s="416"/>
      <c r="EPG420" s="416"/>
      <c r="EPH420" s="416"/>
      <c r="EPI420" s="416"/>
      <c r="EPJ420" s="416"/>
      <c r="EPK420" s="416"/>
      <c r="EPL420" s="416"/>
      <c r="EPM420" s="416"/>
      <c r="EPN420" s="416"/>
      <c r="EPO420" s="416"/>
      <c r="EPP420" s="416"/>
      <c r="EPQ420" s="416"/>
      <c r="EPR420" s="416"/>
      <c r="EPS420" s="416"/>
      <c r="EPT420" s="416"/>
      <c r="EPU420" s="416"/>
      <c r="EPV420" s="416"/>
      <c r="EPW420" s="416"/>
      <c r="EPX420" s="416"/>
      <c r="EPY420" s="416"/>
      <c r="EPZ420" s="416"/>
      <c r="EQA420" s="416"/>
      <c r="EQB420" s="416"/>
      <c r="EQC420" s="416"/>
      <c r="EQD420" s="416"/>
      <c r="EQE420" s="416"/>
      <c r="EQF420" s="416"/>
      <c r="EQG420" s="416"/>
      <c r="EQH420" s="416"/>
      <c r="EQI420" s="416"/>
      <c r="EQJ420" s="416"/>
      <c r="EQK420" s="416"/>
      <c r="EQL420" s="416"/>
      <c r="EQM420" s="416"/>
      <c r="EQN420" s="416"/>
      <c r="EQO420" s="416"/>
      <c r="EQP420" s="416"/>
      <c r="EQQ420" s="416"/>
      <c r="EQR420" s="416"/>
      <c r="EQS420" s="416"/>
      <c r="EQT420" s="416"/>
      <c r="EQU420" s="416"/>
      <c r="EQV420" s="416"/>
      <c r="EQW420" s="416"/>
      <c r="EQX420" s="416"/>
      <c r="EQY420" s="416"/>
      <c r="EQZ420" s="416"/>
      <c r="ERA420" s="416"/>
      <c r="ERB420" s="416"/>
      <c r="ERC420" s="416"/>
      <c r="ERD420" s="416"/>
      <c r="ERE420" s="416"/>
      <c r="ERF420" s="416"/>
      <c r="ERG420" s="416"/>
      <c r="ERH420" s="416"/>
      <c r="ERI420" s="416"/>
      <c r="ERJ420" s="416"/>
      <c r="ERK420" s="416"/>
      <c r="ERL420" s="416"/>
      <c r="ERM420" s="416"/>
      <c r="ERN420" s="416"/>
      <c r="ERO420" s="416"/>
      <c r="ERP420" s="416"/>
      <c r="ERQ420" s="416"/>
      <c r="ERR420" s="416"/>
      <c r="ERS420" s="416"/>
      <c r="ERT420" s="416"/>
      <c r="ERU420" s="416"/>
      <c r="ERV420" s="416"/>
      <c r="ERW420" s="416"/>
      <c r="ERX420" s="416"/>
      <c r="ERY420" s="416"/>
      <c r="ERZ420" s="416"/>
      <c r="ESA420" s="416"/>
      <c r="ESB420" s="416"/>
      <c r="ESC420" s="416"/>
      <c r="ESD420" s="416"/>
      <c r="ESE420" s="416"/>
      <c r="ESF420" s="416"/>
      <c r="ESG420" s="416"/>
      <c r="ESH420" s="416"/>
      <c r="ESI420" s="416"/>
      <c r="ESJ420" s="416"/>
      <c r="ESK420" s="416"/>
      <c r="ESL420" s="416"/>
      <c r="ESM420" s="416"/>
      <c r="ESN420" s="416"/>
      <c r="ESO420" s="416"/>
      <c r="ESP420" s="416"/>
      <c r="ESQ420" s="416"/>
      <c r="ESR420" s="416"/>
      <c r="ESS420" s="416"/>
      <c r="EST420" s="416"/>
      <c r="ESU420" s="416"/>
      <c r="ESV420" s="416"/>
      <c r="ESW420" s="416"/>
      <c r="ESX420" s="416"/>
      <c r="ESY420" s="416"/>
      <c r="ESZ420" s="416"/>
      <c r="ETA420" s="416"/>
      <c r="ETB420" s="416"/>
      <c r="ETC420" s="416"/>
      <c r="ETD420" s="416"/>
      <c r="ETE420" s="416"/>
      <c r="ETF420" s="416"/>
      <c r="ETG420" s="416"/>
      <c r="ETH420" s="416"/>
      <c r="ETI420" s="416"/>
      <c r="ETJ420" s="416"/>
      <c r="ETK420" s="416"/>
      <c r="ETL420" s="416"/>
      <c r="ETM420" s="416"/>
      <c r="ETN420" s="416"/>
      <c r="ETO420" s="416"/>
      <c r="ETP420" s="416"/>
      <c r="ETQ420" s="416"/>
      <c r="ETR420" s="416"/>
      <c r="ETS420" s="416"/>
      <c r="ETT420" s="416"/>
      <c r="ETU420" s="416"/>
      <c r="ETV420" s="416"/>
      <c r="ETW420" s="416"/>
      <c r="ETX420" s="416"/>
      <c r="ETY420" s="416"/>
      <c r="ETZ420" s="416"/>
      <c r="EUA420" s="416"/>
      <c r="EUB420" s="416"/>
      <c r="EUC420" s="416"/>
      <c r="EUD420" s="416"/>
      <c r="EUE420" s="416"/>
      <c r="EUF420" s="416"/>
      <c r="EUG420" s="416"/>
      <c r="EUH420" s="416"/>
      <c r="EUI420" s="416"/>
      <c r="EUJ420" s="416"/>
      <c r="EUK420" s="416"/>
      <c r="EUL420" s="416"/>
      <c r="EUM420" s="416"/>
      <c r="EUN420" s="416"/>
      <c r="EUO420" s="416"/>
      <c r="EUP420" s="416"/>
      <c r="EUQ420" s="416"/>
      <c r="EUR420" s="416"/>
      <c r="EUS420" s="416"/>
      <c r="EUT420" s="416"/>
      <c r="EUU420" s="416"/>
      <c r="EUV420" s="416"/>
      <c r="EUW420" s="416"/>
      <c r="EUX420" s="416"/>
      <c r="EUY420" s="416"/>
      <c r="EUZ420" s="416"/>
      <c r="EVA420" s="416"/>
      <c r="EVB420" s="416"/>
      <c r="EVC420" s="416"/>
      <c r="EVD420" s="416"/>
      <c r="EVE420" s="416"/>
      <c r="EVF420" s="416"/>
      <c r="EVG420" s="416"/>
      <c r="EVH420" s="416"/>
      <c r="EVI420" s="416"/>
      <c r="EVJ420" s="416"/>
      <c r="EVK420" s="416"/>
      <c r="EVL420" s="416"/>
      <c r="EVM420" s="416"/>
      <c r="EVN420" s="416"/>
      <c r="EVO420" s="416"/>
      <c r="EVP420" s="416"/>
      <c r="EVQ420" s="416"/>
      <c r="EVR420" s="416"/>
      <c r="EVS420" s="416"/>
      <c r="EVT420" s="416"/>
      <c r="EVU420" s="416"/>
      <c r="EVV420" s="416"/>
      <c r="EVW420" s="416"/>
      <c r="EVX420" s="416"/>
      <c r="EVY420" s="416"/>
      <c r="EVZ420" s="416"/>
      <c r="EWA420" s="416"/>
      <c r="EWB420" s="416"/>
      <c r="EWC420" s="416"/>
      <c r="EWD420" s="416"/>
      <c r="EWE420" s="416"/>
      <c r="EWF420" s="416"/>
      <c r="EWG420" s="416"/>
      <c r="EWH420" s="416"/>
      <c r="EWI420" s="416"/>
      <c r="EWJ420" s="416"/>
      <c r="EWK420" s="416"/>
      <c r="EWL420" s="416"/>
      <c r="EWM420" s="416"/>
      <c r="EWN420" s="416"/>
      <c r="EWO420" s="416"/>
      <c r="EWP420" s="416"/>
      <c r="EWQ420" s="416"/>
      <c r="EWR420" s="416"/>
      <c r="EWS420" s="416"/>
      <c r="EWT420" s="416"/>
      <c r="EWU420" s="416"/>
      <c r="EWV420" s="416"/>
      <c r="EWW420" s="416"/>
      <c r="EWX420" s="416"/>
      <c r="EWY420" s="416"/>
      <c r="EWZ420" s="416"/>
      <c r="EXA420" s="416"/>
      <c r="EXB420" s="416"/>
      <c r="EXC420" s="416"/>
      <c r="EXD420" s="416"/>
      <c r="EXE420" s="416"/>
      <c r="EXF420" s="416"/>
      <c r="EXG420" s="416"/>
      <c r="EXH420" s="416"/>
      <c r="EXI420" s="416"/>
      <c r="EXJ420" s="416"/>
      <c r="EXK420" s="416"/>
      <c r="EXL420" s="416"/>
      <c r="EXM420" s="416"/>
      <c r="EXN420" s="416"/>
      <c r="EXO420" s="416"/>
      <c r="EXP420" s="416"/>
      <c r="EXQ420" s="416"/>
      <c r="EXR420" s="416"/>
      <c r="EXS420" s="416"/>
      <c r="EXT420" s="416"/>
      <c r="EXU420" s="416"/>
      <c r="EXV420" s="416"/>
      <c r="EXW420" s="416"/>
      <c r="EXX420" s="416"/>
      <c r="EXY420" s="416"/>
      <c r="EXZ420" s="416"/>
      <c r="EYA420" s="416"/>
      <c r="EYB420" s="416"/>
      <c r="EYC420" s="416"/>
      <c r="EYD420" s="416"/>
      <c r="EYE420" s="416"/>
      <c r="EYF420" s="416"/>
      <c r="EYG420" s="416"/>
      <c r="EYH420" s="416"/>
      <c r="EYI420" s="416"/>
      <c r="EYJ420" s="416"/>
      <c r="EYK420" s="416"/>
      <c r="EYL420" s="416"/>
      <c r="EYM420" s="416"/>
      <c r="EYN420" s="416"/>
      <c r="EYO420" s="416"/>
      <c r="EYP420" s="416"/>
      <c r="EYQ420" s="416"/>
      <c r="EYR420" s="416"/>
      <c r="EYS420" s="416"/>
      <c r="EYT420" s="416"/>
      <c r="EYU420" s="416"/>
      <c r="EYV420" s="416"/>
      <c r="EYW420" s="416"/>
      <c r="EYX420" s="416"/>
      <c r="EYY420" s="416"/>
      <c r="EYZ420" s="416"/>
      <c r="EZA420" s="416"/>
      <c r="EZB420" s="416"/>
      <c r="EZC420" s="416"/>
      <c r="EZD420" s="416"/>
      <c r="EZE420" s="416"/>
      <c r="EZF420" s="416"/>
      <c r="EZG420" s="416"/>
      <c r="EZH420" s="416"/>
      <c r="EZI420" s="416"/>
      <c r="EZJ420" s="416"/>
      <c r="EZK420" s="416"/>
      <c r="EZL420" s="416"/>
      <c r="EZM420" s="416"/>
      <c r="EZN420" s="416"/>
      <c r="EZO420" s="416"/>
      <c r="EZP420" s="416"/>
      <c r="EZQ420" s="416"/>
      <c r="EZR420" s="416"/>
      <c r="EZS420" s="416"/>
      <c r="EZT420" s="416"/>
      <c r="EZU420" s="416"/>
      <c r="EZV420" s="416"/>
      <c r="EZW420" s="416"/>
      <c r="EZX420" s="416"/>
      <c r="EZY420" s="416"/>
      <c r="EZZ420" s="416"/>
      <c r="FAA420" s="416"/>
      <c r="FAB420" s="416"/>
      <c r="FAC420" s="416"/>
      <c r="FAD420" s="416"/>
      <c r="FAE420" s="416"/>
      <c r="FAF420" s="416"/>
      <c r="FAG420" s="416"/>
      <c r="FAH420" s="416"/>
      <c r="FAI420" s="416"/>
      <c r="FAJ420" s="416"/>
      <c r="FAK420" s="416"/>
      <c r="FAL420" s="416"/>
      <c r="FAM420" s="416"/>
      <c r="FAN420" s="416"/>
      <c r="FAO420" s="416"/>
      <c r="FAP420" s="416"/>
      <c r="FAQ420" s="416"/>
      <c r="FAR420" s="416"/>
      <c r="FAS420" s="416"/>
      <c r="FAT420" s="416"/>
      <c r="FAU420" s="416"/>
      <c r="FAV420" s="416"/>
      <c r="FAW420" s="416"/>
      <c r="FAX420" s="416"/>
      <c r="FAY420" s="416"/>
      <c r="FAZ420" s="416"/>
      <c r="FBA420" s="416"/>
      <c r="FBB420" s="416"/>
      <c r="FBC420" s="416"/>
      <c r="FBD420" s="416"/>
      <c r="FBE420" s="416"/>
      <c r="FBF420" s="416"/>
      <c r="FBG420" s="416"/>
      <c r="FBH420" s="416"/>
      <c r="FBI420" s="416"/>
      <c r="FBJ420" s="416"/>
      <c r="FBK420" s="416"/>
      <c r="FBL420" s="416"/>
      <c r="FBM420" s="416"/>
      <c r="FBN420" s="416"/>
      <c r="FBO420" s="416"/>
      <c r="FBP420" s="416"/>
      <c r="FBQ420" s="416"/>
      <c r="FBR420" s="416"/>
      <c r="FBS420" s="416"/>
      <c r="FBT420" s="416"/>
      <c r="FBU420" s="416"/>
      <c r="FBV420" s="416"/>
      <c r="FBW420" s="416"/>
      <c r="FBX420" s="416"/>
      <c r="FBY420" s="416"/>
      <c r="FBZ420" s="416"/>
      <c r="FCA420" s="416"/>
      <c r="FCB420" s="416"/>
      <c r="FCC420" s="416"/>
      <c r="FCD420" s="416"/>
      <c r="FCE420" s="416"/>
      <c r="FCF420" s="416"/>
      <c r="FCG420" s="416"/>
      <c r="FCH420" s="416"/>
      <c r="FCI420" s="416"/>
      <c r="FCJ420" s="416"/>
      <c r="FCK420" s="416"/>
      <c r="FCL420" s="416"/>
      <c r="FCM420" s="416"/>
      <c r="FCN420" s="416"/>
      <c r="FCO420" s="416"/>
      <c r="FCP420" s="416"/>
      <c r="FCQ420" s="416"/>
      <c r="FCR420" s="416"/>
      <c r="FCS420" s="416"/>
      <c r="FCT420" s="416"/>
      <c r="FCU420" s="416"/>
      <c r="FCV420" s="416"/>
      <c r="FCW420" s="416"/>
      <c r="FCX420" s="416"/>
      <c r="FCY420" s="416"/>
      <c r="FCZ420" s="416"/>
      <c r="FDA420" s="416"/>
      <c r="FDB420" s="416"/>
      <c r="FDC420" s="416"/>
      <c r="FDD420" s="416"/>
      <c r="FDE420" s="416"/>
      <c r="FDF420" s="416"/>
      <c r="FDG420" s="416"/>
      <c r="FDH420" s="416"/>
      <c r="FDI420" s="416"/>
      <c r="FDJ420" s="416"/>
      <c r="FDK420" s="416"/>
      <c r="FDL420" s="416"/>
      <c r="FDM420" s="416"/>
      <c r="FDN420" s="416"/>
      <c r="FDO420" s="416"/>
      <c r="FDP420" s="416"/>
      <c r="FDQ420" s="416"/>
      <c r="FDR420" s="416"/>
      <c r="FDS420" s="416"/>
      <c r="FDT420" s="416"/>
      <c r="FDU420" s="416"/>
      <c r="FDV420" s="416"/>
      <c r="FDW420" s="416"/>
      <c r="FDX420" s="416"/>
      <c r="FDY420" s="416"/>
      <c r="FDZ420" s="416"/>
      <c r="FEA420" s="416"/>
      <c r="FEB420" s="416"/>
      <c r="FEC420" s="416"/>
      <c r="FED420" s="416"/>
      <c r="FEE420" s="416"/>
      <c r="FEF420" s="416"/>
      <c r="FEG420" s="416"/>
      <c r="FEH420" s="416"/>
      <c r="FEI420" s="416"/>
      <c r="FEJ420" s="416"/>
      <c r="FEK420" s="416"/>
      <c r="FEL420" s="416"/>
      <c r="FEM420" s="416"/>
      <c r="FEN420" s="416"/>
      <c r="FEO420" s="416"/>
      <c r="FEP420" s="416"/>
      <c r="FEQ420" s="416"/>
      <c r="FER420" s="416"/>
      <c r="FES420" s="416"/>
      <c r="FET420" s="416"/>
      <c r="FEU420" s="416"/>
      <c r="FEV420" s="416"/>
      <c r="FEW420" s="416"/>
      <c r="FEX420" s="416"/>
      <c r="FEY420" s="416"/>
      <c r="FEZ420" s="416"/>
      <c r="FFA420" s="416"/>
      <c r="FFB420" s="416"/>
      <c r="FFC420" s="416"/>
      <c r="FFD420" s="416"/>
      <c r="FFE420" s="416"/>
      <c r="FFF420" s="416"/>
      <c r="FFG420" s="416"/>
      <c r="FFH420" s="416"/>
      <c r="FFI420" s="416"/>
      <c r="FFJ420" s="416"/>
      <c r="FFK420" s="416"/>
      <c r="FFL420" s="416"/>
      <c r="FFM420" s="416"/>
      <c r="FFN420" s="416"/>
      <c r="FFO420" s="416"/>
      <c r="FFP420" s="416"/>
      <c r="FFQ420" s="416"/>
      <c r="FFR420" s="416"/>
      <c r="FFS420" s="416"/>
      <c r="FFT420" s="416"/>
      <c r="FFU420" s="416"/>
      <c r="FFV420" s="416"/>
      <c r="FFW420" s="416"/>
      <c r="FFX420" s="416"/>
      <c r="FFY420" s="416"/>
      <c r="FFZ420" s="416"/>
      <c r="FGA420" s="416"/>
      <c r="FGB420" s="416"/>
      <c r="FGC420" s="416"/>
      <c r="FGD420" s="416"/>
      <c r="FGE420" s="416"/>
      <c r="FGF420" s="416"/>
      <c r="FGG420" s="416"/>
      <c r="FGH420" s="416"/>
      <c r="FGI420" s="416"/>
      <c r="FGJ420" s="416"/>
      <c r="FGK420" s="416"/>
      <c r="FGL420" s="416"/>
      <c r="FGM420" s="416"/>
      <c r="FGN420" s="416"/>
      <c r="FGO420" s="416"/>
      <c r="FGP420" s="416"/>
      <c r="FGQ420" s="416"/>
      <c r="FGR420" s="416"/>
      <c r="FGS420" s="416"/>
      <c r="FGT420" s="416"/>
      <c r="FGU420" s="416"/>
      <c r="FGV420" s="416"/>
      <c r="FGW420" s="416"/>
      <c r="FGX420" s="416"/>
      <c r="FGY420" s="416"/>
      <c r="FGZ420" s="416"/>
      <c r="FHA420" s="416"/>
      <c r="FHB420" s="416"/>
      <c r="FHC420" s="416"/>
      <c r="FHD420" s="416"/>
      <c r="FHE420" s="416"/>
      <c r="FHF420" s="416"/>
      <c r="FHG420" s="416"/>
      <c r="FHH420" s="416"/>
      <c r="FHI420" s="416"/>
      <c r="FHJ420" s="416"/>
      <c r="FHK420" s="416"/>
      <c r="FHL420" s="416"/>
      <c r="FHM420" s="416"/>
      <c r="FHN420" s="416"/>
      <c r="FHO420" s="416"/>
      <c r="FHP420" s="416"/>
      <c r="FHQ420" s="416"/>
      <c r="FHR420" s="416"/>
      <c r="FHS420" s="416"/>
      <c r="FHT420" s="416"/>
      <c r="FHU420" s="416"/>
      <c r="FHV420" s="416"/>
      <c r="FHW420" s="416"/>
      <c r="FHX420" s="416"/>
      <c r="FHY420" s="416"/>
      <c r="FHZ420" s="416"/>
      <c r="FIA420" s="416"/>
      <c r="FIB420" s="416"/>
      <c r="FIC420" s="416"/>
      <c r="FID420" s="416"/>
      <c r="FIE420" s="416"/>
      <c r="FIF420" s="416"/>
      <c r="FIG420" s="416"/>
      <c r="FIH420" s="416"/>
      <c r="FII420" s="416"/>
      <c r="FIJ420" s="416"/>
      <c r="FIK420" s="416"/>
      <c r="FIL420" s="416"/>
      <c r="FIM420" s="416"/>
      <c r="FIN420" s="416"/>
      <c r="FIO420" s="416"/>
      <c r="FIP420" s="416"/>
      <c r="FIQ420" s="416"/>
      <c r="FIR420" s="416"/>
      <c r="FIS420" s="416"/>
      <c r="FIT420" s="416"/>
      <c r="FIU420" s="416"/>
      <c r="FIV420" s="416"/>
      <c r="FIW420" s="416"/>
      <c r="FIX420" s="416"/>
      <c r="FIY420" s="416"/>
      <c r="FIZ420" s="416"/>
      <c r="FJA420" s="416"/>
      <c r="FJB420" s="416"/>
      <c r="FJC420" s="416"/>
      <c r="FJD420" s="416"/>
      <c r="FJE420" s="416"/>
      <c r="FJF420" s="416"/>
      <c r="FJG420" s="416"/>
      <c r="FJH420" s="416"/>
      <c r="FJI420" s="416"/>
      <c r="FJJ420" s="416"/>
      <c r="FJK420" s="416"/>
      <c r="FJL420" s="416"/>
      <c r="FJM420" s="416"/>
      <c r="FJN420" s="416"/>
      <c r="FJO420" s="416"/>
      <c r="FJP420" s="416"/>
      <c r="FJQ420" s="416"/>
      <c r="FJR420" s="416"/>
      <c r="FJS420" s="416"/>
      <c r="FJT420" s="416"/>
      <c r="FJU420" s="416"/>
      <c r="FJV420" s="416"/>
      <c r="FJW420" s="416"/>
      <c r="FJX420" s="416"/>
      <c r="FJY420" s="416"/>
      <c r="FJZ420" s="416"/>
      <c r="FKA420" s="416"/>
      <c r="FKB420" s="416"/>
      <c r="FKC420" s="416"/>
      <c r="FKD420" s="416"/>
      <c r="FKE420" s="416"/>
      <c r="FKF420" s="416"/>
      <c r="FKG420" s="416"/>
      <c r="FKH420" s="416"/>
      <c r="FKI420" s="416"/>
      <c r="FKJ420" s="416"/>
      <c r="FKK420" s="416"/>
      <c r="FKL420" s="416"/>
      <c r="FKM420" s="416"/>
      <c r="FKN420" s="416"/>
      <c r="FKO420" s="416"/>
      <c r="FKP420" s="416"/>
      <c r="FKQ420" s="416"/>
      <c r="FKR420" s="416"/>
      <c r="FKS420" s="416"/>
      <c r="FKT420" s="416"/>
      <c r="FKU420" s="416"/>
      <c r="FKV420" s="416"/>
      <c r="FKW420" s="416"/>
      <c r="FKX420" s="416"/>
      <c r="FKY420" s="416"/>
      <c r="FKZ420" s="416"/>
      <c r="FLA420" s="416"/>
      <c r="FLB420" s="416"/>
      <c r="FLC420" s="416"/>
      <c r="FLD420" s="416"/>
      <c r="FLE420" s="416"/>
      <c r="FLF420" s="416"/>
      <c r="FLG420" s="416"/>
      <c r="FLH420" s="416"/>
      <c r="FLI420" s="416"/>
      <c r="FLJ420" s="416"/>
      <c r="FLK420" s="416"/>
      <c r="FLL420" s="416"/>
      <c r="FLM420" s="416"/>
      <c r="FLN420" s="416"/>
      <c r="FLO420" s="416"/>
      <c r="FLP420" s="416"/>
      <c r="FLQ420" s="416"/>
      <c r="FLR420" s="416"/>
      <c r="FLS420" s="416"/>
      <c r="FLT420" s="416"/>
      <c r="FLU420" s="416"/>
      <c r="FLV420" s="416"/>
      <c r="FLW420" s="416"/>
      <c r="FLX420" s="416"/>
      <c r="FLY420" s="416"/>
      <c r="FLZ420" s="416"/>
      <c r="FMA420" s="416"/>
      <c r="FMB420" s="416"/>
      <c r="FMC420" s="416"/>
      <c r="FMD420" s="416"/>
      <c r="FME420" s="416"/>
      <c r="FMF420" s="416"/>
      <c r="FMG420" s="416"/>
      <c r="FMH420" s="416"/>
      <c r="FMI420" s="416"/>
      <c r="FMJ420" s="416"/>
      <c r="FMK420" s="416"/>
      <c r="FML420" s="416"/>
      <c r="FMM420" s="416"/>
      <c r="FMN420" s="416"/>
      <c r="FMO420" s="416"/>
      <c r="FMP420" s="416"/>
      <c r="FMQ420" s="416"/>
      <c r="FMR420" s="416"/>
      <c r="FMS420" s="416"/>
      <c r="FMT420" s="416"/>
      <c r="FMU420" s="416"/>
      <c r="FMV420" s="416"/>
      <c r="FMW420" s="416"/>
      <c r="FMX420" s="416"/>
      <c r="FMY420" s="416"/>
      <c r="FMZ420" s="416"/>
      <c r="FNA420" s="416"/>
      <c r="FNB420" s="416"/>
      <c r="FNC420" s="416"/>
      <c r="FND420" s="416"/>
      <c r="FNE420" s="416"/>
      <c r="FNF420" s="416"/>
      <c r="FNG420" s="416"/>
      <c r="FNH420" s="416"/>
      <c r="FNI420" s="416"/>
      <c r="FNJ420" s="416"/>
      <c r="FNK420" s="416"/>
      <c r="FNL420" s="416"/>
      <c r="FNM420" s="416"/>
      <c r="FNN420" s="416"/>
      <c r="FNO420" s="416"/>
      <c r="FNP420" s="416"/>
      <c r="FNQ420" s="416"/>
      <c r="FNR420" s="416"/>
      <c r="FNS420" s="416"/>
      <c r="FNT420" s="416"/>
      <c r="FNU420" s="416"/>
      <c r="FNV420" s="416"/>
      <c r="FNW420" s="416"/>
      <c r="FNX420" s="416"/>
      <c r="FNY420" s="416"/>
      <c r="FNZ420" s="416"/>
      <c r="FOA420" s="416"/>
      <c r="FOB420" s="416"/>
      <c r="FOC420" s="416"/>
      <c r="FOD420" s="416"/>
      <c r="FOE420" s="416"/>
      <c r="FOF420" s="416"/>
      <c r="FOG420" s="416"/>
      <c r="FOH420" s="416"/>
      <c r="FOI420" s="416"/>
      <c r="FOJ420" s="416"/>
      <c r="FOK420" s="416"/>
      <c r="FOL420" s="416"/>
      <c r="FOM420" s="416"/>
      <c r="FON420" s="416"/>
      <c r="FOO420" s="416"/>
      <c r="FOP420" s="416"/>
      <c r="FOQ420" s="416"/>
      <c r="FOR420" s="416"/>
      <c r="FOS420" s="416"/>
      <c r="FOT420" s="416"/>
      <c r="FOU420" s="416"/>
      <c r="FOV420" s="416"/>
      <c r="FOW420" s="416"/>
      <c r="FOX420" s="416"/>
      <c r="FOY420" s="416"/>
      <c r="FOZ420" s="416"/>
      <c r="FPA420" s="416"/>
      <c r="FPB420" s="416"/>
      <c r="FPC420" s="416"/>
      <c r="FPD420" s="416"/>
      <c r="FPE420" s="416"/>
      <c r="FPF420" s="416"/>
      <c r="FPG420" s="416"/>
      <c r="FPH420" s="416"/>
      <c r="FPI420" s="416"/>
      <c r="FPJ420" s="416"/>
      <c r="FPK420" s="416"/>
      <c r="FPL420" s="416"/>
      <c r="FPM420" s="416"/>
      <c r="FPN420" s="416"/>
      <c r="FPO420" s="416"/>
      <c r="FPP420" s="416"/>
      <c r="FPQ420" s="416"/>
      <c r="FPR420" s="416"/>
      <c r="FPS420" s="416"/>
      <c r="FPT420" s="416"/>
      <c r="FPU420" s="416"/>
      <c r="FPV420" s="416"/>
      <c r="FPW420" s="416"/>
      <c r="FPX420" s="416"/>
      <c r="FPY420" s="416"/>
      <c r="FPZ420" s="416"/>
      <c r="FQA420" s="416"/>
      <c r="FQB420" s="416"/>
      <c r="FQC420" s="416"/>
      <c r="FQD420" s="416"/>
      <c r="FQE420" s="416"/>
      <c r="FQF420" s="416"/>
      <c r="FQG420" s="416"/>
      <c r="FQH420" s="416"/>
      <c r="FQI420" s="416"/>
      <c r="FQJ420" s="416"/>
      <c r="FQK420" s="416"/>
      <c r="FQL420" s="416"/>
      <c r="FQM420" s="416"/>
      <c r="FQN420" s="416"/>
      <c r="FQO420" s="416"/>
      <c r="FQP420" s="416"/>
      <c r="FQQ420" s="416"/>
      <c r="FQR420" s="416"/>
      <c r="FQS420" s="416"/>
      <c r="FQT420" s="416"/>
      <c r="FQU420" s="416"/>
      <c r="FQV420" s="416"/>
      <c r="FQW420" s="416"/>
      <c r="FQX420" s="416"/>
      <c r="FQY420" s="416"/>
      <c r="FQZ420" s="416"/>
      <c r="FRA420" s="416"/>
      <c r="FRB420" s="416"/>
      <c r="FRC420" s="416"/>
      <c r="FRD420" s="416"/>
      <c r="FRE420" s="416"/>
      <c r="FRF420" s="416"/>
      <c r="FRG420" s="416"/>
      <c r="FRH420" s="416"/>
      <c r="FRI420" s="416"/>
      <c r="FRJ420" s="416"/>
      <c r="FRK420" s="416"/>
      <c r="FRL420" s="416"/>
      <c r="FRM420" s="416"/>
      <c r="FRN420" s="416"/>
      <c r="FRO420" s="416"/>
      <c r="FRP420" s="416"/>
      <c r="FRQ420" s="416"/>
      <c r="FRR420" s="416"/>
      <c r="FRS420" s="416"/>
      <c r="FRT420" s="416"/>
      <c r="FRU420" s="416"/>
      <c r="FRV420" s="416"/>
      <c r="FRW420" s="416"/>
      <c r="FRX420" s="416"/>
      <c r="FRY420" s="416"/>
      <c r="FRZ420" s="416"/>
      <c r="FSA420" s="416"/>
      <c r="FSB420" s="416"/>
      <c r="FSC420" s="416"/>
      <c r="FSD420" s="416"/>
      <c r="FSE420" s="416"/>
      <c r="FSF420" s="416"/>
      <c r="FSG420" s="416"/>
      <c r="FSH420" s="416"/>
      <c r="FSI420" s="416"/>
      <c r="FSJ420" s="416"/>
      <c r="FSK420" s="416"/>
      <c r="FSL420" s="416"/>
      <c r="FSM420" s="416"/>
      <c r="FSN420" s="416"/>
      <c r="FSO420" s="416"/>
      <c r="FSP420" s="416"/>
      <c r="FSQ420" s="416"/>
      <c r="FSR420" s="416"/>
      <c r="FSS420" s="416"/>
      <c r="FST420" s="416"/>
      <c r="FSU420" s="416"/>
      <c r="FSV420" s="416"/>
      <c r="FSW420" s="416"/>
      <c r="FSX420" s="416"/>
      <c r="FSY420" s="416"/>
      <c r="FSZ420" s="416"/>
      <c r="FTA420" s="416"/>
      <c r="FTB420" s="416"/>
      <c r="FTC420" s="416"/>
      <c r="FTD420" s="416"/>
      <c r="FTE420" s="416"/>
      <c r="FTF420" s="416"/>
      <c r="FTG420" s="416"/>
      <c r="FTH420" s="416"/>
      <c r="FTI420" s="416"/>
      <c r="FTJ420" s="416"/>
      <c r="FTK420" s="416"/>
      <c r="FTL420" s="416"/>
      <c r="FTM420" s="416"/>
      <c r="FTN420" s="416"/>
      <c r="FTO420" s="416"/>
      <c r="FTP420" s="416"/>
      <c r="FTQ420" s="416"/>
      <c r="FTR420" s="416"/>
      <c r="FTS420" s="416"/>
      <c r="FTT420" s="416"/>
      <c r="FTU420" s="416"/>
      <c r="FTV420" s="416"/>
      <c r="FTW420" s="416"/>
      <c r="FTX420" s="416"/>
      <c r="FTY420" s="416"/>
      <c r="FTZ420" s="416"/>
      <c r="FUA420" s="416"/>
      <c r="FUB420" s="416"/>
      <c r="FUC420" s="416"/>
      <c r="FUD420" s="416"/>
      <c r="FUE420" s="416"/>
      <c r="FUF420" s="416"/>
      <c r="FUG420" s="416"/>
      <c r="FUH420" s="416"/>
      <c r="FUI420" s="416"/>
      <c r="FUJ420" s="416"/>
      <c r="FUK420" s="416"/>
      <c r="FUL420" s="416"/>
      <c r="FUM420" s="416"/>
      <c r="FUN420" s="416"/>
      <c r="FUO420" s="416"/>
      <c r="FUP420" s="416"/>
      <c r="FUQ420" s="416"/>
      <c r="FUR420" s="416"/>
      <c r="FUS420" s="416"/>
      <c r="FUT420" s="416"/>
      <c r="FUU420" s="416"/>
      <c r="FUV420" s="416"/>
      <c r="FUW420" s="416"/>
      <c r="FUX420" s="416"/>
      <c r="FUY420" s="416"/>
      <c r="FUZ420" s="416"/>
      <c r="FVA420" s="416"/>
      <c r="FVB420" s="416"/>
      <c r="FVC420" s="416"/>
      <c r="FVD420" s="416"/>
      <c r="FVE420" s="416"/>
      <c r="FVF420" s="416"/>
      <c r="FVG420" s="416"/>
      <c r="FVH420" s="416"/>
      <c r="FVI420" s="416"/>
      <c r="FVJ420" s="416"/>
      <c r="FVK420" s="416"/>
      <c r="FVL420" s="416"/>
      <c r="FVM420" s="416"/>
      <c r="FVN420" s="416"/>
      <c r="FVO420" s="416"/>
      <c r="FVP420" s="416"/>
      <c r="FVQ420" s="416"/>
      <c r="FVR420" s="416"/>
      <c r="FVS420" s="416"/>
      <c r="FVT420" s="416"/>
      <c r="FVU420" s="416"/>
      <c r="FVV420" s="416"/>
      <c r="FVW420" s="416"/>
      <c r="FVX420" s="416"/>
      <c r="FVY420" s="416"/>
      <c r="FVZ420" s="416"/>
      <c r="FWA420" s="416"/>
      <c r="FWB420" s="416"/>
      <c r="FWC420" s="416"/>
      <c r="FWD420" s="416"/>
      <c r="FWE420" s="416"/>
      <c r="FWF420" s="416"/>
      <c r="FWG420" s="416"/>
      <c r="FWH420" s="416"/>
      <c r="FWI420" s="416"/>
      <c r="FWJ420" s="416"/>
      <c r="FWK420" s="416"/>
      <c r="FWL420" s="416"/>
      <c r="FWM420" s="416"/>
      <c r="FWN420" s="416"/>
      <c r="FWO420" s="416"/>
      <c r="FWP420" s="416"/>
      <c r="FWQ420" s="416"/>
      <c r="FWR420" s="416"/>
      <c r="FWS420" s="416"/>
      <c r="FWT420" s="416"/>
      <c r="FWU420" s="416"/>
      <c r="FWV420" s="416"/>
      <c r="FWW420" s="416"/>
      <c r="FWX420" s="416"/>
      <c r="FWY420" s="416"/>
      <c r="FWZ420" s="416"/>
      <c r="FXA420" s="416"/>
      <c r="FXB420" s="416"/>
      <c r="FXC420" s="416"/>
      <c r="FXD420" s="416"/>
      <c r="FXE420" s="416"/>
      <c r="FXF420" s="416"/>
      <c r="FXG420" s="416"/>
      <c r="FXH420" s="416"/>
      <c r="FXI420" s="416"/>
      <c r="FXJ420" s="416"/>
      <c r="FXK420" s="416"/>
      <c r="FXL420" s="416"/>
      <c r="FXM420" s="416"/>
      <c r="FXN420" s="416"/>
      <c r="FXO420" s="416"/>
      <c r="FXP420" s="416"/>
      <c r="FXQ420" s="416"/>
      <c r="FXR420" s="416"/>
      <c r="FXS420" s="416"/>
      <c r="FXT420" s="416"/>
      <c r="FXU420" s="416"/>
      <c r="FXV420" s="416"/>
      <c r="FXW420" s="416"/>
      <c r="FXX420" s="416"/>
      <c r="FXY420" s="416"/>
      <c r="FXZ420" s="416"/>
      <c r="FYA420" s="416"/>
      <c r="FYB420" s="416"/>
      <c r="FYC420" s="416"/>
      <c r="FYD420" s="416"/>
      <c r="FYE420" s="416"/>
      <c r="FYF420" s="416"/>
      <c r="FYG420" s="416"/>
      <c r="FYH420" s="416"/>
      <c r="FYI420" s="416"/>
      <c r="FYJ420" s="416"/>
      <c r="FYK420" s="416"/>
      <c r="FYL420" s="416"/>
      <c r="FYM420" s="416"/>
      <c r="FYN420" s="416"/>
      <c r="FYO420" s="416"/>
      <c r="FYP420" s="416"/>
      <c r="FYQ420" s="416"/>
      <c r="FYR420" s="416"/>
      <c r="FYS420" s="416"/>
      <c r="FYT420" s="416"/>
      <c r="FYU420" s="416"/>
      <c r="FYV420" s="416"/>
      <c r="FYW420" s="416"/>
      <c r="FYX420" s="416"/>
      <c r="FYY420" s="416"/>
      <c r="FYZ420" s="416"/>
      <c r="FZA420" s="416"/>
      <c r="FZB420" s="416"/>
      <c r="FZC420" s="416"/>
      <c r="FZD420" s="416"/>
      <c r="FZE420" s="416"/>
      <c r="FZF420" s="416"/>
      <c r="FZG420" s="416"/>
      <c r="FZH420" s="416"/>
      <c r="FZI420" s="416"/>
      <c r="FZJ420" s="416"/>
      <c r="FZK420" s="416"/>
      <c r="FZL420" s="416"/>
      <c r="FZM420" s="416"/>
      <c r="FZN420" s="416"/>
      <c r="FZO420" s="416"/>
      <c r="FZP420" s="416"/>
      <c r="FZQ420" s="416"/>
      <c r="FZR420" s="416"/>
      <c r="FZS420" s="416"/>
      <c r="FZT420" s="416"/>
      <c r="FZU420" s="416"/>
      <c r="FZV420" s="416"/>
      <c r="FZW420" s="416"/>
      <c r="FZX420" s="416"/>
      <c r="FZY420" s="416"/>
      <c r="FZZ420" s="416"/>
      <c r="GAA420" s="416"/>
      <c r="GAB420" s="416"/>
      <c r="GAC420" s="416"/>
      <c r="GAD420" s="416"/>
      <c r="GAE420" s="416"/>
      <c r="GAF420" s="416"/>
      <c r="GAG420" s="416"/>
      <c r="GAH420" s="416"/>
      <c r="GAI420" s="416"/>
      <c r="GAJ420" s="416"/>
      <c r="GAK420" s="416"/>
      <c r="GAL420" s="416"/>
      <c r="GAM420" s="416"/>
      <c r="GAN420" s="416"/>
      <c r="GAO420" s="416"/>
      <c r="GAP420" s="416"/>
      <c r="GAQ420" s="416"/>
      <c r="GAR420" s="416"/>
      <c r="GAS420" s="416"/>
      <c r="GAT420" s="416"/>
      <c r="GAU420" s="416"/>
      <c r="GAV420" s="416"/>
      <c r="GAW420" s="416"/>
      <c r="GAX420" s="416"/>
      <c r="GAY420" s="416"/>
      <c r="GAZ420" s="416"/>
      <c r="GBA420" s="416"/>
      <c r="GBB420" s="416"/>
      <c r="GBC420" s="416"/>
      <c r="GBD420" s="416"/>
      <c r="GBE420" s="416"/>
      <c r="GBF420" s="416"/>
      <c r="GBG420" s="416"/>
      <c r="GBH420" s="416"/>
      <c r="GBI420" s="416"/>
      <c r="GBJ420" s="416"/>
      <c r="GBK420" s="416"/>
      <c r="GBL420" s="416"/>
      <c r="GBM420" s="416"/>
      <c r="GBN420" s="416"/>
      <c r="GBO420" s="416"/>
      <c r="GBP420" s="416"/>
      <c r="GBQ420" s="416"/>
      <c r="GBR420" s="416"/>
      <c r="GBS420" s="416"/>
      <c r="GBT420" s="416"/>
      <c r="GBU420" s="416"/>
      <c r="GBV420" s="416"/>
      <c r="GBW420" s="416"/>
      <c r="GBX420" s="416"/>
      <c r="GBY420" s="416"/>
      <c r="GBZ420" s="416"/>
      <c r="GCA420" s="416"/>
      <c r="GCB420" s="416"/>
      <c r="GCC420" s="416"/>
      <c r="GCD420" s="416"/>
      <c r="GCE420" s="416"/>
      <c r="GCF420" s="416"/>
      <c r="GCG420" s="416"/>
      <c r="GCH420" s="416"/>
      <c r="GCI420" s="416"/>
      <c r="GCJ420" s="416"/>
      <c r="GCK420" s="416"/>
      <c r="GCL420" s="416"/>
      <c r="GCM420" s="416"/>
      <c r="GCN420" s="416"/>
      <c r="GCO420" s="416"/>
      <c r="GCP420" s="416"/>
      <c r="GCQ420" s="416"/>
      <c r="GCR420" s="416"/>
      <c r="GCS420" s="416"/>
      <c r="GCT420" s="416"/>
      <c r="GCU420" s="416"/>
      <c r="GCV420" s="416"/>
      <c r="GCW420" s="416"/>
      <c r="GCX420" s="416"/>
      <c r="GCY420" s="416"/>
      <c r="GCZ420" s="416"/>
      <c r="GDA420" s="416"/>
      <c r="GDB420" s="416"/>
      <c r="GDC420" s="416"/>
      <c r="GDD420" s="416"/>
      <c r="GDE420" s="416"/>
      <c r="GDF420" s="416"/>
      <c r="GDG420" s="416"/>
      <c r="GDH420" s="416"/>
      <c r="GDI420" s="416"/>
      <c r="GDJ420" s="416"/>
      <c r="GDK420" s="416"/>
      <c r="GDL420" s="416"/>
      <c r="GDM420" s="416"/>
      <c r="GDN420" s="416"/>
      <c r="GDO420" s="416"/>
      <c r="GDP420" s="416"/>
      <c r="GDQ420" s="416"/>
      <c r="GDR420" s="416"/>
      <c r="GDS420" s="416"/>
      <c r="GDT420" s="416"/>
      <c r="GDU420" s="416"/>
      <c r="GDV420" s="416"/>
      <c r="GDW420" s="416"/>
      <c r="GDX420" s="416"/>
      <c r="GDY420" s="416"/>
      <c r="GDZ420" s="416"/>
      <c r="GEA420" s="416"/>
      <c r="GEB420" s="416"/>
      <c r="GEC420" s="416"/>
      <c r="GED420" s="416"/>
      <c r="GEE420" s="416"/>
      <c r="GEF420" s="416"/>
      <c r="GEG420" s="416"/>
      <c r="GEH420" s="416"/>
      <c r="GEI420" s="416"/>
      <c r="GEJ420" s="416"/>
      <c r="GEK420" s="416"/>
      <c r="GEL420" s="416"/>
      <c r="GEM420" s="416"/>
      <c r="GEN420" s="416"/>
      <c r="GEO420" s="416"/>
      <c r="GEP420" s="416"/>
      <c r="GEQ420" s="416"/>
      <c r="GER420" s="416"/>
      <c r="GES420" s="416"/>
      <c r="GET420" s="416"/>
      <c r="GEU420" s="416"/>
      <c r="GEV420" s="416"/>
      <c r="GEW420" s="416"/>
      <c r="GEX420" s="416"/>
      <c r="GEY420" s="416"/>
      <c r="GEZ420" s="416"/>
      <c r="GFA420" s="416"/>
      <c r="GFB420" s="416"/>
      <c r="GFC420" s="416"/>
      <c r="GFD420" s="416"/>
      <c r="GFE420" s="416"/>
      <c r="GFF420" s="416"/>
      <c r="GFG420" s="416"/>
      <c r="GFH420" s="416"/>
      <c r="GFI420" s="416"/>
      <c r="GFJ420" s="416"/>
      <c r="GFK420" s="416"/>
      <c r="GFL420" s="416"/>
      <c r="GFM420" s="416"/>
      <c r="GFN420" s="416"/>
      <c r="GFO420" s="416"/>
      <c r="GFP420" s="416"/>
      <c r="GFQ420" s="416"/>
      <c r="GFR420" s="416"/>
      <c r="GFS420" s="416"/>
      <c r="GFT420" s="416"/>
      <c r="GFU420" s="416"/>
      <c r="GFV420" s="416"/>
      <c r="GFW420" s="416"/>
      <c r="GFX420" s="416"/>
      <c r="GFY420" s="416"/>
      <c r="GFZ420" s="416"/>
      <c r="GGA420" s="416"/>
      <c r="GGB420" s="416"/>
      <c r="GGC420" s="416"/>
      <c r="GGD420" s="416"/>
      <c r="GGE420" s="416"/>
      <c r="GGF420" s="416"/>
      <c r="GGG420" s="416"/>
      <c r="GGH420" s="416"/>
      <c r="GGI420" s="416"/>
      <c r="GGJ420" s="416"/>
      <c r="GGK420" s="416"/>
      <c r="GGL420" s="416"/>
      <c r="GGM420" s="416"/>
      <c r="GGN420" s="416"/>
      <c r="GGO420" s="416"/>
      <c r="GGP420" s="416"/>
      <c r="GGQ420" s="416"/>
      <c r="GGR420" s="416"/>
      <c r="GGS420" s="416"/>
      <c r="GGT420" s="416"/>
      <c r="GGU420" s="416"/>
      <c r="GGV420" s="416"/>
      <c r="GGW420" s="416"/>
      <c r="GGX420" s="416"/>
      <c r="GGY420" s="416"/>
      <c r="GGZ420" s="416"/>
      <c r="GHA420" s="416"/>
      <c r="GHB420" s="416"/>
      <c r="GHC420" s="416"/>
      <c r="GHD420" s="416"/>
      <c r="GHE420" s="416"/>
      <c r="GHF420" s="416"/>
      <c r="GHG420" s="416"/>
      <c r="GHH420" s="416"/>
      <c r="GHI420" s="416"/>
      <c r="GHJ420" s="416"/>
      <c r="GHK420" s="416"/>
      <c r="GHL420" s="416"/>
      <c r="GHM420" s="416"/>
      <c r="GHN420" s="416"/>
      <c r="GHO420" s="416"/>
      <c r="GHP420" s="416"/>
      <c r="GHQ420" s="416"/>
      <c r="GHR420" s="416"/>
      <c r="GHS420" s="416"/>
      <c r="GHT420" s="416"/>
      <c r="GHU420" s="416"/>
      <c r="GHV420" s="416"/>
      <c r="GHW420" s="416"/>
      <c r="GHX420" s="416"/>
      <c r="GHY420" s="416"/>
      <c r="GHZ420" s="416"/>
      <c r="GIA420" s="416"/>
      <c r="GIB420" s="416"/>
      <c r="GIC420" s="416"/>
      <c r="GID420" s="416"/>
      <c r="GIE420" s="416"/>
      <c r="GIF420" s="416"/>
      <c r="GIG420" s="416"/>
      <c r="GIH420" s="416"/>
      <c r="GII420" s="416"/>
      <c r="GIJ420" s="416"/>
      <c r="GIK420" s="416"/>
      <c r="GIL420" s="416"/>
      <c r="GIM420" s="416"/>
      <c r="GIN420" s="416"/>
      <c r="GIO420" s="416"/>
      <c r="GIP420" s="416"/>
      <c r="GIQ420" s="416"/>
      <c r="GIR420" s="416"/>
      <c r="GIS420" s="416"/>
      <c r="GIT420" s="416"/>
      <c r="GIU420" s="416"/>
      <c r="GIV420" s="416"/>
      <c r="GIW420" s="416"/>
      <c r="GIX420" s="416"/>
      <c r="GIY420" s="416"/>
      <c r="GIZ420" s="416"/>
      <c r="GJA420" s="416"/>
      <c r="GJB420" s="416"/>
      <c r="GJC420" s="416"/>
      <c r="GJD420" s="416"/>
      <c r="GJE420" s="416"/>
      <c r="GJF420" s="416"/>
      <c r="GJG420" s="416"/>
      <c r="GJH420" s="416"/>
      <c r="GJI420" s="416"/>
      <c r="GJJ420" s="416"/>
      <c r="GJK420" s="416"/>
      <c r="GJL420" s="416"/>
      <c r="GJM420" s="416"/>
      <c r="GJN420" s="416"/>
      <c r="GJO420" s="416"/>
      <c r="GJP420" s="416"/>
      <c r="GJQ420" s="416"/>
      <c r="GJR420" s="416"/>
      <c r="GJS420" s="416"/>
      <c r="GJT420" s="416"/>
      <c r="GJU420" s="416"/>
      <c r="GJV420" s="416"/>
      <c r="GJW420" s="416"/>
      <c r="GJX420" s="416"/>
      <c r="GJY420" s="416"/>
      <c r="GJZ420" s="416"/>
      <c r="GKA420" s="416"/>
      <c r="GKB420" s="416"/>
      <c r="GKC420" s="416"/>
      <c r="GKD420" s="416"/>
      <c r="GKE420" s="416"/>
      <c r="GKF420" s="416"/>
      <c r="GKG420" s="416"/>
      <c r="GKH420" s="416"/>
      <c r="GKI420" s="416"/>
      <c r="GKJ420" s="416"/>
      <c r="GKK420" s="416"/>
      <c r="GKL420" s="416"/>
      <c r="GKM420" s="416"/>
      <c r="GKN420" s="416"/>
      <c r="GKO420" s="416"/>
      <c r="GKP420" s="416"/>
      <c r="GKQ420" s="416"/>
      <c r="GKR420" s="416"/>
      <c r="GKS420" s="416"/>
      <c r="GKT420" s="416"/>
      <c r="GKU420" s="416"/>
      <c r="GKV420" s="416"/>
      <c r="GKW420" s="416"/>
      <c r="GKX420" s="416"/>
      <c r="GKY420" s="416"/>
      <c r="GKZ420" s="416"/>
      <c r="GLA420" s="416"/>
      <c r="GLB420" s="416"/>
      <c r="GLC420" s="416"/>
      <c r="GLD420" s="416"/>
      <c r="GLE420" s="416"/>
      <c r="GLF420" s="416"/>
      <c r="GLG420" s="416"/>
      <c r="GLH420" s="416"/>
      <c r="GLI420" s="416"/>
      <c r="GLJ420" s="416"/>
      <c r="GLK420" s="416"/>
      <c r="GLL420" s="416"/>
      <c r="GLM420" s="416"/>
      <c r="GLN420" s="416"/>
      <c r="GLO420" s="416"/>
      <c r="GLP420" s="416"/>
      <c r="GLQ420" s="416"/>
      <c r="GLR420" s="416"/>
      <c r="GLS420" s="416"/>
      <c r="GLT420" s="416"/>
      <c r="GLU420" s="416"/>
      <c r="GLV420" s="416"/>
      <c r="GLW420" s="416"/>
      <c r="GLX420" s="416"/>
      <c r="GLY420" s="416"/>
      <c r="GLZ420" s="416"/>
      <c r="GMA420" s="416"/>
      <c r="GMB420" s="416"/>
      <c r="GMC420" s="416"/>
      <c r="GMD420" s="416"/>
      <c r="GME420" s="416"/>
      <c r="GMF420" s="416"/>
      <c r="GMG420" s="416"/>
      <c r="GMH420" s="416"/>
      <c r="GMI420" s="416"/>
      <c r="GMJ420" s="416"/>
      <c r="GMK420" s="416"/>
      <c r="GML420" s="416"/>
      <c r="GMM420" s="416"/>
      <c r="GMN420" s="416"/>
      <c r="GMO420" s="416"/>
      <c r="GMP420" s="416"/>
      <c r="GMQ420" s="416"/>
      <c r="GMR420" s="416"/>
      <c r="GMS420" s="416"/>
      <c r="GMT420" s="416"/>
      <c r="GMU420" s="416"/>
      <c r="GMV420" s="416"/>
      <c r="GMW420" s="416"/>
      <c r="GMX420" s="416"/>
      <c r="GMY420" s="416"/>
      <c r="GMZ420" s="416"/>
      <c r="GNA420" s="416"/>
      <c r="GNB420" s="416"/>
      <c r="GNC420" s="416"/>
      <c r="GND420" s="416"/>
      <c r="GNE420" s="416"/>
      <c r="GNF420" s="416"/>
      <c r="GNG420" s="416"/>
      <c r="GNH420" s="416"/>
      <c r="GNI420" s="416"/>
      <c r="GNJ420" s="416"/>
      <c r="GNK420" s="416"/>
      <c r="GNL420" s="416"/>
      <c r="GNM420" s="416"/>
      <c r="GNN420" s="416"/>
      <c r="GNO420" s="416"/>
      <c r="GNP420" s="416"/>
      <c r="GNQ420" s="416"/>
      <c r="GNR420" s="416"/>
      <c r="GNS420" s="416"/>
      <c r="GNT420" s="416"/>
      <c r="GNU420" s="416"/>
      <c r="GNV420" s="416"/>
      <c r="GNW420" s="416"/>
      <c r="GNX420" s="416"/>
      <c r="GNY420" s="416"/>
      <c r="GNZ420" s="416"/>
      <c r="GOA420" s="416"/>
      <c r="GOB420" s="416"/>
      <c r="GOC420" s="416"/>
      <c r="GOD420" s="416"/>
      <c r="GOE420" s="416"/>
      <c r="GOF420" s="416"/>
      <c r="GOG420" s="416"/>
      <c r="GOH420" s="416"/>
      <c r="GOI420" s="416"/>
      <c r="GOJ420" s="416"/>
      <c r="GOK420" s="416"/>
      <c r="GOL420" s="416"/>
      <c r="GOM420" s="416"/>
      <c r="GON420" s="416"/>
      <c r="GOO420" s="416"/>
      <c r="GOP420" s="416"/>
      <c r="GOQ420" s="416"/>
      <c r="GOR420" s="416"/>
      <c r="GOS420" s="416"/>
      <c r="GOT420" s="416"/>
      <c r="GOU420" s="416"/>
      <c r="GOV420" s="416"/>
      <c r="GOW420" s="416"/>
      <c r="GOX420" s="416"/>
      <c r="GOY420" s="416"/>
      <c r="GOZ420" s="416"/>
      <c r="GPA420" s="416"/>
      <c r="GPB420" s="416"/>
      <c r="GPC420" s="416"/>
      <c r="GPD420" s="416"/>
      <c r="GPE420" s="416"/>
      <c r="GPF420" s="416"/>
      <c r="GPG420" s="416"/>
      <c r="GPH420" s="416"/>
      <c r="GPI420" s="416"/>
      <c r="GPJ420" s="416"/>
      <c r="GPK420" s="416"/>
      <c r="GPL420" s="416"/>
      <c r="GPM420" s="416"/>
      <c r="GPN420" s="416"/>
      <c r="GPO420" s="416"/>
      <c r="GPP420" s="416"/>
      <c r="GPQ420" s="416"/>
      <c r="GPR420" s="416"/>
      <c r="GPS420" s="416"/>
      <c r="GPT420" s="416"/>
      <c r="GPU420" s="416"/>
      <c r="GPV420" s="416"/>
      <c r="GPW420" s="416"/>
      <c r="GPX420" s="416"/>
      <c r="GPY420" s="416"/>
      <c r="GPZ420" s="416"/>
      <c r="GQA420" s="416"/>
      <c r="GQB420" s="416"/>
      <c r="GQC420" s="416"/>
      <c r="GQD420" s="416"/>
      <c r="GQE420" s="416"/>
      <c r="GQF420" s="416"/>
      <c r="GQG420" s="416"/>
      <c r="GQH420" s="416"/>
      <c r="GQI420" s="416"/>
      <c r="GQJ420" s="416"/>
      <c r="GQK420" s="416"/>
      <c r="GQL420" s="416"/>
      <c r="GQM420" s="416"/>
      <c r="GQN420" s="416"/>
      <c r="GQO420" s="416"/>
      <c r="GQP420" s="416"/>
      <c r="GQQ420" s="416"/>
      <c r="GQR420" s="416"/>
      <c r="GQS420" s="416"/>
      <c r="GQT420" s="416"/>
      <c r="GQU420" s="416"/>
      <c r="GQV420" s="416"/>
      <c r="GQW420" s="416"/>
      <c r="GQX420" s="416"/>
      <c r="GQY420" s="416"/>
      <c r="GQZ420" s="416"/>
      <c r="GRA420" s="416"/>
      <c r="GRB420" s="416"/>
      <c r="GRC420" s="416"/>
      <c r="GRD420" s="416"/>
      <c r="GRE420" s="416"/>
      <c r="GRF420" s="416"/>
      <c r="GRG420" s="416"/>
      <c r="GRH420" s="416"/>
      <c r="GRI420" s="416"/>
      <c r="GRJ420" s="416"/>
      <c r="GRK420" s="416"/>
      <c r="GRL420" s="416"/>
      <c r="GRM420" s="416"/>
      <c r="GRN420" s="416"/>
      <c r="GRO420" s="416"/>
      <c r="GRP420" s="416"/>
      <c r="GRQ420" s="416"/>
      <c r="GRR420" s="416"/>
      <c r="GRS420" s="416"/>
      <c r="GRT420" s="416"/>
      <c r="GRU420" s="416"/>
      <c r="GRV420" s="416"/>
      <c r="GRW420" s="416"/>
      <c r="GRX420" s="416"/>
      <c r="GRY420" s="416"/>
      <c r="GRZ420" s="416"/>
      <c r="GSA420" s="416"/>
      <c r="GSB420" s="416"/>
      <c r="GSC420" s="416"/>
      <c r="GSD420" s="416"/>
      <c r="GSE420" s="416"/>
      <c r="GSF420" s="416"/>
      <c r="GSG420" s="416"/>
      <c r="GSH420" s="416"/>
      <c r="GSI420" s="416"/>
      <c r="GSJ420" s="416"/>
      <c r="GSK420" s="416"/>
      <c r="GSL420" s="416"/>
      <c r="GSM420" s="416"/>
      <c r="GSN420" s="416"/>
      <c r="GSO420" s="416"/>
      <c r="GSP420" s="416"/>
      <c r="GSQ420" s="416"/>
      <c r="GSR420" s="416"/>
      <c r="GSS420" s="416"/>
      <c r="GST420" s="416"/>
      <c r="GSU420" s="416"/>
      <c r="GSV420" s="416"/>
      <c r="GSW420" s="416"/>
      <c r="GSX420" s="416"/>
      <c r="GSY420" s="416"/>
      <c r="GSZ420" s="416"/>
      <c r="GTA420" s="416"/>
      <c r="GTB420" s="416"/>
      <c r="GTC420" s="416"/>
      <c r="GTD420" s="416"/>
      <c r="GTE420" s="416"/>
      <c r="GTF420" s="416"/>
      <c r="GTG420" s="416"/>
      <c r="GTH420" s="416"/>
      <c r="GTI420" s="416"/>
      <c r="GTJ420" s="416"/>
      <c r="GTK420" s="416"/>
      <c r="GTL420" s="416"/>
      <c r="GTM420" s="416"/>
      <c r="GTN420" s="416"/>
      <c r="GTO420" s="416"/>
      <c r="GTP420" s="416"/>
      <c r="GTQ420" s="416"/>
      <c r="GTR420" s="416"/>
      <c r="GTS420" s="416"/>
      <c r="GTT420" s="416"/>
      <c r="GTU420" s="416"/>
      <c r="GTV420" s="416"/>
      <c r="GTW420" s="416"/>
      <c r="GTX420" s="416"/>
      <c r="GTY420" s="416"/>
      <c r="GTZ420" s="416"/>
      <c r="GUA420" s="416"/>
      <c r="GUB420" s="416"/>
      <c r="GUC420" s="416"/>
      <c r="GUD420" s="416"/>
      <c r="GUE420" s="416"/>
      <c r="GUF420" s="416"/>
      <c r="GUG420" s="416"/>
      <c r="GUH420" s="416"/>
      <c r="GUI420" s="416"/>
      <c r="GUJ420" s="416"/>
      <c r="GUK420" s="416"/>
      <c r="GUL420" s="416"/>
      <c r="GUM420" s="416"/>
      <c r="GUN420" s="416"/>
      <c r="GUO420" s="416"/>
      <c r="GUP420" s="416"/>
      <c r="GUQ420" s="416"/>
      <c r="GUR420" s="416"/>
      <c r="GUS420" s="416"/>
      <c r="GUT420" s="416"/>
      <c r="GUU420" s="416"/>
      <c r="GUV420" s="416"/>
      <c r="GUW420" s="416"/>
      <c r="GUX420" s="416"/>
      <c r="GUY420" s="416"/>
      <c r="GUZ420" s="416"/>
      <c r="GVA420" s="416"/>
      <c r="GVB420" s="416"/>
      <c r="GVC420" s="416"/>
      <c r="GVD420" s="416"/>
      <c r="GVE420" s="416"/>
      <c r="GVF420" s="416"/>
      <c r="GVG420" s="416"/>
      <c r="GVH420" s="416"/>
      <c r="GVI420" s="416"/>
      <c r="GVJ420" s="416"/>
      <c r="GVK420" s="416"/>
      <c r="GVL420" s="416"/>
      <c r="GVM420" s="416"/>
      <c r="GVN420" s="416"/>
      <c r="GVO420" s="416"/>
      <c r="GVP420" s="416"/>
      <c r="GVQ420" s="416"/>
      <c r="GVR420" s="416"/>
      <c r="GVS420" s="416"/>
      <c r="GVT420" s="416"/>
      <c r="GVU420" s="416"/>
      <c r="GVV420" s="416"/>
      <c r="GVW420" s="416"/>
      <c r="GVX420" s="416"/>
      <c r="GVY420" s="416"/>
      <c r="GVZ420" s="416"/>
      <c r="GWA420" s="416"/>
      <c r="GWB420" s="416"/>
      <c r="GWC420" s="416"/>
      <c r="GWD420" s="416"/>
      <c r="GWE420" s="416"/>
      <c r="GWF420" s="416"/>
      <c r="GWG420" s="416"/>
      <c r="GWH420" s="416"/>
      <c r="GWI420" s="416"/>
      <c r="GWJ420" s="416"/>
      <c r="GWK420" s="416"/>
      <c r="GWL420" s="416"/>
      <c r="GWM420" s="416"/>
      <c r="GWN420" s="416"/>
      <c r="GWO420" s="416"/>
      <c r="GWP420" s="416"/>
      <c r="GWQ420" s="416"/>
      <c r="GWR420" s="416"/>
      <c r="GWS420" s="416"/>
      <c r="GWT420" s="416"/>
      <c r="GWU420" s="416"/>
      <c r="GWV420" s="416"/>
      <c r="GWW420" s="416"/>
      <c r="GWX420" s="416"/>
      <c r="GWY420" s="416"/>
      <c r="GWZ420" s="416"/>
      <c r="GXA420" s="416"/>
      <c r="GXB420" s="416"/>
      <c r="GXC420" s="416"/>
      <c r="GXD420" s="416"/>
      <c r="GXE420" s="416"/>
      <c r="GXF420" s="416"/>
      <c r="GXG420" s="416"/>
      <c r="GXH420" s="416"/>
      <c r="GXI420" s="416"/>
      <c r="GXJ420" s="416"/>
      <c r="GXK420" s="416"/>
      <c r="GXL420" s="416"/>
      <c r="GXM420" s="416"/>
      <c r="GXN420" s="416"/>
      <c r="GXO420" s="416"/>
      <c r="GXP420" s="416"/>
      <c r="GXQ420" s="416"/>
      <c r="GXR420" s="416"/>
      <c r="GXS420" s="416"/>
      <c r="GXT420" s="416"/>
      <c r="GXU420" s="416"/>
      <c r="GXV420" s="416"/>
      <c r="GXW420" s="416"/>
      <c r="GXX420" s="416"/>
      <c r="GXY420" s="416"/>
      <c r="GXZ420" s="416"/>
      <c r="GYA420" s="416"/>
      <c r="GYB420" s="416"/>
      <c r="GYC420" s="416"/>
      <c r="GYD420" s="416"/>
      <c r="GYE420" s="416"/>
      <c r="GYF420" s="416"/>
      <c r="GYG420" s="416"/>
      <c r="GYH420" s="416"/>
      <c r="GYI420" s="416"/>
      <c r="GYJ420" s="416"/>
      <c r="GYK420" s="416"/>
      <c r="GYL420" s="416"/>
      <c r="GYM420" s="416"/>
      <c r="GYN420" s="416"/>
      <c r="GYO420" s="416"/>
      <c r="GYP420" s="416"/>
      <c r="GYQ420" s="416"/>
      <c r="GYR420" s="416"/>
      <c r="GYS420" s="416"/>
      <c r="GYT420" s="416"/>
      <c r="GYU420" s="416"/>
      <c r="GYV420" s="416"/>
      <c r="GYW420" s="416"/>
      <c r="GYX420" s="416"/>
      <c r="GYY420" s="416"/>
      <c r="GYZ420" s="416"/>
      <c r="GZA420" s="416"/>
      <c r="GZB420" s="416"/>
      <c r="GZC420" s="416"/>
      <c r="GZD420" s="416"/>
      <c r="GZE420" s="416"/>
      <c r="GZF420" s="416"/>
      <c r="GZG420" s="416"/>
      <c r="GZH420" s="416"/>
      <c r="GZI420" s="416"/>
      <c r="GZJ420" s="416"/>
      <c r="GZK420" s="416"/>
      <c r="GZL420" s="416"/>
      <c r="GZM420" s="416"/>
      <c r="GZN420" s="416"/>
      <c r="GZO420" s="416"/>
      <c r="GZP420" s="416"/>
      <c r="GZQ420" s="416"/>
      <c r="GZR420" s="416"/>
      <c r="GZS420" s="416"/>
      <c r="GZT420" s="416"/>
      <c r="GZU420" s="416"/>
      <c r="GZV420" s="416"/>
      <c r="GZW420" s="416"/>
      <c r="GZX420" s="416"/>
      <c r="GZY420" s="416"/>
      <c r="GZZ420" s="416"/>
      <c r="HAA420" s="416"/>
      <c r="HAB420" s="416"/>
      <c r="HAC420" s="416"/>
      <c r="HAD420" s="416"/>
      <c r="HAE420" s="416"/>
      <c r="HAF420" s="416"/>
      <c r="HAG420" s="416"/>
      <c r="HAH420" s="416"/>
      <c r="HAI420" s="416"/>
      <c r="HAJ420" s="416"/>
      <c r="HAK420" s="416"/>
      <c r="HAL420" s="416"/>
      <c r="HAM420" s="416"/>
      <c r="HAN420" s="416"/>
      <c r="HAO420" s="416"/>
      <c r="HAP420" s="416"/>
      <c r="HAQ420" s="416"/>
      <c r="HAR420" s="416"/>
      <c r="HAS420" s="416"/>
      <c r="HAT420" s="416"/>
      <c r="HAU420" s="416"/>
      <c r="HAV420" s="416"/>
      <c r="HAW420" s="416"/>
      <c r="HAX420" s="416"/>
      <c r="HAY420" s="416"/>
      <c r="HAZ420" s="416"/>
      <c r="HBA420" s="416"/>
      <c r="HBB420" s="416"/>
      <c r="HBC420" s="416"/>
      <c r="HBD420" s="416"/>
      <c r="HBE420" s="416"/>
      <c r="HBF420" s="416"/>
      <c r="HBG420" s="416"/>
      <c r="HBH420" s="416"/>
      <c r="HBI420" s="416"/>
      <c r="HBJ420" s="416"/>
      <c r="HBK420" s="416"/>
      <c r="HBL420" s="416"/>
      <c r="HBM420" s="416"/>
      <c r="HBN420" s="416"/>
      <c r="HBO420" s="416"/>
      <c r="HBP420" s="416"/>
      <c r="HBQ420" s="416"/>
      <c r="HBR420" s="416"/>
      <c r="HBS420" s="416"/>
      <c r="HBT420" s="416"/>
      <c r="HBU420" s="416"/>
      <c r="HBV420" s="416"/>
      <c r="HBW420" s="416"/>
      <c r="HBX420" s="416"/>
      <c r="HBY420" s="416"/>
      <c r="HBZ420" s="416"/>
      <c r="HCA420" s="416"/>
      <c r="HCB420" s="416"/>
      <c r="HCC420" s="416"/>
      <c r="HCD420" s="416"/>
      <c r="HCE420" s="416"/>
      <c r="HCF420" s="416"/>
      <c r="HCG420" s="416"/>
      <c r="HCH420" s="416"/>
      <c r="HCI420" s="416"/>
      <c r="HCJ420" s="416"/>
      <c r="HCK420" s="416"/>
      <c r="HCL420" s="416"/>
      <c r="HCM420" s="416"/>
      <c r="HCN420" s="416"/>
      <c r="HCO420" s="416"/>
      <c r="HCP420" s="416"/>
      <c r="HCQ420" s="416"/>
      <c r="HCR420" s="416"/>
      <c r="HCS420" s="416"/>
      <c r="HCT420" s="416"/>
      <c r="HCU420" s="416"/>
      <c r="HCV420" s="416"/>
      <c r="HCW420" s="416"/>
      <c r="HCX420" s="416"/>
      <c r="HCY420" s="416"/>
      <c r="HCZ420" s="416"/>
      <c r="HDA420" s="416"/>
      <c r="HDB420" s="416"/>
      <c r="HDC420" s="416"/>
      <c r="HDD420" s="416"/>
      <c r="HDE420" s="416"/>
      <c r="HDF420" s="416"/>
      <c r="HDG420" s="416"/>
      <c r="HDH420" s="416"/>
      <c r="HDI420" s="416"/>
      <c r="HDJ420" s="416"/>
      <c r="HDK420" s="416"/>
      <c r="HDL420" s="416"/>
      <c r="HDM420" s="416"/>
      <c r="HDN420" s="416"/>
      <c r="HDO420" s="416"/>
      <c r="HDP420" s="416"/>
      <c r="HDQ420" s="416"/>
      <c r="HDR420" s="416"/>
      <c r="HDS420" s="416"/>
      <c r="HDT420" s="416"/>
      <c r="HDU420" s="416"/>
      <c r="HDV420" s="416"/>
      <c r="HDW420" s="416"/>
      <c r="HDX420" s="416"/>
      <c r="HDY420" s="416"/>
      <c r="HDZ420" s="416"/>
      <c r="HEA420" s="416"/>
      <c r="HEB420" s="416"/>
      <c r="HEC420" s="416"/>
      <c r="HED420" s="416"/>
      <c r="HEE420" s="416"/>
      <c r="HEF420" s="416"/>
      <c r="HEG420" s="416"/>
      <c r="HEH420" s="416"/>
      <c r="HEI420" s="416"/>
      <c r="HEJ420" s="416"/>
      <c r="HEK420" s="416"/>
      <c r="HEL420" s="416"/>
      <c r="HEM420" s="416"/>
      <c r="HEN420" s="416"/>
      <c r="HEO420" s="416"/>
      <c r="HEP420" s="416"/>
      <c r="HEQ420" s="416"/>
      <c r="HER420" s="416"/>
      <c r="HES420" s="416"/>
      <c r="HET420" s="416"/>
      <c r="HEU420" s="416"/>
      <c r="HEV420" s="416"/>
      <c r="HEW420" s="416"/>
      <c r="HEX420" s="416"/>
      <c r="HEY420" s="416"/>
      <c r="HEZ420" s="416"/>
      <c r="HFA420" s="416"/>
      <c r="HFB420" s="416"/>
      <c r="HFC420" s="416"/>
      <c r="HFD420" s="416"/>
      <c r="HFE420" s="416"/>
      <c r="HFF420" s="416"/>
      <c r="HFG420" s="416"/>
      <c r="HFH420" s="416"/>
      <c r="HFI420" s="416"/>
      <c r="HFJ420" s="416"/>
      <c r="HFK420" s="416"/>
      <c r="HFL420" s="416"/>
      <c r="HFM420" s="416"/>
      <c r="HFN420" s="416"/>
      <c r="HFO420" s="416"/>
      <c r="HFP420" s="416"/>
      <c r="HFQ420" s="416"/>
      <c r="HFR420" s="416"/>
      <c r="HFS420" s="416"/>
      <c r="HFT420" s="416"/>
      <c r="HFU420" s="416"/>
      <c r="HFV420" s="416"/>
      <c r="HFW420" s="416"/>
      <c r="HFX420" s="416"/>
      <c r="HFY420" s="416"/>
      <c r="HFZ420" s="416"/>
      <c r="HGA420" s="416"/>
      <c r="HGB420" s="416"/>
      <c r="HGC420" s="416"/>
      <c r="HGD420" s="416"/>
      <c r="HGE420" s="416"/>
      <c r="HGF420" s="416"/>
      <c r="HGG420" s="416"/>
      <c r="HGH420" s="416"/>
      <c r="HGI420" s="416"/>
      <c r="HGJ420" s="416"/>
      <c r="HGK420" s="416"/>
      <c r="HGL420" s="416"/>
      <c r="HGM420" s="416"/>
      <c r="HGN420" s="416"/>
      <c r="HGO420" s="416"/>
      <c r="HGP420" s="416"/>
      <c r="HGQ420" s="416"/>
      <c r="HGR420" s="416"/>
      <c r="HGS420" s="416"/>
      <c r="HGT420" s="416"/>
      <c r="HGU420" s="416"/>
      <c r="HGV420" s="416"/>
      <c r="HGW420" s="416"/>
      <c r="HGX420" s="416"/>
      <c r="HGY420" s="416"/>
      <c r="HGZ420" s="416"/>
      <c r="HHA420" s="416"/>
      <c r="HHB420" s="416"/>
      <c r="HHC420" s="416"/>
      <c r="HHD420" s="416"/>
      <c r="HHE420" s="416"/>
      <c r="HHF420" s="416"/>
      <c r="HHG420" s="416"/>
      <c r="HHH420" s="416"/>
      <c r="HHI420" s="416"/>
      <c r="HHJ420" s="416"/>
      <c r="HHK420" s="416"/>
      <c r="HHL420" s="416"/>
      <c r="HHM420" s="416"/>
      <c r="HHN420" s="416"/>
      <c r="HHO420" s="416"/>
      <c r="HHP420" s="416"/>
      <c r="HHQ420" s="416"/>
      <c r="HHR420" s="416"/>
      <c r="HHS420" s="416"/>
      <c r="HHT420" s="416"/>
      <c r="HHU420" s="416"/>
      <c r="HHV420" s="416"/>
      <c r="HHW420" s="416"/>
      <c r="HHX420" s="416"/>
      <c r="HHY420" s="416"/>
      <c r="HHZ420" s="416"/>
      <c r="HIA420" s="416"/>
      <c r="HIB420" s="416"/>
      <c r="HIC420" s="416"/>
      <c r="HID420" s="416"/>
      <c r="HIE420" s="416"/>
      <c r="HIF420" s="416"/>
      <c r="HIG420" s="416"/>
      <c r="HIH420" s="416"/>
      <c r="HII420" s="416"/>
      <c r="HIJ420" s="416"/>
      <c r="HIK420" s="416"/>
      <c r="HIL420" s="416"/>
      <c r="HIM420" s="416"/>
      <c r="HIN420" s="416"/>
      <c r="HIO420" s="416"/>
      <c r="HIP420" s="416"/>
      <c r="HIQ420" s="416"/>
      <c r="HIR420" s="416"/>
      <c r="HIS420" s="416"/>
      <c r="HIT420" s="416"/>
      <c r="HIU420" s="416"/>
      <c r="HIV420" s="416"/>
      <c r="HIW420" s="416"/>
      <c r="HIX420" s="416"/>
      <c r="HIY420" s="416"/>
      <c r="HIZ420" s="416"/>
      <c r="HJA420" s="416"/>
      <c r="HJB420" s="416"/>
      <c r="HJC420" s="416"/>
      <c r="HJD420" s="416"/>
      <c r="HJE420" s="416"/>
      <c r="HJF420" s="416"/>
      <c r="HJG420" s="416"/>
      <c r="HJH420" s="416"/>
      <c r="HJI420" s="416"/>
      <c r="HJJ420" s="416"/>
      <c r="HJK420" s="416"/>
      <c r="HJL420" s="416"/>
      <c r="HJM420" s="416"/>
      <c r="HJN420" s="416"/>
      <c r="HJO420" s="416"/>
      <c r="HJP420" s="416"/>
      <c r="HJQ420" s="416"/>
      <c r="HJR420" s="416"/>
      <c r="HJS420" s="416"/>
      <c r="HJT420" s="416"/>
      <c r="HJU420" s="416"/>
      <c r="HJV420" s="416"/>
      <c r="HJW420" s="416"/>
      <c r="HJX420" s="416"/>
      <c r="HJY420" s="416"/>
      <c r="HJZ420" s="416"/>
      <c r="HKA420" s="416"/>
      <c r="HKB420" s="416"/>
      <c r="HKC420" s="416"/>
      <c r="HKD420" s="416"/>
      <c r="HKE420" s="416"/>
      <c r="HKF420" s="416"/>
      <c r="HKG420" s="416"/>
      <c r="HKH420" s="416"/>
      <c r="HKI420" s="416"/>
      <c r="HKJ420" s="416"/>
      <c r="HKK420" s="416"/>
      <c r="HKL420" s="416"/>
      <c r="HKM420" s="416"/>
      <c r="HKN420" s="416"/>
      <c r="HKO420" s="416"/>
      <c r="HKP420" s="416"/>
      <c r="HKQ420" s="416"/>
      <c r="HKR420" s="416"/>
      <c r="HKS420" s="416"/>
      <c r="HKT420" s="416"/>
      <c r="HKU420" s="416"/>
      <c r="HKV420" s="416"/>
      <c r="HKW420" s="416"/>
      <c r="HKX420" s="416"/>
      <c r="HKY420" s="416"/>
      <c r="HKZ420" s="416"/>
      <c r="HLA420" s="416"/>
      <c r="HLB420" s="416"/>
      <c r="HLC420" s="416"/>
      <c r="HLD420" s="416"/>
      <c r="HLE420" s="416"/>
      <c r="HLF420" s="416"/>
      <c r="HLG420" s="416"/>
      <c r="HLH420" s="416"/>
      <c r="HLI420" s="416"/>
      <c r="HLJ420" s="416"/>
      <c r="HLK420" s="416"/>
      <c r="HLL420" s="416"/>
      <c r="HLM420" s="416"/>
      <c r="HLN420" s="416"/>
      <c r="HLO420" s="416"/>
      <c r="HLP420" s="416"/>
      <c r="HLQ420" s="416"/>
      <c r="HLR420" s="416"/>
      <c r="HLS420" s="416"/>
      <c r="HLT420" s="416"/>
      <c r="HLU420" s="416"/>
      <c r="HLV420" s="416"/>
      <c r="HLW420" s="416"/>
      <c r="HLX420" s="416"/>
      <c r="HLY420" s="416"/>
      <c r="HLZ420" s="416"/>
      <c r="HMA420" s="416"/>
      <c r="HMB420" s="416"/>
      <c r="HMC420" s="416"/>
      <c r="HMD420" s="416"/>
      <c r="HME420" s="416"/>
      <c r="HMF420" s="416"/>
      <c r="HMG420" s="416"/>
      <c r="HMH420" s="416"/>
      <c r="HMI420" s="416"/>
      <c r="HMJ420" s="416"/>
      <c r="HMK420" s="416"/>
      <c r="HML420" s="416"/>
      <c r="HMM420" s="416"/>
      <c r="HMN420" s="416"/>
      <c r="HMO420" s="416"/>
      <c r="HMP420" s="416"/>
      <c r="HMQ420" s="416"/>
      <c r="HMR420" s="416"/>
      <c r="HMS420" s="416"/>
      <c r="HMT420" s="416"/>
      <c r="HMU420" s="416"/>
      <c r="HMV420" s="416"/>
      <c r="HMW420" s="416"/>
      <c r="HMX420" s="416"/>
      <c r="HMY420" s="416"/>
      <c r="HMZ420" s="416"/>
      <c r="HNA420" s="416"/>
      <c r="HNB420" s="416"/>
      <c r="HNC420" s="416"/>
      <c r="HND420" s="416"/>
      <c r="HNE420" s="416"/>
      <c r="HNF420" s="416"/>
      <c r="HNG420" s="416"/>
      <c r="HNH420" s="416"/>
      <c r="HNI420" s="416"/>
      <c r="HNJ420" s="416"/>
      <c r="HNK420" s="416"/>
      <c r="HNL420" s="416"/>
      <c r="HNM420" s="416"/>
      <c r="HNN420" s="416"/>
      <c r="HNO420" s="416"/>
      <c r="HNP420" s="416"/>
      <c r="HNQ420" s="416"/>
      <c r="HNR420" s="416"/>
      <c r="HNS420" s="416"/>
      <c r="HNT420" s="416"/>
      <c r="HNU420" s="416"/>
      <c r="HNV420" s="416"/>
      <c r="HNW420" s="416"/>
      <c r="HNX420" s="416"/>
      <c r="HNY420" s="416"/>
      <c r="HNZ420" s="416"/>
      <c r="HOA420" s="416"/>
      <c r="HOB420" s="416"/>
      <c r="HOC420" s="416"/>
      <c r="HOD420" s="416"/>
      <c r="HOE420" s="416"/>
      <c r="HOF420" s="416"/>
      <c r="HOG420" s="416"/>
      <c r="HOH420" s="416"/>
      <c r="HOI420" s="416"/>
      <c r="HOJ420" s="416"/>
      <c r="HOK420" s="416"/>
      <c r="HOL420" s="416"/>
      <c r="HOM420" s="416"/>
      <c r="HON420" s="416"/>
      <c r="HOO420" s="416"/>
      <c r="HOP420" s="416"/>
      <c r="HOQ420" s="416"/>
      <c r="HOR420" s="416"/>
      <c r="HOS420" s="416"/>
      <c r="HOT420" s="416"/>
      <c r="HOU420" s="416"/>
      <c r="HOV420" s="416"/>
      <c r="HOW420" s="416"/>
      <c r="HOX420" s="416"/>
      <c r="HOY420" s="416"/>
      <c r="HOZ420" s="416"/>
      <c r="HPA420" s="416"/>
      <c r="HPB420" s="416"/>
      <c r="HPC420" s="416"/>
      <c r="HPD420" s="416"/>
      <c r="HPE420" s="416"/>
      <c r="HPF420" s="416"/>
      <c r="HPG420" s="416"/>
      <c r="HPH420" s="416"/>
      <c r="HPI420" s="416"/>
      <c r="HPJ420" s="416"/>
      <c r="HPK420" s="416"/>
      <c r="HPL420" s="416"/>
      <c r="HPM420" s="416"/>
      <c r="HPN420" s="416"/>
      <c r="HPO420" s="416"/>
      <c r="HPP420" s="416"/>
      <c r="HPQ420" s="416"/>
      <c r="HPR420" s="416"/>
      <c r="HPS420" s="416"/>
      <c r="HPT420" s="416"/>
      <c r="HPU420" s="416"/>
      <c r="HPV420" s="416"/>
      <c r="HPW420" s="416"/>
      <c r="HPX420" s="416"/>
      <c r="HPY420" s="416"/>
      <c r="HPZ420" s="416"/>
      <c r="HQA420" s="416"/>
      <c r="HQB420" s="416"/>
      <c r="HQC420" s="416"/>
      <c r="HQD420" s="416"/>
      <c r="HQE420" s="416"/>
      <c r="HQF420" s="416"/>
      <c r="HQG420" s="416"/>
      <c r="HQH420" s="416"/>
      <c r="HQI420" s="416"/>
      <c r="HQJ420" s="416"/>
      <c r="HQK420" s="416"/>
      <c r="HQL420" s="416"/>
      <c r="HQM420" s="416"/>
      <c r="HQN420" s="416"/>
      <c r="HQO420" s="416"/>
      <c r="HQP420" s="416"/>
      <c r="HQQ420" s="416"/>
      <c r="HQR420" s="416"/>
      <c r="HQS420" s="416"/>
      <c r="HQT420" s="416"/>
      <c r="HQU420" s="416"/>
      <c r="HQV420" s="416"/>
      <c r="HQW420" s="416"/>
      <c r="HQX420" s="416"/>
      <c r="HQY420" s="416"/>
      <c r="HQZ420" s="416"/>
      <c r="HRA420" s="416"/>
      <c r="HRB420" s="416"/>
      <c r="HRC420" s="416"/>
      <c r="HRD420" s="416"/>
      <c r="HRE420" s="416"/>
      <c r="HRF420" s="416"/>
      <c r="HRG420" s="416"/>
      <c r="HRH420" s="416"/>
      <c r="HRI420" s="416"/>
      <c r="HRJ420" s="416"/>
      <c r="HRK420" s="416"/>
      <c r="HRL420" s="416"/>
      <c r="HRM420" s="416"/>
      <c r="HRN420" s="416"/>
      <c r="HRO420" s="416"/>
      <c r="HRP420" s="416"/>
      <c r="HRQ420" s="416"/>
      <c r="HRR420" s="416"/>
      <c r="HRS420" s="416"/>
      <c r="HRT420" s="416"/>
      <c r="HRU420" s="416"/>
      <c r="HRV420" s="416"/>
      <c r="HRW420" s="416"/>
      <c r="HRX420" s="416"/>
      <c r="HRY420" s="416"/>
      <c r="HRZ420" s="416"/>
      <c r="HSA420" s="416"/>
      <c r="HSB420" s="416"/>
      <c r="HSC420" s="416"/>
      <c r="HSD420" s="416"/>
      <c r="HSE420" s="416"/>
      <c r="HSF420" s="416"/>
      <c r="HSG420" s="416"/>
      <c r="HSH420" s="416"/>
      <c r="HSI420" s="416"/>
      <c r="HSJ420" s="416"/>
      <c r="HSK420" s="416"/>
      <c r="HSL420" s="416"/>
      <c r="HSM420" s="416"/>
      <c r="HSN420" s="416"/>
      <c r="HSO420" s="416"/>
      <c r="HSP420" s="416"/>
      <c r="HSQ420" s="416"/>
      <c r="HSR420" s="416"/>
      <c r="HSS420" s="416"/>
      <c r="HST420" s="416"/>
      <c r="HSU420" s="416"/>
      <c r="HSV420" s="416"/>
      <c r="HSW420" s="416"/>
      <c r="HSX420" s="416"/>
      <c r="HSY420" s="416"/>
      <c r="HSZ420" s="416"/>
      <c r="HTA420" s="416"/>
      <c r="HTB420" s="416"/>
      <c r="HTC420" s="416"/>
      <c r="HTD420" s="416"/>
      <c r="HTE420" s="416"/>
      <c r="HTF420" s="416"/>
      <c r="HTG420" s="416"/>
      <c r="HTH420" s="416"/>
      <c r="HTI420" s="416"/>
      <c r="HTJ420" s="416"/>
      <c r="HTK420" s="416"/>
      <c r="HTL420" s="416"/>
      <c r="HTM420" s="416"/>
      <c r="HTN420" s="416"/>
      <c r="HTO420" s="416"/>
      <c r="HTP420" s="416"/>
      <c r="HTQ420" s="416"/>
      <c r="HTR420" s="416"/>
      <c r="HTS420" s="416"/>
      <c r="HTT420" s="416"/>
      <c r="HTU420" s="416"/>
      <c r="HTV420" s="416"/>
      <c r="HTW420" s="416"/>
      <c r="HTX420" s="416"/>
      <c r="HTY420" s="416"/>
      <c r="HTZ420" s="416"/>
      <c r="HUA420" s="416"/>
      <c r="HUB420" s="416"/>
      <c r="HUC420" s="416"/>
      <c r="HUD420" s="416"/>
      <c r="HUE420" s="416"/>
      <c r="HUF420" s="416"/>
      <c r="HUG420" s="416"/>
      <c r="HUH420" s="416"/>
      <c r="HUI420" s="416"/>
      <c r="HUJ420" s="416"/>
      <c r="HUK420" s="416"/>
      <c r="HUL420" s="416"/>
      <c r="HUM420" s="416"/>
      <c r="HUN420" s="416"/>
      <c r="HUO420" s="416"/>
      <c r="HUP420" s="416"/>
      <c r="HUQ420" s="416"/>
      <c r="HUR420" s="416"/>
      <c r="HUS420" s="416"/>
      <c r="HUT420" s="416"/>
      <c r="HUU420" s="416"/>
      <c r="HUV420" s="416"/>
      <c r="HUW420" s="416"/>
      <c r="HUX420" s="416"/>
      <c r="HUY420" s="416"/>
      <c r="HUZ420" s="416"/>
      <c r="HVA420" s="416"/>
      <c r="HVB420" s="416"/>
      <c r="HVC420" s="416"/>
      <c r="HVD420" s="416"/>
      <c r="HVE420" s="416"/>
      <c r="HVF420" s="416"/>
      <c r="HVG420" s="416"/>
      <c r="HVH420" s="416"/>
      <c r="HVI420" s="416"/>
      <c r="HVJ420" s="416"/>
      <c r="HVK420" s="416"/>
      <c r="HVL420" s="416"/>
      <c r="HVM420" s="416"/>
      <c r="HVN420" s="416"/>
      <c r="HVO420" s="416"/>
      <c r="HVP420" s="416"/>
      <c r="HVQ420" s="416"/>
      <c r="HVR420" s="416"/>
      <c r="HVS420" s="416"/>
      <c r="HVT420" s="416"/>
      <c r="HVU420" s="416"/>
      <c r="HVV420" s="416"/>
      <c r="HVW420" s="416"/>
      <c r="HVX420" s="416"/>
      <c r="HVY420" s="416"/>
      <c r="HVZ420" s="416"/>
      <c r="HWA420" s="416"/>
      <c r="HWB420" s="416"/>
      <c r="HWC420" s="416"/>
      <c r="HWD420" s="416"/>
      <c r="HWE420" s="416"/>
      <c r="HWF420" s="416"/>
      <c r="HWG420" s="416"/>
      <c r="HWH420" s="416"/>
      <c r="HWI420" s="416"/>
      <c r="HWJ420" s="416"/>
      <c r="HWK420" s="416"/>
      <c r="HWL420" s="416"/>
      <c r="HWM420" s="416"/>
      <c r="HWN420" s="416"/>
      <c r="HWO420" s="416"/>
      <c r="HWP420" s="416"/>
      <c r="HWQ420" s="416"/>
      <c r="HWR420" s="416"/>
      <c r="HWS420" s="416"/>
      <c r="HWT420" s="416"/>
      <c r="HWU420" s="416"/>
      <c r="HWV420" s="416"/>
      <c r="HWW420" s="416"/>
      <c r="HWX420" s="416"/>
      <c r="HWY420" s="416"/>
      <c r="HWZ420" s="416"/>
      <c r="HXA420" s="416"/>
      <c r="HXB420" s="416"/>
      <c r="HXC420" s="416"/>
      <c r="HXD420" s="416"/>
      <c r="HXE420" s="416"/>
      <c r="HXF420" s="416"/>
      <c r="HXG420" s="416"/>
      <c r="HXH420" s="416"/>
      <c r="HXI420" s="416"/>
      <c r="HXJ420" s="416"/>
      <c r="HXK420" s="416"/>
      <c r="HXL420" s="416"/>
      <c r="HXM420" s="416"/>
      <c r="HXN420" s="416"/>
      <c r="HXO420" s="416"/>
      <c r="HXP420" s="416"/>
      <c r="HXQ420" s="416"/>
      <c r="HXR420" s="416"/>
      <c r="HXS420" s="416"/>
      <c r="HXT420" s="416"/>
      <c r="HXU420" s="416"/>
      <c r="HXV420" s="416"/>
      <c r="HXW420" s="416"/>
      <c r="HXX420" s="416"/>
      <c r="HXY420" s="416"/>
      <c r="HXZ420" s="416"/>
      <c r="HYA420" s="416"/>
      <c r="HYB420" s="416"/>
      <c r="HYC420" s="416"/>
      <c r="HYD420" s="416"/>
      <c r="HYE420" s="416"/>
      <c r="HYF420" s="416"/>
      <c r="HYG420" s="416"/>
      <c r="HYH420" s="416"/>
      <c r="HYI420" s="416"/>
      <c r="HYJ420" s="416"/>
      <c r="HYK420" s="416"/>
      <c r="HYL420" s="416"/>
      <c r="HYM420" s="416"/>
      <c r="HYN420" s="416"/>
      <c r="HYO420" s="416"/>
      <c r="HYP420" s="416"/>
      <c r="HYQ420" s="416"/>
      <c r="HYR420" s="416"/>
      <c r="HYS420" s="416"/>
      <c r="HYT420" s="416"/>
      <c r="HYU420" s="416"/>
      <c r="HYV420" s="416"/>
      <c r="HYW420" s="416"/>
      <c r="HYX420" s="416"/>
      <c r="HYY420" s="416"/>
      <c r="HYZ420" s="416"/>
      <c r="HZA420" s="416"/>
      <c r="HZB420" s="416"/>
      <c r="HZC420" s="416"/>
      <c r="HZD420" s="416"/>
      <c r="HZE420" s="416"/>
      <c r="HZF420" s="416"/>
      <c r="HZG420" s="416"/>
      <c r="HZH420" s="416"/>
      <c r="HZI420" s="416"/>
      <c r="HZJ420" s="416"/>
      <c r="HZK420" s="416"/>
      <c r="HZL420" s="416"/>
      <c r="HZM420" s="416"/>
      <c r="HZN420" s="416"/>
      <c r="HZO420" s="416"/>
      <c r="HZP420" s="416"/>
      <c r="HZQ420" s="416"/>
      <c r="HZR420" s="416"/>
      <c r="HZS420" s="416"/>
      <c r="HZT420" s="416"/>
      <c r="HZU420" s="416"/>
      <c r="HZV420" s="416"/>
      <c r="HZW420" s="416"/>
      <c r="HZX420" s="416"/>
      <c r="HZY420" s="416"/>
      <c r="HZZ420" s="416"/>
      <c r="IAA420" s="416"/>
      <c r="IAB420" s="416"/>
      <c r="IAC420" s="416"/>
      <c r="IAD420" s="416"/>
      <c r="IAE420" s="416"/>
      <c r="IAF420" s="416"/>
      <c r="IAG420" s="416"/>
      <c r="IAH420" s="416"/>
      <c r="IAI420" s="416"/>
      <c r="IAJ420" s="416"/>
      <c r="IAK420" s="416"/>
      <c r="IAL420" s="416"/>
      <c r="IAM420" s="416"/>
      <c r="IAN420" s="416"/>
      <c r="IAO420" s="416"/>
      <c r="IAP420" s="416"/>
      <c r="IAQ420" s="416"/>
      <c r="IAR420" s="416"/>
      <c r="IAS420" s="416"/>
      <c r="IAT420" s="416"/>
      <c r="IAU420" s="416"/>
      <c r="IAV420" s="416"/>
      <c r="IAW420" s="416"/>
      <c r="IAX420" s="416"/>
      <c r="IAY420" s="416"/>
      <c r="IAZ420" s="416"/>
      <c r="IBA420" s="416"/>
      <c r="IBB420" s="416"/>
      <c r="IBC420" s="416"/>
      <c r="IBD420" s="416"/>
      <c r="IBE420" s="416"/>
      <c r="IBF420" s="416"/>
      <c r="IBG420" s="416"/>
      <c r="IBH420" s="416"/>
      <c r="IBI420" s="416"/>
      <c r="IBJ420" s="416"/>
      <c r="IBK420" s="416"/>
      <c r="IBL420" s="416"/>
      <c r="IBM420" s="416"/>
      <c r="IBN420" s="416"/>
      <c r="IBO420" s="416"/>
      <c r="IBP420" s="416"/>
      <c r="IBQ420" s="416"/>
      <c r="IBR420" s="416"/>
      <c r="IBS420" s="416"/>
      <c r="IBT420" s="416"/>
      <c r="IBU420" s="416"/>
      <c r="IBV420" s="416"/>
      <c r="IBW420" s="416"/>
      <c r="IBX420" s="416"/>
      <c r="IBY420" s="416"/>
      <c r="IBZ420" s="416"/>
      <c r="ICA420" s="416"/>
      <c r="ICB420" s="416"/>
      <c r="ICC420" s="416"/>
      <c r="ICD420" s="416"/>
      <c r="ICE420" s="416"/>
      <c r="ICF420" s="416"/>
      <c r="ICG420" s="416"/>
      <c r="ICH420" s="416"/>
      <c r="ICI420" s="416"/>
      <c r="ICJ420" s="416"/>
      <c r="ICK420" s="416"/>
      <c r="ICL420" s="416"/>
      <c r="ICM420" s="416"/>
      <c r="ICN420" s="416"/>
      <c r="ICO420" s="416"/>
      <c r="ICP420" s="416"/>
      <c r="ICQ420" s="416"/>
      <c r="ICR420" s="416"/>
      <c r="ICS420" s="416"/>
      <c r="ICT420" s="416"/>
      <c r="ICU420" s="416"/>
      <c r="ICV420" s="416"/>
      <c r="ICW420" s="416"/>
      <c r="ICX420" s="416"/>
      <c r="ICY420" s="416"/>
      <c r="ICZ420" s="416"/>
      <c r="IDA420" s="416"/>
      <c r="IDB420" s="416"/>
      <c r="IDC420" s="416"/>
      <c r="IDD420" s="416"/>
      <c r="IDE420" s="416"/>
      <c r="IDF420" s="416"/>
      <c r="IDG420" s="416"/>
      <c r="IDH420" s="416"/>
      <c r="IDI420" s="416"/>
      <c r="IDJ420" s="416"/>
      <c r="IDK420" s="416"/>
      <c r="IDL420" s="416"/>
      <c r="IDM420" s="416"/>
      <c r="IDN420" s="416"/>
      <c r="IDO420" s="416"/>
      <c r="IDP420" s="416"/>
      <c r="IDQ420" s="416"/>
      <c r="IDR420" s="416"/>
      <c r="IDS420" s="416"/>
      <c r="IDT420" s="416"/>
      <c r="IDU420" s="416"/>
      <c r="IDV420" s="416"/>
      <c r="IDW420" s="416"/>
      <c r="IDX420" s="416"/>
      <c r="IDY420" s="416"/>
      <c r="IDZ420" s="416"/>
      <c r="IEA420" s="416"/>
      <c r="IEB420" s="416"/>
      <c r="IEC420" s="416"/>
      <c r="IED420" s="416"/>
      <c r="IEE420" s="416"/>
      <c r="IEF420" s="416"/>
      <c r="IEG420" s="416"/>
      <c r="IEH420" s="416"/>
      <c r="IEI420" s="416"/>
      <c r="IEJ420" s="416"/>
      <c r="IEK420" s="416"/>
      <c r="IEL420" s="416"/>
      <c r="IEM420" s="416"/>
      <c r="IEN420" s="416"/>
      <c r="IEO420" s="416"/>
      <c r="IEP420" s="416"/>
      <c r="IEQ420" s="416"/>
      <c r="IER420" s="416"/>
      <c r="IES420" s="416"/>
      <c r="IET420" s="416"/>
      <c r="IEU420" s="416"/>
      <c r="IEV420" s="416"/>
      <c r="IEW420" s="416"/>
      <c r="IEX420" s="416"/>
      <c r="IEY420" s="416"/>
      <c r="IEZ420" s="416"/>
      <c r="IFA420" s="416"/>
      <c r="IFB420" s="416"/>
      <c r="IFC420" s="416"/>
      <c r="IFD420" s="416"/>
      <c r="IFE420" s="416"/>
      <c r="IFF420" s="416"/>
      <c r="IFG420" s="416"/>
      <c r="IFH420" s="416"/>
      <c r="IFI420" s="416"/>
      <c r="IFJ420" s="416"/>
      <c r="IFK420" s="416"/>
      <c r="IFL420" s="416"/>
      <c r="IFM420" s="416"/>
      <c r="IFN420" s="416"/>
      <c r="IFO420" s="416"/>
      <c r="IFP420" s="416"/>
      <c r="IFQ420" s="416"/>
      <c r="IFR420" s="416"/>
      <c r="IFS420" s="416"/>
      <c r="IFT420" s="416"/>
      <c r="IFU420" s="416"/>
      <c r="IFV420" s="416"/>
      <c r="IFW420" s="416"/>
      <c r="IFX420" s="416"/>
      <c r="IFY420" s="416"/>
      <c r="IFZ420" s="416"/>
      <c r="IGA420" s="416"/>
      <c r="IGB420" s="416"/>
      <c r="IGC420" s="416"/>
      <c r="IGD420" s="416"/>
      <c r="IGE420" s="416"/>
      <c r="IGF420" s="416"/>
      <c r="IGG420" s="416"/>
      <c r="IGH420" s="416"/>
      <c r="IGI420" s="416"/>
      <c r="IGJ420" s="416"/>
      <c r="IGK420" s="416"/>
      <c r="IGL420" s="416"/>
      <c r="IGM420" s="416"/>
      <c r="IGN420" s="416"/>
      <c r="IGO420" s="416"/>
      <c r="IGP420" s="416"/>
      <c r="IGQ420" s="416"/>
      <c r="IGR420" s="416"/>
      <c r="IGS420" s="416"/>
      <c r="IGT420" s="416"/>
      <c r="IGU420" s="416"/>
      <c r="IGV420" s="416"/>
      <c r="IGW420" s="416"/>
      <c r="IGX420" s="416"/>
      <c r="IGY420" s="416"/>
      <c r="IGZ420" s="416"/>
      <c r="IHA420" s="416"/>
      <c r="IHB420" s="416"/>
      <c r="IHC420" s="416"/>
      <c r="IHD420" s="416"/>
      <c r="IHE420" s="416"/>
      <c r="IHF420" s="416"/>
      <c r="IHG420" s="416"/>
      <c r="IHH420" s="416"/>
      <c r="IHI420" s="416"/>
      <c r="IHJ420" s="416"/>
      <c r="IHK420" s="416"/>
      <c r="IHL420" s="416"/>
      <c r="IHM420" s="416"/>
      <c r="IHN420" s="416"/>
      <c r="IHO420" s="416"/>
      <c r="IHP420" s="416"/>
      <c r="IHQ420" s="416"/>
      <c r="IHR420" s="416"/>
      <c r="IHS420" s="416"/>
      <c r="IHT420" s="416"/>
      <c r="IHU420" s="416"/>
      <c r="IHV420" s="416"/>
      <c r="IHW420" s="416"/>
      <c r="IHX420" s="416"/>
      <c r="IHY420" s="416"/>
      <c r="IHZ420" s="416"/>
      <c r="IIA420" s="416"/>
      <c r="IIB420" s="416"/>
      <c r="IIC420" s="416"/>
      <c r="IID420" s="416"/>
      <c r="IIE420" s="416"/>
      <c r="IIF420" s="416"/>
      <c r="IIG420" s="416"/>
      <c r="IIH420" s="416"/>
      <c r="III420" s="416"/>
      <c r="IIJ420" s="416"/>
      <c r="IIK420" s="416"/>
      <c r="IIL420" s="416"/>
      <c r="IIM420" s="416"/>
      <c r="IIN420" s="416"/>
      <c r="IIO420" s="416"/>
      <c r="IIP420" s="416"/>
      <c r="IIQ420" s="416"/>
      <c r="IIR420" s="416"/>
      <c r="IIS420" s="416"/>
      <c r="IIT420" s="416"/>
      <c r="IIU420" s="416"/>
      <c r="IIV420" s="416"/>
      <c r="IIW420" s="416"/>
      <c r="IIX420" s="416"/>
      <c r="IIY420" s="416"/>
      <c r="IIZ420" s="416"/>
      <c r="IJA420" s="416"/>
      <c r="IJB420" s="416"/>
      <c r="IJC420" s="416"/>
      <c r="IJD420" s="416"/>
      <c r="IJE420" s="416"/>
      <c r="IJF420" s="416"/>
      <c r="IJG420" s="416"/>
      <c r="IJH420" s="416"/>
      <c r="IJI420" s="416"/>
      <c r="IJJ420" s="416"/>
      <c r="IJK420" s="416"/>
      <c r="IJL420" s="416"/>
      <c r="IJM420" s="416"/>
      <c r="IJN420" s="416"/>
      <c r="IJO420" s="416"/>
      <c r="IJP420" s="416"/>
      <c r="IJQ420" s="416"/>
      <c r="IJR420" s="416"/>
      <c r="IJS420" s="416"/>
      <c r="IJT420" s="416"/>
      <c r="IJU420" s="416"/>
      <c r="IJV420" s="416"/>
      <c r="IJW420" s="416"/>
      <c r="IJX420" s="416"/>
      <c r="IJY420" s="416"/>
      <c r="IJZ420" s="416"/>
      <c r="IKA420" s="416"/>
      <c r="IKB420" s="416"/>
      <c r="IKC420" s="416"/>
      <c r="IKD420" s="416"/>
      <c r="IKE420" s="416"/>
      <c r="IKF420" s="416"/>
      <c r="IKG420" s="416"/>
      <c r="IKH420" s="416"/>
      <c r="IKI420" s="416"/>
      <c r="IKJ420" s="416"/>
      <c r="IKK420" s="416"/>
      <c r="IKL420" s="416"/>
      <c r="IKM420" s="416"/>
      <c r="IKN420" s="416"/>
      <c r="IKO420" s="416"/>
      <c r="IKP420" s="416"/>
      <c r="IKQ420" s="416"/>
      <c r="IKR420" s="416"/>
      <c r="IKS420" s="416"/>
      <c r="IKT420" s="416"/>
      <c r="IKU420" s="416"/>
      <c r="IKV420" s="416"/>
      <c r="IKW420" s="416"/>
      <c r="IKX420" s="416"/>
      <c r="IKY420" s="416"/>
      <c r="IKZ420" s="416"/>
      <c r="ILA420" s="416"/>
      <c r="ILB420" s="416"/>
      <c r="ILC420" s="416"/>
      <c r="ILD420" s="416"/>
      <c r="ILE420" s="416"/>
      <c r="ILF420" s="416"/>
      <c r="ILG420" s="416"/>
      <c r="ILH420" s="416"/>
      <c r="ILI420" s="416"/>
      <c r="ILJ420" s="416"/>
      <c r="ILK420" s="416"/>
      <c r="ILL420" s="416"/>
      <c r="ILM420" s="416"/>
      <c r="ILN420" s="416"/>
      <c r="ILO420" s="416"/>
      <c r="ILP420" s="416"/>
      <c r="ILQ420" s="416"/>
      <c r="ILR420" s="416"/>
      <c r="ILS420" s="416"/>
      <c r="ILT420" s="416"/>
      <c r="ILU420" s="416"/>
      <c r="ILV420" s="416"/>
      <c r="ILW420" s="416"/>
      <c r="ILX420" s="416"/>
      <c r="ILY420" s="416"/>
      <c r="ILZ420" s="416"/>
      <c r="IMA420" s="416"/>
      <c r="IMB420" s="416"/>
      <c r="IMC420" s="416"/>
      <c r="IMD420" s="416"/>
      <c r="IME420" s="416"/>
      <c r="IMF420" s="416"/>
      <c r="IMG420" s="416"/>
      <c r="IMH420" s="416"/>
      <c r="IMI420" s="416"/>
      <c r="IMJ420" s="416"/>
      <c r="IMK420" s="416"/>
      <c r="IML420" s="416"/>
      <c r="IMM420" s="416"/>
      <c r="IMN420" s="416"/>
      <c r="IMO420" s="416"/>
      <c r="IMP420" s="416"/>
      <c r="IMQ420" s="416"/>
      <c r="IMR420" s="416"/>
      <c r="IMS420" s="416"/>
      <c r="IMT420" s="416"/>
      <c r="IMU420" s="416"/>
      <c r="IMV420" s="416"/>
      <c r="IMW420" s="416"/>
      <c r="IMX420" s="416"/>
      <c r="IMY420" s="416"/>
      <c r="IMZ420" s="416"/>
      <c r="INA420" s="416"/>
      <c r="INB420" s="416"/>
      <c r="INC420" s="416"/>
      <c r="IND420" s="416"/>
      <c r="INE420" s="416"/>
      <c r="INF420" s="416"/>
      <c r="ING420" s="416"/>
      <c r="INH420" s="416"/>
      <c r="INI420" s="416"/>
      <c r="INJ420" s="416"/>
      <c r="INK420" s="416"/>
      <c r="INL420" s="416"/>
      <c r="INM420" s="416"/>
      <c r="INN420" s="416"/>
      <c r="INO420" s="416"/>
      <c r="INP420" s="416"/>
      <c r="INQ420" s="416"/>
      <c r="INR420" s="416"/>
      <c r="INS420" s="416"/>
      <c r="INT420" s="416"/>
      <c r="INU420" s="416"/>
      <c r="INV420" s="416"/>
      <c r="INW420" s="416"/>
      <c r="INX420" s="416"/>
      <c r="INY420" s="416"/>
      <c r="INZ420" s="416"/>
      <c r="IOA420" s="416"/>
      <c r="IOB420" s="416"/>
      <c r="IOC420" s="416"/>
      <c r="IOD420" s="416"/>
      <c r="IOE420" s="416"/>
      <c r="IOF420" s="416"/>
      <c r="IOG420" s="416"/>
      <c r="IOH420" s="416"/>
      <c r="IOI420" s="416"/>
      <c r="IOJ420" s="416"/>
      <c r="IOK420" s="416"/>
      <c r="IOL420" s="416"/>
      <c r="IOM420" s="416"/>
      <c r="ION420" s="416"/>
      <c r="IOO420" s="416"/>
      <c r="IOP420" s="416"/>
      <c r="IOQ420" s="416"/>
      <c r="IOR420" s="416"/>
      <c r="IOS420" s="416"/>
      <c r="IOT420" s="416"/>
      <c r="IOU420" s="416"/>
      <c r="IOV420" s="416"/>
      <c r="IOW420" s="416"/>
      <c r="IOX420" s="416"/>
      <c r="IOY420" s="416"/>
      <c r="IOZ420" s="416"/>
      <c r="IPA420" s="416"/>
      <c r="IPB420" s="416"/>
      <c r="IPC420" s="416"/>
      <c r="IPD420" s="416"/>
      <c r="IPE420" s="416"/>
      <c r="IPF420" s="416"/>
      <c r="IPG420" s="416"/>
      <c r="IPH420" s="416"/>
      <c r="IPI420" s="416"/>
      <c r="IPJ420" s="416"/>
      <c r="IPK420" s="416"/>
      <c r="IPL420" s="416"/>
      <c r="IPM420" s="416"/>
      <c r="IPN420" s="416"/>
      <c r="IPO420" s="416"/>
      <c r="IPP420" s="416"/>
      <c r="IPQ420" s="416"/>
      <c r="IPR420" s="416"/>
      <c r="IPS420" s="416"/>
      <c r="IPT420" s="416"/>
      <c r="IPU420" s="416"/>
      <c r="IPV420" s="416"/>
      <c r="IPW420" s="416"/>
      <c r="IPX420" s="416"/>
      <c r="IPY420" s="416"/>
      <c r="IPZ420" s="416"/>
      <c r="IQA420" s="416"/>
      <c r="IQB420" s="416"/>
      <c r="IQC420" s="416"/>
      <c r="IQD420" s="416"/>
      <c r="IQE420" s="416"/>
      <c r="IQF420" s="416"/>
      <c r="IQG420" s="416"/>
      <c r="IQH420" s="416"/>
      <c r="IQI420" s="416"/>
      <c r="IQJ420" s="416"/>
      <c r="IQK420" s="416"/>
      <c r="IQL420" s="416"/>
      <c r="IQM420" s="416"/>
      <c r="IQN420" s="416"/>
      <c r="IQO420" s="416"/>
      <c r="IQP420" s="416"/>
      <c r="IQQ420" s="416"/>
      <c r="IQR420" s="416"/>
      <c r="IQS420" s="416"/>
      <c r="IQT420" s="416"/>
      <c r="IQU420" s="416"/>
      <c r="IQV420" s="416"/>
      <c r="IQW420" s="416"/>
      <c r="IQX420" s="416"/>
      <c r="IQY420" s="416"/>
      <c r="IQZ420" s="416"/>
      <c r="IRA420" s="416"/>
      <c r="IRB420" s="416"/>
      <c r="IRC420" s="416"/>
      <c r="IRD420" s="416"/>
      <c r="IRE420" s="416"/>
      <c r="IRF420" s="416"/>
      <c r="IRG420" s="416"/>
      <c r="IRH420" s="416"/>
      <c r="IRI420" s="416"/>
      <c r="IRJ420" s="416"/>
      <c r="IRK420" s="416"/>
      <c r="IRL420" s="416"/>
      <c r="IRM420" s="416"/>
      <c r="IRN420" s="416"/>
      <c r="IRO420" s="416"/>
      <c r="IRP420" s="416"/>
      <c r="IRQ420" s="416"/>
      <c r="IRR420" s="416"/>
      <c r="IRS420" s="416"/>
      <c r="IRT420" s="416"/>
      <c r="IRU420" s="416"/>
      <c r="IRV420" s="416"/>
      <c r="IRW420" s="416"/>
      <c r="IRX420" s="416"/>
      <c r="IRY420" s="416"/>
      <c r="IRZ420" s="416"/>
      <c r="ISA420" s="416"/>
      <c r="ISB420" s="416"/>
      <c r="ISC420" s="416"/>
      <c r="ISD420" s="416"/>
      <c r="ISE420" s="416"/>
      <c r="ISF420" s="416"/>
      <c r="ISG420" s="416"/>
      <c r="ISH420" s="416"/>
      <c r="ISI420" s="416"/>
      <c r="ISJ420" s="416"/>
      <c r="ISK420" s="416"/>
      <c r="ISL420" s="416"/>
      <c r="ISM420" s="416"/>
      <c r="ISN420" s="416"/>
      <c r="ISO420" s="416"/>
      <c r="ISP420" s="416"/>
      <c r="ISQ420" s="416"/>
      <c r="ISR420" s="416"/>
      <c r="ISS420" s="416"/>
      <c r="IST420" s="416"/>
      <c r="ISU420" s="416"/>
      <c r="ISV420" s="416"/>
      <c r="ISW420" s="416"/>
      <c r="ISX420" s="416"/>
      <c r="ISY420" s="416"/>
      <c r="ISZ420" s="416"/>
      <c r="ITA420" s="416"/>
      <c r="ITB420" s="416"/>
      <c r="ITC420" s="416"/>
      <c r="ITD420" s="416"/>
      <c r="ITE420" s="416"/>
      <c r="ITF420" s="416"/>
      <c r="ITG420" s="416"/>
      <c r="ITH420" s="416"/>
      <c r="ITI420" s="416"/>
      <c r="ITJ420" s="416"/>
      <c r="ITK420" s="416"/>
      <c r="ITL420" s="416"/>
      <c r="ITM420" s="416"/>
      <c r="ITN420" s="416"/>
      <c r="ITO420" s="416"/>
      <c r="ITP420" s="416"/>
      <c r="ITQ420" s="416"/>
      <c r="ITR420" s="416"/>
      <c r="ITS420" s="416"/>
      <c r="ITT420" s="416"/>
      <c r="ITU420" s="416"/>
      <c r="ITV420" s="416"/>
      <c r="ITW420" s="416"/>
      <c r="ITX420" s="416"/>
      <c r="ITY420" s="416"/>
      <c r="ITZ420" s="416"/>
      <c r="IUA420" s="416"/>
      <c r="IUB420" s="416"/>
      <c r="IUC420" s="416"/>
      <c r="IUD420" s="416"/>
      <c r="IUE420" s="416"/>
      <c r="IUF420" s="416"/>
      <c r="IUG420" s="416"/>
      <c r="IUH420" s="416"/>
      <c r="IUI420" s="416"/>
      <c r="IUJ420" s="416"/>
      <c r="IUK420" s="416"/>
      <c r="IUL420" s="416"/>
      <c r="IUM420" s="416"/>
      <c r="IUN420" s="416"/>
      <c r="IUO420" s="416"/>
      <c r="IUP420" s="416"/>
      <c r="IUQ420" s="416"/>
      <c r="IUR420" s="416"/>
      <c r="IUS420" s="416"/>
      <c r="IUT420" s="416"/>
      <c r="IUU420" s="416"/>
      <c r="IUV420" s="416"/>
      <c r="IUW420" s="416"/>
      <c r="IUX420" s="416"/>
      <c r="IUY420" s="416"/>
      <c r="IUZ420" s="416"/>
      <c r="IVA420" s="416"/>
      <c r="IVB420" s="416"/>
      <c r="IVC420" s="416"/>
      <c r="IVD420" s="416"/>
      <c r="IVE420" s="416"/>
      <c r="IVF420" s="416"/>
      <c r="IVG420" s="416"/>
      <c r="IVH420" s="416"/>
      <c r="IVI420" s="416"/>
      <c r="IVJ420" s="416"/>
      <c r="IVK420" s="416"/>
      <c r="IVL420" s="416"/>
      <c r="IVM420" s="416"/>
      <c r="IVN420" s="416"/>
      <c r="IVO420" s="416"/>
      <c r="IVP420" s="416"/>
      <c r="IVQ420" s="416"/>
      <c r="IVR420" s="416"/>
      <c r="IVS420" s="416"/>
      <c r="IVT420" s="416"/>
      <c r="IVU420" s="416"/>
      <c r="IVV420" s="416"/>
      <c r="IVW420" s="416"/>
      <c r="IVX420" s="416"/>
      <c r="IVY420" s="416"/>
      <c r="IVZ420" s="416"/>
      <c r="IWA420" s="416"/>
      <c r="IWB420" s="416"/>
      <c r="IWC420" s="416"/>
      <c r="IWD420" s="416"/>
      <c r="IWE420" s="416"/>
      <c r="IWF420" s="416"/>
      <c r="IWG420" s="416"/>
      <c r="IWH420" s="416"/>
      <c r="IWI420" s="416"/>
      <c r="IWJ420" s="416"/>
      <c r="IWK420" s="416"/>
      <c r="IWL420" s="416"/>
      <c r="IWM420" s="416"/>
      <c r="IWN420" s="416"/>
      <c r="IWO420" s="416"/>
      <c r="IWP420" s="416"/>
      <c r="IWQ420" s="416"/>
      <c r="IWR420" s="416"/>
      <c r="IWS420" s="416"/>
      <c r="IWT420" s="416"/>
      <c r="IWU420" s="416"/>
      <c r="IWV420" s="416"/>
      <c r="IWW420" s="416"/>
      <c r="IWX420" s="416"/>
      <c r="IWY420" s="416"/>
      <c r="IWZ420" s="416"/>
      <c r="IXA420" s="416"/>
      <c r="IXB420" s="416"/>
      <c r="IXC420" s="416"/>
      <c r="IXD420" s="416"/>
      <c r="IXE420" s="416"/>
      <c r="IXF420" s="416"/>
      <c r="IXG420" s="416"/>
      <c r="IXH420" s="416"/>
      <c r="IXI420" s="416"/>
      <c r="IXJ420" s="416"/>
      <c r="IXK420" s="416"/>
      <c r="IXL420" s="416"/>
      <c r="IXM420" s="416"/>
      <c r="IXN420" s="416"/>
      <c r="IXO420" s="416"/>
      <c r="IXP420" s="416"/>
      <c r="IXQ420" s="416"/>
      <c r="IXR420" s="416"/>
      <c r="IXS420" s="416"/>
      <c r="IXT420" s="416"/>
      <c r="IXU420" s="416"/>
      <c r="IXV420" s="416"/>
      <c r="IXW420" s="416"/>
      <c r="IXX420" s="416"/>
      <c r="IXY420" s="416"/>
      <c r="IXZ420" s="416"/>
      <c r="IYA420" s="416"/>
      <c r="IYB420" s="416"/>
      <c r="IYC420" s="416"/>
      <c r="IYD420" s="416"/>
      <c r="IYE420" s="416"/>
      <c r="IYF420" s="416"/>
      <c r="IYG420" s="416"/>
      <c r="IYH420" s="416"/>
      <c r="IYI420" s="416"/>
      <c r="IYJ420" s="416"/>
      <c r="IYK420" s="416"/>
      <c r="IYL420" s="416"/>
      <c r="IYM420" s="416"/>
      <c r="IYN420" s="416"/>
      <c r="IYO420" s="416"/>
      <c r="IYP420" s="416"/>
      <c r="IYQ420" s="416"/>
      <c r="IYR420" s="416"/>
      <c r="IYS420" s="416"/>
      <c r="IYT420" s="416"/>
      <c r="IYU420" s="416"/>
      <c r="IYV420" s="416"/>
      <c r="IYW420" s="416"/>
      <c r="IYX420" s="416"/>
      <c r="IYY420" s="416"/>
      <c r="IYZ420" s="416"/>
      <c r="IZA420" s="416"/>
      <c r="IZB420" s="416"/>
      <c r="IZC420" s="416"/>
      <c r="IZD420" s="416"/>
      <c r="IZE420" s="416"/>
      <c r="IZF420" s="416"/>
      <c r="IZG420" s="416"/>
      <c r="IZH420" s="416"/>
      <c r="IZI420" s="416"/>
      <c r="IZJ420" s="416"/>
      <c r="IZK420" s="416"/>
      <c r="IZL420" s="416"/>
      <c r="IZM420" s="416"/>
      <c r="IZN420" s="416"/>
      <c r="IZO420" s="416"/>
      <c r="IZP420" s="416"/>
      <c r="IZQ420" s="416"/>
      <c r="IZR420" s="416"/>
      <c r="IZS420" s="416"/>
      <c r="IZT420" s="416"/>
      <c r="IZU420" s="416"/>
      <c r="IZV420" s="416"/>
      <c r="IZW420" s="416"/>
      <c r="IZX420" s="416"/>
      <c r="IZY420" s="416"/>
      <c r="IZZ420" s="416"/>
      <c r="JAA420" s="416"/>
      <c r="JAB420" s="416"/>
      <c r="JAC420" s="416"/>
      <c r="JAD420" s="416"/>
      <c r="JAE420" s="416"/>
      <c r="JAF420" s="416"/>
      <c r="JAG420" s="416"/>
      <c r="JAH420" s="416"/>
      <c r="JAI420" s="416"/>
      <c r="JAJ420" s="416"/>
      <c r="JAK420" s="416"/>
      <c r="JAL420" s="416"/>
      <c r="JAM420" s="416"/>
      <c r="JAN420" s="416"/>
      <c r="JAO420" s="416"/>
      <c r="JAP420" s="416"/>
      <c r="JAQ420" s="416"/>
      <c r="JAR420" s="416"/>
      <c r="JAS420" s="416"/>
      <c r="JAT420" s="416"/>
      <c r="JAU420" s="416"/>
      <c r="JAV420" s="416"/>
      <c r="JAW420" s="416"/>
      <c r="JAX420" s="416"/>
      <c r="JAY420" s="416"/>
      <c r="JAZ420" s="416"/>
      <c r="JBA420" s="416"/>
      <c r="JBB420" s="416"/>
      <c r="JBC420" s="416"/>
      <c r="JBD420" s="416"/>
      <c r="JBE420" s="416"/>
      <c r="JBF420" s="416"/>
      <c r="JBG420" s="416"/>
      <c r="JBH420" s="416"/>
      <c r="JBI420" s="416"/>
      <c r="JBJ420" s="416"/>
      <c r="JBK420" s="416"/>
      <c r="JBL420" s="416"/>
      <c r="JBM420" s="416"/>
      <c r="JBN420" s="416"/>
      <c r="JBO420" s="416"/>
      <c r="JBP420" s="416"/>
      <c r="JBQ420" s="416"/>
      <c r="JBR420" s="416"/>
      <c r="JBS420" s="416"/>
      <c r="JBT420" s="416"/>
      <c r="JBU420" s="416"/>
      <c r="JBV420" s="416"/>
      <c r="JBW420" s="416"/>
      <c r="JBX420" s="416"/>
      <c r="JBY420" s="416"/>
      <c r="JBZ420" s="416"/>
      <c r="JCA420" s="416"/>
      <c r="JCB420" s="416"/>
      <c r="JCC420" s="416"/>
      <c r="JCD420" s="416"/>
      <c r="JCE420" s="416"/>
      <c r="JCF420" s="416"/>
      <c r="JCG420" s="416"/>
      <c r="JCH420" s="416"/>
      <c r="JCI420" s="416"/>
      <c r="JCJ420" s="416"/>
      <c r="JCK420" s="416"/>
      <c r="JCL420" s="416"/>
      <c r="JCM420" s="416"/>
      <c r="JCN420" s="416"/>
      <c r="JCO420" s="416"/>
      <c r="JCP420" s="416"/>
      <c r="JCQ420" s="416"/>
      <c r="JCR420" s="416"/>
      <c r="JCS420" s="416"/>
      <c r="JCT420" s="416"/>
      <c r="JCU420" s="416"/>
      <c r="JCV420" s="416"/>
      <c r="JCW420" s="416"/>
      <c r="JCX420" s="416"/>
      <c r="JCY420" s="416"/>
      <c r="JCZ420" s="416"/>
      <c r="JDA420" s="416"/>
      <c r="JDB420" s="416"/>
      <c r="JDC420" s="416"/>
      <c r="JDD420" s="416"/>
      <c r="JDE420" s="416"/>
      <c r="JDF420" s="416"/>
      <c r="JDG420" s="416"/>
      <c r="JDH420" s="416"/>
      <c r="JDI420" s="416"/>
      <c r="JDJ420" s="416"/>
      <c r="JDK420" s="416"/>
      <c r="JDL420" s="416"/>
      <c r="JDM420" s="416"/>
      <c r="JDN420" s="416"/>
      <c r="JDO420" s="416"/>
      <c r="JDP420" s="416"/>
      <c r="JDQ420" s="416"/>
      <c r="JDR420" s="416"/>
      <c r="JDS420" s="416"/>
      <c r="JDT420" s="416"/>
      <c r="JDU420" s="416"/>
      <c r="JDV420" s="416"/>
      <c r="JDW420" s="416"/>
      <c r="JDX420" s="416"/>
      <c r="JDY420" s="416"/>
      <c r="JDZ420" s="416"/>
      <c r="JEA420" s="416"/>
      <c r="JEB420" s="416"/>
      <c r="JEC420" s="416"/>
      <c r="JED420" s="416"/>
      <c r="JEE420" s="416"/>
      <c r="JEF420" s="416"/>
      <c r="JEG420" s="416"/>
      <c r="JEH420" s="416"/>
      <c r="JEI420" s="416"/>
      <c r="JEJ420" s="416"/>
      <c r="JEK420" s="416"/>
      <c r="JEL420" s="416"/>
      <c r="JEM420" s="416"/>
      <c r="JEN420" s="416"/>
      <c r="JEO420" s="416"/>
      <c r="JEP420" s="416"/>
      <c r="JEQ420" s="416"/>
      <c r="JER420" s="416"/>
      <c r="JES420" s="416"/>
      <c r="JET420" s="416"/>
      <c r="JEU420" s="416"/>
      <c r="JEV420" s="416"/>
      <c r="JEW420" s="416"/>
      <c r="JEX420" s="416"/>
      <c r="JEY420" s="416"/>
      <c r="JEZ420" s="416"/>
      <c r="JFA420" s="416"/>
      <c r="JFB420" s="416"/>
      <c r="JFC420" s="416"/>
      <c r="JFD420" s="416"/>
      <c r="JFE420" s="416"/>
      <c r="JFF420" s="416"/>
      <c r="JFG420" s="416"/>
      <c r="JFH420" s="416"/>
      <c r="JFI420" s="416"/>
      <c r="JFJ420" s="416"/>
      <c r="JFK420" s="416"/>
      <c r="JFL420" s="416"/>
      <c r="JFM420" s="416"/>
      <c r="JFN420" s="416"/>
      <c r="JFO420" s="416"/>
      <c r="JFP420" s="416"/>
      <c r="JFQ420" s="416"/>
      <c r="JFR420" s="416"/>
      <c r="JFS420" s="416"/>
      <c r="JFT420" s="416"/>
      <c r="JFU420" s="416"/>
      <c r="JFV420" s="416"/>
      <c r="JFW420" s="416"/>
      <c r="JFX420" s="416"/>
      <c r="JFY420" s="416"/>
      <c r="JFZ420" s="416"/>
      <c r="JGA420" s="416"/>
      <c r="JGB420" s="416"/>
      <c r="JGC420" s="416"/>
      <c r="JGD420" s="416"/>
      <c r="JGE420" s="416"/>
      <c r="JGF420" s="416"/>
      <c r="JGG420" s="416"/>
      <c r="JGH420" s="416"/>
      <c r="JGI420" s="416"/>
      <c r="JGJ420" s="416"/>
      <c r="JGK420" s="416"/>
      <c r="JGL420" s="416"/>
      <c r="JGM420" s="416"/>
      <c r="JGN420" s="416"/>
      <c r="JGO420" s="416"/>
      <c r="JGP420" s="416"/>
      <c r="JGQ420" s="416"/>
      <c r="JGR420" s="416"/>
      <c r="JGS420" s="416"/>
      <c r="JGT420" s="416"/>
      <c r="JGU420" s="416"/>
      <c r="JGV420" s="416"/>
      <c r="JGW420" s="416"/>
      <c r="JGX420" s="416"/>
      <c r="JGY420" s="416"/>
      <c r="JGZ420" s="416"/>
      <c r="JHA420" s="416"/>
      <c r="JHB420" s="416"/>
      <c r="JHC420" s="416"/>
      <c r="JHD420" s="416"/>
      <c r="JHE420" s="416"/>
      <c r="JHF420" s="416"/>
      <c r="JHG420" s="416"/>
      <c r="JHH420" s="416"/>
      <c r="JHI420" s="416"/>
      <c r="JHJ420" s="416"/>
      <c r="JHK420" s="416"/>
      <c r="JHL420" s="416"/>
      <c r="JHM420" s="416"/>
      <c r="JHN420" s="416"/>
      <c r="JHO420" s="416"/>
      <c r="JHP420" s="416"/>
      <c r="JHQ420" s="416"/>
      <c r="JHR420" s="416"/>
      <c r="JHS420" s="416"/>
      <c r="JHT420" s="416"/>
      <c r="JHU420" s="416"/>
      <c r="JHV420" s="416"/>
      <c r="JHW420" s="416"/>
      <c r="JHX420" s="416"/>
      <c r="JHY420" s="416"/>
      <c r="JHZ420" s="416"/>
      <c r="JIA420" s="416"/>
      <c r="JIB420" s="416"/>
      <c r="JIC420" s="416"/>
      <c r="JID420" s="416"/>
      <c r="JIE420" s="416"/>
      <c r="JIF420" s="416"/>
      <c r="JIG420" s="416"/>
      <c r="JIH420" s="416"/>
      <c r="JII420" s="416"/>
      <c r="JIJ420" s="416"/>
      <c r="JIK420" s="416"/>
      <c r="JIL420" s="416"/>
      <c r="JIM420" s="416"/>
      <c r="JIN420" s="416"/>
      <c r="JIO420" s="416"/>
      <c r="JIP420" s="416"/>
      <c r="JIQ420" s="416"/>
      <c r="JIR420" s="416"/>
      <c r="JIS420" s="416"/>
      <c r="JIT420" s="416"/>
      <c r="JIU420" s="416"/>
      <c r="JIV420" s="416"/>
      <c r="JIW420" s="416"/>
      <c r="JIX420" s="416"/>
      <c r="JIY420" s="416"/>
      <c r="JIZ420" s="416"/>
      <c r="JJA420" s="416"/>
      <c r="JJB420" s="416"/>
      <c r="JJC420" s="416"/>
      <c r="JJD420" s="416"/>
      <c r="JJE420" s="416"/>
      <c r="JJF420" s="416"/>
      <c r="JJG420" s="416"/>
      <c r="JJH420" s="416"/>
      <c r="JJI420" s="416"/>
      <c r="JJJ420" s="416"/>
      <c r="JJK420" s="416"/>
      <c r="JJL420" s="416"/>
      <c r="JJM420" s="416"/>
      <c r="JJN420" s="416"/>
      <c r="JJO420" s="416"/>
      <c r="JJP420" s="416"/>
      <c r="JJQ420" s="416"/>
      <c r="JJR420" s="416"/>
      <c r="JJS420" s="416"/>
      <c r="JJT420" s="416"/>
      <c r="JJU420" s="416"/>
      <c r="JJV420" s="416"/>
      <c r="JJW420" s="416"/>
      <c r="JJX420" s="416"/>
      <c r="JJY420" s="416"/>
      <c r="JJZ420" s="416"/>
      <c r="JKA420" s="416"/>
      <c r="JKB420" s="416"/>
      <c r="JKC420" s="416"/>
      <c r="JKD420" s="416"/>
      <c r="JKE420" s="416"/>
      <c r="JKF420" s="416"/>
      <c r="JKG420" s="416"/>
      <c r="JKH420" s="416"/>
      <c r="JKI420" s="416"/>
      <c r="JKJ420" s="416"/>
      <c r="JKK420" s="416"/>
      <c r="JKL420" s="416"/>
      <c r="JKM420" s="416"/>
      <c r="JKN420" s="416"/>
      <c r="JKO420" s="416"/>
      <c r="JKP420" s="416"/>
      <c r="JKQ420" s="416"/>
      <c r="JKR420" s="416"/>
      <c r="JKS420" s="416"/>
      <c r="JKT420" s="416"/>
      <c r="JKU420" s="416"/>
      <c r="JKV420" s="416"/>
      <c r="JKW420" s="416"/>
      <c r="JKX420" s="416"/>
      <c r="JKY420" s="416"/>
      <c r="JKZ420" s="416"/>
      <c r="JLA420" s="416"/>
      <c r="JLB420" s="416"/>
      <c r="JLC420" s="416"/>
      <c r="JLD420" s="416"/>
      <c r="JLE420" s="416"/>
      <c r="JLF420" s="416"/>
      <c r="JLG420" s="416"/>
      <c r="JLH420" s="416"/>
      <c r="JLI420" s="416"/>
      <c r="JLJ420" s="416"/>
      <c r="JLK420" s="416"/>
      <c r="JLL420" s="416"/>
      <c r="JLM420" s="416"/>
      <c r="JLN420" s="416"/>
      <c r="JLO420" s="416"/>
      <c r="JLP420" s="416"/>
      <c r="JLQ420" s="416"/>
      <c r="JLR420" s="416"/>
      <c r="JLS420" s="416"/>
      <c r="JLT420" s="416"/>
      <c r="JLU420" s="416"/>
      <c r="JLV420" s="416"/>
      <c r="JLW420" s="416"/>
      <c r="JLX420" s="416"/>
      <c r="JLY420" s="416"/>
      <c r="JLZ420" s="416"/>
      <c r="JMA420" s="416"/>
      <c r="JMB420" s="416"/>
      <c r="JMC420" s="416"/>
      <c r="JMD420" s="416"/>
      <c r="JME420" s="416"/>
      <c r="JMF420" s="416"/>
      <c r="JMG420" s="416"/>
      <c r="JMH420" s="416"/>
      <c r="JMI420" s="416"/>
      <c r="JMJ420" s="416"/>
      <c r="JMK420" s="416"/>
      <c r="JML420" s="416"/>
      <c r="JMM420" s="416"/>
      <c r="JMN420" s="416"/>
      <c r="JMO420" s="416"/>
      <c r="JMP420" s="416"/>
      <c r="JMQ420" s="416"/>
      <c r="JMR420" s="416"/>
      <c r="JMS420" s="416"/>
      <c r="JMT420" s="416"/>
      <c r="JMU420" s="416"/>
      <c r="JMV420" s="416"/>
      <c r="JMW420" s="416"/>
      <c r="JMX420" s="416"/>
      <c r="JMY420" s="416"/>
      <c r="JMZ420" s="416"/>
      <c r="JNA420" s="416"/>
      <c r="JNB420" s="416"/>
      <c r="JNC420" s="416"/>
      <c r="JND420" s="416"/>
      <c r="JNE420" s="416"/>
      <c r="JNF420" s="416"/>
      <c r="JNG420" s="416"/>
      <c r="JNH420" s="416"/>
      <c r="JNI420" s="416"/>
      <c r="JNJ420" s="416"/>
      <c r="JNK420" s="416"/>
      <c r="JNL420" s="416"/>
      <c r="JNM420" s="416"/>
      <c r="JNN420" s="416"/>
      <c r="JNO420" s="416"/>
      <c r="JNP420" s="416"/>
      <c r="JNQ420" s="416"/>
      <c r="JNR420" s="416"/>
      <c r="JNS420" s="416"/>
      <c r="JNT420" s="416"/>
      <c r="JNU420" s="416"/>
      <c r="JNV420" s="416"/>
      <c r="JNW420" s="416"/>
      <c r="JNX420" s="416"/>
      <c r="JNY420" s="416"/>
      <c r="JNZ420" s="416"/>
      <c r="JOA420" s="416"/>
      <c r="JOB420" s="416"/>
      <c r="JOC420" s="416"/>
      <c r="JOD420" s="416"/>
      <c r="JOE420" s="416"/>
      <c r="JOF420" s="416"/>
      <c r="JOG420" s="416"/>
      <c r="JOH420" s="416"/>
      <c r="JOI420" s="416"/>
      <c r="JOJ420" s="416"/>
      <c r="JOK420" s="416"/>
      <c r="JOL420" s="416"/>
      <c r="JOM420" s="416"/>
      <c r="JON420" s="416"/>
      <c r="JOO420" s="416"/>
      <c r="JOP420" s="416"/>
      <c r="JOQ420" s="416"/>
      <c r="JOR420" s="416"/>
      <c r="JOS420" s="416"/>
      <c r="JOT420" s="416"/>
      <c r="JOU420" s="416"/>
      <c r="JOV420" s="416"/>
      <c r="JOW420" s="416"/>
      <c r="JOX420" s="416"/>
      <c r="JOY420" s="416"/>
      <c r="JOZ420" s="416"/>
      <c r="JPA420" s="416"/>
      <c r="JPB420" s="416"/>
      <c r="JPC420" s="416"/>
      <c r="JPD420" s="416"/>
      <c r="JPE420" s="416"/>
      <c r="JPF420" s="416"/>
      <c r="JPG420" s="416"/>
      <c r="JPH420" s="416"/>
      <c r="JPI420" s="416"/>
      <c r="JPJ420" s="416"/>
      <c r="JPK420" s="416"/>
      <c r="JPL420" s="416"/>
      <c r="JPM420" s="416"/>
      <c r="JPN420" s="416"/>
      <c r="JPO420" s="416"/>
      <c r="JPP420" s="416"/>
      <c r="JPQ420" s="416"/>
      <c r="JPR420" s="416"/>
      <c r="JPS420" s="416"/>
      <c r="JPT420" s="416"/>
      <c r="JPU420" s="416"/>
      <c r="JPV420" s="416"/>
      <c r="JPW420" s="416"/>
      <c r="JPX420" s="416"/>
      <c r="JPY420" s="416"/>
      <c r="JPZ420" s="416"/>
      <c r="JQA420" s="416"/>
      <c r="JQB420" s="416"/>
      <c r="JQC420" s="416"/>
      <c r="JQD420" s="416"/>
      <c r="JQE420" s="416"/>
      <c r="JQF420" s="416"/>
      <c r="JQG420" s="416"/>
      <c r="JQH420" s="416"/>
      <c r="JQI420" s="416"/>
      <c r="JQJ420" s="416"/>
      <c r="JQK420" s="416"/>
      <c r="JQL420" s="416"/>
      <c r="JQM420" s="416"/>
      <c r="JQN420" s="416"/>
      <c r="JQO420" s="416"/>
      <c r="JQP420" s="416"/>
      <c r="JQQ420" s="416"/>
      <c r="JQR420" s="416"/>
      <c r="JQS420" s="416"/>
      <c r="JQT420" s="416"/>
      <c r="JQU420" s="416"/>
      <c r="JQV420" s="416"/>
      <c r="JQW420" s="416"/>
      <c r="JQX420" s="416"/>
      <c r="JQY420" s="416"/>
      <c r="JQZ420" s="416"/>
      <c r="JRA420" s="416"/>
      <c r="JRB420" s="416"/>
      <c r="JRC420" s="416"/>
      <c r="JRD420" s="416"/>
      <c r="JRE420" s="416"/>
      <c r="JRF420" s="416"/>
      <c r="JRG420" s="416"/>
      <c r="JRH420" s="416"/>
      <c r="JRI420" s="416"/>
      <c r="JRJ420" s="416"/>
      <c r="JRK420" s="416"/>
      <c r="JRL420" s="416"/>
      <c r="JRM420" s="416"/>
      <c r="JRN420" s="416"/>
      <c r="JRO420" s="416"/>
      <c r="JRP420" s="416"/>
      <c r="JRQ420" s="416"/>
      <c r="JRR420" s="416"/>
      <c r="JRS420" s="416"/>
      <c r="JRT420" s="416"/>
      <c r="JRU420" s="416"/>
      <c r="JRV420" s="416"/>
      <c r="JRW420" s="416"/>
      <c r="JRX420" s="416"/>
      <c r="JRY420" s="416"/>
      <c r="JRZ420" s="416"/>
      <c r="JSA420" s="416"/>
      <c r="JSB420" s="416"/>
      <c r="JSC420" s="416"/>
      <c r="JSD420" s="416"/>
      <c r="JSE420" s="416"/>
      <c r="JSF420" s="416"/>
      <c r="JSG420" s="416"/>
      <c r="JSH420" s="416"/>
      <c r="JSI420" s="416"/>
      <c r="JSJ420" s="416"/>
      <c r="JSK420" s="416"/>
      <c r="JSL420" s="416"/>
      <c r="JSM420" s="416"/>
      <c r="JSN420" s="416"/>
      <c r="JSO420" s="416"/>
      <c r="JSP420" s="416"/>
      <c r="JSQ420" s="416"/>
      <c r="JSR420" s="416"/>
      <c r="JSS420" s="416"/>
      <c r="JST420" s="416"/>
      <c r="JSU420" s="416"/>
      <c r="JSV420" s="416"/>
      <c r="JSW420" s="416"/>
      <c r="JSX420" s="416"/>
      <c r="JSY420" s="416"/>
      <c r="JSZ420" s="416"/>
      <c r="JTA420" s="416"/>
      <c r="JTB420" s="416"/>
      <c r="JTC420" s="416"/>
      <c r="JTD420" s="416"/>
      <c r="JTE420" s="416"/>
      <c r="JTF420" s="416"/>
      <c r="JTG420" s="416"/>
      <c r="JTH420" s="416"/>
      <c r="JTI420" s="416"/>
      <c r="JTJ420" s="416"/>
      <c r="JTK420" s="416"/>
      <c r="JTL420" s="416"/>
      <c r="JTM420" s="416"/>
      <c r="JTN420" s="416"/>
      <c r="JTO420" s="416"/>
      <c r="JTP420" s="416"/>
      <c r="JTQ420" s="416"/>
      <c r="JTR420" s="416"/>
      <c r="JTS420" s="416"/>
      <c r="JTT420" s="416"/>
      <c r="JTU420" s="416"/>
      <c r="JTV420" s="416"/>
      <c r="JTW420" s="416"/>
      <c r="JTX420" s="416"/>
      <c r="JTY420" s="416"/>
      <c r="JTZ420" s="416"/>
      <c r="JUA420" s="416"/>
      <c r="JUB420" s="416"/>
      <c r="JUC420" s="416"/>
      <c r="JUD420" s="416"/>
      <c r="JUE420" s="416"/>
      <c r="JUF420" s="416"/>
      <c r="JUG420" s="416"/>
      <c r="JUH420" s="416"/>
      <c r="JUI420" s="416"/>
      <c r="JUJ420" s="416"/>
      <c r="JUK420" s="416"/>
      <c r="JUL420" s="416"/>
      <c r="JUM420" s="416"/>
      <c r="JUN420" s="416"/>
      <c r="JUO420" s="416"/>
      <c r="JUP420" s="416"/>
      <c r="JUQ420" s="416"/>
      <c r="JUR420" s="416"/>
      <c r="JUS420" s="416"/>
      <c r="JUT420" s="416"/>
      <c r="JUU420" s="416"/>
      <c r="JUV420" s="416"/>
      <c r="JUW420" s="416"/>
      <c r="JUX420" s="416"/>
      <c r="JUY420" s="416"/>
      <c r="JUZ420" s="416"/>
      <c r="JVA420" s="416"/>
      <c r="JVB420" s="416"/>
      <c r="JVC420" s="416"/>
      <c r="JVD420" s="416"/>
      <c r="JVE420" s="416"/>
      <c r="JVF420" s="416"/>
      <c r="JVG420" s="416"/>
      <c r="JVH420" s="416"/>
      <c r="JVI420" s="416"/>
      <c r="JVJ420" s="416"/>
      <c r="JVK420" s="416"/>
      <c r="JVL420" s="416"/>
      <c r="JVM420" s="416"/>
      <c r="JVN420" s="416"/>
      <c r="JVO420" s="416"/>
      <c r="JVP420" s="416"/>
      <c r="JVQ420" s="416"/>
      <c r="JVR420" s="416"/>
      <c r="JVS420" s="416"/>
      <c r="JVT420" s="416"/>
      <c r="JVU420" s="416"/>
      <c r="JVV420" s="416"/>
      <c r="JVW420" s="416"/>
      <c r="JVX420" s="416"/>
      <c r="JVY420" s="416"/>
      <c r="JVZ420" s="416"/>
      <c r="JWA420" s="416"/>
      <c r="JWB420" s="416"/>
      <c r="JWC420" s="416"/>
      <c r="JWD420" s="416"/>
      <c r="JWE420" s="416"/>
      <c r="JWF420" s="416"/>
      <c r="JWG420" s="416"/>
      <c r="JWH420" s="416"/>
      <c r="JWI420" s="416"/>
      <c r="JWJ420" s="416"/>
      <c r="JWK420" s="416"/>
      <c r="JWL420" s="416"/>
      <c r="JWM420" s="416"/>
      <c r="JWN420" s="416"/>
      <c r="JWO420" s="416"/>
      <c r="JWP420" s="416"/>
      <c r="JWQ420" s="416"/>
      <c r="JWR420" s="416"/>
      <c r="JWS420" s="416"/>
      <c r="JWT420" s="416"/>
      <c r="JWU420" s="416"/>
      <c r="JWV420" s="416"/>
      <c r="JWW420" s="416"/>
      <c r="JWX420" s="416"/>
      <c r="JWY420" s="416"/>
      <c r="JWZ420" s="416"/>
      <c r="JXA420" s="416"/>
      <c r="JXB420" s="416"/>
      <c r="JXC420" s="416"/>
      <c r="JXD420" s="416"/>
      <c r="JXE420" s="416"/>
      <c r="JXF420" s="416"/>
      <c r="JXG420" s="416"/>
      <c r="JXH420" s="416"/>
      <c r="JXI420" s="416"/>
      <c r="JXJ420" s="416"/>
      <c r="JXK420" s="416"/>
      <c r="JXL420" s="416"/>
      <c r="JXM420" s="416"/>
      <c r="JXN420" s="416"/>
      <c r="JXO420" s="416"/>
      <c r="JXP420" s="416"/>
      <c r="JXQ420" s="416"/>
      <c r="JXR420" s="416"/>
      <c r="JXS420" s="416"/>
      <c r="JXT420" s="416"/>
      <c r="JXU420" s="416"/>
      <c r="JXV420" s="416"/>
      <c r="JXW420" s="416"/>
      <c r="JXX420" s="416"/>
      <c r="JXY420" s="416"/>
      <c r="JXZ420" s="416"/>
      <c r="JYA420" s="416"/>
      <c r="JYB420" s="416"/>
      <c r="JYC420" s="416"/>
      <c r="JYD420" s="416"/>
      <c r="JYE420" s="416"/>
      <c r="JYF420" s="416"/>
      <c r="JYG420" s="416"/>
      <c r="JYH420" s="416"/>
      <c r="JYI420" s="416"/>
      <c r="JYJ420" s="416"/>
      <c r="JYK420" s="416"/>
      <c r="JYL420" s="416"/>
      <c r="JYM420" s="416"/>
      <c r="JYN420" s="416"/>
      <c r="JYO420" s="416"/>
      <c r="JYP420" s="416"/>
      <c r="JYQ420" s="416"/>
      <c r="JYR420" s="416"/>
      <c r="JYS420" s="416"/>
      <c r="JYT420" s="416"/>
      <c r="JYU420" s="416"/>
      <c r="JYV420" s="416"/>
      <c r="JYW420" s="416"/>
      <c r="JYX420" s="416"/>
      <c r="JYY420" s="416"/>
      <c r="JYZ420" s="416"/>
      <c r="JZA420" s="416"/>
      <c r="JZB420" s="416"/>
      <c r="JZC420" s="416"/>
      <c r="JZD420" s="416"/>
      <c r="JZE420" s="416"/>
      <c r="JZF420" s="416"/>
      <c r="JZG420" s="416"/>
      <c r="JZH420" s="416"/>
      <c r="JZI420" s="416"/>
      <c r="JZJ420" s="416"/>
      <c r="JZK420" s="416"/>
      <c r="JZL420" s="416"/>
      <c r="JZM420" s="416"/>
      <c r="JZN420" s="416"/>
      <c r="JZO420" s="416"/>
      <c r="JZP420" s="416"/>
      <c r="JZQ420" s="416"/>
      <c r="JZR420" s="416"/>
      <c r="JZS420" s="416"/>
      <c r="JZT420" s="416"/>
      <c r="JZU420" s="416"/>
      <c r="JZV420" s="416"/>
      <c r="JZW420" s="416"/>
      <c r="JZX420" s="416"/>
      <c r="JZY420" s="416"/>
      <c r="JZZ420" s="416"/>
      <c r="KAA420" s="416"/>
      <c r="KAB420" s="416"/>
      <c r="KAC420" s="416"/>
      <c r="KAD420" s="416"/>
      <c r="KAE420" s="416"/>
      <c r="KAF420" s="416"/>
      <c r="KAG420" s="416"/>
      <c r="KAH420" s="416"/>
      <c r="KAI420" s="416"/>
      <c r="KAJ420" s="416"/>
      <c r="KAK420" s="416"/>
      <c r="KAL420" s="416"/>
      <c r="KAM420" s="416"/>
      <c r="KAN420" s="416"/>
      <c r="KAO420" s="416"/>
      <c r="KAP420" s="416"/>
      <c r="KAQ420" s="416"/>
      <c r="KAR420" s="416"/>
      <c r="KAS420" s="416"/>
      <c r="KAT420" s="416"/>
      <c r="KAU420" s="416"/>
      <c r="KAV420" s="416"/>
      <c r="KAW420" s="416"/>
      <c r="KAX420" s="416"/>
      <c r="KAY420" s="416"/>
      <c r="KAZ420" s="416"/>
      <c r="KBA420" s="416"/>
      <c r="KBB420" s="416"/>
      <c r="KBC420" s="416"/>
      <c r="KBD420" s="416"/>
      <c r="KBE420" s="416"/>
      <c r="KBF420" s="416"/>
      <c r="KBG420" s="416"/>
      <c r="KBH420" s="416"/>
      <c r="KBI420" s="416"/>
      <c r="KBJ420" s="416"/>
      <c r="KBK420" s="416"/>
      <c r="KBL420" s="416"/>
      <c r="KBM420" s="416"/>
      <c r="KBN420" s="416"/>
      <c r="KBO420" s="416"/>
      <c r="KBP420" s="416"/>
      <c r="KBQ420" s="416"/>
      <c r="KBR420" s="416"/>
      <c r="KBS420" s="416"/>
      <c r="KBT420" s="416"/>
      <c r="KBU420" s="416"/>
      <c r="KBV420" s="416"/>
      <c r="KBW420" s="416"/>
      <c r="KBX420" s="416"/>
      <c r="KBY420" s="416"/>
      <c r="KBZ420" s="416"/>
      <c r="KCA420" s="416"/>
      <c r="KCB420" s="416"/>
      <c r="KCC420" s="416"/>
      <c r="KCD420" s="416"/>
      <c r="KCE420" s="416"/>
      <c r="KCF420" s="416"/>
      <c r="KCG420" s="416"/>
      <c r="KCH420" s="416"/>
      <c r="KCI420" s="416"/>
      <c r="KCJ420" s="416"/>
      <c r="KCK420" s="416"/>
      <c r="KCL420" s="416"/>
      <c r="KCM420" s="416"/>
      <c r="KCN420" s="416"/>
      <c r="KCO420" s="416"/>
      <c r="KCP420" s="416"/>
      <c r="KCQ420" s="416"/>
      <c r="KCR420" s="416"/>
      <c r="KCS420" s="416"/>
      <c r="KCT420" s="416"/>
      <c r="KCU420" s="416"/>
      <c r="KCV420" s="416"/>
      <c r="KCW420" s="416"/>
      <c r="KCX420" s="416"/>
      <c r="KCY420" s="416"/>
      <c r="KCZ420" s="416"/>
      <c r="KDA420" s="416"/>
      <c r="KDB420" s="416"/>
      <c r="KDC420" s="416"/>
      <c r="KDD420" s="416"/>
      <c r="KDE420" s="416"/>
      <c r="KDF420" s="416"/>
      <c r="KDG420" s="416"/>
      <c r="KDH420" s="416"/>
      <c r="KDI420" s="416"/>
      <c r="KDJ420" s="416"/>
      <c r="KDK420" s="416"/>
      <c r="KDL420" s="416"/>
      <c r="KDM420" s="416"/>
      <c r="KDN420" s="416"/>
      <c r="KDO420" s="416"/>
      <c r="KDP420" s="416"/>
      <c r="KDQ420" s="416"/>
      <c r="KDR420" s="416"/>
      <c r="KDS420" s="416"/>
      <c r="KDT420" s="416"/>
      <c r="KDU420" s="416"/>
      <c r="KDV420" s="416"/>
      <c r="KDW420" s="416"/>
      <c r="KDX420" s="416"/>
      <c r="KDY420" s="416"/>
      <c r="KDZ420" s="416"/>
      <c r="KEA420" s="416"/>
      <c r="KEB420" s="416"/>
      <c r="KEC420" s="416"/>
      <c r="KED420" s="416"/>
      <c r="KEE420" s="416"/>
      <c r="KEF420" s="416"/>
      <c r="KEG420" s="416"/>
      <c r="KEH420" s="416"/>
      <c r="KEI420" s="416"/>
      <c r="KEJ420" s="416"/>
      <c r="KEK420" s="416"/>
      <c r="KEL420" s="416"/>
      <c r="KEM420" s="416"/>
      <c r="KEN420" s="416"/>
      <c r="KEO420" s="416"/>
      <c r="KEP420" s="416"/>
      <c r="KEQ420" s="416"/>
      <c r="KER420" s="416"/>
      <c r="KES420" s="416"/>
      <c r="KET420" s="416"/>
      <c r="KEU420" s="416"/>
      <c r="KEV420" s="416"/>
      <c r="KEW420" s="416"/>
      <c r="KEX420" s="416"/>
      <c r="KEY420" s="416"/>
      <c r="KEZ420" s="416"/>
      <c r="KFA420" s="416"/>
      <c r="KFB420" s="416"/>
      <c r="KFC420" s="416"/>
      <c r="KFD420" s="416"/>
      <c r="KFE420" s="416"/>
      <c r="KFF420" s="416"/>
      <c r="KFG420" s="416"/>
      <c r="KFH420" s="416"/>
      <c r="KFI420" s="416"/>
      <c r="KFJ420" s="416"/>
      <c r="KFK420" s="416"/>
      <c r="KFL420" s="416"/>
      <c r="KFM420" s="416"/>
      <c r="KFN420" s="416"/>
      <c r="KFO420" s="416"/>
      <c r="KFP420" s="416"/>
      <c r="KFQ420" s="416"/>
      <c r="KFR420" s="416"/>
      <c r="KFS420" s="416"/>
      <c r="KFT420" s="416"/>
      <c r="KFU420" s="416"/>
      <c r="KFV420" s="416"/>
      <c r="KFW420" s="416"/>
      <c r="KFX420" s="416"/>
      <c r="KFY420" s="416"/>
      <c r="KFZ420" s="416"/>
      <c r="KGA420" s="416"/>
      <c r="KGB420" s="416"/>
      <c r="KGC420" s="416"/>
      <c r="KGD420" s="416"/>
      <c r="KGE420" s="416"/>
      <c r="KGF420" s="416"/>
      <c r="KGG420" s="416"/>
      <c r="KGH420" s="416"/>
      <c r="KGI420" s="416"/>
      <c r="KGJ420" s="416"/>
      <c r="KGK420" s="416"/>
      <c r="KGL420" s="416"/>
      <c r="KGM420" s="416"/>
      <c r="KGN420" s="416"/>
      <c r="KGO420" s="416"/>
      <c r="KGP420" s="416"/>
      <c r="KGQ420" s="416"/>
      <c r="KGR420" s="416"/>
      <c r="KGS420" s="416"/>
      <c r="KGT420" s="416"/>
      <c r="KGU420" s="416"/>
      <c r="KGV420" s="416"/>
      <c r="KGW420" s="416"/>
      <c r="KGX420" s="416"/>
      <c r="KGY420" s="416"/>
      <c r="KGZ420" s="416"/>
      <c r="KHA420" s="416"/>
      <c r="KHB420" s="416"/>
      <c r="KHC420" s="416"/>
      <c r="KHD420" s="416"/>
      <c r="KHE420" s="416"/>
      <c r="KHF420" s="416"/>
      <c r="KHG420" s="416"/>
      <c r="KHH420" s="416"/>
      <c r="KHI420" s="416"/>
      <c r="KHJ420" s="416"/>
      <c r="KHK420" s="416"/>
      <c r="KHL420" s="416"/>
      <c r="KHM420" s="416"/>
      <c r="KHN420" s="416"/>
      <c r="KHO420" s="416"/>
      <c r="KHP420" s="416"/>
      <c r="KHQ420" s="416"/>
      <c r="KHR420" s="416"/>
      <c r="KHS420" s="416"/>
      <c r="KHT420" s="416"/>
      <c r="KHU420" s="416"/>
      <c r="KHV420" s="416"/>
      <c r="KHW420" s="416"/>
      <c r="KHX420" s="416"/>
      <c r="KHY420" s="416"/>
      <c r="KHZ420" s="416"/>
      <c r="KIA420" s="416"/>
      <c r="KIB420" s="416"/>
      <c r="KIC420" s="416"/>
      <c r="KID420" s="416"/>
      <c r="KIE420" s="416"/>
      <c r="KIF420" s="416"/>
      <c r="KIG420" s="416"/>
      <c r="KIH420" s="416"/>
      <c r="KII420" s="416"/>
      <c r="KIJ420" s="416"/>
      <c r="KIK420" s="416"/>
      <c r="KIL420" s="416"/>
      <c r="KIM420" s="416"/>
      <c r="KIN420" s="416"/>
      <c r="KIO420" s="416"/>
      <c r="KIP420" s="416"/>
      <c r="KIQ420" s="416"/>
      <c r="KIR420" s="416"/>
      <c r="KIS420" s="416"/>
      <c r="KIT420" s="416"/>
      <c r="KIU420" s="416"/>
      <c r="KIV420" s="416"/>
      <c r="KIW420" s="416"/>
      <c r="KIX420" s="416"/>
      <c r="KIY420" s="416"/>
      <c r="KIZ420" s="416"/>
      <c r="KJA420" s="416"/>
      <c r="KJB420" s="416"/>
      <c r="KJC420" s="416"/>
      <c r="KJD420" s="416"/>
      <c r="KJE420" s="416"/>
      <c r="KJF420" s="416"/>
      <c r="KJG420" s="416"/>
      <c r="KJH420" s="416"/>
      <c r="KJI420" s="416"/>
      <c r="KJJ420" s="416"/>
      <c r="KJK420" s="416"/>
      <c r="KJL420" s="416"/>
      <c r="KJM420" s="416"/>
      <c r="KJN420" s="416"/>
      <c r="KJO420" s="416"/>
      <c r="KJP420" s="416"/>
      <c r="KJQ420" s="416"/>
      <c r="KJR420" s="416"/>
      <c r="KJS420" s="416"/>
      <c r="KJT420" s="416"/>
      <c r="KJU420" s="416"/>
      <c r="KJV420" s="416"/>
      <c r="KJW420" s="416"/>
      <c r="KJX420" s="416"/>
      <c r="KJY420" s="416"/>
      <c r="KJZ420" s="416"/>
      <c r="KKA420" s="416"/>
      <c r="KKB420" s="416"/>
      <c r="KKC420" s="416"/>
      <c r="KKD420" s="416"/>
      <c r="KKE420" s="416"/>
      <c r="KKF420" s="416"/>
      <c r="KKG420" s="416"/>
      <c r="KKH420" s="416"/>
      <c r="KKI420" s="416"/>
      <c r="KKJ420" s="416"/>
      <c r="KKK420" s="416"/>
      <c r="KKL420" s="416"/>
      <c r="KKM420" s="416"/>
      <c r="KKN420" s="416"/>
      <c r="KKO420" s="416"/>
      <c r="KKP420" s="416"/>
      <c r="KKQ420" s="416"/>
      <c r="KKR420" s="416"/>
      <c r="KKS420" s="416"/>
      <c r="KKT420" s="416"/>
      <c r="KKU420" s="416"/>
      <c r="KKV420" s="416"/>
      <c r="KKW420" s="416"/>
      <c r="KKX420" s="416"/>
      <c r="KKY420" s="416"/>
      <c r="KKZ420" s="416"/>
      <c r="KLA420" s="416"/>
      <c r="KLB420" s="416"/>
      <c r="KLC420" s="416"/>
      <c r="KLD420" s="416"/>
      <c r="KLE420" s="416"/>
      <c r="KLF420" s="416"/>
      <c r="KLG420" s="416"/>
      <c r="KLH420" s="416"/>
      <c r="KLI420" s="416"/>
      <c r="KLJ420" s="416"/>
      <c r="KLK420" s="416"/>
      <c r="KLL420" s="416"/>
      <c r="KLM420" s="416"/>
      <c r="KLN420" s="416"/>
      <c r="KLO420" s="416"/>
      <c r="KLP420" s="416"/>
      <c r="KLQ420" s="416"/>
      <c r="KLR420" s="416"/>
      <c r="KLS420" s="416"/>
      <c r="KLT420" s="416"/>
      <c r="KLU420" s="416"/>
      <c r="KLV420" s="416"/>
      <c r="KLW420" s="416"/>
      <c r="KLX420" s="416"/>
      <c r="KLY420" s="416"/>
      <c r="KLZ420" s="416"/>
      <c r="KMA420" s="416"/>
      <c r="KMB420" s="416"/>
      <c r="KMC420" s="416"/>
      <c r="KMD420" s="416"/>
      <c r="KME420" s="416"/>
      <c r="KMF420" s="416"/>
      <c r="KMG420" s="416"/>
      <c r="KMH420" s="416"/>
      <c r="KMI420" s="416"/>
      <c r="KMJ420" s="416"/>
      <c r="KMK420" s="416"/>
      <c r="KML420" s="416"/>
      <c r="KMM420" s="416"/>
      <c r="KMN420" s="416"/>
      <c r="KMO420" s="416"/>
      <c r="KMP420" s="416"/>
      <c r="KMQ420" s="416"/>
      <c r="KMR420" s="416"/>
      <c r="KMS420" s="416"/>
      <c r="KMT420" s="416"/>
      <c r="KMU420" s="416"/>
      <c r="KMV420" s="416"/>
      <c r="KMW420" s="416"/>
      <c r="KMX420" s="416"/>
      <c r="KMY420" s="416"/>
      <c r="KMZ420" s="416"/>
      <c r="KNA420" s="416"/>
      <c r="KNB420" s="416"/>
      <c r="KNC420" s="416"/>
      <c r="KND420" s="416"/>
      <c r="KNE420" s="416"/>
      <c r="KNF420" s="416"/>
      <c r="KNG420" s="416"/>
      <c r="KNH420" s="416"/>
      <c r="KNI420" s="416"/>
      <c r="KNJ420" s="416"/>
      <c r="KNK420" s="416"/>
      <c r="KNL420" s="416"/>
      <c r="KNM420" s="416"/>
      <c r="KNN420" s="416"/>
      <c r="KNO420" s="416"/>
      <c r="KNP420" s="416"/>
      <c r="KNQ420" s="416"/>
      <c r="KNR420" s="416"/>
      <c r="KNS420" s="416"/>
      <c r="KNT420" s="416"/>
      <c r="KNU420" s="416"/>
      <c r="KNV420" s="416"/>
      <c r="KNW420" s="416"/>
      <c r="KNX420" s="416"/>
      <c r="KNY420" s="416"/>
      <c r="KNZ420" s="416"/>
      <c r="KOA420" s="416"/>
      <c r="KOB420" s="416"/>
      <c r="KOC420" s="416"/>
      <c r="KOD420" s="416"/>
      <c r="KOE420" s="416"/>
      <c r="KOF420" s="416"/>
      <c r="KOG420" s="416"/>
      <c r="KOH420" s="416"/>
      <c r="KOI420" s="416"/>
      <c r="KOJ420" s="416"/>
      <c r="KOK420" s="416"/>
      <c r="KOL420" s="416"/>
      <c r="KOM420" s="416"/>
      <c r="KON420" s="416"/>
      <c r="KOO420" s="416"/>
      <c r="KOP420" s="416"/>
      <c r="KOQ420" s="416"/>
      <c r="KOR420" s="416"/>
      <c r="KOS420" s="416"/>
      <c r="KOT420" s="416"/>
      <c r="KOU420" s="416"/>
      <c r="KOV420" s="416"/>
      <c r="KOW420" s="416"/>
      <c r="KOX420" s="416"/>
      <c r="KOY420" s="416"/>
      <c r="KOZ420" s="416"/>
      <c r="KPA420" s="416"/>
      <c r="KPB420" s="416"/>
      <c r="KPC420" s="416"/>
      <c r="KPD420" s="416"/>
      <c r="KPE420" s="416"/>
      <c r="KPF420" s="416"/>
      <c r="KPG420" s="416"/>
      <c r="KPH420" s="416"/>
      <c r="KPI420" s="416"/>
      <c r="KPJ420" s="416"/>
      <c r="KPK420" s="416"/>
      <c r="KPL420" s="416"/>
      <c r="KPM420" s="416"/>
      <c r="KPN420" s="416"/>
      <c r="KPO420" s="416"/>
      <c r="KPP420" s="416"/>
      <c r="KPQ420" s="416"/>
      <c r="KPR420" s="416"/>
      <c r="KPS420" s="416"/>
      <c r="KPT420" s="416"/>
      <c r="KPU420" s="416"/>
      <c r="KPV420" s="416"/>
      <c r="KPW420" s="416"/>
      <c r="KPX420" s="416"/>
      <c r="KPY420" s="416"/>
      <c r="KPZ420" s="416"/>
      <c r="KQA420" s="416"/>
      <c r="KQB420" s="416"/>
      <c r="KQC420" s="416"/>
      <c r="KQD420" s="416"/>
      <c r="KQE420" s="416"/>
      <c r="KQF420" s="416"/>
      <c r="KQG420" s="416"/>
      <c r="KQH420" s="416"/>
      <c r="KQI420" s="416"/>
      <c r="KQJ420" s="416"/>
      <c r="KQK420" s="416"/>
      <c r="KQL420" s="416"/>
      <c r="KQM420" s="416"/>
      <c r="KQN420" s="416"/>
      <c r="KQO420" s="416"/>
      <c r="KQP420" s="416"/>
      <c r="KQQ420" s="416"/>
      <c r="KQR420" s="416"/>
      <c r="KQS420" s="416"/>
      <c r="KQT420" s="416"/>
      <c r="KQU420" s="416"/>
      <c r="KQV420" s="416"/>
      <c r="KQW420" s="416"/>
      <c r="KQX420" s="416"/>
      <c r="KQY420" s="416"/>
      <c r="KQZ420" s="416"/>
      <c r="KRA420" s="416"/>
      <c r="KRB420" s="416"/>
      <c r="KRC420" s="416"/>
      <c r="KRD420" s="416"/>
      <c r="KRE420" s="416"/>
      <c r="KRF420" s="416"/>
      <c r="KRG420" s="416"/>
      <c r="KRH420" s="416"/>
      <c r="KRI420" s="416"/>
      <c r="KRJ420" s="416"/>
      <c r="KRK420" s="416"/>
      <c r="KRL420" s="416"/>
      <c r="KRM420" s="416"/>
      <c r="KRN420" s="416"/>
      <c r="KRO420" s="416"/>
      <c r="KRP420" s="416"/>
      <c r="KRQ420" s="416"/>
      <c r="KRR420" s="416"/>
      <c r="KRS420" s="416"/>
      <c r="KRT420" s="416"/>
      <c r="KRU420" s="416"/>
      <c r="KRV420" s="416"/>
      <c r="KRW420" s="416"/>
      <c r="KRX420" s="416"/>
      <c r="KRY420" s="416"/>
      <c r="KRZ420" s="416"/>
      <c r="KSA420" s="416"/>
      <c r="KSB420" s="416"/>
      <c r="KSC420" s="416"/>
      <c r="KSD420" s="416"/>
      <c r="KSE420" s="416"/>
      <c r="KSF420" s="416"/>
      <c r="KSG420" s="416"/>
      <c r="KSH420" s="416"/>
      <c r="KSI420" s="416"/>
      <c r="KSJ420" s="416"/>
      <c r="KSK420" s="416"/>
      <c r="KSL420" s="416"/>
      <c r="KSM420" s="416"/>
      <c r="KSN420" s="416"/>
      <c r="KSO420" s="416"/>
      <c r="KSP420" s="416"/>
      <c r="KSQ420" s="416"/>
      <c r="KSR420" s="416"/>
      <c r="KSS420" s="416"/>
      <c r="KST420" s="416"/>
      <c r="KSU420" s="416"/>
      <c r="KSV420" s="416"/>
      <c r="KSW420" s="416"/>
      <c r="KSX420" s="416"/>
      <c r="KSY420" s="416"/>
      <c r="KSZ420" s="416"/>
      <c r="KTA420" s="416"/>
      <c r="KTB420" s="416"/>
      <c r="KTC420" s="416"/>
      <c r="KTD420" s="416"/>
      <c r="KTE420" s="416"/>
      <c r="KTF420" s="416"/>
      <c r="KTG420" s="416"/>
      <c r="KTH420" s="416"/>
      <c r="KTI420" s="416"/>
      <c r="KTJ420" s="416"/>
      <c r="KTK420" s="416"/>
      <c r="KTL420" s="416"/>
      <c r="KTM420" s="416"/>
      <c r="KTN420" s="416"/>
      <c r="KTO420" s="416"/>
      <c r="KTP420" s="416"/>
      <c r="KTQ420" s="416"/>
      <c r="KTR420" s="416"/>
      <c r="KTS420" s="416"/>
      <c r="KTT420" s="416"/>
      <c r="KTU420" s="416"/>
      <c r="KTV420" s="416"/>
      <c r="KTW420" s="416"/>
      <c r="KTX420" s="416"/>
      <c r="KTY420" s="416"/>
      <c r="KTZ420" s="416"/>
      <c r="KUA420" s="416"/>
      <c r="KUB420" s="416"/>
      <c r="KUC420" s="416"/>
      <c r="KUD420" s="416"/>
      <c r="KUE420" s="416"/>
      <c r="KUF420" s="416"/>
      <c r="KUG420" s="416"/>
      <c r="KUH420" s="416"/>
      <c r="KUI420" s="416"/>
      <c r="KUJ420" s="416"/>
      <c r="KUK420" s="416"/>
      <c r="KUL420" s="416"/>
      <c r="KUM420" s="416"/>
      <c r="KUN420" s="416"/>
      <c r="KUO420" s="416"/>
      <c r="KUP420" s="416"/>
      <c r="KUQ420" s="416"/>
      <c r="KUR420" s="416"/>
      <c r="KUS420" s="416"/>
      <c r="KUT420" s="416"/>
      <c r="KUU420" s="416"/>
      <c r="KUV420" s="416"/>
      <c r="KUW420" s="416"/>
      <c r="KUX420" s="416"/>
      <c r="KUY420" s="416"/>
      <c r="KUZ420" s="416"/>
      <c r="KVA420" s="416"/>
      <c r="KVB420" s="416"/>
      <c r="KVC420" s="416"/>
      <c r="KVD420" s="416"/>
      <c r="KVE420" s="416"/>
      <c r="KVF420" s="416"/>
      <c r="KVG420" s="416"/>
      <c r="KVH420" s="416"/>
      <c r="KVI420" s="416"/>
      <c r="KVJ420" s="416"/>
      <c r="KVK420" s="416"/>
      <c r="KVL420" s="416"/>
      <c r="KVM420" s="416"/>
      <c r="KVN420" s="416"/>
      <c r="KVO420" s="416"/>
      <c r="KVP420" s="416"/>
      <c r="KVQ420" s="416"/>
      <c r="KVR420" s="416"/>
      <c r="KVS420" s="416"/>
      <c r="KVT420" s="416"/>
      <c r="KVU420" s="416"/>
      <c r="KVV420" s="416"/>
      <c r="KVW420" s="416"/>
      <c r="KVX420" s="416"/>
      <c r="KVY420" s="416"/>
      <c r="KVZ420" s="416"/>
      <c r="KWA420" s="416"/>
      <c r="KWB420" s="416"/>
      <c r="KWC420" s="416"/>
      <c r="KWD420" s="416"/>
      <c r="KWE420" s="416"/>
      <c r="KWF420" s="416"/>
      <c r="KWG420" s="416"/>
      <c r="KWH420" s="416"/>
      <c r="KWI420" s="416"/>
      <c r="KWJ420" s="416"/>
      <c r="KWK420" s="416"/>
      <c r="KWL420" s="416"/>
      <c r="KWM420" s="416"/>
      <c r="KWN420" s="416"/>
      <c r="KWO420" s="416"/>
      <c r="KWP420" s="416"/>
      <c r="KWQ420" s="416"/>
      <c r="KWR420" s="416"/>
      <c r="KWS420" s="416"/>
      <c r="KWT420" s="416"/>
      <c r="KWU420" s="416"/>
      <c r="KWV420" s="416"/>
      <c r="KWW420" s="416"/>
      <c r="KWX420" s="416"/>
      <c r="KWY420" s="416"/>
      <c r="KWZ420" s="416"/>
      <c r="KXA420" s="416"/>
      <c r="KXB420" s="416"/>
      <c r="KXC420" s="416"/>
      <c r="KXD420" s="416"/>
      <c r="KXE420" s="416"/>
      <c r="KXF420" s="416"/>
      <c r="KXG420" s="416"/>
      <c r="KXH420" s="416"/>
      <c r="KXI420" s="416"/>
      <c r="KXJ420" s="416"/>
      <c r="KXK420" s="416"/>
      <c r="KXL420" s="416"/>
      <c r="KXM420" s="416"/>
      <c r="KXN420" s="416"/>
      <c r="KXO420" s="416"/>
      <c r="KXP420" s="416"/>
      <c r="KXQ420" s="416"/>
      <c r="KXR420" s="416"/>
      <c r="KXS420" s="416"/>
      <c r="KXT420" s="416"/>
      <c r="KXU420" s="416"/>
      <c r="KXV420" s="416"/>
      <c r="KXW420" s="416"/>
      <c r="KXX420" s="416"/>
      <c r="KXY420" s="416"/>
      <c r="KXZ420" s="416"/>
      <c r="KYA420" s="416"/>
      <c r="KYB420" s="416"/>
      <c r="KYC420" s="416"/>
      <c r="KYD420" s="416"/>
      <c r="KYE420" s="416"/>
      <c r="KYF420" s="416"/>
      <c r="KYG420" s="416"/>
      <c r="KYH420" s="416"/>
      <c r="KYI420" s="416"/>
      <c r="KYJ420" s="416"/>
      <c r="KYK420" s="416"/>
      <c r="KYL420" s="416"/>
      <c r="KYM420" s="416"/>
      <c r="KYN420" s="416"/>
      <c r="KYO420" s="416"/>
      <c r="KYP420" s="416"/>
      <c r="KYQ420" s="416"/>
      <c r="KYR420" s="416"/>
      <c r="KYS420" s="416"/>
      <c r="KYT420" s="416"/>
      <c r="KYU420" s="416"/>
      <c r="KYV420" s="416"/>
      <c r="KYW420" s="416"/>
      <c r="KYX420" s="416"/>
      <c r="KYY420" s="416"/>
      <c r="KYZ420" s="416"/>
      <c r="KZA420" s="416"/>
      <c r="KZB420" s="416"/>
      <c r="KZC420" s="416"/>
      <c r="KZD420" s="416"/>
      <c r="KZE420" s="416"/>
      <c r="KZF420" s="416"/>
      <c r="KZG420" s="416"/>
      <c r="KZH420" s="416"/>
      <c r="KZI420" s="416"/>
      <c r="KZJ420" s="416"/>
      <c r="KZK420" s="416"/>
      <c r="KZL420" s="416"/>
      <c r="KZM420" s="416"/>
      <c r="KZN420" s="416"/>
      <c r="KZO420" s="416"/>
      <c r="KZP420" s="416"/>
      <c r="KZQ420" s="416"/>
      <c r="KZR420" s="416"/>
      <c r="KZS420" s="416"/>
      <c r="KZT420" s="416"/>
      <c r="KZU420" s="416"/>
      <c r="KZV420" s="416"/>
      <c r="KZW420" s="416"/>
      <c r="KZX420" s="416"/>
      <c r="KZY420" s="416"/>
      <c r="KZZ420" s="416"/>
      <c r="LAA420" s="416"/>
      <c r="LAB420" s="416"/>
      <c r="LAC420" s="416"/>
      <c r="LAD420" s="416"/>
      <c r="LAE420" s="416"/>
      <c r="LAF420" s="416"/>
      <c r="LAG420" s="416"/>
      <c r="LAH420" s="416"/>
      <c r="LAI420" s="416"/>
      <c r="LAJ420" s="416"/>
      <c r="LAK420" s="416"/>
      <c r="LAL420" s="416"/>
      <c r="LAM420" s="416"/>
      <c r="LAN420" s="416"/>
      <c r="LAO420" s="416"/>
      <c r="LAP420" s="416"/>
      <c r="LAQ420" s="416"/>
      <c r="LAR420" s="416"/>
      <c r="LAS420" s="416"/>
      <c r="LAT420" s="416"/>
      <c r="LAU420" s="416"/>
      <c r="LAV420" s="416"/>
      <c r="LAW420" s="416"/>
      <c r="LAX420" s="416"/>
      <c r="LAY420" s="416"/>
      <c r="LAZ420" s="416"/>
      <c r="LBA420" s="416"/>
      <c r="LBB420" s="416"/>
      <c r="LBC420" s="416"/>
      <c r="LBD420" s="416"/>
      <c r="LBE420" s="416"/>
      <c r="LBF420" s="416"/>
      <c r="LBG420" s="416"/>
      <c r="LBH420" s="416"/>
      <c r="LBI420" s="416"/>
      <c r="LBJ420" s="416"/>
      <c r="LBK420" s="416"/>
      <c r="LBL420" s="416"/>
      <c r="LBM420" s="416"/>
      <c r="LBN420" s="416"/>
      <c r="LBO420" s="416"/>
      <c r="LBP420" s="416"/>
      <c r="LBQ420" s="416"/>
      <c r="LBR420" s="416"/>
      <c r="LBS420" s="416"/>
      <c r="LBT420" s="416"/>
      <c r="LBU420" s="416"/>
      <c r="LBV420" s="416"/>
      <c r="LBW420" s="416"/>
      <c r="LBX420" s="416"/>
      <c r="LBY420" s="416"/>
      <c r="LBZ420" s="416"/>
      <c r="LCA420" s="416"/>
      <c r="LCB420" s="416"/>
      <c r="LCC420" s="416"/>
      <c r="LCD420" s="416"/>
      <c r="LCE420" s="416"/>
      <c r="LCF420" s="416"/>
      <c r="LCG420" s="416"/>
      <c r="LCH420" s="416"/>
      <c r="LCI420" s="416"/>
      <c r="LCJ420" s="416"/>
      <c r="LCK420" s="416"/>
      <c r="LCL420" s="416"/>
      <c r="LCM420" s="416"/>
      <c r="LCN420" s="416"/>
      <c r="LCO420" s="416"/>
      <c r="LCP420" s="416"/>
      <c r="LCQ420" s="416"/>
      <c r="LCR420" s="416"/>
      <c r="LCS420" s="416"/>
      <c r="LCT420" s="416"/>
      <c r="LCU420" s="416"/>
      <c r="LCV420" s="416"/>
      <c r="LCW420" s="416"/>
      <c r="LCX420" s="416"/>
      <c r="LCY420" s="416"/>
      <c r="LCZ420" s="416"/>
      <c r="LDA420" s="416"/>
      <c r="LDB420" s="416"/>
      <c r="LDC420" s="416"/>
      <c r="LDD420" s="416"/>
      <c r="LDE420" s="416"/>
      <c r="LDF420" s="416"/>
      <c r="LDG420" s="416"/>
      <c r="LDH420" s="416"/>
      <c r="LDI420" s="416"/>
      <c r="LDJ420" s="416"/>
      <c r="LDK420" s="416"/>
      <c r="LDL420" s="416"/>
      <c r="LDM420" s="416"/>
      <c r="LDN420" s="416"/>
      <c r="LDO420" s="416"/>
      <c r="LDP420" s="416"/>
      <c r="LDQ420" s="416"/>
      <c r="LDR420" s="416"/>
      <c r="LDS420" s="416"/>
      <c r="LDT420" s="416"/>
      <c r="LDU420" s="416"/>
      <c r="LDV420" s="416"/>
      <c r="LDW420" s="416"/>
      <c r="LDX420" s="416"/>
      <c r="LDY420" s="416"/>
      <c r="LDZ420" s="416"/>
      <c r="LEA420" s="416"/>
      <c r="LEB420" s="416"/>
      <c r="LEC420" s="416"/>
      <c r="LED420" s="416"/>
      <c r="LEE420" s="416"/>
      <c r="LEF420" s="416"/>
      <c r="LEG420" s="416"/>
      <c r="LEH420" s="416"/>
      <c r="LEI420" s="416"/>
      <c r="LEJ420" s="416"/>
      <c r="LEK420" s="416"/>
      <c r="LEL420" s="416"/>
      <c r="LEM420" s="416"/>
      <c r="LEN420" s="416"/>
      <c r="LEO420" s="416"/>
      <c r="LEP420" s="416"/>
      <c r="LEQ420" s="416"/>
      <c r="LER420" s="416"/>
      <c r="LES420" s="416"/>
      <c r="LET420" s="416"/>
      <c r="LEU420" s="416"/>
      <c r="LEV420" s="416"/>
      <c r="LEW420" s="416"/>
      <c r="LEX420" s="416"/>
      <c r="LEY420" s="416"/>
      <c r="LEZ420" s="416"/>
      <c r="LFA420" s="416"/>
      <c r="LFB420" s="416"/>
      <c r="LFC420" s="416"/>
      <c r="LFD420" s="416"/>
      <c r="LFE420" s="416"/>
      <c r="LFF420" s="416"/>
      <c r="LFG420" s="416"/>
      <c r="LFH420" s="416"/>
      <c r="LFI420" s="416"/>
      <c r="LFJ420" s="416"/>
      <c r="LFK420" s="416"/>
      <c r="LFL420" s="416"/>
      <c r="LFM420" s="416"/>
      <c r="LFN420" s="416"/>
      <c r="LFO420" s="416"/>
      <c r="LFP420" s="416"/>
      <c r="LFQ420" s="416"/>
      <c r="LFR420" s="416"/>
      <c r="LFS420" s="416"/>
      <c r="LFT420" s="416"/>
      <c r="LFU420" s="416"/>
      <c r="LFV420" s="416"/>
      <c r="LFW420" s="416"/>
      <c r="LFX420" s="416"/>
      <c r="LFY420" s="416"/>
      <c r="LFZ420" s="416"/>
      <c r="LGA420" s="416"/>
      <c r="LGB420" s="416"/>
      <c r="LGC420" s="416"/>
      <c r="LGD420" s="416"/>
      <c r="LGE420" s="416"/>
      <c r="LGF420" s="416"/>
      <c r="LGG420" s="416"/>
      <c r="LGH420" s="416"/>
      <c r="LGI420" s="416"/>
      <c r="LGJ420" s="416"/>
      <c r="LGK420" s="416"/>
      <c r="LGL420" s="416"/>
      <c r="LGM420" s="416"/>
      <c r="LGN420" s="416"/>
      <c r="LGO420" s="416"/>
      <c r="LGP420" s="416"/>
      <c r="LGQ420" s="416"/>
      <c r="LGR420" s="416"/>
      <c r="LGS420" s="416"/>
      <c r="LGT420" s="416"/>
      <c r="LGU420" s="416"/>
      <c r="LGV420" s="416"/>
      <c r="LGW420" s="416"/>
      <c r="LGX420" s="416"/>
      <c r="LGY420" s="416"/>
      <c r="LGZ420" s="416"/>
      <c r="LHA420" s="416"/>
      <c r="LHB420" s="416"/>
      <c r="LHC420" s="416"/>
      <c r="LHD420" s="416"/>
      <c r="LHE420" s="416"/>
      <c r="LHF420" s="416"/>
      <c r="LHG420" s="416"/>
      <c r="LHH420" s="416"/>
      <c r="LHI420" s="416"/>
      <c r="LHJ420" s="416"/>
      <c r="LHK420" s="416"/>
      <c r="LHL420" s="416"/>
      <c r="LHM420" s="416"/>
      <c r="LHN420" s="416"/>
      <c r="LHO420" s="416"/>
      <c r="LHP420" s="416"/>
      <c r="LHQ420" s="416"/>
      <c r="LHR420" s="416"/>
      <c r="LHS420" s="416"/>
      <c r="LHT420" s="416"/>
      <c r="LHU420" s="416"/>
      <c r="LHV420" s="416"/>
      <c r="LHW420" s="416"/>
      <c r="LHX420" s="416"/>
      <c r="LHY420" s="416"/>
      <c r="LHZ420" s="416"/>
      <c r="LIA420" s="416"/>
      <c r="LIB420" s="416"/>
      <c r="LIC420" s="416"/>
      <c r="LID420" s="416"/>
      <c r="LIE420" s="416"/>
      <c r="LIF420" s="416"/>
      <c r="LIG420" s="416"/>
      <c r="LIH420" s="416"/>
      <c r="LII420" s="416"/>
      <c r="LIJ420" s="416"/>
      <c r="LIK420" s="416"/>
      <c r="LIL420" s="416"/>
      <c r="LIM420" s="416"/>
      <c r="LIN420" s="416"/>
      <c r="LIO420" s="416"/>
      <c r="LIP420" s="416"/>
      <c r="LIQ420" s="416"/>
      <c r="LIR420" s="416"/>
      <c r="LIS420" s="416"/>
      <c r="LIT420" s="416"/>
      <c r="LIU420" s="416"/>
      <c r="LIV420" s="416"/>
      <c r="LIW420" s="416"/>
      <c r="LIX420" s="416"/>
      <c r="LIY420" s="416"/>
      <c r="LIZ420" s="416"/>
      <c r="LJA420" s="416"/>
      <c r="LJB420" s="416"/>
      <c r="LJC420" s="416"/>
      <c r="LJD420" s="416"/>
      <c r="LJE420" s="416"/>
      <c r="LJF420" s="416"/>
      <c r="LJG420" s="416"/>
      <c r="LJH420" s="416"/>
      <c r="LJI420" s="416"/>
      <c r="LJJ420" s="416"/>
      <c r="LJK420" s="416"/>
      <c r="LJL420" s="416"/>
      <c r="LJM420" s="416"/>
      <c r="LJN420" s="416"/>
      <c r="LJO420" s="416"/>
      <c r="LJP420" s="416"/>
      <c r="LJQ420" s="416"/>
      <c r="LJR420" s="416"/>
      <c r="LJS420" s="416"/>
      <c r="LJT420" s="416"/>
      <c r="LJU420" s="416"/>
      <c r="LJV420" s="416"/>
      <c r="LJW420" s="416"/>
      <c r="LJX420" s="416"/>
      <c r="LJY420" s="416"/>
      <c r="LJZ420" s="416"/>
      <c r="LKA420" s="416"/>
      <c r="LKB420" s="416"/>
      <c r="LKC420" s="416"/>
      <c r="LKD420" s="416"/>
      <c r="LKE420" s="416"/>
      <c r="LKF420" s="416"/>
      <c r="LKG420" s="416"/>
      <c r="LKH420" s="416"/>
      <c r="LKI420" s="416"/>
      <c r="LKJ420" s="416"/>
      <c r="LKK420" s="416"/>
      <c r="LKL420" s="416"/>
      <c r="LKM420" s="416"/>
      <c r="LKN420" s="416"/>
      <c r="LKO420" s="416"/>
      <c r="LKP420" s="416"/>
      <c r="LKQ420" s="416"/>
      <c r="LKR420" s="416"/>
      <c r="LKS420" s="416"/>
      <c r="LKT420" s="416"/>
      <c r="LKU420" s="416"/>
      <c r="LKV420" s="416"/>
      <c r="LKW420" s="416"/>
      <c r="LKX420" s="416"/>
      <c r="LKY420" s="416"/>
      <c r="LKZ420" s="416"/>
      <c r="LLA420" s="416"/>
      <c r="LLB420" s="416"/>
      <c r="LLC420" s="416"/>
      <c r="LLD420" s="416"/>
      <c r="LLE420" s="416"/>
      <c r="LLF420" s="416"/>
      <c r="LLG420" s="416"/>
      <c r="LLH420" s="416"/>
      <c r="LLI420" s="416"/>
      <c r="LLJ420" s="416"/>
      <c r="LLK420" s="416"/>
      <c r="LLL420" s="416"/>
      <c r="LLM420" s="416"/>
      <c r="LLN420" s="416"/>
      <c r="LLO420" s="416"/>
      <c r="LLP420" s="416"/>
      <c r="LLQ420" s="416"/>
      <c r="LLR420" s="416"/>
      <c r="LLS420" s="416"/>
      <c r="LLT420" s="416"/>
      <c r="LLU420" s="416"/>
      <c r="LLV420" s="416"/>
      <c r="LLW420" s="416"/>
      <c r="LLX420" s="416"/>
      <c r="LLY420" s="416"/>
      <c r="LLZ420" s="416"/>
      <c r="LMA420" s="416"/>
      <c r="LMB420" s="416"/>
      <c r="LMC420" s="416"/>
      <c r="LMD420" s="416"/>
      <c r="LME420" s="416"/>
      <c r="LMF420" s="416"/>
      <c r="LMG420" s="416"/>
      <c r="LMH420" s="416"/>
      <c r="LMI420" s="416"/>
      <c r="LMJ420" s="416"/>
      <c r="LMK420" s="416"/>
      <c r="LML420" s="416"/>
      <c r="LMM420" s="416"/>
      <c r="LMN420" s="416"/>
      <c r="LMO420" s="416"/>
      <c r="LMP420" s="416"/>
      <c r="LMQ420" s="416"/>
      <c r="LMR420" s="416"/>
      <c r="LMS420" s="416"/>
      <c r="LMT420" s="416"/>
      <c r="LMU420" s="416"/>
      <c r="LMV420" s="416"/>
      <c r="LMW420" s="416"/>
      <c r="LMX420" s="416"/>
      <c r="LMY420" s="416"/>
      <c r="LMZ420" s="416"/>
      <c r="LNA420" s="416"/>
      <c r="LNB420" s="416"/>
      <c r="LNC420" s="416"/>
      <c r="LND420" s="416"/>
      <c r="LNE420" s="416"/>
      <c r="LNF420" s="416"/>
      <c r="LNG420" s="416"/>
      <c r="LNH420" s="416"/>
      <c r="LNI420" s="416"/>
      <c r="LNJ420" s="416"/>
      <c r="LNK420" s="416"/>
      <c r="LNL420" s="416"/>
      <c r="LNM420" s="416"/>
      <c r="LNN420" s="416"/>
      <c r="LNO420" s="416"/>
      <c r="LNP420" s="416"/>
      <c r="LNQ420" s="416"/>
      <c r="LNR420" s="416"/>
      <c r="LNS420" s="416"/>
      <c r="LNT420" s="416"/>
      <c r="LNU420" s="416"/>
      <c r="LNV420" s="416"/>
      <c r="LNW420" s="416"/>
      <c r="LNX420" s="416"/>
      <c r="LNY420" s="416"/>
      <c r="LNZ420" s="416"/>
      <c r="LOA420" s="416"/>
      <c r="LOB420" s="416"/>
      <c r="LOC420" s="416"/>
      <c r="LOD420" s="416"/>
      <c r="LOE420" s="416"/>
      <c r="LOF420" s="416"/>
      <c r="LOG420" s="416"/>
      <c r="LOH420" s="416"/>
      <c r="LOI420" s="416"/>
      <c r="LOJ420" s="416"/>
      <c r="LOK420" s="416"/>
      <c r="LOL420" s="416"/>
      <c r="LOM420" s="416"/>
      <c r="LON420" s="416"/>
      <c r="LOO420" s="416"/>
      <c r="LOP420" s="416"/>
      <c r="LOQ420" s="416"/>
      <c r="LOR420" s="416"/>
      <c r="LOS420" s="416"/>
      <c r="LOT420" s="416"/>
      <c r="LOU420" s="416"/>
      <c r="LOV420" s="416"/>
      <c r="LOW420" s="416"/>
      <c r="LOX420" s="416"/>
      <c r="LOY420" s="416"/>
      <c r="LOZ420" s="416"/>
      <c r="LPA420" s="416"/>
      <c r="LPB420" s="416"/>
      <c r="LPC420" s="416"/>
      <c r="LPD420" s="416"/>
      <c r="LPE420" s="416"/>
      <c r="LPF420" s="416"/>
      <c r="LPG420" s="416"/>
      <c r="LPH420" s="416"/>
      <c r="LPI420" s="416"/>
      <c r="LPJ420" s="416"/>
      <c r="LPK420" s="416"/>
      <c r="LPL420" s="416"/>
      <c r="LPM420" s="416"/>
      <c r="LPN420" s="416"/>
      <c r="LPO420" s="416"/>
      <c r="LPP420" s="416"/>
      <c r="LPQ420" s="416"/>
      <c r="LPR420" s="416"/>
      <c r="LPS420" s="416"/>
      <c r="LPT420" s="416"/>
      <c r="LPU420" s="416"/>
      <c r="LPV420" s="416"/>
      <c r="LPW420" s="416"/>
      <c r="LPX420" s="416"/>
      <c r="LPY420" s="416"/>
      <c r="LPZ420" s="416"/>
      <c r="LQA420" s="416"/>
      <c r="LQB420" s="416"/>
      <c r="LQC420" s="416"/>
      <c r="LQD420" s="416"/>
      <c r="LQE420" s="416"/>
      <c r="LQF420" s="416"/>
      <c r="LQG420" s="416"/>
      <c r="LQH420" s="416"/>
      <c r="LQI420" s="416"/>
      <c r="LQJ420" s="416"/>
      <c r="LQK420" s="416"/>
      <c r="LQL420" s="416"/>
      <c r="LQM420" s="416"/>
      <c r="LQN420" s="416"/>
      <c r="LQO420" s="416"/>
      <c r="LQP420" s="416"/>
      <c r="LQQ420" s="416"/>
      <c r="LQR420" s="416"/>
      <c r="LQS420" s="416"/>
      <c r="LQT420" s="416"/>
      <c r="LQU420" s="416"/>
      <c r="LQV420" s="416"/>
      <c r="LQW420" s="416"/>
      <c r="LQX420" s="416"/>
      <c r="LQY420" s="416"/>
      <c r="LQZ420" s="416"/>
      <c r="LRA420" s="416"/>
      <c r="LRB420" s="416"/>
      <c r="LRC420" s="416"/>
      <c r="LRD420" s="416"/>
      <c r="LRE420" s="416"/>
      <c r="LRF420" s="416"/>
      <c r="LRG420" s="416"/>
      <c r="LRH420" s="416"/>
      <c r="LRI420" s="416"/>
      <c r="LRJ420" s="416"/>
      <c r="LRK420" s="416"/>
      <c r="LRL420" s="416"/>
      <c r="LRM420" s="416"/>
      <c r="LRN420" s="416"/>
      <c r="LRO420" s="416"/>
      <c r="LRP420" s="416"/>
      <c r="LRQ420" s="416"/>
      <c r="LRR420" s="416"/>
      <c r="LRS420" s="416"/>
      <c r="LRT420" s="416"/>
      <c r="LRU420" s="416"/>
      <c r="LRV420" s="416"/>
      <c r="LRW420" s="416"/>
      <c r="LRX420" s="416"/>
      <c r="LRY420" s="416"/>
      <c r="LRZ420" s="416"/>
      <c r="LSA420" s="416"/>
      <c r="LSB420" s="416"/>
      <c r="LSC420" s="416"/>
      <c r="LSD420" s="416"/>
      <c r="LSE420" s="416"/>
      <c r="LSF420" s="416"/>
      <c r="LSG420" s="416"/>
      <c r="LSH420" s="416"/>
      <c r="LSI420" s="416"/>
      <c r="LSJ420" s="416"/>
      <c r="LSK420" s="416"/>
      <c r="LSL420" s="416"/>
      <c r="LSM420" s="416"/>
      <c r="LSN420" s="416"/>
      <c r="LSO420" s="416"/>
      <c r="LSP420" s="416"/>
      <c r="LSQ420" s="416"/>
      <c r="LSR420" s="416"/>
      <c r="LSS420" s="416"/>
      <c r="LST420" s="416"/>
      <c r="LSU420" s="416"/>
      <c r="LSV420" s="416"/>
      <c r="LSW420" s="416"/>
      <c r="LSX420" s="416"/>
      <c r="LSY420" s="416"/>
      <c r="LSZ420" s="416"/>
      <c r="LTA420" s="416"/>
      <c r="LTB420" s="416"/>
      <c r="LTC420" s="416"/>
      <c r="LTD420" s="416"/>
      <c r="LTE420" s="416"/>
      <c r="LTF420" s="416"/>
      <c r="LTG420" s="416"/>
      <c r="LTH420" s="416"/>
      <c r="LTI420" s="416"/>
      <c r="LTJ420" s="416"/>
      <c r="LTK420" s="416"/>
      <c r="LTL420" s="416"/>
      <c r="LTM420" s="416"/>
      <c r="LTN420" s="416"/>
      <c r="LTO420" s="416"/>
      <c r="LTP420" s="416"/>
      <c r="LTQ420" s="416"/>
      <c r="LTR420" s="416"/>
      <c r="LTS420" s="416"/>
      <c r="LTT420" s="416"/>
      <c r="LTU420" s="416"/>
      <c r="LTV420" s="416"/>
      <c r="LTW420" s="416"/>
      <c r="LTX420" s="416"/>
      <c r="LTY420" s="416"/>
      <c r="LTZ420" s="416"/>
      <c r="LUA420" s="416"/>
      <c r="LUB420" s="416"/>
      <c r="LUC420" s="416"/>
      <c r="LUD420" s="416"/>
      <c r="LUE420" s="416"/>
      <c r="LUF420" s="416"/>
      <c r="LUG420" s="416"/>
      <c r="LUH420" s="416"/>
      <c r="LUI420" s="416"/>
      <c r="LUJ420" s="416"/>
      <c r="LUK420" s="416"/>
      <c r="LUL420" s="416"/>
      <c r="LUM420" s="416"/>
      <c r="LUN420" s="416"/>
      <c r="LUO420" s="416"/>
      <c r="LUP420" s="416"/>
      <c r="LUQ420" s="416"/>
      <c r="LUR420" s="416"/>
      <c r="LUS420" s="416"/>
      <c r="LUT420" s="416"/>
      <c r="LUU420" s="416"/>
      <c r="LUV420" s="416"/>
      <c r="LUW420" s="416"/>
      <c r="LUX420" s="416"/>
      <c r="LUY420" s="416"/>
      <c r="LUZ420" s="416"/>
      <c r="LVA420" s="416"/>
      <c r="LVB420" s="416"/>
      <c r="LVC420" s="416"/>
      <c r="LVD420" s="416"/>
      <c r="LVE420" s="416"/>
      <c r="LVF420" s="416"/>
      <c r="LVG420" s="416"/>
      <c r="LVH420" s="416"/>
      <c r="LVI420" s="416"/>
      <c r="LVJ420" s="416"/>
      <c r="LVK420" s="416"/>
      <c r="LVL420" s="416"/>
      <c r="LVM420" s="416"/>
      <c r="LVN420" s="416"/>
      <c r="LVO420" s="416"/>
      <c r="LVP420" s="416"/>
      <c r="LVQ420" s="416"/>
      <c r="LVR420" s="416"/>
      <c r="LVS420" s="416"/>
      <c r="LVT420" s="416"/>
      <c r="LVU420" s="416"/>
      <c r="LVV420" s="416"/>
      <c r="LVW420" s="416"/>
      <c r="LVX420" s="416"/>
      <c r="LVY420" s="416"/>
      <c r="LVZ420" s="416"/>
      <c r="LWA420" s="416"/>
      <c r="LWB420" s="416"/>
      <c r="LWC420" s="416"/>
      <c r="LWD420" s="416"/>
      <c r="LWE420" s="416"/>
      <c r="LWF420" s="416"/>
      <c r="LWG420" s="416"/>
      <c r="LWH420" s="416"/>
      <c r="LWI420" s="416"/>
      <c r="LWJ420" s="416"/>
      <c r="LWK420" s="416"/>
      <c r="LWL420" s="416"/>
      <c r="LWM420" s="416"/>
      <c r="LWN420" s="416"/>
      <c r="LWO420" s="416"/>
      <c r="LWP420" s="416"/>
      <c r="LWQ420" s="416"/>
      <c r="LWR420" s="416"/>
      <c r="LWS420" s="416"/>
      <c r="LWT420" s="416"/>
      <c r="LWU420" s="416"/>
      <c r="LWV420" s="416"/>
      <c r="LWW420" s="416"/>
      <c r="LWX420" s="416"/>
      <c r="LWY420" s="416"/>
      <c r="LWZ420" s="416"/>
      <c r="LXA420" s="416"/>
      <c r="LXB420" s="416"/>
      <c r="LXC420" s="416"/>
      <c r="LXD420" s="416"/>
      <c r="LXE420" s="416"/>
      <c r="LXF420" s="416"/>
      <c r="LXG420" s="416"/>
      <c r="LXH420" s="416"/>
      <c r="LXI420" s="416"/>
      <c r="LXJ420" s="416"/>
      <c r="LXK420" s="416"/>
      <c r="LXL420" s="416"/>
      <c r="LXM420" s="416"/>
      <c r="LXN420" s="416"/>
      <c r="LXO420" s="416"/>
      <c r="LXP420" s="416"/>
      <c r="LXQ420" s="416"/>
      <c r="LXR420" s="416"/>
      <c r="LXS420" s="416"/>
      <c r="LXT420" s="416"/>
      <c r="LXU420" s="416"/>
      <c r="LXV420" s="416"/>
      <c r="LXW420" s="416"/>
      <c r="LXX420" s="416"/>
      <c r="LXY420" s="416"/>
      <c r="LXZ420" s="416"/>
      <c r="LYA420" s="416"/>
      <c r="LYB420" s="416"/>
      <c r="LYC420" s="416"/>
      <c r="LYD420" s="416"/>
      <c r="LYE420" s="416"/>
      <c r="LYF420" s="416"/>
      <c r="LYG420" s="416"/>
      <c r="LYH420" s="416"/>
      <c r="LYI420" s="416"/>
      <c r="LYJ420" s="416"/>
      <c r="LYK420" s="416"/>
      <c r="LYL420" s="416"/>
      <c r="LYM420" s="416"/>
      <c r="LYN420" s="416"/>
      <c r="LYO420" s="416"/>
      <c r="LYP420" s="416"/>
      <c r="LYQ420" s="416"/>
      <c r="LYR420" s="416"/>
      <c r="LYS420" s="416"/>
      <c r="LYT420" s="416"/>
      <c r="LYU420" s="416"/>
      <c r="LYV420" s="416"/>
      <c r="LYW420" s="416"/>
      <c r="LYX420" s="416"/>
      <c r="LYY420" s="416"/>
      <c r="LYZ420" s="416"/>
      <c r="LZA420" s="416"/>
      <c r="LZB420" s="416"/>
      <c r="LZC420" s="416"/>
      <c r="LZD420" s="416"/>
      <c r="LZE420" s="416"/>
      <c r="LZF420" s="416"/>
      <c r="LZG420" s="416"/>
      <c r="LZH420" s="416"/>
      <c r="LZI420" s="416"/>
      <c r="LZJ420" s="416"/>
      <c r="LZK420" s="416"/>
      <c r="LZL420" s="416"/>
      <c r="LZM420" s="416"/>
      <c r="LZN420" s="416"/>
      <c r="LZO420" s="416"/>
      <c r="LZP420" s="416"/>
      <c r="LZQ420" s="416"/>
      <c r="LZR420" s="416"/>
      <c r="LZS420" s="416"/>
      <c r="LZT420" s="416"/>
      <c r="LZU420" s="416"/>
      <c r="LZV420" s="416"/>
      <c r="LZW420" s="416"/>
      <c r="LZX420" s="416"/>
      <c r="LZY420" s="416"/>
      <c r="LZZ420" s="416"/>
      <c r="MAA420" s="416"/>
      <c r="MAB420" s="416"/>
      <c r="MAC420" s="416"/>
      <c r="MAD420" s="416"/>
      <c r="MAE420" s="416"/>
      <c r="MAF420" s="416"/>
      <c r="MAG420" s="416"/>
      <c r="MAH420" s="416"/>
      <c r="MAI420" s="416"/>
      <c r="MAJ420" s="416"/>
      <c r="MAK420" s="416"/>
      <c r="MAL420" s="416"/>
      <c r="MAM420" s="416"/>
      <c r="MAN420" s="416"/>
      <c r="MAO420" s="416"/>
      <c r="MAP420" s="416"/>
      <c r="MAQ420" s="416"/>
      <c r="MAR420" s="416"/>
      <c r="MAS420" s="416"/>
      <c r="MAT420" s="416"/>
      <c r="MAU420" s="416"/>
      <c r="MAV420" s="416"/>
      <c r="MAW420" s="416"/>
      <c r="MAX420" s="416"/>
      <c r="MAY420" s="416"/>
      <c r="MAZ420" s="416"/>
      <c r="MBA420" s="416"/>
      <c r="MBB420" s="416"/>
      <c r="MBC420" s="416"/>
      <c r="MBD420" s="416"/>
      <c r="MBE420" s="416"/>
      <c r="MBF420" s="416"/>
      <c r="MBG420" s="416"/>
      <c r="MBH420" s="416"/>
      <c r="MBI420" s="416"/>
      <c r="MBJ420" s="416"/>
      <c r="MBK420" s="416"/>
      <c r="MBL420" s="416"/>
      <c r="MBM420" s="416"/>
      <c r="MBN420" s="416"/>
      <c r="MBO420" s="416"/>
      <c r="MBP420" s="416"/>
      <c r="MBQ420" s="416"/>
      <c r="MBR420" s="416"/>
      <c r="MBS420" s="416"/>
      <c r="MBT420" s="416"/>
      <c r="MBU420" s="416"/>
      <c r="MBV420" s="416"/>
      <c r="MBW420" s="416"/>
      <c r="MBX420" s="416"/>
      <c r="MBY420" s="416"/>
      <c r="MBZ420" s="416"/>
      <c r="MCA420" s="416"/>
      <c r="MCB420" s="416"/>
      <c r="MCC420" s="416"/>
      <c r="MCD420" s="416"/>
      <c r="MCE420" s="416"/>
      <c r="MCF420" s="416"/>
      <c r="MCG420" s="416"/>
      <c r="MCH420" s="416"/>
      <c r="MCI420" s="416"/>
      <c r="MCJ420" s="416"/>
      <c r="MCK420" s="416"/>
      <c r="MCL420" s="416"/>
      <c r="MCM420" s="416"/>
      <c r="MCN420" s="416"/>
      <c r="MCO420" s="416"/>
      <c r="MCP420" s="416"/>
      <c r="MCQ420" s="416"/>
      <c r="MCR420" s="416"/>
      <c r="MCS420" s="416"/>
      <c r="MCT420" s="416"/>
      <c r="MCU420" s="416"/>
      <c r="MCV420" s="416"/>
      <c r="MCW420" s="416"/>
      <c r="MCX420" s="416"/>
      <c r="MCY420" s="416"/>
      <c r="MCZ420" s="416"/>
      <c r="MDA420" s="416"/>
      <c r="MDB420" s="416"/>
      <c r="MDC420" s="416"/>
      <c r="MDD420" s="416"/>
      <c r="MDE420" s="416"/>
      <c r="MDF420" s="416"/>
      <c r="MDG420" s="416"/>
      <c r="MDH420" s="416"/>
      <c r="MDI420" s="416"/>
      <c r="MDJ420" s="416"/>
      <c r="MDK420" s="416"/>
      <c r="MDL420" s="416"/>
      <c r="MDM420" s="416"/>
      <c r="MDN420" s="416"/>
      <c r="MDO420" s="416"/>
      <c r="MDP420" s="416"/>
      <c r="MDQ420" s="416"/>
      <c r="MDR420" s="416"/>
      <c r="MDS420" s="416"/>
      <c r="MDT420" s="416"/>
      <c r="MDU420" s="416"/>
      <c r="MDV420" s="416"/>
      <c r="MDW420" s="416"/>
      <c r="MDX420" s="416"/>
      <c r="MDY420" s="416"/>
      <c r="MDZ420" s="416"/>
      <c r="MEA420" s="416"/>
      <c r="MEB420" s="416"/>
      <c r="MEC420" s="416"/>
      <c r="MED420" s="416"/>
      <c r="MEE420" s="416"/>
      <c r="MEF420" s="416"/>
      <c r="MEG420" s="416"/>
      <c r="MEH420" s="416"/>
      <c r="MEI420" s="416"/>
      <c r="MEJ420" s="416"/>
      <c r="MEK420" s="416"/>
      <c r="MEL420" s="416"/>
      <c r="MEM420" s="416"/>
      <c r="MEN420" s="416"/>
      <c r="MEO420" s="416"/>
      <c r="MEP420" s="416"/>
      <c r="MEQ420" s="416"/>
      <c r="MER420" s="416"/>
      <c r="MES420" s="416"/>
      <c r="MET420" s="416"/>
      <c r="MEU420" s="416"/>
      <c r="MEV420" s="416"/>
      <c r="MEW420" s="416"/>
      <c r="MEX420" s="416"/>
      <c r="MEY420" s="416"/>
      <c r="MEZ420" s="416"/>
      <c r="MFA420" s="416"/>
      <c r="MFB420" s="416"/>
      <c r="MFC420" s="416"/>
      <c r="MFD420" s="416"/>
      <c r="MFE420" s="416"/>
      <c r="MFF420" s="416"/>
      <c r="MFG420" s="416"/>
      <c r="MFH420" s="416"/>
      <c r="MFI420" s="416"/>
      <c r="MFJ420" s="416"/>
      <c r="MFK420" s="416"/>
      <c r="MFL420" s="416"/>
      <c r="MFM420" s="416"/>
      <c r="MFN420" s="416"/>
      <c r="MFO420" s="416"/>
      <c r="MFP420" s="416"/>
      <c r="MFQ420" s="416"/>
      <c r="MFR420" s="416"/>
      <c r="MFS420" s="416"/>
      <c r="MFT420" s="416"/>
      <c r="MFU420" s="416"/>
      <c r="MFV420" s="416"/>
      <c r="MFW420" s="416"/>
      <c r="MFX420" s="416"/>
      <c r="MFY420" s="416"/>
      <c r="MFZ420" s="416"/>
      <c r="MGA420" s="416"/>
      <c r="MGB420" s="416"/>
      <c r="MGC420" s="416"/>
      <c r="MGD420" s="416"/>
      <c r="MGE420" s="416"/>
      <c r="MGF420" s="416"/>
      <c r="MGG420" s="416"/>
      <c r="MGH420" s="416"/>
      <c r="MGI420" s="416"/>
      <c r="MGJ420" s="416"/>
      <c r="MGK420" s="416"/>
      <c r="MGL420" s="416"/>
      <c r="MGM420" s="416"/>
      <c r="MGN420" s="416"/>
      <c r="MGO420" s="416"/>
      <c r="MGP420" s="416"/>
      <c r="MGQ420" s="416"/>
      <c r="MGR420" s="416"/>
      <c r="MGS420" s="416"/>
      <c r="MGT420" s="416"/>
      <c r="MGU420" s="416"/>
      <c r="MGV420" s="416"/>
      <c r="MGW420" s="416"/>
      <c r="MGX420" s="416"/>
      <c r="MGY420" s="416"/>
      <c r="MGZ420" s="416"/>
      <c r="MHA420" s="416"/>
      <c r="MHB420" s="416"/>
      <c r="MHC420" s="416"/>
      <c r="MHD420" s="416"/>
      <c r="MHE420" s="416"/>
      <c r="MHF420" s="416"/>
      <c r="MHG420" s="416"/>
      <c r="MHH420" s="416"/>
      <c r="MHI420" s="416"/>
      <c r="MHJ420" s="416"/>
      <c r="MHK420" s="416"/>
      <c r="MHL420" s="416"/>
      <c r="MHM420" s="416"/>
      <c r="MHN420" s="416"/>
      <c r="MHO420" s="416"/>
      <c r="MHP420" s="416"/>
      <c r="MHQ420" s="416"/>
      <c r="MHR420" s="416"/>
      <c r="MHS420" s="416"/>
      <c r="MHT420" s="416"/>
      <c r="MHU420" s="416"/>
      <c r="MHV420" s="416"/>
      <c r="MHW420" s="416"/>
      <c r="MHX420" s="416"/>
      <c r="MHY420" s="416"/>
      <c r="MHZ420" s="416"/>
      <c r="MIA420" s="416"/>
      <c r="MIB420" s="416"/>
      <c r="MIC420" s="416"/>
      <c r="MID420" s="416"/>
      <c r="MIE420" s="416"/>
      <c r="MIF420" s="416"/>
      <c r="MIG420" s="416"/>
      <c r="MIH420" s="416"/>
      <c r="MII420" s="416"/>
      <c r="MIJ420" s="416"/>
      <c r="MIK420" s="416"/>
      <c r="MIL420" s="416"/>
      <c r="MIM420" s="416"/>
      <c r="MIN420" s="416"/>
      <c r="MIO420" s="416"/>
      <c r="MIP420" s="416"/>
      <c r="MIQ420" s="416"/>
      <c r="MIR420" s="416"/>
      <c r="MIS420" s="416"/>
      <c r="MIT420" s="416"/>
      <c r="MIU420" s="416"/>
      <c r="MIV420" s="416"/>
      <c r="MIW420" s="416"/>
      <c r="MIX420" s="416"/>
      <c r="MIY420" s="416"/>
      <c r="MIZ420" s="416"/>
      <c r="MJA420" s="416"/>
      <c r="MJB420" s="416"/>
      <c r="MJC420" s="416"/>
      <c r="MJD420" s="416"/>
      <c r="MJE420" s="416"/>
      <c r="MJF420" s="416"/>
      <c r="MJG420" s="416"/>
      <c r="MJH420" s="416"/>
      <c r="MJI420" s="416"/>
      <c r="MJJ420" s="416"/>
      <c r="MJK420" s="416"/>
      <c r="MJL420" s="416"/>
      <c r="MJM420" s="416"/>
      <c r="MJN420" s="416"/>
      <c r="MJO420" s="416"/>
      <c r="MJP420" s="416"/>
      <c r="MJQ420" s="416"/>
      <c r="MJR420" s="416"/>
      <c r="MJS420" s="416"/>
      <c r="MJT420" s="416"/>
      <c r="MJU420" s="416"/>
      <c r="MJV420" s="416"/>
      <c r="MJW420" s="416"/>
      <c r="MJX420" s="416"/>
      <c r="MJY420" s="416"/>
      <c r="MJZ420" s="416"/>
      <c r="MKA420" s="416"/>
      <c r="MKB420" s="416"/>
      <c r="MKC420" s="416"/>
      <c r="MKD420" s="416"/>
      <c r="MKE420" s="416"/>
      <c r="MKF420" s="416"/>
      <c r="MKG420" s="416"/>
      <c r="MKH420" s="416"/>
      <c r="MKI420" s="416"/>
      <c r="MKJ420" s="416"/>
      <c r="MKK420" s="416"/>
      <c r="MKL420" s="416"/>
      <c r="MKM420" s="416"/>
      <c r="MKN420" s="416"/>
      <c r="MKO420" s="416"/>
      <c r="MKP420" s="416"/>
      <c r="MKQ420" s="416"/>
      <c r="MKR420" s="416"/>
      <c r="MKS420" s="416"/>
      <c r="MKT420" s="416"/>
      <c r="MKU420" s="416"/>
      <c r="MKV420" s="416"/>
      <c r="MKW420" s="416"/>
      <c r="MKX420" s="416"/>
      <c r="MKY420" s="416"/>
      <c r="MKZ420" s="416"/>
      <c r="MLA420" s="416"/>
      <c r="MLB420" s="416"/>
      <c r="MLC420" s="416"/>
      <c r="MLD420" s="416"/>
      <c r="MLE420" s="416"/>
      <c r="MLF420" s="416"/>
      <c r="MLG420" s="416"/>
      <c r="MLH420" s="416"/>
      <c r="MLI420" s="416"/>
      <c r="MLJ420" s="416"/>
      <c r="MLK420" s="416"/>
      <c r="MLL420" s="416"/>
      <c r="MLM420" s="416"/>
      <c r="MLN420" s="416"/>
      <c r="MLO420" s="416"/>
      <c r="MLP420" s="416"/>
      <c r="MLQ420" s="416"/>
      <c r="MLR420" s="416"/>
      <c r="MLS420" s="416"/>
      <c r="MLT420" s="416"/>
      <c r="MLU420" s="416"/>
      <c r="MLV420" s="416"/>
      <c r="MLW420" s="416"/>
      <c r="MLX420" s="416"/>
      <c r="MLY420" s="416"/>
      <c r="MLZ420" s="416"/>
      <c r="MMA420" s="416"/>
      <c r="MMB420" s="416"/>
      <c r="MMC420" s="416"/>
      <c r="MMD420" s="416"/>
      <c r="MME420" s="416"/>
      <c r="MMF420" s="416"/>
      <c r="MMG420" s="416"/>
      <c r="MMH420" s="416"/>
      <c r="MMI420" s="416"/>
      <c r="MMJ420" s="416"/>
      <c r="MMK420" s="416"/>
      <c r="MML420" s="416"/>
      <c r="MMM420" s="416"/>
      <c r="MMN420" s="416"/>
      <c r="MMO420" s="416"/>
      <c r="MMP420" s="416"/>
      <c r="MMQ420" s="416"/>
      <c r="MMR420" s="416"/>
      <c r="MMS420" s="416"/>
      <c r="MMT420" s="416"/>
      <c r="MMU420" s="416"/>
      <c r="MMV420" s="416"/>
      <c r="MMW420" s="416"/>
      <c r="MMX420" s="416"/>
      <c r="MMY420" s="416"/>
      <c r="MMZ420" s="416"/>
      <c r="MNA420" s="416"/>
      <c r="MNB420" s="416"/>
      <c r="MNC420" s="416"/>
      <c r="MND420" s="416"/>
      <c r="MNE420" s="416"/>
      <c r="MNF420" s="416"/>
      <c r="MNG420" s="416"/>
      <c r="MNH420" s="416"/>
      <c r="MNI420" s="416"/>
      <c r="MNJ420" s="416"/>
      <c r="MNK420" s="416"/>
      <c r="MNL420" s="416"/>
      <c r="MNM420" s="416"/>
      <c r="MNN420" s="416"/>
      <c r="MNO420" s="416"/>
      <c r="MNP420" s="416"/>
      <c r="MNQ420" s="416"/>
      <c r="MNR420" s="416"/>
      <c r="MNS420" s="416"/>
      <c r="MNT420" s="416"/>
      <c r="MNU420" s="416"/>
      <c r="MNV420" s="416"/>
      <c r="MNW420" s="416"/>
      <c r="MNX420" s="416"/>
      <c r="MNY420" s="416"/>
      <c r="MNZ420" s="416"/>
      <c r="MOA420" s="416"/>
      <c r="MOB420" s="416"/>
      <c r="MOC420" s="416"/>
      <c r="MOD420" s="416"/>
      <c r="MOE420" s="416"/>
      <c r="MOF420" s="416"/>
      <c r="MOG420" s="416"/>
      <c r="MOH420" s="416"/>
      <c r="MOI420" s="416"/>
      <c r="MOJ420" s="416"/>
      <c r="MOK420" s="416"/>
      <c r="MOL420" s="416"/>
      <c r="MOM420" s="416"/>
      <c r="MON420" s="416"/>
      <c r="MOO420" s="416"/>
      <c r="MOP420" s="416"/>
      <c r="MOQ420" s="416"/>
      <c r="MOR420" s="416"/>
      <c r="MOS420" s="416"/>
      <c r="MOT420" s="416"/>
      <c r="MOU420" s="416"/>
      <c r="MOV420" s="416"/>
      <c r="MOW420" s="416"/>
      <c r="MOX420" s="416"/>
      <c r="MOY420" s="416"/>
      <c r="MOZ420" s="416"/>
      <c r="MPA420" s="416"/>
      <c r="MPB420" s="416"/>
      <c r="MPC420" s="416"/>
      <c r="MPD420" s="416"/>
      <c r="MPE420" s="416"/>
      <c r="MPF420" s="416"/>
      <c r="MPG420" s="416"/>
      <c r="MPH420" s="416"/>
      <c r="MPI420" s="416"/>
      <c r="MPJ420" s="416"/>
      <c r="MPK420" s="416"/>
      <c r="MPL420" s="416"/>
      <c r="MPM420" s="416"/>
      <c r="MPN420" s="416"/>
      <c r="MPO420" s="416"/>
      <c r="MPP420" s="416"/>
      <c r="MPQ420" s="416"/>
      <c r="MPR420" s="416"/>
      <c r="MPS420" s="416"/>
      <c r="MPT420" s="416"/>
      <c r="MPU420" s="416"/>
      <c r="MPV420" s="416"/>
      <c r="MPW420" s="416"/>
      <c r="MPX420" s="416"/>
      <c r="MPY420" s="416"/>
      <c r="MPZ420" s="416"/>
      <c r="MQA420" s="416"/>
      <c r="MQB420" s="416"/>
      <c r="MQC420" s="416"/>
      <c r="MQD420" s="416"/>
      <c r="MQE420" s="416"/>
      <c r="MQF420" s="416"/>
      <c r="MQG420" s="416"/>
      <c r="MQH420" s="416"/>
      <c r="MQI420" s="416"/>
      <c r="MQJ420" s="416"/>
      <c r="MQK420" s="416"/>
      <c r="MQL420" s="416"/>
      <c r="MQM420" s="416"/>
      <c r="MQN420" s="416"/>
      <c r="MQO420" s="416"/>
      <c r="MQP420" s="416"/>
      <c r="MQQ420" s="416"/>
      <c r="MQR420" s="416"/>
      <c r="MQS420" s="416"/>
      <c r="MQT420" s="416"/>
      <c r="MQU420" s="416"/>
      <c r="MQV420" s="416"/>
      <c r="MQW420" s="416"/>
      <c r="MQX420" s="416"/>
      <c r="MQY420" s="416"/>
      <c r="MQZ420" s="416"/>
      <c r="MRA420" s="416"/>
      <c r="MRB420" s="416"/>
      <c r="MRC420" s="416"/>
      <c r="MRD420" s="416"/>
      <c r="MRE420" s="416"/>
      <c r="MRF420" s="416"/>
      <c r="MRG420" s="416"/>
      <c r="MRH420" s="416"/>
      <c r="MRI420" s="416"/>
      <c r="MRJ420" s="416"/>
      <c r="MRK420" s="416"/>
      <c r="MRL420" s="416"/>
      <c r="MRM420" s="416"/>
      <c r="MRN420" s="416"/>
      <c r="MRO420" s="416"/>
      <c r="MRP420" s="416"/>
      <c r="MRQ420" s="416"/>
      <c r="MRR420" s="416"/>
      <c r="MRS420" s="416"/>
      <c r="MRT420" s="416"/>
      <c r="MRU420" s="416"/>
      <c r="MRV420" s="416"/>
      <c r="MRW420" s="416"/>
      <c r="MRX420" s="416"/>
      <c r="MRY420" s="416"/>
      <c r="MRZ420" s="416"/>
      <c r="MSA420" s="416"/>
      <c r="MSB420" s="416"/>
      <c r="MSC420" s="416"/>
      <c r="MSD420" s="416"/>
      <c r="MSE420" s="416"/>
      <c r="MSF420" s="416"/>
      <c r="MSG420" s="416"/>
      <c r="MSH420" s="416"/>
      <c r="MSI420" s="416"/>
      <c r="MSJ420" s="416"/>
      <c r="MSK420" s="416"/>
      <c r="MSL420" s="416"/>
      <c r="MSM420" s="416"/>
      <c r="MSN420" s="416"/>
      <c r="MSO420" s="416"/>
      <c r="MSP420" s="416"/>
      <c r="MSQ420" s="416"/>
      <c r="MSR420" s="416"/>
      <c r="MSS420" s="416"/>
      <c r="MST420" s="416"/>
      <c r="MSU420" s="416"/>
      <c r="MSV420" s="416"/>
      <c r="MSW420" s="416"/>
      <c r="MSX420" s="416"/>
      <c r="MSY420" s="416"/>
      <c r="MSZ420" s="416"/>
      <c r="MTA420" s="416"/>
      <c r="MTB420" s="416"/>
      <c r="MTC420" s="416"/>
      <c r="MTD420" s="416"/>
      <c r="MTE420" s="416"/>
      <c r="MTF420" s="416"/>
      <c r="MTG420" s="416"/>
      <c r="MTH420" s="416"/>
      <c r="MTI420" s="416"/>
      <c r="MTJ420" s="416"/>
      <c r="MTK420" s="416"/>
      <c r="MTL420" s="416"/>
      <c r="MTM420" s="416"/>
      <c r="MTN420" s="416"/>
      <c r="MTO420" s="416"/>
      <c r="MTP420" s="416"/>
      <c r="MTQ420" s="416"/>
      <c r="MTR420" s="416"/>
      <c r="MTS420" s="416"/>
      <c r="MTT420" s="416"/>
      <c r="MTU420" s="416"/>
      <c r="MTV420" s="416"/>
      <c r="MTW420" s="416"/>
      <c r="MTX420" s="416"/>
      <c r="MTY420" s="416"/>
      <c r="MTZ420" s="416"/>
      <c r="MUA420" s="416"/>
      <c r="MUB420" s="416"/>
      <c r="MUC420" s="416"/>
      <c r="MUD420" s="416"/>
      <c r="MUE420" s="416"/>
      <c r="MUF420" s="416"/>
      <c r="MUG420" s="416"/>
      <c r="MUH420" s="416"/>
      <c r="MUI420" s="416"/>
      <c r="MUJ420" s="416"/>
      <c r="MUK420" s="416"/>
      <c r="MUL420" s="416"/>
      <c r="MUM420" s="416"/>
      <c r="MUN420" s="416"/>
      <c r="MUO420" s="416"/>
      <c r="MUP420" s="416"/>
      <c r="MUQ420" s="416"/>
      <c r="MUR420" s="416"/>
      <c r="MUS420" s="416"/>
      <c r="MUT420" s="416"/>
      <c r="MUU420" s="416"/>
      <c r="MUV420" s="416"/>
      <c r="MUW420" s="416"/>
      <c r="MUX420" s="416"/>
      <c r="MUY420" s="416"/>
      <c r="MUZ420" s="416"/>
      <c r="MVA420" s="416"/>
      <c r="MVB420" s="416"/>
      <c r="MVC420" s="416"/>
      <c r="MVD420" s="416"/>
      <c r="MVE420" s="416"/>
      <c r="MVF420" s="416"/>
      <c r="MVG420" s="416"/>
      <c r="MVH420" s="416"/>
      <c r="MVI420" s="416"/>
      <c r="MVJ420" s="416"/>
      <c r="MVK420" s="416"/>
      <c r="MVL420" s="416"/>
      <c r="MVM420" s="416"/>
      <c r="MVN420" s="416"/>
      <c r="MVO420" s="416"/>
      <c r="MVP420" s="416"/>
      <c r="MVQ420" s="416"/>
      <c r="MVR420" s="416"/>
      <c r="MVS420" s="416"/>
      <c r="MVT420" s="416"/>
      <c r="MVU420" s="416"/>
      <c r="MVV420" s="416"/>
      <c r="MVW420" s="416"/>
      <c r="MVX420" s="416"/>
      <c r="MVY420" s="416"/>
      <c r="MVZ420" s="416"/>
      <c r="MWA420" s="416"/>
      <c r="MWB420" s="416"/>
      <c r="MWC420" s="416"/>
      <c r="MWD420" s="416"/>
      <c r="MWE420" s="416"/>
      <c r="MWF420" s="416"/>
      <c r="MWG420" s="416"/>
      <c r="MWH420" s="416"/>
      <c r="MWI420" s="416"/>
      <c r="MWJ420" s="416"/>
      <c r="MWK420" s="416"/>
      <c r="MWL420" s="416"/>
      <c r="MWM420" s="416"/>
      <c r="MWN420" s="416"/>
      <c r="MWO420" s="416"/>
      <c r="MWP420" s="416"/>
      <c r="MWQ420" s="416"/>
      <c r="MWR420" s="416"/>
      <c r="MWS420" s="416"/>
      <c r="MWT420" s="416"/>
      <c r="MWU420" s="416"/>
      <c r="MWV420" s="416"/>
      <c r="MWW420" s="416"/>
      <c r="MWX420" s="416"/>
      <c r="MWY420" s="416"/>
      <c r="MWZ420" s="416"/>
      <c r="MXA420" s="416"/>
      <c r="MXB420" s="416"/>
      <c r="MXC420" s="416"/>
      <c r="MXD420" s="416"/>
      <c r="MXE420" s="416"/>
      <c r="MXF420" s="416"/>
      <c r="MXG420" s="416"/>
      <c r="MXH420" s="416"/>
      <c r="MXI420" s="416"/>
      <c r="MXJ420" s="416"/>
      <c r="MXK420" s="416"/>
      <c r="MXL420" s="416"/>
      <c r="MXM420" s="416"/>
      <c r="MXN420" s="416"/>
      <c r="MXO420" s="416"/>
      <c r="MXP420" s="416"/>
      <c r="MXQ420" s="416"/>
      <c r="MXR420" s="416"/>
      <c r="MXS420" s="416"/>
      <c r="MXT420" s="416"/>
      <c r="MXU420" s="416"/>
      <c r="MXV420" s="416"/>
      <c r="MXW420" s="416"/>
      <c r="MXX420" s="416"/>
      <c r="MXY420" s="416"/>
      <c r="MXZ420" s="416"/>
      <c r="MYA420" s="416"/>
      <c r="MYB420" s="416"/>
      <c r="MYC420" s="416"/>
      <c r="MYD420" s="416"/>
      <c r="MYE420" s="416"/>
      <c r="MYF420" s="416"/>
      <c r="MYG420" s="416"/>
      <c r="MYH420" s="416"/>
      <c r="MYI420" s="416"/>
      <c r="MYJ420" s="416"/>
      <c r="MYK420" s="416"/>
      <c r="MYL420" s="416"/>
      <c r="MYM420" s="416"/>
      <c r="MYN420" s="416"/>
      <c r="MYO420" s="416"/>
      <c r="MYP420" s="416"/>
      <c r="MYQ420" s="416"/>
      <c r="MYR420" s="416"/>
      <c r="MYS420" s="416"/>
      <c r="MYT420" s="416"/>
      <c r="MYU420" s="416"/>
      <c r="MYV420" s="416"/>
      <c r="MYW420" s="416"/>
      <c r="MYX420" s="416"/>
      <c r="MYY420" s="416"/>
      <c r="MYZ420" s="416"/>
      <c r="MZA420" s="416"/>
      <c r="MZB420" s="416"/>
      <c r="MZC420" s="416"/>
      <c r="MZD420" s="416"/>
      <c r="MZE420" s="416"/>
      <c r="MZF420" s="416"/>
      <c r="MZG420" s="416"/>
      <c r="MZH420" s="416"/>
      <c r="MZI420" s="416"/>
      <c r="MZJ420" s="416"/>
      <c r="MZK420" s="416"/>
      <c r="MZL420" s="416"/>
      <c r="MZM420" s="416"/>
      <c r="MZN420" s="416"/>
      <c r="MZO420" s="416"/>
      <c r="MZP420" s="416"/>
      <c r="MZQ420" s="416"/>
      <c r="MZR420" s="416"/>
      <c r="MZS420" s="416"/>
      <c r="MZT420" s="416"/>
      <c r="MZU420" s="416"/>
      <c r="MZV420" s="416"/>
      <c r="MZW420" s="416"/>
      <c r="MZX420" s="416"/>
      <c r="MZY420" s="416"/>
      <c r="MZZ420" s="416"/>
      <c r="NAA420" s="416"/>
      <c r="NAB420" s="416"/>
      <c r="NAC420" s="416"/>
      <c r="NAD420" s="416"/>
      <c r="NAE420" s="416"/>
      <c r="NAF420" s="416"/>
      <c r="NAG420" s="416"/>
      <c r="NAH420" s="416"/>
      <c r="NAI420" s="416"/>
      <c r="NAJ420" s="416"/>
      <c r="NAK420" s="416"/>
      <c r="NAL420" s="416"/>
      <c r="NAM420" s="416"/>
      <c r="NAN420" s="416"/>
      <c r="NAO420" s="416"/>
      <c r="NAP420" s="416"/>
      <c r="NAQ420" s="416"/>
      <c r="NAR420" s="416"/>
      <c r="NAS420" s="416"/>
      <c r="NAT420" s="416"/>
      <c r="NAU420" s="416"/>
      <c r="NAV420" s="416"/>
      <c r="NAW420" s="416"/>
      <c r="NAX420" s="416"/>
      <c r="NAY420" s="416"/>
      <c r="NAZ420" s="416"/>
      <c r="NBA420" s="416"/>
      <c r="NBB420" s="416"/>
      <c r="NBC420" s="416"/>
      <c r="NBD420" s="416"/>
      <c r="NBE420" s="416"/>
      <c r="NBF420" s="416"/>
      <c r="NBG420" s="416"/>
      <c r="NBH420" s="416"/>
      <c r="NBI420" s="416"/>
      <c r="NBJ420" s="416"/>
      <c r="NBK420" s="416"/>
      <c r="NBL420" s="416"/>
      <c r="NBM420" s="416"/>
      <c r="NBN420" s="416"/>
      <c r="NBO420" s="416"/>
      <c r="NBP420" s="416"/>
      <c r="NBQ420" s="416"/>
      <c r="NBR420" s="416"/>
      <c r="NBS420" s="416"/>
      <c r="NBT420" s="416"/>
      <c r="NBU420" s="416"/>
      <c r="NBV420" s="416"/>
      <c r="NBW420" s="416"/>
      <c r="NBX420" s="416"/>
      <c r="NBY420" s="416"/>
      <c r="NBZ420" s="416"/>
      <c r="NCA420" s="416"/>
      <c r="NCB420" s="416"/>
      <c r="NCC420" s="416"/>
      <c r="NCD420" s="416"/>
      <c r="NCE420" s="416"/>
      <c r="NCF420" s="416"/>
      <c r="NCG420" s="416"/>
      <c r="NCH420" s="416"/>
      <c r="NCI420" s="416"/>
      <c r="NCJ420" s="416"/>
      <c r="NCK420" s="416"/>
      <c r="NCL420" s="416"/>
      <c r="NCM420" s="416"/>
      <c r="NCN420" s="416"/>
      <c r="NCO420" s="416"/>
      <c r="NCP420" s="416"/>
      <c r="NCQ420" s="416"/>
      <c r="NCR420" s="416"/>
      <c r="NCS420" s="416"/>
      <c r="NCT420" s="416"/>
      <c r="NCU420" s="416"/>
      <c r="NCV420" s="416"/>
      <c r="NCW420" s="416"/>
      <c r="NCX420" s="416"/>
      <c r="NCY420" s="416"/>
      <c r="NCZ420" s="416"/>
      <c r="NDA420" s="416"/>
      <c r="NDB420" s="416"/>
      <c r="NDC420" s="416"/>
      <c r="NDD420" s="416"/>
      <c r="NDE420" s="416"/>
      <c r="NDF420" s="416"/>
      <c r="NDG420" s="416"/>
      <c r="NDH420" s="416"/>
      <c r="NDI420" s="416"/>
      <c r="NDJ420" s="416"/>
      <c r="NDK420" s="416"/>
      <c r="NDL420" s="416"/>
      <c r="NDM420" s="416"/>
      <c r="NDN420" s="416"/>
      <c r="NDO420" s="416"/>
      <c r="NDP420" s="416"/>
      <c r="NDQ420" s="416"/>
      <c r="NDR420" s="416"/>
      <c r="NDS420" s="416"/>
      <c r="NDT420" s="416"/>
      <c r="NDU420" s="416"/>
      <c r="NDV420" s="416"/>
      <c r="NDW420" s="416"/>
      <c r="NDX420" s="416"/>
      <c r="NDY420" s="416"/>
      <c r="NDZ420" s="416"/>
      <c r="NEA420" s="416"/>
      <c r="NEB420" s="416"/>
      <c r="NEC420" s="416"/>
      <c r="NED420" s="416"/>
      <c r="NEE420" s="416"/>
      <c r="NEF420" s="416"/>
      <c r="NEG420" s="416"/>
      <c r="NEH420" s="416"/>
      <c r="NEI420" s="416"/>
      <c r="NEJ420" s="416"/>
      <c r="NEK420" s="416"/>
      <c r="NEL420" s="416"/>
      <c r="NEM420" s="416"/>
      <c r="NEN420" s="416"/>
      <c r="NEO420" s="416"/>
      <c r="NEP420" s="416"/>
      <c r="NEQ420" s="416"/>
      <c r="NER420" s="416"/>
      <c r="NES420" s="416"/>
      <c r="NET420" s="416"/>
      <c r="NEU420" s="416"/>
      <c r="NEV420" s="416"/>
      <c r="NEW420" s="416"/>
      <c r="NEX420" s="416"/>
      <c r="NEY420" s="416"/>
      <c r="NEZ420" s="416"/>
      <c r="NFA420" s="416"/>
      <c r="NFB420" s="416"/>
      <c r="NFC420" s="416"/>
      <c r="NFD420" s="416"/>
      <c r="NFE420" s="416"/>
      <c r="NFF420" s="416"/>
      <c r="NFG420" s="416"/>
      <c r="NFH420" s="416"/>
      <c r="NFI420" s="416"/>
      <c r="NFJ420" s="416"/>
      <c r="NFK420" s="416"/>
      <c r="NFL420" s="416"/>
      <c r="NFM420" s="416"/>
      <c r="NFN420" s="416"/>
      <c r="NFO420" s="416"/>
      <c r="NFP420" s="416"/>
      <c r="NFQ420" s="416"/>
      <c r="NFR420" s="416"/>
      <c r="NFS420" s="416"/>
      <c r="NFT420" s="416"/>
      <c r="NFU420" s="416"/>
      <c r="NFV420" s="416"/>
      <c r="NFW420" s="416"/>
      <c r="NFX420" s="416"/>
      <c r="NFY420" s="416"/>
      <c r="NFZ420" s="416"/>
      <c r="NGA420" s="416"/>
      <c r="NGB420" s="416"/>
      <c r="NGC420" s="416"/>
      <c r="NGD420" s="416"/>
      <c r="NGE420" s="416"/>
      <c r="NGF420" s="416"/>
      <c r="NGG420" s="416"/>
      <c r="NGH420" s="416"/>
      <c r="NGI420" s="416"/>
      <c r="NGJ420" s="416"/>
      <c r="NGK420" s="416"/>
      <c r="NGL420" s="416"/>
      <c r="NGM420" s="416"/>
      <c r="NGN420" s="416"/>
      <c r="NGO420" s="416"/>
      <c r="NGP420" s="416"/>
      <c r="NGQ420" s="416"/>
      <c r="NGR420" s="416"/>
      <c r="NGS420" s="416"/>
      <c r="NGT420" s="416"/>
      <c r="NGU420" s="416"/>
      <c r="NGV420" s="416"/>
      <c r="NGW420" s="416"/>
      <c r="NGX420" s="416"/>
      <c r="NGY420" s="416"/>
      <c r="NGZ420" s="416"/>
      <c r="NHA420" s="416"/>
      <c r="NHB420" s="416"/>
      <c r="NHC420" s="416"/>
      <c r="NHD420" s="416"/>
      <c r="NHE420" s="416"/>
      <c r="NHF420" s="416"/>
      <c r="NHG420" s="416"/>
      <c r="NHH420" s="416"/>
      <c r="NHI420" s="416"/>
      <c r="NHJ420" s="416"/>
      <c r="NHK420" s="416"/>
      <c r="NHL420" s="416"/>
      <c r="NHM420" s="416"/>
      <c r="NHN420" s="416"/>
      <c r="NHO420" s="416"/>
      <c r="NHP420" s="416"/>
      <c r="NHQ420" s="416"/>
      <c r="NHR420" s="416"/>
      <c r="NHS420" s="416"/>
      <c r="NHT420" s="416"/>
      <c r="NHU420" s="416"/>
      <c r="NHV420" s="416"/>
      <c r="NHW420" s="416"/>
      <c r="NHX420" s="416"/>
      <c r="NHY420" s="416"/>
      <c r="NHZ420" s="416"/>
      <c r="NIA420" s="416"/>
      <c r="NIB420" s="416"/>
      <c r="NIC420" s="416"/>
      <c r="NID420" s="416"/>
      <c r="NIE420" s="416"/>
      <c r="NIF420" s="416"/>
      <c r="NIG420" s="416"/>
      <c r="NIH420" s="416"/>
      <c r="NII420" s="416"/>
      <c r="NIJ420" s="416"/>
      <c r="NIK420" s="416"/>
      <c r="NIL420" s="416"/>
      <c r="NIM420" s="416"/>
      <c r="NIN420" s="416"/>
      <c r="NIO420" s="416"/>
      <c r="NIP420" s="416"/>
      <c r="NIQ420" s="416"/>
      <c r="NIR420" s="416"/>
      <c r="NIS420" s="416"/>
      <c r="NIT420" s="416"/>
      <c r="NIU420" s="416"/>
      <c r="NIV420" s="416"/>
      <c r="NIW420" s="416"/>
      <c r="NIX420" s="416"/>
      <c r="NIY420" s="416"/>
      <c r="NIZ420" s="416"/>
      <c r="NJA420" s="416"/>
      <c r="NJB420" s="416"/>
      <c r="NJC420" s="416"/>
      <c r="NJD420" s="416"/>
      <c r="NJE420" s="416"/>
      <c r="NJF420" s="416"/>
      <c r="NJG420" s="416"/>
      <c r="NJH420" s="416"/>
      <c r="NJI420" s="416"/>
      <c r="NJJ420" s="416"/>
      <c r="NJK420" s="416"/>
      <c r="NJL420" s="416"/>
      <c r="NJM420" s="416"/>
      <c r="NJN420" s="416"/>
      <c r="NJO420" s="416"/>
      <c r="NJP420" s="416"/>
      <c r="NJQ420" s="416"/>
      <c r="NJR420" s="416"/>
      <c r="NJS420" s="416"/>
      <c r="NJT420" s="416"/>
      <c r="NJU420" s="416"/>
      <c r="NJV420" s="416"/>
      <c r="NJW420" s="416"/>
      <c r="NJX420" s="416"/>
      <c r="NJY420" s="416"/>
      <c r="NJZ420" s="416"/>
      <c r="NKA420" s="416"/>
      <c r="NKB420" s="416"/>
      <c r="NKC420" s="416"/>
      <c r="NKD420" s="416"/>
      <c r="NKE420" s="416"/>
      <c r="NKF420" s="416"/>
      <c r="NKG420" s="416"/>
      <c r="NKH420" s="416"/>
      <c r="NKI420" s="416"/>
      <c r="NKJ420" s="416"/>
      <c r="NKK420" s="416"/>
      <c r="NKL420" s="416"/>
      <c r="NKM420" s="416"/>
      <c r="NKN420" s="416"/>
      <c r="NKO420" s="416"/>
      <c r="NKP420" s="416"/>
      <c r="NKQ420" s="416"/>
      <c r="NKR420" s="416"/>
      <c r="NKS420" s="416"/>
      <c r="NKT420" s="416"/>
      <c r="NKU420" s="416"/>
      <c r="NKV420" s="416"/>
      <c r="NKW420" s="416"/>
      <c r="NKX420" s="416"/>
      <c r="NKY420" s="416"/>
      <c r="NKZ420" s="416"/>
      <c r="NLA420" s="416"/>
      <c r="NLB420" s="416"/>
      <c r="NLC420" s="416"/>
      <c r="NLD420" s="416"/>
      <c r="NLE420" s="416"/>
      <c r="NLF420" s="416"/>
      <c r="NLG420" s="416"/>
      <c r="NLH420" s="416"/>
      <c r="NLI420" s="416"/>
      <c r="NLJ420" s="416"/>
      <c r="NLK420" s="416"/>
      <c r="NLL420" s="416"/>
      <c r="NLM420" s="416"/>
      <c r="NLN420" s="416"/>
      <c r="NLO420" s="416"/>
      <c r="NLP420" s="416"/>
      <c r="NLQ420" s="416"/>
      <c r="NLR420" s="416"/>
      <c r="NLS420" s="416"/>
      <c r="NLT420" s="416"/>
      <c r="NLU420" s="416"/>
      <c r="NLV420" s="416"/>
      <c r="NLW420" s="416"/>
      <c r="NLX420" s="416"/>
      <c r="NLY420" s="416"/>
      <c r="NLZ420" s="416"/>
      <c r="NMA420" s="416"/>
      <c r="NMB420" s="416"/>
      <c r="NMC420" s="416"/>
      <c r="NMD420" s="416"/>
      <c r="NME420" s="416"/>
      <c r="NMF420" s="416"/>
      <c r="NMG420" s="416"/>
      <c r="NMH420" s="416"/>
      <c r="NMI420" s="416"/>
      <c r="NMJ420" s="416"/>
      <c r="NMK420" s="416"/>
      <c r="NML420" s="416"/>
      <c r="NMM420" s="416"/>
      <c r="NMN420" s="416"/>
      <c r="NMO420" s="416"/>
      <c r="NMP420" s="416"/>
      <c r="NMQ420" s="416"/>
      <c r="NMR420" s="416"/>
      <c r="NMS420" s="416"/>
      <c r="NMT420" s="416"/>
      <c r="NMU420" s="416"/>
      <c r="NMV420" s="416"/>
      <c r="NMW420" s="416"/>
      <c r="NMX420" s="416"/>
      <c r="NMY420" s="416"/>
      <c r="NMZ420" s="416"/>
      <c r="NNA420" s="416"/>
      <c r="NNB420" s="416"/>
      <c r="NNC420" s="416"/>
      <c r="NND420" s="416"/>
      <c r="NNE420" s="416"/>
      <c r="NNF420" s="416"/>
      <c r="NNG420" s="416"/>
      <c r="NNH420" s="416"/>
      <c r="NNI420" s="416"/>
      <c r="NNJ420" s="416"/>
      <c r="NNK420" s="416"/>
      <c r="NNL420" s="416"/>
      <c r="NNM420" s="416"/>
      <c r="NNN420" s="416"/>
      <c r="NNO420" s="416"/>
      <c r="NNP420" s="416"/>
      <c r="NNQ420" s="416"/>
      <c r="NNR420" s="416"/>
      <c r="NNS420" s="416"/>
      <c r="NNT420" s="416"/>
      <c r="NNU420" s="416"/>
      <c r="NNV420" s="416"/>
      <c r="NNW420" s="416"/>
      <c r="NNX420" s="416"/>
      <c r="NNY420" s="416"/>
      <c r="NNZ420" s="416"/>
      <c r="NOA420" s="416"/>
      <c r="NOB420" s="416"/>
      <c r="NOC420" s="416"/>
      <c r="NOD420" s="416"/>
      <c r="NOE420" s="416"/>
      <c r="NOF420" s="416"/>
      <c r="NOG420" s="416"/>
      <c r="NOH420" s="416"/>
      <c r="NOI420" s="416"/>
      <c r="NOJ420" s="416"/>
      <c r="NOK420" s="416"/>
      <c r="NOL420" s="416"/>
      <c r="NOM420" s="416"/>
      <c r="NON420" s="416"/>
      <c r="NOO420" s="416"/>
      <c r="NOP420" s="416"/>
      <c r="NOQ420" s="416"/>
      <c r="NOR420" s="416"/>
      <c r="NOS420" s="416"/>
      <c r="NOT420" s="416"/>
      <c r="NOU420" s="416"/>
      <c r="NOV420" s="416"/>
      <c r="NOW420" s="416"/>
      <c r="NOX420" s="416"/>
      <c r="NOY420" s="416"/>
      <c r="NOZ420" s="416"/>
      <c r="NPA420" s="416"/>
      <c r="NPB420" s="416"/>
      <c r="NPC420" s="416"/>
      <c r="NPD420" s="416"/>
      <c r="NPE420" s="416"/>
      <c r="NPF420" s="416"/>
      <c r="NPG420" s="416"/>
      <c r="NPH420" s="416"/>
      <c r="NPI420" s="416"/>
      <c r="NPJ420" s="416"/>
      <c r="NPK420" s="416"/>
      <c r="NPL420" s="416"/>
      <c r="NPM420" s="416"/>
      <c r="NPN420" s="416"/>
      <c r="NPO420" s="416"/>
      <c r="NPP420" s="416"/>
      <c r="NPQ420" s="416"/>
      <c r="NPR420" s="416"/>
      <c r="NPS420" s="416"/>
      <c r="NPT420" s="416"/>
      <c r="NPU420" s="416"/>
      <c r="NPV420" s="416"/>
      <c r="NPW420" s="416"/>
      <c r="NPX420" s="416"/>
      <c r="NPY420" s="416"/>
      <c r="NPZ420" s="416"/>
      <c r="NQA420" s="416"/>
      <c r="NQB420" s="416"/>
      <c r="NQC420" s="416"/>
      <c r="NQD420" s="416"/>
      <c r="NQE420" s="416"/>
      <c r="NQF420" s="416"/>
      <c r="NQG420" s="416"/>
      <c r="NQH420" s="416"/>
      <c r="NQI420" s="416"/>
      <c r="NQJ420" s="416"/>
      <c r="NQK420" s="416"/>
      <c r="NQL420" s="416"/>
      <c r="NQM420" s="416"/>
      <c r="NQN420" s="416"/>
      <c r="NQO420" s="416"/>
      <c r="NQP420" s="416"/>
      <c r="NQQ420" s="416"/>
      <c r="NQR420" s="416"/>
      <c r="NQS420" s="416"/>
      <c r="NQT420" s="416"/>
      <c r="NQU420" s="416"/>
      <c r="NQV420" s="416"/>
      <c r="NQW420" s="416"/>
      <c r="NQX420" s="416"/>
      <c r="NQY420" s="416"/>
      <c r="NQZ420" s="416"/>
      <c r="NRA420" s="416"/>
      <c r="NRB420" s="416"/>
      <c r="NRC420" s="416"/>
      <c r="NRD420" s="416"/>
      <c r="NRE420" s="416"/>
      <c r="NRF420" s="416"/>
      <c r="NRG420" s="416"/>
      <c r="NRH420" s="416"/>
      <c r="NRI420" s="416"/>
      <c r="NRJ420" s="416"/>
      <c r="NRK420" s="416"/>
      <c r="NRL420" s="416"/>
      <c r="NRM420" s="416"/>
      <c r="NRN420" s="416"/>
      <c r="NRO420" s="416"/>
      <c r="NRP420" s="416"/>
      <c r="NRQ420" s="416"/>
      <c r="NRR420" s="416"/>
      <c r="NRS420" s="416"/>
      <c r="NRT420" s="416"/>
      <c r="NRU420" s="416"/>
      <c r="NRV420" s="416"/>
      <c r="NRW420" s="416"/>
      <c r="NRX420" s="416"/>
      <c r="NRY420" s="416"/>
      <c r="NRZ420" s="416"/>
      <c r="NSA420" s="416"/>
      <c r="NSB420" s="416"/>
      <c r="NSC420" s="416"/>
      <c r="NSD420" s="416"/>
      <c r="NSE420" s="416"/>
      <c r="NSF420" s="416"/>
      <c r="NSG420" s="416"/>
      <c r="NSH420" s="416"/>
      <c r="NSI420" s="416"/>
      <c r="NSJ420" s="416"/>
      <c r="NSK420" s="416"/>
      <c r="NSL420" s="416"/>
      <c r="NSM420" s="416"/>
      <c r="NSN420" s="416"/>
      <c r="NSO420" s="416"/>
      <c r="NSP420" s="416"/>
      <c r="NSQ420" s="416"/>
      <c r="NSR420" s="416"/>
      <c r="NSS420" s="416"/>
      <c r="NST420" s="416"/>
      <c r="NSU420" s="416"/>
      <c r="NSV420" s="416"/>
      <c r="NSW420" s="416"/>
      <c r="NSX420" s="416"/>
      <c r="NSY420" s="416"/>
      <c r="NSZ420" s="416"/>
      <c r="NTA420" s="416"/>
      <c r="NTB420" s="416"/>
      <c r="NTC420" s="416"/>
      <c r="NTD420" s="416"/>
      <c r="NTE420" s="416"/>
      <c r="NTF420" s="416"/>
      <c r="NTG420" s="416"/>
      <c r="NTH420" s="416"/>
      <c r="NTI420" s="416"/>
      <c r="NTJ420" s="416"/>
      <c r="NTK420" s="416"/>
      <c r="NTL420" s="416"/>
      <c r="NTM420" s="416"/>
      <c r="NTN420" s="416"/>
      <c r="NTO420" s="416"/>
      <c r="NTP420" s="416"/>
      <c r="NTQ420" s="416"/>
      <c r="NTR420" s="416"/>
      <c r="NTS420" s="416"/>
      <c r="NTT420" s="416"/>
      <c r="NTU420" s="416"/>
      <c r="NTV420" s="416"/>
      <c r="NTW420" s="416"/>
      <c r="NTX420" s="416"/>
      <c r="NTY420" s="416"/>
      <c r="NTZ420" s="416"/>
      <c r="NUA420" s="416"/>
      <c r="NUB420" s="416"/>
      <c r="NUC420" s="416"/>
      <c r="NUD420" s="416"/>
      <c r="NUE420" s="416"/>
      <c r="NUF420" s="416"/>
      <c r="NUG420" s="416"/>
      <c r="NUH420" s="416"/>
      <c r="NUI420" s="416"/>
      <c r="NUJ420" s="416"/>
      <c r="NUK420" s="416"/>
      <c r="NUL420" s="416"/>
      <c r="NUM420" s="416"/>
      <c r="NUN420" s="416"/>
      <c r="NUO420" s="416"/>
      <c r="NUP420" s="416"/>
      <c r="NUQ420" s="416"/>
      <c r="NUR420" s="416"/>
      <c r="NUS420" s="416"/>
      <c r="NUT420" s="416"/>
      <c r="NUU420" s="416"/>
      <c r="NUV420" s="416"/>
      <c r="NUW420" s="416"/>
      <c r="NUX420" s="416"/>
      <c r="NUY420" s="416"/>
      <c r="NUZ420" s="416"/>
      <c r="NVA420" s="416"/>
      <c r="NVB420" s="416"/>
      <c r="NVC420" s="416"/>
      <c r="NVD420" s="416"/>
      <c r="NVE420" s="416"/>
      <c r="NVF420" s="416"/>
      <c r="NVG420" s="416"/>
      <c r="NVH420" s="416"/>
      <c r="NVI420" s="416"/>
      <c r="NVJ420" s="416"/>
      <c r="NVK420" s="416"/>
      <c r="NVL420" s="416"/>
      <c r="NVM420" s="416"/>
      <c r="NVN420" s="416"/>
      <c r="NVO420" s="416"/>
      <c r="NVP420" s="416"/>
      <c r="NVQ420" s="416"/>
      <c r="NVR420" s="416"/>
      <c r="NVS420" s="416"/>
      <c r="NVT420" s="416"/>
      <c r="NVU420" s="416"/>
      <c r="NVV420" s="416"/>
      <c r="NVW420" s="416"/>
      <c r="NVX420" s="416"/>
      <c r="NVY420" s="416"/>
      <c r="NVZ420" s="416"/>
      <c r="NWA420" s="416"/>
      <c r="NWB420" s="416"/>
      <c r="NWC420" s="416"/>
      <c r="NWD420" s="416"/>
      <c r="NWE420" s="416"/>
      <c r="NWF420" s="416"/>
      <c r="NWG420" s="416"/>
      <c r="NWH420" s="416"/>
      <c r="NWI420" s="416"/>
      <c r="NWJ420" s="416"/>
      <c r="NWK420" s="416"/>
      <c r="NWL420" s="416"/>
      <c r="NWM420" s="416"/>
      <c r="NWN420" s="416"/>
      <c r="NWO420" s="416"/>
      <c r="NWP420" s="416"/>
      <c r="NWQ420" s="416"/>
      <c r="NWR420" s="416"/>
      <c r="NWS420" s="416"/>
      <c r="NWT420" s="416"/>
      <c r="NWU420" s="416"/>
      <c r="NWV420" s="416"/>
      <c r="NWW420" s="416"/>
      <c r="NWX420" s="416"/>
      <c r="NWY420" s="416"/>
      <c r="NWZ420" s="416"/>
      <c r="NXA420" s="416"/>
      <c r="NXB420" s="416"/>
      <c r="NXC420" s="416"/>
      <c r="NXD420" s="416"/>
      <c r="NXE420" s="416"/>
      <c r="NXF420" s="416"/>
      <c r="NXG420" s="416"/>
      <c r="NXH420" s="416"/>
      <c r="NXI420" s="416"/>
      <c r="NXJ420" s="416"/>
      <c r="NXK420" s="416"/>
      <c r="NXL420" s="416"/>
      <c r="NXM420" s="416"/>
      <c r="NXN420" s="416"/>
      <c r="NXO420" s="416"/>
      <c r="NXP420" s="416"/>
      <c r="NXQ420" s="416"/>
      <c r="NXR420" s="416"/>
      <c r="NXS420" s="416"/>
      <c r="NXT420" s="416"/>
      <c r="NXU420" s="416"/>
      <c r="NXV420" s="416"/>
      <c r="NXW420" s="416"/>
      <c r="NXX420" s="416"/>
      <c r="NXY420" s="416"/>
      <c r="NXZ420" s="416"/>
      <c r="NYA420" s="416"/>
      <c r="NYB420" s="416"/>
      <c r="NYC420" s="416"/>
      <c r="NYD420" s="416"/>
      <c r="NYE420" s="416"/>
      <c r="NYF420" s="416"/>
      <c r="NYG420" s="416"/>
      <c r="NYH420" s="416"/>
      <c r="NYI420" s="416"/>
      <c r="NYJ420" s="416"/>
      <c r="NYK420" s="416"/>
      <c r="NYL420" s="416"/>
      <c r="NYM420" s="416"/>
      <c r="NYN420" s="416"/>
      <c r="NYO420" s="416"/>
      <c r="NYP420" s="416"/>
      <c r="NYQ420" s="416"/>
      <c r="NYR420" s="416"/>
      <c r="NYS420" s="416"/>
      <c r="NYT420" s="416"/>
      <c r="NYU420" s="416"/>
      <c r="NYV420" s="416"/>
      <c r="NYW420" s="416"/>
      <c r="NYX420" s="416"/>
      <c r="NYY420" s="416"/>
      <c r="NYZ420" s="416"/>
      <c r="NZA420" s="416"/>
      <c r="NZB420" s="416"/>
      <c r="NZC420" s="416"/>
      <c r="NZD420" s="416"/>
      <c r="NZE420" s="416"/>
      <c r="NZF420" s="416"/>
      <c r="NZG420" s="416"/>
      <c r="NZH420" s="416"/>
      <c r="NZI420" s="416"/>
      <c r="NZJ420" s="416"/>
      <c r="NZK420" s="416"/>
      <c r="NZL420" s="416"/>
      <c r="NZM420" s="416"/>
      <c r="NZN420" s="416"/>
      <c r="NZO420" s="416"/>
      <c r="NZP420" s="416"/>
      <c r="NZQ420" s="416"/>
      <c r="NZR420" s="416"/>
      <c r="NZS420" s="416"/>
      <c r="NZT420" s="416"/>
      <c r="NZU420" s="416"/>
      <c r="NZV420" s="416"/>
      <c r="NZW420" s="416"/>
      <c r="NZX420" s="416"/>
      <c r="NZY420" s="416"/>
      <c r="NZZ420" s="416"/>
      <c r="OAA420" s="416"/>
      <c r="OAB420" s="416"/>
      <c r="OAC420" s="416"/>
      <c r="OAD420" s="416"/>
      <c r="OAE420" s="416"/>
      <c r="OAF420" s="416"/>
      <c r="OAG420" s="416"/>
      <c r="OAH420" s="416"/>
      <c r="OAI420" s="416"/>
      <c r="OAJ420" s="416"/>
      <c r="OAK420" s="416"/>
      <c r="OAL420" s="416"/>
      <c r="OAM420" s="416"/>
      <c r="OAN420" s="416"/>
      <c r="OAO420" s="416"/>
      <c r="OAP420" s="416"/>
      <c r="OAQ420" s="416"/>
      <c r="OAR420" s="416"/>
      <c r="OAS420" s="416"/>
      <c r="OAT420" s="416"/>
      <c r="OAU420" s="416"/>
      <c r="OAV420" s="416"/>
      <c r="OAW420" s="416"/>
      <c r="OAX420" s="416"/>
      <c r="OAY420" s="416"/>
      <c r="OAZ420" s="416"/>
      <c r="OBA420" s="416"/>
      <c r="OBB420" s="416"/>
      <c r="OBC420" s="416"/>
      <c r="OBD420" s="416"/>
      <c r="OBE420" s="416"/>
      <c r="OBF420" s="416"/>
      <c r="OBG420" s="416"/>
      <c r="OBH420" s="416"/>
      <c r="OBI420" s="416"/>
      <c r="OBJ420" s="416"/>
      <c r="OBK420" s="416"/>
      <c r="OBL420" s="416"/>
      <c r="OBM420" s="416"/>
      <c r="OBN420" s="416"/>
      <c r="OBO420" s="416"/>
      <c r="OBP420" s="416"/>
      <c r="OBQ420" s="416"/>
      <c r="OBR420" s="416"/>
      <c r="OBS420" s="416"/>
      <c r="OBT420" s="416"/>
      <c r="OBU420" s="416"/>
      <c r="OBV420" s="416"/>
      <c r="OBW420" s="416"/>
      <c r="OBX420" s="416"/>
      <c r="OBY420" s="416"/>
      <c r="OBZ420" s="416"/>
      <c r="OCA420" s="416"/>
      <c r="OCB420" s="416"/>
      <c r="OCC420" s="416"/>
      <c r="OCD420" s="416"/>
      <c r="OCE420" s="416"/>
      <c r="OCF420" s="416"/>
      <c r="OCG420" s="416"/>
      <c r="OCH420" s="416"/>
      <c r="OCI420" s="416"/>
      <c r="OCJ420" s="416"/>
      <c r="OCK420" s="416"/>
      <c r="OCL420" s="416"/>
      <c r="OCM420" s="416"/>
      <c r="OCN420" s="416"/>
      <c r="OCO420" s="416"/>
      <c r="OCP420" s="416"/>
      <c r="OCQ420" s="416"/>
      <c r="OCR420" s="416"/>
      <c r="OCS420" s="416"/>
      <c r="OCT420" s="416"/>
      <c r="OCU420" s="416"/>
      <c r="OCV420" s="416"/>
      <c r="OCW420" s="416"/>
      <c r="OCX420" s="416"/>
      <c r="OCY420" s="416"/>
      <c r="OCZ420" s="416"/>
      <c r="ODA420" s="416"/>
      <c r="ODB420" s="416"/>
      <c r="ODC420" s="416"/>
      <c r="ODD420" s="416"/>
      <c r="ODE420" s="416"/>
      <c r="ODF420" s="416"/>
      <c r="ODG420" s="416"/>
      <c r="ODH420" s="416"/>
      <c r="ODI420" s="416"/>
      <c r="ODJ420" s="416"/>
      <c r="ODK420" s="416"/>
      <c r="ODL420" s="416"/>
      <c r="ODM420" s="416"/>
      <c r="ODN420" s="416"/>
      <c r="ODO420" s="416"/>
      <c r="ODP420" s="416"/>
      <c r="ODQ420" s="416"/>
      <c r="ODR420" s="416"/>
      <c r="ODS420" s="416"/>
      <c r="ODT420" s="416"/>
      <c r="ODU420" s="416"/>
      <c r="ODV420" s="416"/>
      <c r="ODW420" s="416"/>
      <c r="ODX420" s="416"/>
      <c r="ODY420" s="416"/>
      <c r="ODZ420" s="416"/>
      <c r="OEA420" s="416"/>
      <c r="OEB420" s="416"/>
      <c r="OEC420" s="416"/>
      <c r="OED420" s="416"/>
      <c r="OEE420" s="416"/>
      <c r="OEF420" s="416"/>
      <c r="OEG420" s="416"/>
      <c r="OEH420" s="416"/>
      <c r="OEI420" s="416"/>
      <c r="OEJ420" s="416"/>
      <c r="OEK420" s="416"/>
      <c r="OEL420" s="416"/>
      <c r="OEM420" s="416"/>
      <c r="OEN420" s="416"/>
      <c r="OEO420" s="416"/>
      <c r="OEP420" s="416"/>
      <c r="OEQ420" s="416"/>
      <c r="OER420" s="416"/>
      <c r="OES420" s="416"/>
      <c r="OET420" s="416"/>
      <c r="OEU420" s="416"/>
      <c r="OEV420" s="416"/>
      <c r="OEW420" s="416"/>
      <c r="OEX420" s="416"/>
      <c r="OEY420" s="416"/>
      <c r="OEZ420" s="416"/>
      <c r="OFA420" s="416"/>
      <c r="OFB420" s="416"/>
      <c r="OFC420" s="416"/>
      <c r="OFD420" s="416"/>
      <c r="OFE420" s="416"/>
      <c r="OFF420" s="416"/>
      <c r="OFG420" s="416"/>
      <c r="OFH420" s="416"/>
      <c r="OFI420" s="416"/>
      <c r="OFJ420" s="416"/>
      <c r="OFK420" s="416"/>
      <c r="OFL420" s="416"/>
      <c r="OFM420" s="416"/>
      <c r="OFN420" s="416"/>
      <c r="OFO420" s="416"/>
      <c r="OFP420" s="416"/>
      <c r="OFQ420" s="416"/>
      <c r="OFR420" s="416"/>
      <c r="OFS420" s="416"/>
      <c r="OFT420" s="416"/>
      <c r="OFU420" s="416"/>
      <c r="OFV420" s="416"/>
      <c r="OFW420" s="416"/>
      <c r="OFX420" s="416"/>
      <c r="OFY420" s="416"/>
      <c r="OFZ420" s="416"/>
      <c r="OGA420" s="416"/>
      <c r="OGB420" s="416"/>
      <c r="OGC420" s="416"/>
      <c r="OGD420" s="416"/>
      <c r="OGE420" s="416"/>
      <c r="OGF420" s="416"/>
      <c r="OGG420" s="416"/>
      <c r="OGH420" s="416"/>
      <c r="OGI420" s="416"/>
      <c r="OGJ420" s="416"/>
      <c r="OGK420" s="416"/>
      <c r="OGL420" s="416"/>
      <c r="OGM420" s="416"/>
      <c r="OGN420" s="416"/>
      <c r="OGO420" s="416"/>
      <c r="OGP420" s="416"/>
      <c r="OGQ420" s="416"/>
      <c r="OGR420" s="416"/>
      <c r="OGS420" s="416"/>
      <c r="OGT420" s="416"/>
      <c r="OGU420" s="416"/>
      <c r="OGV420" s="416"/>
      <c r="OGW420" s="416"/>
      <c r="OGX420" s="416"/>
      <c r="OGY420" s="416"/>
      <c r="OGZ420" s="416"/>
      <c r="OHA420" s="416"/>
      <c r="OHB420" s="416"/>
      <c r="OHC420" s="416"/>
      <c r="OHD420" s="416"/>
      <c r="OHE420" s="416"/>
      <c r="OHF420" s="416"/>
      <c r="OHG420" s="416"/>
      <c r="OHH420" s="416"/>
      <c r="OHI420" s="416"/>
      <c r="OHJ420" s="416"/>
      <c r="OHK420" s="416"/>
      <c r="OHL420" s="416"/>
      <c r="OHM420" s="416"/>
      <c r="OHN420" s="416"/>
      <c r="OHO420" s="416"/>
      <c r="OHP420" s="416"/>
      <c r="OHQ420" s="416"/>
      <c r="OHR420" s="416"/>
      <c r="OHS420" s="416"/>
      <c r="OHT420" s="416"/>
      <c r="OHU420" s="416"/>
      <c r="OHV420" s="416"/>
      <c r="OHW420" s="416"/>
      <c r="OHX420" s="416"/>
      <c r="OHY420" s="416"/>
      <c r="OHZ420" s="416"/>
      <c r="OIA420" s="416"/>
      <c r="OIB420" s="416"/>
      <c r="OIC420" s="416"/>
      <c r="OID420" s="416"/>
      <c r="OIE420" s="416"/>
      <c r="OIF420" s="416"/>
      <c r="OIG420" s="416"/>
      <c r="OIH420" s="416"/>
      <c r="OII420" s="416"/>
      <c r="OIJ420" s="416"/>
      <c r="OIK420" s="416"/>
      <c r="OIL420" s="416"/>
      <c r="OIM420" s="416"/>
      <c r="OIN420" s="416"/>
      <c r="OIO420" s="416"/>
      <c r="OIP420" s="416"/>
      <c r="OIQ420" s="416"/>
      <c r="OIR420" s="416"/>
      <c r="OIS420" s="416"/>
      <c r="OIT420" s="416"/>
      <c r="OIU420" s="416"/>
      <c r="OIV420" s="416"/>
      <c r="OIW420" s="416"/>
      <c r="OIX420" s="416"/>
      <c r="OIY420" s="416"/>
      <c r="OIZ420" s="416"/>
      <c r="OJA420" s="416"/>
      <c r="OJB420" s="416"/>
      <c r="OJC420" s="416"/>
      <c r="OJD420" s="416"/>
      <c r="OJE420" s="416"/>
      <c r="OJF420" s="416"/>
      <c r="OJG420" s="416"/>
      <c r="OJH420" s="416"/>
      <c r="OJI420" s="416"/>
      <c r="OJJ420" s="416"/>
      <c r="OJK420" s="416"/>
      <c r="OJL420" s="416"/>
      <c r="OJM420" s="416"/>
      <c r="OJN420" s="416"/>
      <c r="OJO420" s="416"/>
      <c r="OJP420" s="416"/>
      <c r="OJQ420" s="416"/>
      <c r="OJR420" s="416"/>
      <c r="OJS420" s="416"/>
      <c r="OJT420" s="416"/>
      <c r="OJU420" s="416"/>
      <c r="OJV420" s="416"/>
      <c r="OJW420" s="416"/>
      <c r="OJX420" s="416"/>
      <c r="OJY420" s="416"/>
      <c r="OJZ420" s="416"/>
      <c r="OKA420" s="416"/>
      <c r="OKB420" s="416"/>
      <c r="OKC420" s="416"/>
      <c r="OKD420" s="416"/>
      <c r="OKE420" s="416"/>
      <c r="OKF420" s="416"/>
      <c r="OKG420" s="416"/>
      <c r="OKH420" s="416"/>
      <c r="OKI420" s="416"/>
      <c r="OKJ420" s="416"/>
      <c r="OKK420" s="416"/>
      <c r="OKL420" s="416"/>
      <c r="OKM420" s="416"/>
      <c r="OKN420" s="416"/>
      <c r="OKO420" s="416"/>
      <c r="OKP420" s="416"/>
      <c r="OKQ420" s="416"/>
      <c r="OKR420" s="416"/>
      <c r="OKS420" s="416"/>
      <c r="OKT420" s="416"/>
      <c r="OKU420" s="416"/>
      <c r="OKV420" s="416"/>
      <c r="OKW420" s="416"/>
      <c r="OKX420" s="416"/>
      <c r="OKY420" s="416"/>
      <c r="OKZ420" s="416"/>
      <c r="OLA420" s="416"/>
      <c r="OLB420" s="416"/>
      <c r="OLC420" s="416"/>
      <c r="OLD420" s="416"/>
      <c r="OLE420" s="416"/>
      <c r="OLF420" s="416"/>
      <c r="OLG420" s="416"/>
      <c r="OLH420" s="416"/>
      <c r="OLI420" s="416"/>
      <c r="OLJ420" s="416"/>
      <c r="OLK420" s="416"/>
      <c r="OLL420" s="416"/>
      <c r="OLM420" s="416"/>
      <c r="OLN420" s="416"/>
      <c r="OLO420" s="416"/>
      <c r="OLP420" s="416"/>
      <c r="OLQ420" s="416"/>
      <c r="OLR420" s="416"/>
      <c r="OLS420" s="416"/>
      <c r="OLT420" s="416"/>
      <c r="OLU420" s="416"/>
      <c r="OLV420" s="416"/>
      <c r="OLW420" s="416"/>
      <c r="OLX420" s="416"/>
      <c r="OLY420" s="416"/>
      <c r="OLZ420" s="416"/>
      <c r="OMA420" s="416"/>
      <c r="OMB420" s="416"/>
      <c r="OMC420" s="416"/>
      <c r="OMD420" s="416"/>
      <c r="OME420" s="416"/>
      <c r="OMF420" s="416"/>
      <c r="OMG420" s="416"/>
      <c r="OMH420" s="416"/>
      <c r="OMI420" s="416"/>
      <c r="OMJ420" s="416"/>
      <c r="OMK420" s="416"/>
      <c r="OML420" s="416"/>
      <c r="OMM420" s="416"/>
      <c r="OMN420" s="416"/>
      <c r="OMO420" s="416"/>
      <c r="OMP420" s="416"/>
      <c r="OMQ420" s="416"/>
      <c r="OMR420" s="416"/>
      <c r="OMS420" s="416"/>
      <c r="OMT420" s="416"/>
      <c r="OMU420" s="416"/>
      <c r="OMV420" s="416"/>
      <c r="OMW420" s="416"/>
      <c r="OMX420" s="416"/>
      <c r="OMY420" s="416"/>
      <c r="OMZ420" s="416"/>
      <c r="ONA420" s="416"/>
      <c r="ONB420" s="416"/>
      <c r="ONC420" s="416"/>
      <c r="OND420" s="416"/>
      <c r="ONE420" s="416"/>
      <c r="ONF420" s="416"/>
      <c r="ONG420" s="416"/>
      <c r="ONH420" s="416"/>
      <c r="ONI420" s="416"/>
      <c r="ONJ420" s="416"/>
      <c r="ONK420" s="416"/>
      <c r="ONL420" s="416"/>
      <c r="ONM420" s="416"/>
      <c r="ONN420" s="416"/>
      <c r="ONO420" s="416"/>
      <c r="ONP420" s="416"/>
      <c r="ONQ420" s="416"/>
      <c r="ONR420" s="416"/>
      <c r="ONS420" s="416"/>
      <c r="ONT420" s="416"/>
      <c r="ONU420" s="416"/>
      <c r="ONV420" s="416"/>
      <c r="ONW420" s="416"/>
      <c r="ONX420" s="416"/>
      <c r="ONY420" s="416"/>
      <c r="ONZ420" s="416"/>
      <c r="OOA420" s="416"/>
      <c r="OOB420" s="416"/>
      <c r="OOC420" s="416"/>
      <c r="OOD420" s="416"/>
      <c r="OOE420" s="416"/>
      <c r="OOF420" s="416"/>
      <c r="OOG420" s="416"/>
      <c r="OOH420" s="416"/>
      <c r="OOI420" s="416"/>
      <c r="OOJ420" s="416"/>
      <c r="OOK420" s="416"/>
      <c r="OOL420" s="416"/>
      <c r="OOM420" s="416"/>
      <c r="OON420" s="416"/>
      <c r="OOO420" s="416"/>
      <c r="OOP420" s="416"/>
      <c r="OOQ420" s="416"/>
      <c r="OOR420" s="416"/>
      <c r="OOS420" s="416"/>
      <c r="OOT420" s="416"/>
      <c r="OOU420" s="416"/>
      <c r="OOV420" s="416"/>
      <c r="OOW420" s="416"/>
      <c r="OOX420" s="416"/>
      <c r="OOY420" s="416"/>
      <c r="OOZ420" s="416"/>
      <c r="OPA420" s="416"/>
      <c r="OPB420" s="416"/>
      <c r="OPC420" s="416"/>
      <c r="OPD420" s="416"/>
      <c r="OPE420" s="416"/>
      <c r="OPF420" s="416"/>
      <c r="OPG420" s="416"/>
      <c r="OPH420" s="416"/>
      <c r="OPI420" s="416"/>
      <c r="OPJ420" s="416"/>
      <c r="OPK420" s="416"/>
      <c r="OPL420" s="416"/>
      <c r="OPM420" s="416"/>
      <c r="OPN420" s="416"/>
      <c r="OPO420" s="416"/>
      <c r="OPP420" s="416"/>
      <c r="OPQ420" s="416"/>
      <c r="OPR420" s="416"/>
      <c r="OPS420" s="416"/>
      <c r="OPT420" s="416"/>
      <c r="OPU420" s="416"/>
      <c r="OPV420" s="416"/>
      <c r="OPW420" s="416"/>
      <c r="OPX420" s="416"/>
      <c r="OPY420" s="416"/>
      <c r="OPZ420" s="416"/>
      <c r="OQA420" s="416"/>
      <c r="OQB420" s="416"/>
      <c r="OQC420" s="416"/>
      <c r="OQD420" s="416"/>
      <c r="OQE420" s="416"/>
      <c r="OQF420" s="416"/>
      <c r="OQG420" s="416"/>
      <c r="OQH420" s="416"/>
      <c r="OQI420" s="416"/>
      <c r="OQJ420" s="416"/>
      <c r="OQK420" s="416"/>
      <c r="OQL420" s="416"/>
      <c r="OQM420" s="416"/>
      <c r="OQN420" s="416"/>
      <c r="OQO420" s="416"/>
      <c r="OQP420" s="416"/>
      <c r="OQQ420" s="416"/>
      <c r="OQR420" s="416"/>
      <c r="OQS420" s="416"/>
      <c r="OQT420" s="416"/>
      <c r="OQU420" s="416"/>
      <c r="OQV420" s="416"/>
      <c r="OQW420" s="416"/>
      <c r="OQX420" s="416"/>
      <c r="OQY420" s="416"/>
      <c r="OQZ420" s="416"/>
      <c r="ORA420" s="416"/>
      <c r="ORB420" s="416"/>
      <c r="ORC420" s="416"/>
      <c r="ORD420" s="416"/>
      <c r="ORE420" s="416"/>
      <c r="ORF420" s="416"/>
      <c r="ORG420" s="416"/>
      <c r="ORH420" s="416"/>
      <c r="ORI420" s="416"/>
      <c r="ORJ420" s="416"/>
      <c r="ORK420" s="416"/>
      <c r="ORL420" s="416"/>
      <c r="ORM420" s="416"/>
      <c r="ORN420" s="416"/>
      <c r="ORO420" s="416"/>
      <c r="ORP420" s="416"/>
      <c r="ORQ420" s="416"/>
      <c r="ORR420" s="416"/>
      <c r="ORS420" s="416"/>
      <c r="ORT420" s="416"/>
      <c r="ORU420" s="416"/>
      <c r="ORV420" s="416"/>
      <c r="ORW420" s="416"/>
      <c r="ORX420" s="416"/>
      <c r="ORY420" s="416"/>
      <c r="ORZ420" s="416"/>
      <c r="OSA420" s="416"/>
      <c r="OSB420" s="416"/>
      <c r="OSC420" s="416"/>
      <c r="OSD420" s="416"/>
      <c r="OSE420" s="416"/>
      <c r="OSF420" s="416"/>
      <c r="OSG420" s="416"/>
      <c r="OSH420" s="416"/>
      <c r="OSI420" s="416"/>
      <c r="OSJ420" s="416"/>
      <c r="OSK420" s="416"/>
      <c r="OSL420" s="416"/>
      <c r="OSM420" s="416"/>
      <c r="OSN420" s="416"/>
      <c r="OSO420" s="416"/>
      <c r="OSP420" s="416"/>
      <c r="OSQ420" s="416"/>
      <c r="OSR420" s="416"/>
      <c r="OSS420" s="416"/>
      <c r="OST420" s="416"/>
      <c r="OSU420" s="416"/>
      <c r="OSV420" s="416"/>
      <c r="OSW420" s="416"/>
      <c r="OSX420" s="416"/>
      <c r="OSY420" s="416"/>
      <c r="OSZ420" s="416"/>
      <c r="OTA420" s="416"/>
      <c r="OTB420" s="416"/>
      <c r="OTC420" s="416"/>
      <c r="OTD420" s="416"/>
      <c r="OTE420" s="416"/>
      <c r="OTF420" s="416"/>
      <c r="OTG420" s="416"/>
      <c r="OTH420" s="416"/>
      <c r="OTI420" s="416"/>
      <c r="OTJ420" s="416"/>
      <c r="OTK420" s="416"/>
      <c r="OTL420" s="416"/>
      <c r="OTM420" s="416"/>
      <c r="OTN420" s="416"/>
      <c r="OTO420" s="416"/>
      <c r="OTP420" s="416"/>
      <c r="OTQ420" s="416"/>
      <c r="OTR420" s="416"/>
      <c r="OTS420" s="416"/>
      <c r="OTT420" s="416"/>
      <c r="OTU420" s="416"/>
      <c r="OTV420" s="416"/>
      <c r="OTW420" s="416"/>
      <c r="OTX420" s="416"/>
      <c r="OTY420" s="416"/>
      <c r="OTZ420" s="416"/>
      <c r="OUA420" s="416"/>
      <c r="OUB420" s="416"/>
      <c r="OUC420" s="416"/>
      <c r="OUD420" s="416"/>
      <c r="OUE420" s="416"/>
      <c r="OUF420" s="416"/>
      <c r="OUG420" s="416"/>
      <c r="OUH420" s="416"/>
      <c r="OUI420" s="416"/>
      <c r="OUJ420" s="416"/>
      <c r="OUK420" s="416"/>
      <c r="OUL420" s="416"/>
      <c r="OUM420" s="416"/>
      <c r="OUN420" s="416"/>
      <c r="OUO420" s="416"/>
      <c r="OUP420" s="416"/>
      <c r="OUQ420" s="416"/>
      <c r="OUR420" s="416"/>
      <c r="OUS420" s="416"/>
      <c r="OUT420" s="416"/>
      <c r="OUU420" s="416"/>
      <c r="OUV420" s="416"/>
      <c r="OUW420" s="416"/>
      <c r="OUX420" s="416"/>
      <c r="OUY420" s="416"/>
      <c r="OUZ420" s="416"/>
      <c r="OVA420" s="416"/>
      <c r="OVB420" s="416"/>
      <c r="OVC420" s="416"/>
      <c r="OVD420" s="416"/>
      <c r="OVE420" s="416"/>
      <c r="OVF420" s="416"/>
      <c r="OVG420" s="416"/>
      <c r="OVH420" s="416"/>
      <c r="OVI420" s="416"/>
      <c r="OVJ420" s="416"/>
      <c r="OVK420" s="416"/>
      <c r="OVL420" s="416"/>
      <c r="OVM420" s="416"/>
      <c r="OVN420" s="416"/>
      <c r="OVO420" s="416"/>
      <c r="OVP420" s="416"/>
      <c r="OVQ420" s="416"/>
      <c r="OVR420" s="416"/>
      <c r="OVS420" s="416"/>
      <c r="OVT420" s="416"/>
      <c r="OVU420" s="416"/>
      <c r="OVV420" s="416"/>
      <c r="OVW420" s="416"/>
      <c r="OVX420" s="416"/>
      <c r="OVY420" s="416"/>
      <c r="OVZ420" s="416"/>
      <c r="OWA420" s="416"/>
      <c r="OWB420" s="416"/>
      <c r="OWC420" s="416"/>
      <c r="OWD420" s="416"/>
      <c r="OWE420" s="416"/>
      <c r="OWF420" s="416"/>
      <c r="OWG420" s="416"/>
      <c r="OWH420" s="416"/>
      <c r="OWI420" s="416"/>
      <c r="OWJ420" s="416"/>
      <c r="OWK420" s="416"/>
      <c r="OWL420" s="416"/>
      <c r="OWM420" s="416"/>
      <c r="OWN420" s="416"/>
      <c r="OWO420" s="416"/>
      <c r="OWP420" s="416"/>
      <c r="OWQ420" s="416"/>
      <c r="OWR420" s="416"/>
      <c r="OWS420" s="416"/>
      <c r="OWT420" s="416"/>
      <c r="OWU420" s="416"/>
      <c r="OWV420" s="416"/>
      <c r="OWW420" s="416"/>
      <c r="OWX420" s="416"/>
      <c r="OWY420" s="416"/>
      <c r="OWZ420" s="416"/>
      <c r="OXA420" s="416"/>
      <c r="OXB420" s="416"/>
      <c r="OXC420" s="416"/>
      <c r="OXD420" s="416"/>
      <c r="OXE420" s="416"/>
      <c r="OXF420" s="416"/>
      <c r="OXG420" s="416"/>
      <c r="OXH420" s="416"/>
      <c r="OXI420" s="416"/>
      <c r="OXJ420" s="416"/>
      <c r="OXK420" s="416"/>
      <c r="OXL420" s="416"/>
      <c r="OXM420" s="416"/>
      <c r="OXN420" s="416"/>
      <c r="OXO420" s="416"/>
      <c r="OXP420" s="416"/>
      <c r="OXQ420" s="416"/>
      <c r="OXR420" s="416"/>
      <c r="OXS420" s="416"/>
      <c r="OXT420" s="416"/>
      <c r="OXU420" s="416"/>
      <c r="OXV420" s="416"/>
      <c r="OXW420" s="416"/>
      <c r="OXX420" s="416"/>
      <c r="OXY420" s="416"/>
      <c r="OXZ420" s="416"/>
      <c r="OYA420" s="416"/>
      <c r="OYB420" s="416"/>
      <c r="OYC420" s="416"/>
      <c r="OYD420" s="416"/>
      <c r="OYE420" s="416"/>
      <c r="OYF420" s="416"/>
      <c r="OYG420" s="416"/>
      <c r="OYH420" s="416"/>
      <c r="OYI420" s="416"/>
      <c r="OYJ420" s="416"/>
      <c r="OYK420" s="416"/>
      <c r="OYL420" s="416"/>
      <c r="OYM420" s="416"/>
      <c r="OYN420" s="416"/>
      <c r="OYO420" s="416"/>
      <c r="OYP420" s="416"/>
      <c r="OYQ420" s="416"/>
      <c r="OYR420" s="416"/>
      <c r="OYS420" s="416"/>
      <c r="OYT420" s="416"/>
      <c r="OYU420" s="416"/>
      <c r="OYV420" s="416"/>
      <c r="OYW420" s="416"/>
      <c r="OYX420" s="416"/>
      <c r="OYY420" s="416"/>
      <c r="OYZ420" s="416"/>
      <c r="OZA420" s="416"/>
      <c r="OZB420" s="416"/>
      <c r="OZC420" s="416"/>
      <c r="OZD420" s="416"/>
      <c r="OZE420" s="416"/>
      <c r="OZF420" s="416"/>
      <c r="OZG420" s="416"/>
      <c r="OZH420" s="416"/>
      <c r="OZI420" s="416"/>
      <c r="OZJ420" s="416"/>
      <c r="OZK420" s="416"/>
      <c r="OZL420" s="416"/>
      <c r="OZM420" s="416"/>
      <c r="OZN420" s="416"/>
      <c r="OZO420" s="416"/>
      <c r="OZP420" s="416"/>
      <c r="OZQ420" s="416"/>
      <c r="OZR420" s="416"/>
      <c r="OZS420" s="416"/>
      <c r="OZT420" s="416"/>
      <c r="OZU420" s="416"/>
      <c r="OZV420" s="416"/>
      <c r="OZW420" s="416"/>
      <c r="OZX420" s="416"/>
      <c r="OZY420" s="416"/>
      <c r="OZZ420" s="416"/>
      <c r="PAA420" s="416"/>
      <c r="PAB420" s="416"/>
      <c r="PAC420" s="416"/>
      <c r="PAD420" s="416"/>
      <c r="PAE420" s="416"/>
      <c r="PAF420" s="416"/>
      <c r="PAG420" s="416"/>
      <c r="PAH420" s="416"/>
      <c r="PAI420" s="416"/>
      <c r="PAJ420" s="416"/>
      <c r="PAK420" s="416"/>
      <c r="PAL420" s="416"/>
      <c r="PAM420" s="416"/>
      <c r="PAN420" s="416"/>
      <c r="PAO420" s="416"/>
      <c r="PAP420" s="416"/>
      <c r="PAQ420" s="416"/>
      <c r="PAR420" s="416"/>
      <c r="PAS420" s="416"/>
      <c r="PAT420" s="416"/>
      <c r="PAU420" s="416"/>
      <c r="PAV420" s="416"/>
      <c r="PAW420" s="416"/>
      <c r="PAX420" s="416"/>
      <c r="PAY420" s="416"/>
      <c r="PAZ420" s="416"/>
      <c r="PBA420" s="416"/>
      <c r="PBB420" s="416"/>
      <c r="PBC420" s="416"/>
      <c r="PBD420" s="416"/>
      <c r="PBE420" s="416"/>
      <c r="PBF420" s="416"/>
      <c r="PBG420" s="416"/>
      <c r="PBH420" s="416"/>
      <c r="PBI420" s="416"/>
      <c r="PBJ420" s="416"/>
      <c r="PBK420" s="416"/>
      <c r="PBL420" s="416"/>
      <c r="PBM420" s="416"/>
      <c r="PBN420" s="416"/>
      <c r="PBO420" s="416"/>
      <c r="PBP420" s="416"/>
      <c r="PBQ420" s="416"/>
      <c r="PBR420" s="416"/>
      <c r="PBS420" s="416"/>
      <c r="PBT420" s="416"/>
      <c r="PBU420" s="416"/>
      <c r="PBV420" s="416"/>
      <c r="PBW420" s="416"/>
      <c r="PBX420" s="416"/>
      <c r="PBY420" s="416"/>
      <c r="PBZ420" s="416"/>
      <c r="PCA420" s="416"/>
      <c r="PCB420" s="416"/>
      <c r="PCC420" s="416"/>
      <c r="PCD420" s="416"/>
      <c r="PCE420" s="416"/>
      <c r="PCF420" s="416"/>
      <c r="PCG420" s="416"/>
      <c r="PCH420" s="416"/>
      <c r="PCI420" s="416"/>
      <c r="PCJ420" s="416"/>
      <c r="PCK420" s="416"/>
      <c r="PCL420" s="416"/>
      <c r="PCM420" s="416"/>
      <c r="PCN420" s="416"/>
      <c r="PCO420" s="416"/>
      <c r="PCP420" s="416"/>
      <c r="PCQ420" s="416"/>
      <c r="PCR420" s="416"/>
      <c r="PCS420" s="416"/>
      <c r="PCT420" s="416"/>
      <c r="PCU420" s="416"/>
      <c r="PCV420" s="416"/>
      <c r="PCW420" s="416"/>
      <c r="PCX420" s="416"/>
      <c r="PCY420" s="416"/>
      <c r="PCZ420" s="416"/>
      <c r="PDA420" s="416"/>
      <c r="PDB420" s="416"/>
      <c r="PDC420" s="416"/>
      <c r="PDD420" s="416"/>
      <c r="PDE420" s="416"/>
      <c r="PDF420" s="416"/>
      <c r="PDG420" s="416"/>
      <c r="PDH420" s="416"/>
      <c r="PDI420" s="416"/>
      <c r="PDJ420" s="416"/>
      <c r="PDK420" s="416"/>
      <c r="PDL420" s="416"/>
      <c r="PDM420" s="416"/>
      <c r="PDN420" s="416"/>
      <c r="PDO420" s="416"/>
      <c r="PDP420" s="416"/>
      <c r="PDQ420" s="416"/>
      <c r="PDR420" s="416"/>
      <c r="PDS420" s="416"/>
      <c r="PDT420" s="416"/>
      <c r="PDU420" s="416"/>
      <c r="PDV420" s="416"/>
      <c r="PDW420" s="416"/>
      <c r="PDX420" s="416"/>
      <c r="PDY420" s="416"/>
      <c r="PDZ420" s="416"/>
      <c r="PEA420" s="416"/>
      <c r="PEB420" s="416"/>
      <c r="PEC420" s="416"/>
      <c r="PED420" s="416"/>
      <c r="PEE420" s="416"/>
      <c r="PEF420" s="416"/>
      <c r="PEG420" s="416"/>
      <c r="PEH420" s="416"/>
      <c r="PEI420" s="416"/>
      <c r="PEJ420" s="416"/>
      <c r="PEK420" s="416"/>
      <c r="PEL420" s="416"/>
      <c r="PEM420" s="416"/>
      <c r="PEN420" s="416"/>
      <c r="PEO420" s="416"/>
      <c r="PEP420" s="416"/>
      <c r="PEQ420" s="416"/>
      <c r="PER420" s="416"/>
      <c r="PES420" s="416"/>
      <c r="PET420" s="416"/>
      <c r="PEU420" s="416"/>
      <c r="PEV420" s="416"/>
      <c r="PEW420" s="416"/>
      <c r="PEX420" s="416"/>
      <c r="PEY420" s="416"/>
      <c r="PEZ420" s="416"/>
      <c r="PFA420" s="416"/>
      <c r="PFB420" s="416"/>
      <c r="PFC420" s="416"/>
      <c r="PFD420" s="416"/>
      <c r="PFE420" s="416"/>
      <c r="PFF420" s="416"/>
      <c r="PFG420" s="416"/>
      <c r="PFH420" s="416"/>
      <c r="PFI420" s="416"/>
      <c r="PFJ420" s="416"/>
      <c r="PFK420" s="416"/>
      <c r="PFL420" s="416"/>
      <c r="PFM420" s="416"/>
      <c r="PFN420" s="416"/>
      <c r="PFO420" s="416"/>
      <c r="PFP420" s="416"/>
      <c r="PFQ420" s="416"/>
      <c r="PFR420" s="416"/>
      <c r="PFS420" s="416"/>
      <c r="PFT420" s="416"/>
      <c r="PFU420" s="416"/>
      <c r="PFV420" s="416"/>
      <c r="PFW420" s="416"/>
      <c r="PFX420" s="416"/>
      <c r="PFY420" s="416"/>
      <c r="PFZ420" s="416"/>
      <c r="PGA420" s="416"/>
      <c r="PGB420" s="416"/>
      <c r="PGC420" s="416"/>
      <c r="PGD420" s="416"/>
      <c r="PGE420" s="416"/>
      <c r="PGF420" s="416"/>
      <c r="PGG420" s="416"/>
      <c r="PGH420" s="416"/>
      <c r="PGI420" s="416"/>
      <c r="PGJ420" s="416"/>
      <c r="PGK420" s="416"/>
      <c r="PGL420" s="416"/>
      <c r="PGM420" s="416"/>
      <c r="PGN420" s="416"/>
      <c r="PGO420" s="416"/>
      <c r="PGP420" s="416"/>
      <c r="PGQ420" s="416"/>
      <c r="PGR420" s="416"/>
      <c r="PGS420" s="416"/>
      <c r="PGT420" s="416"/>
      <c r="PGU420" s="416"/>
      <c r="PGV420" s="416"/>
      <c r="PGW420" s="416"/>
      <c r="PGX420" s="416"/>
      <c r="PGY420" s="416"/>
      <c r="PGZ420" s="416"/>
      <c r="PHA420" s="416"/>
      <c r="PHB420" s="416"/>
      <c r="PHC420" s="416"/>
      <c r="PHD420" s="416"/>
      <c r="PHE420" s="416"/>
      <c r="PHF420" s="416"/>
      <c r="PHG420" s="416"/>
      <c r="PHH420" s="416"/>
      <c r="PHI420" s="416"/>
      <c r="PHJ420" s="416"/>
      <c r="PHK420" s="416"/>
      <c r="PHL420" s="416"/>
      <c r="PHM420" s="416"/>
      <c r="PHN420" s="416"/>
      <c r="PHO420" s="416"/>
      <c r="PHP420" s="416"/>
      <c r="PHQ420" s="416"/>
      <c r="PHR420" s="416"/>
      <c r="PHS420" s="416"/>
      <c r="PHT420" s="416"/>
      <c r="PHU420" s="416"/>
      <c r="PHV420" s="416"/>
      <c r="PHW420" s="416"/>
      <c r="PHX420" s="416"/>
      <c r="PHY420" s="416"/>
      <c r="PHZ420" s="416"/>
      <c r="PIA420" s="416"/>
      <c r="PIB420" s="416"/>
      <c r="PIC420" s="416"/>
      <c r="PID420" s="416"/>
      <c r="PIE420" s="416"/>
      <c r="PIF420" s="416"/>
      <c r="PIG420" s="416"/>
      <c r="PIH420" s="416"/>
      <c r="PII420" s="416"/>
      <c r="PIJ420" s="416"/>
      <c r="PIK420" s="416"/>
      <c r="PIL420" s="416"/>
      <c r="PIM420" s="416"/>
      <c r="PIN420" s="416"/>
      <c r="PIO420" s="416"/>
      <c r="PIP420" s="416"/>
      <c r="PIQ420" s="416"/>
      <c r="PIR420" s="416"/>
      <c r="PIS420" s="416"/>
      <c r="PIT420" s="416"/>
      <c r="PIU420" s="416"/>
      <c r="PIV420" s="416"/>
      <c r="PIW420" s="416"/>
      <c r="PIX420" s="416"/>
      <c r="PIY420" s="416"/>
      <c r="PIZ420" s="416"/>
      <c r="PJA420" s="416"/>
      <c r="PJB420" s="416"/>
      <c r="PJC420" s="416"/>
      <c r="PJD420" s="416"/>
      <c r="PJE420" s="416"/>
      <c r="PJF420" s="416"/>
      <c r="PJG420" s="416"/>
      <c r="PJH420" s="416"/>
      <c r="PJI420" s="416"/>
      <c r="PJJ420" s="416"/>
      <c r="PJK420" s="416"/>
      <c r="PJL420" s="416"/>
      <c r="PJM420" s="416"/>
      <c r="PJN420" s="416"/>
      <c r="PJO420" s="416"/>
      <c r="PJP420" s="416"/>
      <c r="PJQ420" s="416"/>
      <c r="PJR420" s="416"/>
      <c r="PJS420" s="416"/>
      <c r="PJT420" s="416"/>
      <c r="PJU420" s="416"/>
      <c r="PJV420" s="416"/>
      <c r="PJW420" s="416"/>
      <c r="PJX420" s="416"/>
      <c r="PJY420" s="416"/>
      <c r="PJZ420" s="416"/>
      <c r="PKA420" s="416"/>
      <c r="PKB420" s="416"/>
      <c r="PKC420" s="416"/>
      <c r="PKD420" s="416"/>
      <c r="PKE420" s="416"/>
      <c r="PKF420" s="416"/>
      <c r="PKG420" s="416"/>
      <c r="PKH420" s="416"/>
      <c r="PKI420" s="416"/>
      <c r="PKJ420" s="416"/>
      <c r="PKK420" s="416"/>
      <c r="PKL420" s="416"/>
      <c r="PKM420" s="416"/>
      <c r="PKN420" s="416"/>
      <c r="PKO420" s="416"/>
      <c r="PKP420" s="416"/>
      <c r="PKQ420" s="416"/>
      <c r="PKR420" s="416"/>
      <c r="PKS420" s="416"/>
      <c r="PKT420" s="416"/>
      <c r="PKU420" s="416"/>
      <c r="PKV420" s="416"/>
      <c r="PKW420" s="416"/>
      <c r="PKX420" s="416"/>
      <c r="PKY420" s="416"/>
      <c r="PKZ420" s="416"/>
      <c r="PLA420" s="416"/>
      <c r="PLB420" s="416"/>
      <c r="PLC420" s="416"/>
      <c r="PLD420" s="416"/>
      <c r="PLE420" s="416"/>
      <c r="PLF420" s="416"/>
      <c r="PLG420" s="416"/>
      <c r="PLH420" s="416"/>
      <c r="PLI420" s="416"/>
      <c r="PLJ420" s="416"/>
      <c r="PLK420" s="416"/>
      <c r="PLL420" s="416"/>
      <c r="PLM420" s="416"/>
      <c r="PLN420" s="416"/>
      <c r="PLO420" s="416"/>
      <c r="PLP420" s="416"/>
      <c r="PLQ420" s="416"/>
      <c r="PLR420" s="416"/>
      <c r="PLS420" s="416"/>
      <c r="PLT420" s="416"/>
      <c r="PLU420" s="416"/>
      <c r="PLV420" s="416"/>
      <c r="PLW420" s="416"/>
      <c r="PLX420" s="416"/>
      <c r="PLY420" s="416"/>
      <c r="PLZ420" s="416"/>
      <c r="PMA420" s="416"/>
      <c r="PMB420" s="416"/>
      <c r="PMC420" s="416"/>
      <c r="PMD420" s="416"/>
      <c r="PME420" s="416"/>
      <c r="PMF420" s="416"/>
      <c r="PMG420" s="416"/>
      <c r="PMH420" s="416"/>
      <c r="PMI420" s="416"/>
      <c r="PMJ420" s="416"/>
      <c r="PMK420" s="416"/>
      <c r="PML420" s="416"/>
      <c r="PMM420" s="416"/>
      <c r="PMN420" s="416"/>
      <c r="PMO420" s="416"/>
      <c r="PMP420" s="416"/>
      <c r="PMQ420" s="416"/>
      <c r="PMR420" s="416"/>
      <c r="PMS420" s="416"/>
      <c r="PMT420" s="416"/>
      <c r="PMU420" s="416"/>
      <c r="PMV420" s="416"/>
      <c r="PMW420" s="416"/>
      <c r="PMX420" s="416"/>
      <c r="PMY420" s="416"/>
      <c r="PMZ420" s="416"/>
      <c r="PNA420" s="416"/>
      <c r="PNB420" s="416"/>
      <c r="PNC420" s="416"/>
      <c r="PND420" s="416"/>
      <c r="PNE420" s="416"/>
      <c r="PNF420" s="416"/>
      <c r="PNG420" s="416"/>
      <c r="PNH420" s="416"/>
      <c r="PNI420" s="416"/>
      <c r="PNJ420" s="416"/>
      <c r="PNK420" s="416"/>
      <c r="PNL420" s="416"/>
      <c r="PNM420" s="416"/>
      <c r="PNN420" s="416"/>
      <c r="PNO420" s="416"/>
      <c r="PNP420" s="416"/>
      <c r="PNQ420" s="416"/>
      <c r="PNR420" s="416"/>
      <c r="PNS420" s="416"/>
      <c r="PNT420" s="416"/>
      <c r="PNU420" s="416"/>
      <c r="PNV420" s="416"/>
      <c r="PNW420" s="416"/>
      <c r="PNX420" s="416"/>
      <c r="PNY420" s="416"/>
      <c r="PNZ420" s="416"/>
      <c r="POA420" s="416"/>
      <c r="POB420" s="416"/>
      <c r="POC420" s="416"/>
      <c r="POD420" s="416"/>
      <c r="POE420" s="416"/>
      <c r="POF420" s="416"/>
      <c r="POG420" s="416"/>
      <c r="POH420" s="416"/>
      <c r="POI420" s="416"/>
      <c r="POJ420" s="416"/>
      <c r="POK420" s="416"/>
      <c r="POL420" s="416"/>
      <c r="POM420" s="416"/>
      <c r="PON420" s="416"/>
      <c r="POO420" s="416"/>
      <c r="POP420" s="416"/>
      <c r="POQ420" s="416"/>
      <c r="POR420" s="416"/>
      <c r="POS420" s="416"/>
      <c r="POT420" s="416"/>
      <c r="POU420" s="416"/>
      <c r="POV420" s="416"/>
      <c r="POW420" s="416"/>
      <c r="POX420" s="416"/>
      <c r="POY420" s="416"/>
      <c r="POZ420" s="416"/>
      <c r="PPA420" s="416"/>
      <c r="PPB420" s="416"/>
      <c r="PPC420" s="416"/>
      <c r="PPD420" s="416"/>
      <c r="PPE420" s="416"/>
      <c r="PPF420" s="416"/>
      <c r="PPG420" s="416"/>
      <c r="PPH420" s="416"/>
      <c r="PPI420" s="416"/>
      <c r="PPJ420" s="416"/>
      <c r="PPK420" s="416"/>
      <c r="PPL420" s="416"/>
      <c r="PPM420" s="416"/>
      <c r="PPN420" s="416"/>
      <c r="PPO420" s="416"/>
      <c r="PPP420" s="416"/>
      <c r="PPQ420" s="416"/>
      <c r="PPR420" s="416"/>
      <c r="PPS420" s="416"/>
      <c r="PPT420" s="416"/>
      <c r="PPU420" s="416"/>
      <c r="PPV420" s="416"/>
      <c r="PPW420" s="416"/>
      <c r="PPX420" s="416"/>
      <c r="PPY420" s="416"/>
      <c r="PPZ420" s="416"/>
      <c r="PQA420" s="416"/>
      <c r="PQB420" s="416"/>
      <c r="PQC420" s="416"/>
      <c r="PQD420" s="416"/>
      <c r="PQE420" s="416"/>
      <c r="PQF420" s="416"/>
      <c r="PQG420" s="416"/>
      <c r="PQH420" s="416"/>
      <c r="PQI420" s="416"/>
      <c r="PQJ420" s="416"/>
      <c r="PQK420" s="416"/>
      <c r="PQL420" s="416"/>
      <c r="PQM420" s="416"/>
      <c r="PQN420" s="416"/>
      <c r="PQO420" s="416"/>
      <c r="PQP420" s="416"/>
      <c r="PQQ420" s="416"/>
      <c r="PQR420" s="416"/>
      <c r="PQS420" s="416"/>
      <c r="PQT420" s="416"/>
      <c r="PQU420" s="416"/>
      <c r="PQV420" s="416"/>
      <c r="PQW420" s="416"/>
      <c r="PQX420" s="416"/>
      <c r="PQY420" s="416"/>
      <c r="PQZ420" s="416"/>
      <c r="PRA420" s="416"/>
      <c r="PRB420" s="416"/>
      <c r="PRC420" s="416"/>
      <c r="PRD420" s="416"/>
      <c r="PRE420" s="416"/>
      <c r="PRF420" s="416"/>
      <c r="PRG420" s="416"/>
      <c r="PRH420" s="416"/>
      <c r="PRI420" s="416"/>
      <c r="PRJ420" s="416"/>
      <c r="PRK420" s="416"/>
      <c r="PRL420" s="416"/>
      <c r="PRM420" s="416"/>
      <c r="PRN420" s="416"/>
      <c r="PRO420" s="416"/>
      <c r="PRP420" s="416"/>
      <c r="PRQ420" s="416"/>
      <c r="PRR420" s="416"/>
      <c r="PRS420" s="416"/>
      <c r="PRT420" s="416"/>
      <c r="PRU420" s="416"/>
      <c r="PRV420" s="416"/>
      <c r="PRW420" s="416"/>
      <c r="PRX420" s="416"/>
      <c r="PRY420" s="416"/>
      <c r="PRZ420" s="416"/>
      <c r="PSA420" s="416"/>
      <c r="PSB420" s="416"/>
      <c r="PSC420" s="416"/>
      <c r="PSD420" s="416"/>
      <c r="PSE420" s="416"/>
      <c r="PSF420" s="416"/>
      <c r="PSG420" s="416"/>
      <c r="PSH420" s="416"/>
      <c r="PSI420" s="416"/>
      <c r="PSJ420" s="416"/>
      <c r="PSK420" s="416"/>
      <c r="PSL420" s="416"/>
      <c r="PSM420" s="416"/>
      <c r="PSN420" s="416"/>
      <c r="PSO420" s="416"/>
      <c r="PSP420" s="416"/>
      <c r="PSQ420" s="416"/>
      <c r="PSR420" s="416"/>
      <c r="PSS420" s="416"/>
      <c r="PST420" s="416"/>
      <c r="PSU420" s="416"/>
      <c r="PSV420" s="416"/>
      <c r="PSW420" s="416"/>
      <c r="PSX420" s="416"/>
      <c r="PSY420" s="416"/>
      <c r="PSZ420" s="416"/>
      <c r="PTA420" s="416"/>
      <c r="PTB420" s="416"/>
      <c r="PTC420" s="416"/>
      <c r="PTD420" s="416"/>
      <c r="PTE420" s="416"/>
      <c r="PTF420" s="416"/>
      <c r="PTG420" s="416"/>
      <c r="PTH420" s="416"/>
      <c r="PTI420" s="416"/>
      <c r="PTJ420" s="416"/>
      <c r="PTK420" s="416"/>
      <c r="PTL420" s="416"/>
      <c r="PTM420" s="416"/>
      <c r="PTN420" s="416"/>
      <c r="PTO420" s="416"/>
      <c r="PTP420" s="416"/>
      <c r="PTQ420" s="416"/>
      <c r="PTR420" s="416"/>
      <c r="PTS420" s="416"/>
      <c r="PTT420" s="416"/>
      <c r="PTU420" s="416"/>
      <c r="PTV420" s="416"/>
      <c r="PTW420" s="416"/>
      <c r="PTX420" s="416"/>
      <c r="PTY420" s="416"/>
      <c r="PTZ420" s="416"/>
      <c r="PUA420" s="416"/>
      <c r="PUB420" s="416"/>
      <c r="PUC420" s="416"/>
      <c r="PUD420" s="416"/>
      <c r="PUE420" s="416"/>
      <c r="PUF420" s="416"/>
      <c r="PUG420" s="416"/>
      <c r="PUH420" s="416"/>
      <c r="PUI420" s="416"/>
      <c r="PUJ420" s="416"/>
      <c r="PUK420" s="416"/>
      <c r="PUL420" s="416"/>
      <c r="PUM420" s="416"/>
      <c r="PUN420" s="416"/>
      <c r="PUO420" s="416"/>
      <c r="PUP420" s="416"/>
      <c r="PUQ420" s="416"/>
      <c r="PUR420" s="416"/>
      <c r="PUS420" s="416"/>
      <c r="PUT420" s="416"/>
      <c r="PUU420" s="416"/>
      <c r="PUV420" s="416"/>
      <c r="PUW420" s="416"/>
      <c r="PUX420" s="416"/>
      <c r="PUY420" s="416"/>
      <c r="PUZ420" s="416"/>
      <c r="PVA420" s="416"/>
      <c r="PVB420" s="416"/>
      <c r="PVC420" s="416"/>
      <c r="PVD420" s="416"/>
      <c r="PVE420" s="416"/>
      <c r="PVF420" s="416"/>
      <c r="PVG420" s="416"/>
      <c r="PVH420" s="416"/>
      <c r="PVI420" s="416"/>
      <c r="PVJ420" s="416"/>
      <c r="PVK420" s="416"/>
      <c r="PVL420" s="416"/>
      <c r="PVM420" s="416"/>
      <c r="PVN420" s="416"/>
      <c r="PVO420" s="416"/>
      <c r="PVP420" s="416"/>
      <c r="PVQ420" s="416"/>
      <c r="PVR420" s="416"/>
      <c r="PVS420" s="416"/>
      <c r="PVT420" s="416"/>
      <c r="PVU420" s="416"/>
      <c r="PVV420" s="416"/>
      <c r="PVW420" s="416"/>
      <c r="PVX420" s="416"/>
      <c r="PVY420" s="416"/>
      <c r="PVZ420" s="416"/>
      <c r="PWA420" s="416"/>
      <c r="PWB420" s="416"/>
      <c r="PWC420" s="416"/>
      <c r="PWD420" s="416"/>
      <c r="PWE420" s="416"/>
      <c r="PWF420" s="416"/>
      <c r="PWG420" s="416"/>
      <c r="PWH420" s="416"/>
      <c r="PWI420" s="416"/>
      <c r="PWJ420" s="416"/>
      <c r="PWK420" s="416"/>
      <c r="PWL420" s="416"/>
      <c r="PWM420" s="416"/>
      <c r="PWN420" s="416"/>
      <c r="PWO420" s="416"/>
      <c r="PWP420" s="416"/>
      <c r="PWQ420" s="416"/>
      <c r="PWR420" s="416"/>
      <c r="PWS420" s="416"/>
      <c r="PWT420" s="416"/>
      <c r="PWU420" s="416"/>
      <c r="PWV420" s="416"/>
      <c r="PWW420" s="416"/>
      <c r="PWX420" s="416"/>
      <c r="PWY420" s="416"/>
      <c r="PWZ420" s="416"/>
      <c r="PXA420" s="416"/>
      <c r="PXB420" s="416"/>
      <c r="PXC420" s="416"/>
      <c r="PXD420" s="416"/>
      <c r="PXE420" s="416"/>
      <c r="PXF420" s="416"/>
      <c r="PXG420" s="416"/>
      <c r="PXH420" s="416"/>
      <c r="PXI420" s="416"/>
      <c r="PXJ420" s="416"/>
      <c r="PXK420" s="416"/>
      <c r="PXL420" s="416"/>
      <c r="PXM420" s="416"/>
      <c r="PXN420" s="416"/>
      <c r="PXO420" s="416"/>
      <c r="PXP420" s="416"/>
      <c r="PXQ420" s="416"/>
      <c r="PXR420" s="416"/>
      <c r="PXS420" s="416"/>
      <c r="PXT420" s="416"/>
      <c r="PXU420" s="416"/>
      <c r="PXV420" s="416"/>
      <c r="PXW420" s="416"/>
      <c r="PXX420" s="416"/>
      <c r="PXY420" s="416"/>
      <c r="PXZ420" s="416"/>
      <c r="PYA420" s="416"/>
      <c r="PYB420" s="416"/>
      <c r="PYC420" s="416"/>
      <c r="PYD420" s="416"/>
      <c r="PYE420" s="416"/>
      <c r="PYF420" s="416"/>
      <c r="PYG420" s="416"/>
      <c r="PYH420" s="416"/>
      <c r="PYI420" s="416"/>
      <c r="PYJ420" s="416"/>
      <c r="PYK420" s="416"/>
      <c r="PYL420" s="416"/>
      <c r="PYM420" s="416"/>
      <c r="PYN420" s="416"/>
      <c r="PYO420" s="416"/>
      <c r="PYP420" s="416"/>
      <c r="PYQ420" s="416"/>
      <c r="PYR420" s="416"/>
      <c r="PYS420" s="416"/>
      <c r="PYT420" s="416"/>
      <c r="PYU420" s="416"/>
      <c r="PYV420" s="416"/>
      <c r="PYW420" s="416"/>
      <c r="PYX420" s="416"/>
      <c r="PYY420" s="416"/>
      <c r="PYZ420" s="416"/>
      <c r="PZA420" s="416"/>
      <c r="PZB420" s="416"/>
      <c r="PZC420" s="416"/>
      <c r="PZD420" s="416"/>
      <c r="PZE420" s="416"/>
      <c r="PZF420" s="416"/>
      <c r="PZG420" s="416"/>
      <c r="PZH420" s="416"/>
      <c r="PZI420" s="416"/>
      <c r="PZJ420" s="416"/>
      <c r="PZK420" s="416"/>
      <c r="PZL420" s="416"/>
      <c r="PZM420" s="416"/>
      <c r="PZN420" s="416"/>
      <c r="PZO420" s="416"/>
      <c r="PZP420" s="416"/>
      <c r="PZQ420" s="416"/>
      <c r="PZR420" s="416"/>
      <c r="PZS420" s="416"/>
      <c r="PZT420" s="416"/>
      <c r="PZU420" s="416"/>
      <c r="PZV420" s="416"/>
      <c r="PZW420" s="416"/>
      <c r="PZX420" s="416"/>
      <c r="PZY420" s="416"/>
      <c r="PZZ420" s="416"/>
      <c r="QAA420" s="416"/>
      <c r="QAB420" s="416"/>
      <c r="QAC420" s="416"/>
      <c r="QAD420" s="416"/>
      <c r="QAE420" s="416"/>
      <c r="QAF420" s="416"/>
      <c r="QAG420" s="416"/>
      <c r="QAH420" s="416"/>
      <c r="QAI420" s="416"/>
      <c r="QAJ420" s="416"/>
      <c r="QAK420" s="416"/>
      <c r="QAL420" s="416"/>
      <c r="QAM420" s="416"/>
      <c r="QAN420" s="416"/>
      <c r="QAO420" s="416"/>
      <c r="QAP420" s="416"/>
      <c r="QAQ420" s="416"/>
      <c r="QAR420" s="416"/>
      <c r="QAS420" s="416"/>
      <c r="QAT420" s="416"/>
      <c r="QAU420" s="416"/>
      <c r="QAV420" s="416"/>
      <c r="QAW420" s="416"/>
      <c r="QAX420" s="416"/>
      <c r="QAY420" s="416"/>
      <c r="QAZ420" s="416"/>
      <c r="QBA420" s="416"/>
      <c r="QBB420" s="416"/>
      <c r="QBC420" s="416"/>
      <c r="QBD420" s="416"/>
      <c r="QBE420" s="416"/>
      <c r="QBF420" s="416"/>
      <c r="QBG420" s="416"/>
      <c r="QBH420" s="416"/>
      <c r="QBI420" s="416"/>
      <c r="QBJ420" s="416"/>
      <c r="QBK420" s="416"/>
      <c r="QBL420" s="416"/>
      <c r="QBM420" s="416"/>
      <c r="QBN420" s="416"/>
      <c r="QBO420" s="416"/>
      <c r="QBP420" s="416"/>
      <c r="QBQ420" s="416"/>
      <c r="QBR420" s="416"/>
      <c r="QBS420" s="416"/>
      <c r="QBT420" s="416"/>
      <c r="QBU420" s="416"/>
      <c r="QBV420" s="416"/>
      <c r="QBW420" s="416"/>
      <c r="QBX420" s="416"/>
      <c r="QBY420" s="416"/>
      <c r="QBZ420" s="416"/>
      <c r="QCA420" s="416"/>
      <c r="QCB420" s="416"/>
      <c r="QCC420" s="416"/>
      <c r="QCD420" s="416"/>
      <c r="QCE420" s="416"/>
      <c r="QCF420" s="416"/>
      <c r="QCG420" s="416"/>
      <c r="QCH420" s="416"/>
      <c r="QCI420" s="416"/>
      <c r="QCJ420" s="416"/>
      <c r="QCK420" s="416"/>
      <c r="QCL420" s="416"/>
      <c r="QCM420" s="416"/>
      <c r="QCN420" s="416"/>
      <c r="QCO420" s="416"/>
      <c r="QCP420" s="416"/>
      <c r="QCQ420" s="416"/>
      <c r="QCR420" s="416"/>
      <c r="QCS420" s="416"/>
      <c r="QCT420" s="416"/>
      <c r="QCU420" s="416"/>
      <c r="QCV420" s="416"/>
      <c r="QCW420" s="416"/>
      <c r="QCX420" s="416"/>
      <c r="QCY420" s="416"/>
      <c r="QCZ420" s="416"/>
      <c r="QDA420" s="416"/>
      <c r="QDB420" s="416"/>
      <c r="QDC420" s="416"/>
      <c r="QDD420" s="416"/>
      <c r="QDE420" s="416"/>
      <c r="QDF420" s="416"/>
      <c r="QDG420" s="416"/>
      <c r="QDH420" s="416"/>
      <c r="QDI420" s="416"/>
      <c r="QDJ420" s="416"/>
      <c r="QDK420" s="416"/>
      <c r="QDL420" s="416"/>
      <c r="QDM420" s="416"/>
      <c r="QDN420" s="416"/>
      <c r="QDO420" s="416"/>
      <c r="QDP420" s="416"/>
      <c r="QDQ420" s="416"/>
      <c r="QDR420" s="416"/>
      <c r="QDS420" s="416"/>
      <c r="QDT420" s="416"/>
      <c r="QDU420" s="416"/>
      <c r="QDV420" s="416"/>
      <c r="QDW420" s="416"/>
      <c r="QDX420" s="416"/>
      <c r="QDY420" s="416"/>
      <c r="QDZ420" s="416"/>
      <c r="QEA420" s="416"/>
      <c r="QEB420" s="416"/>
      <c r="QEC420" s="416"/>
      <c r="QED420" s="416"/>
      <c r="QEE420" s="416"/>
      <c r="QEF420" s="416"/>
      <c r="QEG420" s="416"/>
      <c r="QEH420" s="416"/>
      <c r="QEI420" s="416"/>
      <c r="QEJ420" s="416"/>
      <c r="QEK420" s="416"/>
      <c r="QEL420" s="416"/>
      <c r="QEM420" s="416"/>
      <c r="QEN420" s="416"/>
      <c r="QEO420" s="416"/>
      <c r="QEP420" s="416"/>
      <c r="QEQ420" s="416"/>
      <c r="QER420" s="416"/>
      <c r="QES420" s="416"/>
      <c r="QET420" s="416"/>
      <c r="QEU420" s="416"/>
      <c r="QEV420" s="416"/>
      <c r="QEW420" s="416"/>
      <c r="QEX420" s="416"/>
      <c r="QEY420" s="416"/>
      <c r="QEZ420" s="416"/>
      <c r="QFA420" s="416"/>
      <c r="QFB420" s="416"/>
      <c r="QFC420" s="416"/>
      <c r="QFD420" s="416"/>
      <c r="QFE420" s="416"/>
      <c r="QFF420" s="416"/>
      <c r="QFG420" s="416"/>
      <c r="QFH420" s="416"/>
      <c r="QFI420" s="416"/>
      <c r="QFJ420" s="416"/>
      <c r="QFK420" s="416"/>
      <c r="QFL420" s="416"/>
      <c r="QFM420" s="416"/>
      <c r="QFN420" s="416"/>
      <c r="QFO420" s="416"/>
      <c r="QFP420" s="416"/>
      <c r="QFQ420" s="416"/>
      <c r="QFR420" s="416"/>
      <c r="QFS420" s="416"/>
      <c r="QFT420" s="416"/>
      <c r="QFU420" s="416"/>
      <c r="QFV420" s="416"/>
      <c r="QFW420" s="416"/>
      <c r="QFX420" s="416"/>
      <c r="QFY420" s="416"/>
      <c r="QFZ420" s="416"/>
      <c r="QGA420" s="416"/>
      <c r="QGB420" s="416"/>
      <c r="QGC420" s="416"/>
      <c r="QGD420" s="416"/>
      <c r="QGE420" s="416"/>
      <c r="QGF420" s="416"/>
      <c r="QGG420" s="416"/>
      <c r="QGH420" s="416"/>
      <c r="QGI420" s="416"/>
      <c r="QGJ420" s="416"/>
      <c r="QGK420" s="416"/>
      <c r="QGL420" s="416"/>
      <c r="QGM420" s="416"/>
      <c r="QGN420" s="416"/>
      <c r="QGO420" s="416"/>
      <c r="QGP420" s="416"/>
      <c r="QGQ420" s="416"/>
      <c r="QGR420" s="416"/>
      <c r="QGS420" s="416"/>
      <c r="QGT420" s="416"/>
      <c r="QGU420" s="416"/>
      <c r="QGV420" s="416"/>
      <c r="QGW420" s="416"/>
      <c r="QGX420" s="416"/>
      <c r="QGY420" s="416"/>
      <c r="QGZ420" s="416"/>
      <c r="QHA420" s="416"/>
      <c r="QHB420" s="416"/>
      <c r="QHC420" s="416"/>
      <c r="QHD420" s="416"/>
      <c r="QHE420" s="416"/>
      <c r="QHF420" s="416"/>
      <c r="QHG420" s="416"/>
      <c r="QHH420" s="416"/>
      <c r="QHI420" s="416"/>
      <c r="QHJ420" s="416"/>
      <c r="QHK420" s="416"/>
      <c r="QHL420" s="416"/>
      <c r="QHM420" s="416"/>
      <c r="QHN420" s="416"/>
      <c r="QHO420" s="416"/>
      <c r="QHP420" s="416"/>
      <c r="QHQ420" s="416"/>
      <c r="QHR420" s="416"/>
      <c r="QHS420" s="416"/>
      <c r="QHT420" s="416"/>
      <c r="QHU420" s="416"/>
      <c r="QHV420" s="416"/>
      <c r="QHW420" s="416"/>
      <c r="QHX420" s="416"/>
      <c r="QHY420" s="416"/>
      <c r="QHZ420" s="416"/>
      <c r="QIA420" s="416"/>
      <c r="QIB420" s="416"/>
      <c r="QIC420" s="416"/>
      <c r="QID420" s="416"/>
      <c r="QIE420" s="416"/>
      <c r="QIF420" s="416"/>
      <c r="QIG420" s="416"/>
      <c r="QIH420" s="416"/>
      <c r="QII420" s="416"/>
      <c r="QIJ420" s="416"/>
      <c r="QIK420" s="416"/>
      <c r="QIL420" s="416"/>
      <c r="QIM420" s="416"/>
      <c r="QIN420" s="416"/>
      <c r="QIO420" s="416"/>
      <c r="QIP420" s="416"/>
      <c r="QIQ420" s="416"/>
      <c r="QIR420" s="416"/>
      <c r="QIS420" s="416"/>
      <c r="QIT420" s="416"/>
      <c r="QIU420" s="416"/>
      <c r="QIV420" s="416"/>
      <c r="QIW420" s="416"/>
      <c r="QIX420" s="416"/>
      <c r="QIY420" s="416"/>
      <c r="QIZ420" s="416"/>
      <c r="QJA420" s="416"/>
      <c r="QJB420" s="416"/>
      <c r="QJC420" s="416"/>
      <c r="QJD420" s="416"/>
      <c r="QJE420" s="416"/>
      <c r="QJF420" s="416"/>
      <c r="QJG420" s="416"/>
      <c r="QJH420" s="416"/>
      <c r="QJI420" s="416"/>
      <c r="QJJ420" s="416"/>
      <c r="QJK420" s="416"/>
      <c r="QJL420" s="416"/>
      <c r="QJM420" s="416"/>
      <c r="QJN420" s="416"/>
      <c r="QJO420" s="416"/>
      <c r="QJP420" s="416"/>
      <c r="QJQ420" s="416"/>
      <c r="QJR420" s="416"/>
      <c r="QJS420" s="416"/>
      <c r="QJT420" s="416"/>
      <c r="QJU420" s="416"/>
      <c r="QJV420" s="416"/>
      <c r="QJW420" s="416"/>
      <c r="QJX420" s="416"/>
      <c r="QJY420" s="416"/>
      <c r="QJZ420" s="416"/>
      <c r="QKA420" s="416"/>
      <c r="QKB420" s="416"/>
      <c r="QKC420" s="416"/>
      <c r="QKD420" s="416"/>
      <c r="QKE420" s="416"/>
      <c r="QKF420" s="416"/>
      <c r="QKG420" s="416"/>
      <c r="QKH420" s="416"/>
      <c r="QKI420" s="416"/>
      <c r="QKJ420" s="416"/>
      <c r="QKK420" s="416"/>
      <c r="QKL420" s="416"/>
      <c r="QKM420" s="416"/>
      <c r="QKN420" s="416"/>
      <c r="QKO420" s="416"/>
      <c r="QKP420" s="416"/>
      <c r="QKQ420" s="416"/>
      <c r="QKR420" s="416"/>
      <c r="QKS420" s="416"/>
      <c r="QKT420" s="416"/>
      <c r="QKU420" s="416"/>
      <c r="QKV420" s="416"/>
      <c r="QKW420" s="416"/>
      <c r="QKX420" s="416"/>
      <c r="QKY420" s="416"/>
      <c r="QKZ420" s="416"/>
      <c r="QLA420" s="416"/>
      <c r="QLB420" s="416"/>
      <c r="QLC420" s="416"/>
      <c r="QLD420" s="416"/>
      <c r="QLE420" s="416"/>
      <c r="QLF420" s="416"/>
      <c r="QLG420" s="416"/>
      <c r="QLH420" s="416"/>
      <c r="QLI420" s="416"/>
      <c r="QLJ420" s="416"/>
      <c r="QLK420" s="416"/>
      <c r="QLL420" s="416"/>
      <c r="QLM420" s="416"/>
      <c r="QLN420" s="416"/>
      <c r="QLO420" s="416"/>
      <c r="QLP420" s="416"/>
      <c r="QLQ420" s="416"/>
      <c r="QLR420" s="416"/>
      <c r="QLS420" s="416"/>
      <c r="QLT420" s="416"/>
      <c r="QLU420" s="416"/>
      <c r="QLV420" s="416"/>
      <c r="QLW420" s="416"/>
      <c r="QLX420" s="416"/>
      <c r="QLY420" s="416"/>
      <c r="QLZ420" s="416"/>
      <c r="QMA420" s="416"/>
      <c r="QMB420" s="416"/>
      <c r="QMC420" s="416"/>
      <c r="QMD420" s="416"/>
      <c r="QME420" s="416"/>
      <c r="QMF420" s="416"/>
      <c r="QMG420" s="416"/>
      <c r="QMH420" s="416"/>
      <c r="QMI420" s="416"/>
      <c r="QMJ420" s="416"/>
      <c r="QMK420" s="416"/>
      <c r="QML420" s="416"/>
      <c r="QMM420" s="416"/>
      <c r="QMN420" s="416"/>
      <c r="QMO420" s="416"/>
      <c r="QMP420" s="416"/>
      <c r="QMQ420" s="416"/>
      <c r="QMR420" s="416"/>
      <c r="QMS420" s="416"/>
      <c r="QMT420" s="416"/>
      <c r="QMU420" s="416"/>
      <c r="QMV420" s="416"/>
      <c r="QMW420" s="416"/>
      <c r="QMX420" s="416"/>
      <c r="QMY420" s="416"/>
      <c r="QMZ420" s="416"/>
      <c r="QNA420" s="416"/>
      <c r="QNB420" s="416"/>
      <c r="QNC420" s="416"/>
      <c r="QND420" s="416"/>
      <c r="QNE420" s="416"/>
      <c r="QNF420" s="416"/>
      <c r="QNG420" s="416"/>
      <c r="QNH420" s="416"/>
      <c r="QNI420" s="416"/>
      <c r="QNJ420" s="416"/>
      <c r="QNK420" s="416"/>
      <c r="QNL420" s="416"/>
      <c r="QNM420" s="416"/>
      <c r="QNN420" s="416"/>
      <c r="QNO420" s="416"/>
      <c r="QNP420" s="416"/>
      <c r="QNQ420" s="416"/>
      <c r="QNR420" s="416"/>
      <c r="QNS420" s="416"/>
      <c r="QNT420" s="416"/>
      <c r="QNU420" s="416"/>
      <c r="QNV420" s="416"/>
      <c r="QNW420" s="416"/>
      <c r="QNX420" s="416"/>
      <c r="QNY420" s="416"/>
      <c r="QNZ420" s="416"/>
      <c r="QOA420" s="416"/>
      <c r="QOB420" s="416"/>
      <c r="QOC420" s="416"/>
      <c r="QOD420" s="416"/>
      <c r="QOE420" s="416"/>
      <c r="QOF420" s="416"/>
      <c r="QOG420" s="416"/>
      <c r="QOH420" s="416"/>
      <c r="QOI420" s="416"/>
      <c r="QOJ420" s="416"/>
      <c r="QOK420" s="416"/>
      <c r="QOL420" s="416"/>
      <c r="QOM420" s="416"/>
      <c r="QON420" s="416"/>
      <c r="QOO420" s="416"/>
      <c r="QOP420" s="416"/>
      <c r="QOQ420" s="416"/>
      <c r="QOR420" s="416"/>
      <c r="QOS420" s="416"/>
      <c r="QOT420" s="416"/>
      <c r="QOU420" s="416"/>
      <c r="QOV420" s="416"/>
      <c r="QOW420" s="416"/>
      <c r="QOX420" s="416"/>
      <c r="QOY420" s="416"/>
      <c r="QOZ420" s="416"/>
      <c r="QPA420" s="416"/>
      <c r="QPB420" s="416"/>
      <c r="QPC420" s="416"/>
      <c r="QPD420" s="416"/>
      <c r="QPE420" s="416"/>
      <c r="QPF420" s="416"/>
      <c r="QPG420" s="416"/>
      <c r="QPH420" s="416"/>
      <c r="QPI420" s="416"/>
      <c r="QPJ420" s="416"/>
      <c r="QPK420" s="416"/>
      <c r="QPL420" s="416"/>
      <c r="QPM420" s="416"/>
      <c r="QPN420" s="416"/>
      <c r="QPO420" s="416"/>
      <c r="QPP420" s="416"/>
      <c r="QPQ420" s="416"/>
      <c r="QPR420" s="416"/>
      <c r="QPS420" s="416"/>
      <c r="QPT420" s="416"/>
      <c r="QPU420" s="416"/>
      <c r="QPV420" s="416"/>
      <c r="QPW420" s="416"/>
      <c r="QPX420" s="416"/>
      <c r="QPY420" s="416"/>
      <c r="QPZ420" s="416"/>
      <c r="QQA420" s="416"/>
      <c r="QQB420" s="416"/>
      <c r="QQC420" s="416"/>
      <c r="QQD420" s="416"/>
      <c r="QQE420" s="416"/>
      <c r="QQF420" s="416"/>
      <c r="QQG420" s="416"/>
      <c r="QQH420" s="416"/>
      <c r="QQI420" s="416"/>
      <c r="QQJ420" s="416"/>
      <c r="QQK420" s="416"/>
      <c r="QQL420" s="416"/>
      <c r="QQM420" s="416"/>
      <c r="QQN420" s="416"/>
      <c r="QQO420" s="416"/>
      <c r="QQP420" s="416"/>
      <c r="QQQ420" s="416"/>
      <c r="QQR420" s="416"/>
      <c r="QQS420" s="416"/>
      <c r="QQT420" s="416"/>
      <c r="QQU420" s="416"/>
      <c r="QQV420" s="416"/>
      <c r="QQW420" s="416"/>
      <c r="QQX420" s="416"/>
      <c r="QQY420" s="416"/>
      <c r="QQZ420" s="416"/>
      <c r="QRA420" s="416"/>
      <c r="QRB420" s="416"/>
      <c r="QRC420" s="416"/>
      <c r="QRD420" s="416"/>
      <c r="QRE420" s="416"/>
      <c r="QRF420" s="416"/>
      <c r="QRG420" s="416"/>
      <c r="QRH420" s="416"/>
      <c r="QRI420" s="416"/>
      <c r="QRJ420" s="416"/>
      <c r="QRK420" s="416"/>
      <c r="QRL420" s="416"/>
      <c r="QRM420" s="416"/>
      <c r="QRN420" s="416"/>
      <c r="QRO420" s="416"/>
      <c r="QRP420" s="416"/>
      <c r="QRQ420" s="416"/>
      <c r="QRR420" s="416"/>
      <c r="QRS420" s="416"/>
      <c r="QRT420" s="416"/>
      <c r="QRU420" s="416"/>
      <c r="QRV420" s="416"/>
      <c r="QRW420" s="416"/>
      <c r="QRX420" s="416"/>
      <c r="QRY420" s="416"/>
      <c r="QRZ420" s="416"/>
      <c r="QSA420" s="416"/>
      <c r="QSB420" s="416"/>
      <c r="QSC420" s="416"/>
      <c r="QSD420" s="416"/>
      <c r="QSE420" s="416"/>
      <c r="QSF420" s="416"/>
      <c r="QSG420" s="416"/>
      <c r="QSH420" s="416"/>
      <c r="QSI420" s="416"/>
      <c r="QSJ420" s="416"/>
      <c r="QSK420" s="416"/>
      <c r="QSL420" s="416"/>
      <c r="QSM420" s="416"/>
      <c r="QSN420" s="416"/>
      <c r="QSO420" s="416"/>
      <c r="QSP420" s="416"/>
      <c r="QSQ420" s="416"/>
      <c r="QSR420" s="416"/>
      <c r="QSS420" s="416"/>
      <c r="QST420" s="416"/>
      <c r="QSU420" s="416"/>
      <c r="QSV420" s="416"/>
      <c r="QSW420" s="416"/>
      <c r="QSX420" s="416"/>
      <c r="QSY420" s="416"/>
      <c r="QSZ420" s="416"/>
      <c r="QTA420" s="416"/>
      <c r="QTB420" s="416"/>
      <c r="QTC420" s="416"/>
      <c r="QTD420" s="416"/>
      <c r="QTE420" s="416"/>
      <c r="QTF420" s="416"/>
      <c r="QTG420" s="416"/>
      <c r="QTH420" s="416"/>
      <c r="QTI420" s="416"/>
      <c r="QTJ420" s="416"/>
      <c r="QTK420" s="416"/>
      <c r="QTL420" s="416"/>
      <c r="QTM420" s="416"/>
      <c r="QTN420" s="416"/>
      <c r="QTO420" s="416"/>
      <c r="QTP420" s="416"/>
      <c r="QTQ420" s="416"/>
      <c r="QTR420" s="416"/>
      <c r="QTS420" s="416"/>
      <c r="QTT420" s="416"/>
      <c r="QTU420" s="416"/>
      <c r="QTV420" s="416"/>
      <c r="QTW420" s="416"/>
      <c r="QTX420" s="416"/>
      <c r="QTY420" s="416"/>
      <c r="QTZ420" s="416"/>
      <c r="QUA420" s="416"/>
      <c r="QUB420" s="416"/>
      <c r="QUC420" s="416"/>
      <c r="QUD420" s="416"/>
      <c r="QUE420" s="416"/>
      <c r="QUF420" s="416"/>
      <c r="QUG420" s="416"/>
      <c r="QUH420" s="416"/>
      <c r="QUI420" s="416"/>
      <c r="QUJ420" s="416"/>
      <c r="QUK420" s="416"/>
      <c r="QUL420" s="416"/>
      <c r="QUM420" s="416"/>
      <c r="QUN420" s="416"/>
      <c r="QUO420" s="416"/>
      <c r="QUP420" s="416"/>
      <c r="QUQ420" s="416"/>
      <c r="QUR420" s="416"/>
      <c r="QUS420" s="416"/>
      <c r="QUT420" s="416"/>
      <c r="QUU420" s="416"/>
      <c r="QUV420" s="416"/>
      <c r="QUW420" s="416"/>
      <c r="QUX420" s="416"/>
      <c r="QUY420" s="416"/>
      <c r="QUZ420" s="416"/>
      <c r="QVA420" s="416"/>
      <c r="QVB420" s="416"/>
      <c r="QVC420" s="416"/>
      <c r="QVD420" s="416"/>
      <c r="QVE420" s="416"/>
      <c r="QVF420" s="416"/>
      <c r="QVG420" s="416"/>
      <c r="QVH420" s="416"/>
      <c r="QVI420" s="416"/>
      <c r="QVJ420" s="416"/>
      <c r="QVK420" s="416"/>
      <c r="QVL420" s="416"/>
      <c r="QVM420" s="416"/>
      <c r="QVN420" s="416"/>
      <c r="QVO420" s="416"/>
      <c r="QVP420" s="416"/>
      <c r="QVQ420" s="416"/>
      <c r="QVR420" s="416"/>
      <c r="QVS420" s="416"/>
      <c r="QVT420" s="416"/>
      <c r="QVU420" s="416"/>
      <c r="QVV420" s="416"/>
      <c r="QVW420" s="416"/>
      <c r="QVX420" s="416"/>
      <c r="QVY420" s="416"/>
      <c r="QVZ420" s="416"/>
      <c r="QWA420" s="416"/>
      <c r="QWB420" s="416"/>
      <c r="QWC420" s="416"/>
      <c r="QWD420" s="416"/>
      <c r="QWE420" s="416"/>
      <c r="QWF420" s="416"/>
      <c r="QWG420" s="416"/>
      <c r="QWH420" s="416"/>
      <c r="QWI420" s="416"/>
      <c r="QWJ420" s="416"/>
      <c r="QWK420" s="416"/>
      <c r="QWL420" s="416"/>
      <c r="QWM420" s="416"/>
      <c r="QWN420" s="416"/>
      <c r="QWO420" s="416"/>
      <c r="QWP420" s="416"/>
      <c r="QWQ420" s="416"/>
      <c r="QWR420" s="416"/>
      <c r="QWS420" s="416"/>
      <c r="QWT420" s="416"/>
      <c r="QWU420" s="416"/>
      <c r="QWV420" s="416"/>
      <c r="QWW420" s="416"/>
      <c r="QWX420" s="416"/>
      <c r="QWY420" s="416"/>
      <c r="QWZ420" s="416"/>
      <c r="QXA420" s="416"/>
      <c r="QXB420" s="416"/>
      <c r="QXC420" s="416"/>
      <c r="QXD420" s="416"/>
      <c r="QXE420" s="416"/>
      <c r="QXF420" s="416"/>
      <c r="QXG420" s="416"/>
      <c r="QXH420" s="416"/>
      <c r="QXI420" s="416"/>
      <c r="QXJ420" s="416"/>
      <c r="QXK420" s="416"/>
      <c r="QXL420" s="416"/>
      <c r="QXM420" s="416"/>
      <c r="QXN420" s="416"/>
      <c r="QXO420" s="416"/>
      <c r="QXP420" s="416"/>
      <c r="QXQ420" s="416"/>
      <c r="QXR420" s="416"/>
      <c r="QXS420" s="416"/>
      <c r="QXT420" s="416"/>
      <c r="QXU420" s="416"/>
      <c r="QXV420" s="416"/>
      <c r="QXW420" s="416"/>
      <c r="QXX420" s="416"/>
      <c r="QXY420" s="416"/>
      <c r="QXZ420" s="416"/>
      <c r="QYA420" s="416"/>
      <c r="QYB420" s="416"/>
      <c r="QYC420" s="416"/>
      <c r="QYD420" s="416"/>
      <c r="QYE420" s="416"/>
      <c r="QYF420" s="416"/>
      <c r="QYG420" s="416"/>
      <c r="QYH420" s="416"/>
      <c r="QYI420" s="416"/>
      <c r="QYJ420" s="416"/>
      <c r="QYK420" s="416"/>
      <c r="QYL420" s="416"/>
      <c r="QYM420" s="416"/>
      <c r="QYN420" s="416"/>
      <c r="QYO420" s="416"/>
      <c r="QYP420" s="416"/>
      <c r="QYQ420" s="416"/>
      <c r="QYR420" s="416"/>
      <c r="QYS420" s="416"/>
      <c r="QYT420" s="416"/>
      <c r="QYU420" s="416"/>
      <c r="QYV420" s="416"/>
      <c r="QYW420" s="416"/>
      <c r="QYX420" s="416"/>
      <c r="QYY420" s="416"/>
      <c r="QYZ420" s="416"/>
      <c r="QZA420" s="416"/>
      <c r="QZB420" s="416"/>
      <c r="QZC420" s="416"/>
      <c r="QZD420" s="416"/>
      <c r="QZE420" s="416"/>
      <c r="QZF420" s="416"/>
      <c r="QZG420" s="416"/>
      <c r="QZH420" s="416"/>
      <c r="QZI420" s="416"/>
      <c r="QZJ420" s="416"/>
      <c r="QZK420" s="416"/>
      <c r="QZL420" s="416"/>
      <c r="QZM420" s="416"/>
      <c r="QZN420" s="416"/>
      <c r="QZO420" s="416"/>
      <c r="QZP420" s="416"/>
      <c r="QZQ420" s="416"/>
      <c r="QZR420" s="416"/>
      <c r="QZS420" s="416"/>
      <c r="QZT420" s="416"/>
      <c r="QZU420" s="416"/>
      <c r="QZV420" s="416"/>
      <c r="QZW420" s="416"/>
      <c r="QZX420" s="416"/>
      <c r="QZY420" s="416"/>
      <c r="QZZ420" s="416"/>
      <c r="RAA420" s="416"/>
      <c r="RAB420" s="416"/>
      <c r="RAC420" s="416"/>
      <c r="RAD420" s="416"/>
      <c r="RAE420" s="416"/>
      <c r="RAF420" s="416"/>
      <c r="RAG420" s="416"/>
      <c r="RAH420" s="416"/>
      <c r="RAI420" s="416"/>
      <c r="RAJ420" s="416"/>
      <c r="RAK420" s="416"/>
      <c r="RAL420" s="416"/>
      <c r="RAM420" s="416"/>
      <c r="RAN420" s="416"/>
      <c r="RAO420" s="416"/>
      <c r="RAP420" s="416"/>
      <c r="RAQ420" s="416"/>
      <c r="RAR420" s="416"/>
      <c r="RAS420" s="416"/>
      <c r="RAT420" s="416"/>
      <c r="RAU420" s="416"/>
      <c r="RAV420" s="416"/>
      <c r="RAW420" s="416"/>
      <c r="RAX420" s="416"/>
      <c r="RAY420" s="416"/>
      <c r="RAZ420" s="416"/>
      <c r="RBA420" s="416"/>
      <c r="RBB420" s="416"/>
      <c r="RBC420" s="416"/>
      <c r="RBD420" s="416"/>
      <c r="RBE420" s="416"/>
      <c r="RBF420" s="416"/>
      <c r="RBG420" s="416"/>
      <c r="RBH420" s="416"/>
      <c r="RBI420" s="416"/>
      <c r="RBJ420" s="416"/>
      <c r="RBK420" s="416"/>
      <c r="RBL420" s="416"/>
      <c r="RBM420" s="416"/>
      <c r="RBN420" s="416"/>
      <c r="RBO420" s="416"/>
      <c r="RBP420" s="416"/>
      <c r="RBQ420" s="416"/>
      <c r="RBR420" s="416"/>
      <c r="RBS420" s="416"/>
      <c r="RBT420" s="416"/>
      <c r="RBU420" s="416"/>
      <c r="RBV420" s="416"/>
      <c r="RBW420" s="416"/>
      <c r="RBX420" s="416"/>
      <c r="RBY420" s="416"/>
      <c r="RBZ420" s="416"/>
      <c r="RCA420" s="416"/>
      <c r="RCB420" s="416"/>
      <c r="RCC420" s="416"/>
      <c r="RCD420" s="416"/>
      <c r="RCE420" s="416"/>
      <c r="RCF420" s="416"/>
      <c r="RCG420" s="416"/>
      <c r="RCH420" s="416"/>
      <c r="RCI420" s="416"/>
      <c r="RCJ420" s="416"/>
      <c r="RCK420" s="416"/>
      <c r="RCL420" s="416"/>
      <c r="RCM420" s="416"/>
      <c r="RCN420" s="416"/>
      <c r="RCO420" s="416"/>
      <c r="RCP420" s="416"/>
      <c r="RCQ420" s="416"/>
      <c r="RCR420" s="416"/>
      <c r="RCS420" s="416"/>
      <c r="RCT420" s="416"/>
      <c r="RCU420" s="416"/>
      <c r="RCV420" s="416"/>
      <c r="RCW420" s="416"/>
      <c r="RCX420" s="416"/>
      <c r="RCY420" s="416"/>
      <c r="RCZ420" s="416"/>
      <c r="RDA420" s="416"/>
      <c r="RDB420" s="416"/>
      <c r="RDC420" s="416"/>
      <c r="RDD420" s="416"/>
      <c r="RDE420" s="416"/>
      <c r="RDF420" s="416"/>
      <c r="RDG420" s="416"/>
      <c r="RDH420" s="416"/>
      <c r="RDI420" s="416"/>
      <c r="RDJ420" s="416"/>
      <c r="RDK420" s="416"/>
      <c r="RDL420" s="416"/>
      <c r="RDM420" s="416"/>
      <c r="RDN420" s="416"/>
      <c r="RDO420" s="416"/>
      <c r="RDP420" s="416"/>
      <c r="RDQ420" s="416"/>
      <c r="RDR420" s="416"/>
      <c r="RDS420" s="416"/>
      <c r="RDT420" s="416"/>
      <c r="RDU420" s="416"/>
      <c r="RDV420" s="416"/>
      <c r="RDW420" s="416"/>
      <c r="RDX420" s="416"/>
      <c r="RDY420" s="416"/>
      <c r="RDZ420" s="416"/>
      <c r="REA420" s="416"/>
      <c r="REB420" s="416"/>
      <c r="REC420" s="416"/>
      <c r="RED420" s="416"/>
      <c r="REE420" s="416"/>
      <c r="REF420" s="416"/>
      <c r="REG420" s="416"/>
      <c r="REH420" s="416"/>
      <c r="REI420" s="416"/>
      <c r="REJ420" s="416"/>
      <c r="REK420" s="416"/>
      <c r="REL420" s="416"/>
      <c r="REM420" s="416"/>
      <c r="REN420" s="416"/>
      <c r="REO420" s="416"/>
      <c r="REP420" s="416"/>
      <c r="REQ420" s="416"/>
      <c r="RER420" s="416"/>
      <c r="RES420" s="416"/>
      <c r="RET420" s="416"/>
      <c r="REU420" s="416"/>
      <c r="REV420" s="416"/>
      <c r="REW420" s="416"/>
      <c r="REX420" s="416"/>
      <c r="REY420" s="416"/>
      <c r="REZ420" s="416"/>
      <c r="RFA420" s="416"/>
      <c r="RFB420" s="416"/>
      <c r="RFC420" s="416"/>
      <c r="RFD420" s="416"/>
      <c r="RFE420" s="416"/>
      <c r="RFF420" s="416"/>
      <c r="RFG420" s="416"/>
      <c r="RFH420" s="416"/>
      <c r="RFI420" s="416"/>
      <c r="RFJ420" s="416"/>
      <c r="RFK420" s="416"/>
      <c r="RFL420" s="416"/>
      <c r="RFM420" s="416"/>
      <c r="RFN420" s="416"/>
      <c r="RFO420" s="416"/>
      <c r="RFP420" s="416"/>
      <c r="RFQ420" s="416"/>
      <c r="RFR420" s="416"/>
      <c r="RFS420" s="416"/>
      <c r="RFT420" s="416"/>
      <c r="RFU420" s="416"/>
      <c r="RFV420" s="416"/>
      <c r="RFW420" s="416"/>
      <c r="RFX420" s="416"/>
      <c r="RFY420" s="416"/>
      <c r="RFZ420" s="416"/>
      <c r="RGA420" s="416"/>
      <c r="RGB420" s="416"/>
      <c r="RGC420" s="416"/>
      <c r="RGD420" s="416"/>
      <c r="RGE420" s="416"/>
      <c r="RGF420" s="416"/>
      <c r="RGG420" s="416"/>
      <c r="RGH420" s="416"/>
      <c r="RGI420" s="416"/>
      <c r="RGJ420" s="416"/>
      <c r="RGK420" s="416"/>
      <c r="RGL420" s="416"/>
      <c r="RGM420" s="416"/>
      <c r="RGN420" s="416"/>
      <c r="RGO420" s="416"/>
      <c r="RGP420" s="416"/>
      <c r="RGQ420" s="416"/>
      <c r="RGR420" s="416"/>
      <c r="RGS420" s="416"/>
      <c r="RGT420" s="416"/>
      <c r="RGU420" s="416"/>
      <c r="RGV420" s="416"/>
      <c r="RGW420" s="416"/>
      <c r="RGX420" s="416"/>
      <c r="RGY420" s="416"/>
      <c r="RGZ420" s="416"/>
      <c r="RHA420" s="416"/>
      <c r="RHB420" s="416"/>
      <c r="RHC420" s="416"/>
      <c r="RHD420" s="416"/>
      <c r="RHE420" s="416"/>
      <c r="RHF420" s="416"/>
      <c r="RHG420" s="416"/>
      <c r="RHH420" s="416"/>
      <c r="RHI420" s="416"/>
      <c r="RHJ420" s="416"/>
      <c r="RHK420" s="416"/>
      <c r="RHL420" s="416"/>
      <c r="RHM420" s="416"/>
      <c r="RHN420" s="416"/>
      <c r="RHO420" s="416"/>
      <c r="RHP420" s="416"/>
      <c r="RHQ420" s="416"/>
      <c r="RHR420" s="416"/>
      <c r="RHS420" s="416"/>
      <c r="RHT420" s="416"/>
      <c r="RHU420" s="416"/>
      <c r="RHV420" s="416"/>
      <c r="RHW420" s="416"/>
      <c r="RHX420" s="416"/>
      <c r="RHY420" s="416"/>
      <c r="RHZ420" s="416"/>
      <c r="RIA420" s="416"/>
      <c r="RIB420" s="416"/>
      <c r="RIC420" s="416"/>
      <c r="RID420" s="416"/>
      <c r="RIE420" s="416"/>
      <c r="RIF420" s="416"/>
      <c r="RIG420" s="416"/>
      <c r="RIH420" s="416"/>
      <c r="RII420" s="416"/>
      <c r="RIJ420" s="416"/>
      <c r="RIK420" s="416"/>
      <c r="RIL420" s="416"/>
      <c r="RIM420" s="416"/>
      <c r="RIN420" s="416"/>
      <c r="RIO420" s="416"/>
      <c r="RIP420" s="416"/>
      <c r="RIQ420" s="416"/>
      <c r="RIR420" s="416"/>
      <c r="RIS420" s="416"/>
      <c r="RIT420" s="416"/>
      <c r="RIU420" s="416"/>
      <c r="RIV420" s="416"/>
      <c r="RIW420" s="416"/>
      <c r="RIX420" s="416"/>
      <c r="RIY420" s="416"/>
      <c r="RIZ420" s="416"/>
      <c r="RJA420" s="416"/>
      <c r="RJB420" s="416"/>
      <c r="RJC420" s="416"/>
      <c r="RJD420" s="416"/>
      <c r="RJE420" s="416"/>
      <c r="RJF420" s="416"/>
      <c r="RJG420" s="416"/>
      <c r="RJH420" s="416"/>
      <c r="RJI420" s="416"/>
      <c r="RJJ420" s="416"/>
      <c r="RJK420" s="416"/>
      <c r="RJL420" s="416"/>
      <c r="RJM420" s="416"/>
      <c r="RJN420" s="416"/>
      <c r="RJO420" s="416"/>
      <c r="RJP420" s="416"/>
      <c r="RJQ420" s="416"/>
      <c r="RJR420" s="416"/>
      <c r="RJS420" s="416"/>
      <c r="RJT420" s="416"/>
      <c r="RJU420" s="416"/>
      <c r="RJV420" s="416"/>
      <c r="RJW420" s="416"/>
      <c r="RJX420" s="416"/>
      <c r="RJY420" s="416"/>
      <c r="RJZ420" s="416"/>
      <c r="RKA420" s="416"/>
      <c r="RKB420" s="416"/>
      <c r="RKC420" s="416"/>
      <c r="RKD420" s="416"/>
      <c r="RKE420" s="416"/>
      <c r="RKF420" s="416"/>
      <c r="RKG420" s="416"/>
      <c r="RKH420" s="416"/>
      <c r="RKI420" s="416"/>
      <c r="RKJ420" s="416"/>
      <c r="RKK420" s="416"/>
      <c r="RKL420" s="416"/>
      <c r="RKM420" s="416"/>
      <c r="RKN420" s="416"/>
      <c r="RKO420" s="416"/>
      <c r="RKP420" s="416"/>
      <c r="RKQ420" s="416"/>
      <c r="RKR420" s="416"/>
      <c r="RKS420" s="416"/>
      <c r="RKT420" s="416"/>
      <c r="RKU420" s="416"/>
      <c r="RKV420" s="416"/>
      <c r="RKW420" s="416"/>
      <c r="RKX420" s="416"/>
      <c r="RKY420" s="416"/>
      <c r="RKZ420" s="416"/>
      <c r="RLA420" s="416"/>
      <c r="RLB420" s="416"/>
      <c r="RLC420" s="416"/>
      <c r="RLD420" s="416"/>
      <c r="RLE420" s="416"/>
      <c r="RLF420" s="416"/>
      <c r="RLG420" s="416"/>
      <c r="RLH420" s="416"/>
      <c r="RLI420" s="416"/>
      <c r="RLJ420" s="416"/>
      <c r="RLK420" s="416"/>
      <c r="RLL420" s="416"/>
      <c r="RLM420" s="416"/>
      <c r="RLN420" s="416"/>
      <c r="RLO420" s="416"/>
      <c r="RLP420" s="416"/>
      <c r="RLQ420" s="416"/>
      <c r="RLR420" s="416"/>
      <c r="RLS420" s="416"/>
      <c r="RLT420" s="416"/>
      <c r="RLU420" s="416"/>
      <c r="RLV420" s="416"/>
      <c r="RLW420" s="416"/>
      <c r="RLX420" s="416"/>
      <c r="RLY420" s="416"/>
      <c r="RLZ420" s="416"/>
      <c r="RMA420" s="416"/>
      <c r="RMB420" s="416"/>
      <c r="RMC420" s="416"/>
      <c r="RMD420" s="416"/>
      <c r="RME420" s="416"/>
      <c r="RMF420" s="416"/>
      <c r="RMG420" s="416"/>
      <c r="RMH420" s="416"/>
      <c r="RMI420" s="416"/>
      <c r="RMJ420" s="416"/>
      <c r="RMK420" s="416"/>
      <c r="RML420" s="416"/>
      <c r="RMM420" s="416"/>
      <c r="RMN420" s="416"/>
      <c r="RMO420" s="416"/>
      <c r="RMP420" s="416"/>
      <c r="RMQ420" s="416"/>
      <c r="RMR420" s="416"/>
      <c r="RMS420" s="416"/>
      <c r="RMT420" s="416"/>
      <c r="RMU420" s="416"/>
      <c r="RMV420" s="416"/>
      <c r="RMW420" s="416"/>
      <c r="RMX420" s="416"/>
      <c r="RMY420" s="416"/>
      <c r="RMZ420" s="416"/>
      <c r="RNA420" s="416"/>
      <c r="RNB420" s="416"/>
      <c r="RNC420" s="416"/>
      <c r="RND420" s="416"/>
      <c r="RNE420" s="416"/>
      <c r="RNF420" s="416"/>
      <c r="RNG420" s="416"/>
      <c r="RNH420" s="416"/>
      <c r="RNI420" s="416"/>
      <c r="RNJ420" s="416"/>
      <c r="RNK420" s="416"/>
      <c r="RNL420" s="416"/>
      <c r="RNM420" s="416"/>
      <c r="RNN420" s="416"/>
      <c r="RNO420" s="416"/>
      <c r="RNP420" s="416"/>
      <c r="RNQ420" s="416"/>
      <c r="RNR420" s="416"/>
      <c r="RNS420" s="416"/>
      <c r="RNT420" s="416"/>
      <c r="RNU420" s="416"/>
      <c r="RNV420" s="416"/>
      <c r="RNW420" s="416"/>
      <c r="RNX420" s="416"/>
      <c r="RNY420" s="416"/>
      <c r="RNZ420" s="416"/>
      <c r="ROA420" s="416"/>
      <c r="ROB420" s="416"/>
      <c r="ROC420" s="416"/>
      <c r="ROD420" s="416"/>
      <c r="ROE420" s="416"/>
      <c r="ROF420" s="416"/>
      <c r="ROG420" s="416"/>
      <c r="ROH420" s="416"/>
      <c r="ROI420" s="416"/>
      <c r="ROJ420" s="416"/>
      <c r="ROK420" s="416"/>
      <c r="ROL420" s="416"/>
      <c r="ROM420" s="416"/>
      <c r="RON420" s="416"/>
      <c r="ROO420" s="416"/>
      <c r="ROP420" s="416"/>
      <c r="ROQ420" s="416"/>
      <c r="ROR420" s="416"/>
      <c r="ROS420" s="416"/>
      <c r="ROT420" s="416"/>
      <c r="ROU420" s="416"/>
      <c r="ROV420" s="416"/>
      <c r="ROW420" s="416"/>
      <c r="ROX420" s="416"/>
      <c r="ROY420" s="416"/>
      <c r="ROZ420" s="416"/>
      <c r="RPA420" s="416"/>
      <c r="RPB420" s="416"/>
      <c r="RPC420" s="416"/>
      <c r="RPD420" s="416"/>
      <c r="RPE420" s="416"/>
      <c r="RPF420" s="416"/>
      <c r="RPG420" s="416"/>
      <c r="RPH420" s="416"/>
      <c r="RPI420" s="416"/>
      <c r="RPJ420" s="416"/>
      <c r="RPK420" s="416"/>
      <c r="RPL420" s="416"/>
      <c r="RPM420" s="416"/>
      <c r="RPN420" s="416"/>
      <c r="RPO420" s="416"/>
      <c r="RPP420" s="416"/>
      <c r="RPQ420" s="416"/>
      <c r="RPR420" s="416"/>
      <c r="RPS420" s="416"/>
      <c r="RPT420" s="416"/>
      <c r="RPU420" s="416"/>
      <c r="RPV420" s="416"/>
      <c r="RPW420" s="416"/>
      <c r="RPX420" s="416"/>
      <c r="RPY420" s="416"/>
      <c r="RPZ420" s="416"/>
      <c r="RQA420" s="416"/>
      <c r="RQB420" s="416"/>
      <c r="RQC420" s="416"/>
      <c r="RQD420" s="416"/>
      <c r="RQE420" s="416"/>
      <c r="RQF420" s="416"/>
      <c r="RQG420" s="416"/>
      <c r="RQH420" s="416"/>
      <c r="RQI420" s="416"/>
      <c r="RQJ420" s="416"/>
      <c r="RQK420" s="416"/>
      <c r="RQL420" s="416"/>
      <c r="RQM420" s="416"/>
      <c r="RQN420" s="416"/>
      <c r="RQO420" s="416"/>
      <c r="RQP420" s="416"/>
      <c r="RQQ420" s="416"/>
      <c r="RQR420" s="416"/>
      <c r="RQS420" s="416"/>
      <c r="RQT420" s="416"/>
      <c r="RQU420" s="416"/>
      <c r="RQV420" s="416"/>
      <c r="RQW420" s="416"/>
      <c r="RQX420" s="416"/>
      <c r="RQY420" s="416"/>
      <c r="RQZ420" s="416"/>
      <c r="RRA420" s="416"/>
      <c r="RRB420" s="416"/>
      <c r="RRC420" s="416"/>
      <c r="RRD420" s="416"/>
      <c r="RRE420" s="416"/>
      <c r="RRF420" s="416"/>
      <c r="RRG420" s="416"/>
      <c r="RRH420" s="416"/>
      <c r="RRI420" s="416"/>
      <c r="RRJ420" s="416"/>
      <c r="RRK420" s="416"/>
      <c r="RRL420" s="416"/>
      <c r="RRM420" s="416"/>
      <c r="RRN420" s="416"/>
      <c r="RRO420" s="416"/>
      <c r="RRP420" s="416"/>
      <c r="RRQ420" s="416"/>
      <c r="RRR420" s="416"/>
      <c r="RRS420" s="416"/>
      <c r="RRT420" s="416"/>
      <c r="RRU420" s="416"/>
      <c r="RRV420" s="416"/>
      <c r="RRW420" s="416"/>
      <c r="RRX420" s="416"/>
      <c r="RRY420" s="416"/>
      <c r="RRZ420" s="416"/>
      <c r="RSA420" s="416"/>
      <c r="RSB420" s="416"/>
      <c r="RSC420" s="416"/>
      <c r="RSD420" s="416"/>
      <c r="RSE420" s="416"/>
      <c r="RSF420" s="416"/>
      <c r="RSG420" s="416"/>
      <c r="RSH420" s="416"/>
      <c r="RSI420" s="416"/>
      <c r="RSJ420" s="416"/>
      <c r="RSK420" s="416"/>
      <c r="RSL420" s="416"/>
      <c r="RSM420" s="416"/>
      <c r="RSN420" s="416"/>
      <c r="RSO420" s="416"/>
      <c r="RSP420" s="416"/>
      <c r="RSQ420" s="416"/>
      <c r="RSR420" s="416"/>
      <c r="RSS420" s="416"/>
      <c r="RST420" s="416"/>
      <c r="RSU420" s="416"/>
      <c r="RSV420" s="416"/>
      <c r="RSW420" s="416"/>
      <c r="RSX420" s="416"/>
      <c r="RSY420" s="416"/>
      <c r="RSZ420" s="416"/>
      <c r="RTA420" s="416"/>
      <c r="RTB420" s="416"/>
      <c r="RTC420" s="416"/>
      <c r="RTD420" s="416"/>
      <c r="RTE420" s="416"/>
      <c r="RTF420" s="416"/>
      <c r="RTG420" s="416"/>
      <c r="RTH420" s="416"/>
      <c r="RTI420" s="416"/>
      <c r="RTJ420" s="416"/>
      <c r="RTK420" s="416"/>
      <c r="RTL420" s="416"/>
      <c r="RTM420" s="416"/>
      <c r="RTN420" s="416"/>
      <c r="RTO420" s="416"/>
      <c r="RTP420" s="416"/>
      <c r="RTQ420" s="416"/>
      <c r="RTR420" s="416"/>
      <c r="RTS420" s="416"/>
      <c r="RTT420" s="416"/>
      <c r="RTU420" s="416"/>
      <c r="RTV420" s="416"/>
      <c r="RTW420" s="416"/>
      <c r="RTX420" s="416"/>
      <c r="RTY420" s="416"/>
      <c r="RTZ420" s="416"/>
      <c r="RUA420" s="416"/>
      <c r="RUB420" s="416"/>
      <c r="RUC420" s="416"/>
      <c r="RUD420" s="416"/>
      <c r="RUE420" s="416"/>
      <c r="RUF420" s="416"/>
      <c r="RUG420" s="416"/>
      <c r="RUH420" s="416"/>
      <c r="RUI420" s="416"/>
      <c r="RUJ420" s="416"/>
      <c r="RUK420" s="416"/>
      <c r="RUL420" s="416"/>
      <c r="RUM420" s="416"/>
      <c r="RUN420" s="416"/>
      <c r="RUO420" s="416"/>
      <c r="RUP420" s="416"/>
      <c r="RUQ420" s="416"/>
      <c r="RUR420" s="416"/>
      <c r="RUS420" s="416"/>
      <c r="RUT420" s="416"/>
      <c r="RUU420" s="416"/>
      <c r="RUV420" s="416"/>
      <c r="RUW420" s="416"/>
      <c r="RUX420" s="416"/>
      <c r="RUY420" s="416"/>
      <c r="RUZ420" s="416"/>
      <c r="RVA420" s="416"/>
      <c r="RVB420" s="416"/>
      <c r="RVC420" s="416"/>
      <c r="RVD420" s="416"/>
      <c r="RVE420" s="416"/>
      <c r="RVF420" s="416"/>
      <c r="RVG420" s="416"/>
      <c r="RVH420" s="416"/>
      <c r="RVI420" s="416"/>
      <c r="RVJ420" s="416"/>
      <c r="RVK420" s="416"/>
      <c r="RVL420" s="416"/>
      <c r="RVM420" s="416"/>
      <c r="RVN420" s="416"/>
      <c r="RVO420" s="416"/>
      <c r="RVP420" s="416"/>
      <c r="RVQ420" s="416"/>
      <c r="RVR420" s="416"/>
      <c r="RVS420" s="416"/>
      <c r="RVT420" s="416"/>
      <c r="RVU420" s="416"/>
      <c r="RVV420" s="416"/>
      <c r="RVW420" s="416"/>
      <c r="RVX420" s="416"/>
      <c r="RVY420" s="416"/>
      <c r="RVZ420" s="416"/>
      <c r="RWA420" s="416"/>
      <c r="RWB420" s="416"/>
      <c r="RWC420" s="416"/>
      <c r="RWD420" s="416"/>
      <c r="RWE420" s="416"/>
      <c r="RWF420" s="416"/>
      <c r="RWG420" s="416"/>
      <c r="RWH420" s="416"/>
      <c r="RWI420" s="416"/>
      <c r="RWJ420" s="416"/>
      <c r="RWK420" s="416"/>
      <c r="RWL420" s="416"/>
      <c r="RWM420" s="416"/>
      <c r="RWN420" s="416"/>
      <c r="RWO420" s="416"/>
      <c r="RWP420" s="416"/>
      <c r="RWQ420" s="416"/>
      <c r="RWR420" s="416"/>
      <c r="RWS420" s="416"/>
      <c r="RWT420" s="416"/>
      <c r="RWU420" s="416"/>
      <c r="RWV420" s="416"/>
      <c r="RWW420" s="416"/>
      <c r="RWX420" s="416"/>
      <c r="RWY420" s="416"/>
      <c r="RWZ420" s="416"/>
      <c r="RXA420" s="416"/>
      <c r="RXB420" s="416"/>
      <c r="RXC420" s="416"/>
      <c r="RXD420" s="416"/>
      <c r="RXE420" s="416"/>
      <c r="RXF420" s="416"/>
      <c r="RXG420" s="416"/>
      <c r="RXH420" s="416"/>
      <c r="RXI420" s="416"/>
      <c r="RXJ420" s="416"/>
      <c r="RXK420" s="416"/>
      <c r="RXL420" s="416"/>
      <c r="RXM420" s="416"/>
      <c r="RXN420" s="416"/>
      <c r="RXO420" s="416"/>
      <c r="RXP420" s="416"/>
      <c r="RXQ420" s="416"/>
      <c r="RXR420" s="416"/>
      <c r="RXS420" s="416"/>
      <c r="RXT420" s="416"/>
      <c r="RXU420" s="416"/>
      <c r="RXV420" s="416"/>
      <c r="RXW420" s="416"/>
      <c r="RXX420" s="416"/>
      <c r="RXY420" s="416"/>
      <c r="RXZ420" s="416"/>
      <c r="RYA420" s="416"/>
      <c r="RYB420" s="416"/>
      <c r="RYC420" s="416"/>
      <c r="RYD420" s="416"/>
      <c r="RYE420" s="416"/>
      <c r="RYF420" s="416"/>
      <c r="RYG420" s="416"/>
      <c r="RYH420" s="416"/>
      <c r="RYI420" s="416"/>
      <c r="RYJ420" s="416"/>
      <c r="RYK420" s="416"/>
      <c r="RYL420" s="416"/>
      <c r="RYM420" s="416"/>
      <c r="RYN420" s="416"/>
      <c r="RYO420" s="416"/>
      <c r="RYP420" s="416"/>
      <c r="RYQ420" s="416"/>
      <c r="RYR420" s="416"/>
      <c r="RYS420" s="416"/>
      <c r="RYT420" s="416"/>
      <c r="RYU420" s="416"/>
      <c r="RYV420" s="416"/>
      <c r="RYW420" s="416"/>
      <c r="RYX420" s="416"/>
      <c r="RYY420" s="416"/>
      <c r="RYZ420" s="416"/>
      <c r="RZA420" s="416"/>
      <c r="RZB420" s="416"/>
      <c r="RZC420" s="416"/>
      <c r="RZD420" s="416"/>
      <c r="RZE420" s="416"/>
      <c r="RZF420" s="416"/>
      <c r="RZG420" s="416"/>
      <c r="RZH420" s="416"/>
      <c r="RZI420" s="416"/>
      <c r="RZJ420" s="416"/>
      <c r="RZK420" s="416"/>
      <c r="RZL420" s="416"/>
      <c r="RZM420" s="416"/>
      <c r="RZN420" s="416"/>
      <c r="RZO420" s="416"/>
      <c r="RZP420" s="416"/>
      <c r="RZQ420" s="416"/>
      <c r="RZR420" s="416"/>
      <c r="RZS420" s="416"/>
      <c r="RZT420" s="416"/>
      <c r="RZU420" s="416"/>
      <c r="RZV420" s="416"/>
      <c r="RZW420" s="416"/>
      <c r="RZX420" s="416"/>
      <c r="RZY420" s="416"/>
      <c r="RZZ420" s="416"/>
      <c r="SAA420" s="416"/>
      <c r="SAB420" s="416"/>
      <c r="SAC420" s="416"/>
      <c r="SAD420" s="416"/>
      <c r="SAE420" s="416"/>
      <c r="SAF420" s="416"/>
      <c r="SAG420" s="416"/>
      <c r="SAH420" s="416"/>
      <c r="SAI420" s="416"/>
      <c r="SAJ420" s="416"/>
      <c r="SAK420" s="416"/>
      <c r="SAL420" s="416"/>
      <c r="SAM420" s="416"/>
      <c r="SAN420" s="416"/>
      <c r="SAO420" s="416"/>
      <c r="SAP420" s="416"/>
      <c r="SAQ420" s="416"/>
      <c r="SAR420" s="416"/>
      <c r="SAS420" s="416"/>
      <c r="SAT420" s="416"/>
      <c r="SAU420" s="416"/>
      <c r="SAV420" s="416"/>
      <c r="SAW420" s="416"/>
      <c r="SAX420" s="416"/>
      <c r="SAY420" s="416"/>
      <c r="SAZ420" s="416"/>
      <c r="SBA420" s="416"/>
      <c r="SBB420" s="416"/>
      <c r="SBC420" s="416"/>
      <c r="SBD420" s="416"/>
      <c r="SBE420" s="416"/>
      <c r="SBF420" s="416"/>
      <c r="SBG420" s="416"/>
      <c r="SBH420" s="416"/>
      <c r="SBI420" s="416"/>
      <c r="SBJ420" s="416"/>
      <c r="SBK420" s="416"/>
      <c r="SBL420" s="416"/>
      <c r="SBM420" s="416"/>
      <c r="SBN420" s="416"/>
      <c r="SBO420" s="416"/>
      <c r="SBP420" s="416"/>
      <c r="SBQ420" s="416"/>
      <c r="SBR420" s="416"/>
      <c r="SBS420" s="416"/>
      <c r="SBT420" s="416"/>
      <c r="SBU420" s="416"/>
      <c r="SBV420" s="416"/>
      <c r="SBW420" s="416"/>
      <c r="SBX420" s="416"/>
      <c r="SBY420" s="416"/>
      <c r="SBZ420" s="416"/>
      <c r="SCA420" s="416"/>
      <c r="SCB420" s="416"/>
      <c r="SCC420" s="416"/>
      <c r="SCD420" s="416"/>
      <c r="SCE420" s="416"/>
      <c r="SCF420" s="416"/>
      <c r="SCG420" s="416"/>
      <c r="SCH420" s="416"/>
      <c r="SCI420" s="416"/>
      <c r="SCJ420" s="416"/>
      <c r="SCK420" s="416"/>
      <c r="SCL420" s="416"/>
      <c r="SCM420" s="416"/>
      <c r="SCN420" s="416"/>
      <c r="SCO420" s="416"/>
      <c r="SCP420" s="416"/>
      <c r="SCQ420" s="416"/>
      <c r="SCR420" s="416"/>
      <c r="SCS420" s="416"/>
      <c r="SCT420" s="416"/>
      <c r="SCU420" s="416"/>
      <c r="SCV420" s="416"/>
      <c r="SCW420" s="416"/>
      <c r="SCX420" s="416"/>
      <c r="SCY420" s="416"/>
      <c r="SCZ420" s="416"/>
      <c r="SDA420" s="416"/>
      <c r="SDB420" s="416"/>
      <c r="SDC420" s="416"/>
      <c r="SDD420" s="416"/>
      <c r="SDE420" s="416"/>
      <c r="SDF420" s="416"/>
      <c r="SDG420" s="416"/>
      <c r="SDH420" s="416"/>
      <c r="SDI420" s="416"/>
      <c r="SDJ420" s="416"/>
      <c r="SDK420" s="416"/>
      <c r="SDL420" s="416"/>
      <c r="SDM420" s="416"/>
      <c r="SDN420" s="416"/>
      <c r="SDO420" s="416"/>
      <c r="SDP420" s="416"/>
      <c r="SDQ420" s="416"/>
      <c r="SDR420" s="416"/>
      <c r="SDS420" s="416"/>
      <c r="SDT420" s="416"/>
      <c r="SDU420" s="416"/>
      <c r="SDV420" s="416"/>
      <c r="SDW420" s="416"/>
      <c r="SDX420" s="416"/>
      <c r="SDY420" s="416"/>
      <c r="SDZ420" s="416"/>
      <c r="SEA420" s="416"/>
      <c r="SEB420" s="416"/>
      <c r="SEC420" s="416"/>
      <c r="SED420" s="416"/>
      <c r="SEE420" s="416"/>
      <c r="SEF420" s="416"/>
      <c r="SEG420" s="416"/>
      <c r="SEH420" s="416"/>
      <c r="SEI420" s="416"/>
      <c r="SEJ420" s="416"/>
      <c r="SEK420" s="416"/>
      <c r="SEL420" s="416"/>
      <c r="SEM420" s="416"/>
      <c r="SEN420" s="416"/>
      <c r="SEO420" s="416"/>
      <c r="SEP420" s="416"/>
      <c r="SEQ420" s="416"/>
      <c r="SER420" s="416"/>
      <c r="SES420" s="416"/>
      <c r="SET420" s="416"/>
      <c r="SEU420" s="416"/>
      <c r="SEV420" s="416"/>
      <c r="SEW420" s="416"/>
      <c r="SEX420" s="416"/>
      <c r="SEY420" s="416"/>
      <c r="SEZ420" s="416"/>
      <c r="SFA420" s="416"/>
      <c r="SFB420" s="416"/>
      <c r="SFC420" s="416"/>
      <c r="SFD420" s="416"/>
      <c r="SFE420" s="416"/>
      <c r="SFF420" s="416"/>
      <c r="SFG420" s="416"/>
      <c r="SFH420" s="416"/>
      <c r="SFI420" s="416"/>
      <c r="SFJ420" s="416"/>
      <c r="SFK420" s="416"/>
      <c r="SFL420" s="416"/>
      <c r="SFM420" s="416"/>
      <c r="SFN420" s="416"/>
      <c r="SFO420" s="416"/>
      <c r="SFP420" s="416"/>
      <c r="SFQ420" s="416"/>
      <c r="SFR420" s="416"/>
      <c r="SFS420" s="416"/>
      <c r="SFT420" s="416"/>
      <c r="SFU420" s="416"/>
      <c r="SFV420" s="416"/>
      <c r="SFW420" s="416"/>
      <c r="SFX420" s="416"/>
      <c r="SFY420" s="416"/>
      <c r="SFZ420" s="416"/>
      <c r="SGA420" s="416"/>
      <c r="SGB420" s="416"/>
      <c r="SGC420" s="416"/>
      <c r="SGD420" s="416"/>
      <c r="SGE420" s="416"/>
      <c r="SGF420" s="416"/>
      <c r="SGG420" s="416"/>
      <c r="SGH420" s="416"/>
      <c r="SGI420" s="416"/>
      <c r="SGJ420" s="416"/>
      <c r="SGK420" s="416"/>
      <c r="SGL420" s="416"/>
      <c r="SGM420" s="416"/>
      <c r="SGN420" s="416"/>
      <c r="SGO420" s="416"/>
      <c r="SGP420" s="416"/>
      <c r="SGQ420" s="416"/>
      <c r="SGR420" s="416"/>
      <c r="SGS420" s="416"/>
      <c r="SGT420" s="416"/>
      <c r="SGU420" s="416"/>
      <c r="SGV420" s="416"/>
      <c r="SGW420" s="416"/>
      <c r="SGX420" s="416"/>
      <c r="SGY420" s="416"/>
      <c r="SGZ420" s="416"/>
      <c r="SHA420" s="416"/>
      <c r="SHB420" s="416"/>
      <c r="SHC420" s="416"/>
      <c r="SHD420" s="416"/>
      <c r="SHE420" s="416"/>
      <c r="SHF420" s="416"/>
      <c r="SHG420" s="416"/>
      <c r="SHH420" s="416"/>
      <c r="SHI420" s="416"/>
      <c r="SHJ420" s="416"/>
      <c r="SHK420" s="416"/>
      <c r="SHL420" s="416"/>
      <c r="SHM420" s="416"/>
      <c r="SHN420" s="416"/>
      <c r="SHO420" s="416"/>
      <c r="SHP420" s="416"/>
      <c r="SHQ420" s="416"/>
      <c r="SHR420" s="416"/>
      <c r="SHS420" s="416"/>
      <c r="SHT420" s="416"/>
      <c r="SHU420" s="416"/>
      <c r="SHV420" s="416"/>
      <c r="SHW420" s="416"/>
      <c r="SHX420" s="416"/>
      <c r="SHY420" s="416"/>
      <c r="SHZ420" s="416"/>
      <c r="SIA420" s="416"/>
      <c r="SIB420" s="416"/>
      <c r="SIC420" s="416"/>
      <c r="SID420" s="416"/>
      <c r="SIE420" s="416"/>
      <c r="SIF420" s="416"/>
      <c r="SIG420" s="416"/>
      <c r="SIH420" s="416"/>
      <c r="SII420" s="416"/>
      <c r="SIJ420" s="416"/>
      <c r="SIK420" s="416"/>
      <c r="SIL420" s="416"/>
      <c r="SIM420" s="416"/>
      <c r="SIN420" s="416"/>
      <c r="SIO420" s="416"/>
      <c r="SIP420" s="416"/>
      <c r="SIQ420" s="416"/>
      <c r="SIR420" s="416"/>
      <c r="SIS420" s="416"/>
      <c r="SIT420" s="416"/>
      <c r="SIU420" s="416"/>
      <c r="SIV420" s="416"/>
      <c r="SIW420" s="416"/>
      <c r="SIX420" s="416"/>
      <c r="SIY420" s="416"/>
      <c r="SIZ420" s="416"/>
      <c r="SJA420" s="416"/>
      <c r="SJB420" s="416"/>
      <c r="SJC420" s="416"/>
      <c r="SJD420" s="416"/>
      <c r="SJE420" s="416"/>
      <c r="SJF420" s="416"/>
      <c r="SJG420" s="416"/>
      <c r="SJH420" s="416"/>
      <c r="SJI420" s="416"/>
      <c r="SJJ420" s="416"/>
      <c r="SJK420" s="416"/>
      <c r="SJL420" s="416"/>
      <c r="SJM420" s="416"/>
      <c r="SJN420" s="416"/>
      <c r="SJO420" s="416"/>
      <c r="SJP420" s="416"/>
      <c r="SJQ420" s="416"/>
      <c r="SJR420" s="416"/>
      <c r="SJS420" s="416"/>
      <c r="SJT420" s="416"/>
      <c r="SJU420" s="416"/>
      <c r="SJV420" s="416"/>
      <c r="SJW420" s="416"/>
      <c r="SJX420" s="416"/>
      <c r="SJY420" s="416"/>
      <c r="SJZ420" s="416"/>
      <c r="SKA420" s="416"/>
      <c r="SKB420" s="416"/>
      <c r="SKC420" s="416"/>
      <c r="SKD420" s="416"/>
      <c r="SKE420" s="416"/>
      <c r="SKF420" s="416"/>
      <c r="SKG420" s="416"/>
      <c r="SKH420" s="416"/>
      <c r="SKI420" s="416"/>
      <c r="SKJ420" s="416"/>
      <c r="SKK420" s="416"/>
      <c r="SKL420" s="416"/>
      <c r="SKM420" s="416"/>
      <c r="SKN420" s="416"/>
      <c r="SKO420" s="416"/>
      <c r="SKP420" s="416"/>
      <c r="SKQ420" s="416"/>
      <c r="SKR420" s="416"/>
      <c r="SKS420" s="416"/>
      <c r="SKT420" s="416"/>
      <c r="SKU420" s="416"/>
      <c r="SKV420" s="416"/>
      <c r="SKW420" s="416"/>
      <c r="SKX420" s="416"/>
      <c r="SKY420" s="416"/>
      <c r="SKZ420" s="416"/>
      <c r="SLA420" s="416"/>
      <c r="SLB420" s="416"/>
      <c r="SLC420" s="416"/>
      <c r="SLD420" s="416"/>
      <c r="SLE420" s="416"/>
      <c r="SLF420" s="416"/>
      <c r="SLG420" s="416"/>
      <c r="SLH420" s="416"/>
      <c r="SLI420" s="416"/>
      <c r="SLJ420" s="416"/>
      <c r="SLK420" s="416"/>
      <c r="SLL420" s="416"/>
      <c r="SLM420" s="416"/>
      <c r="SLN420" s="416"/>
      <c r="SLO420" s="416"/>
      <c r="SLP420" s="416"/>
      <c r="SLQ420" s="416"/>
      <c r="SLR420" s="416"/>
      <c r="SLS420" s="416"/>
      <c r="SLT420" s="416"/>
      <c r="SLU420" s="416"/>
      <c r="SLV420" s="416"/>
      <c r="SLW420" s="416"/>
      <c r="SLX420" s="416"/>
      <c r="SLY420" s="416"/>
      <c r="SLZ420" s="416"/>
      <c r="SMA420" s="416"/>
      <c r="SMB420" s="416"/>
      <c r="SMC420" s="416"/>
      <c r="SMD420" s="416"/>
      <c r="SME420" s="416"/>
      <c r="SMF420" s="416"/>
      <c r="SMG420" s="416"/>
      <c r="SMH420" s="416"/>
      <c r="SMI420" s="416"/>
      <c r="SMJ420" s="416"/>
      <c r="SMK420" s="416"/>
      <c r="SML420" s="416"/>
      <c r="SMM420" s="416"/>
      <c r="SMN420" s="416"/>
      <c r="SMO420" s="416"/>
      <c r="SMP420" s="416"/>
      <c r="SMQ420" s="416"/>
      <c r="SMR420" s="416"/>
      <c r="SMS420" s="416"/>
      <c r="SMT420" s="416"/>
      <c r="SMU420" s="416"/>
      <c r="SMV420" s="416"/>
      <c r="SMW420" s="416"/>
      <c r="SMX420" s="416"/>
      <c r="SMY420" s="416"/>
      <c r="SMZ420" s="416"/>
      <c r="SNA420" s="416"/>
      <c r="SNB420" s="416"/>
      <c r="SNC420" s="416"/>
      <c r="SND420" s="416"/>
      <c r="SNE420" s="416"/>
      <c r="SNF420" s="416"/>
      <c r="SNG420" s="416"/>
      <c r="SNH420" s="416"/>
      <c r="SNI420" s="416"/>
      <c r="SNJ420" s="416"/>
      <c r="SNK420" s="416"/>
      <c r="SNL420" s="416"/>
      <c r="SNM420" s="416"/>
      <c r="SNN420" s="416"/>
      <c r="SNO420" s="416"/>
      <c r="SNP420" s="416"/>
      <c r="SNQ420" s="416"/>
      <c r="SNR420" s="416"/>
      <c r="SNS420" s="416"/>
      <c r="SNT420" s="416"/>
      <c r="SNU420" s="416"/>
      <c r="SNV420" s="416"/>
      <c r="SNW420" s="416"/>
      <c r="SNX420" s="416"/>
      <c r="SNY420" s="416"/>
      <c r="SNZ420" s="416"/>
      <c r="SOA420" s="416"/>
      <c r="SOB420" s="416"/>
      <c r="SOC420" s="416"/>
      <c r="SOD420" s="416"/>
      <c r="SOE420" s="416"/>
      <c r="SOF420" s="416"/>
      <c r="SOG420" s="416"/>
      <c r="SOH420" s="416"/>
      <c r="SOI420" s="416"/>
      <c r="SOJ420" s="416"/>
      <c r="SOK420" s="416"/>
      <c r="SOL420" s="416"/>
      <c r="SOM420" s="416"/>
      <c r="SON420" s="416"/>
      <c r="SOO420" s="416"/>
      <c r="SOP420" s="416"/>
      <c r="SOQ420" s="416"/>
      <c r="SOR420" s="416"/>
      <c r="SOS420" s="416"/>
      <c r="SOT420" s="416"/>
      <c r="SOU420" s="416"/>
      <c r="SOV420" s="416"/>
      <c r="SOW420" s="416"/>
      <c r="SOX420" s="416"/>
      <c r="SOY420" s="416"/>
      <c r="SOZ420" s="416"/>
      <c r="SPA420" s="416"/>
      <c r="SPB420" s="416"/>
      <c r="SPC420" s="416"/>
      <c r="SPD420" s="416"/>
      <c r="SPE420" s="416"/>
      <c r="SPF420" s="416"/>
      <c r="SPG420" s="416"/>
      <c r="SPH420" s="416"/>
      <c r="SPI420" s="416"/>
      <c r="SPJ420" s="416"/>
      <c r="SPK420" s="416"/>
      <c r="SPL420" s="416"/>
      <c r="SPM420" s="416"/>
      <c r="SPN420" s="416"/>
      <c r="SPO420" s="416"/>
      <c r="SPP420" s="416"/>
      <c r="SPQ420" s="416"/>
      <c r="SPR420" s="416"/>
      <c r="SPS420" s="416"/>
      <c r="SPT420" s="416"/>
      <c r="SPU420" s="416"/>
      <c r="SPV420" s="416"/>
      <c r="SPW420" s="416"/>
      <c r="SPX420" s="416"/>
      <c r="SPY420" s="416"/>
      <c r="SPZ420" s="416"/>
      <c r="SQA420" s="416"/>
      <c r="SQB420" s="416"/>
      <c r="SQC420" s="416"/>
      <c r="SQD420" s="416"/>
      <c r="SQE420" s="416"/>
      <c r="SQF420" s="416"/>
      <c r="SQG420" s="416"/>
      <c r="SQH420" s="416"/>
      <c r="SQI420" s="416"/>
      <c r="SQJ420" s="416"/>
      <c r="SQK420" s="416"/>
      <c r="SQL420" s="416"/>
      <c r="SQM420" s="416"/>
      <c r="SQN420" s="416"/>
      <c r="SQO420" s="416"/>
      <c r="SQP420" s="416"/>
      <c r="SQQ420" s="416"/>
      <c r="SQR420" s="416"/>
      <c r="SQS420" s="416"/>
      <c r="SQT420" s="416"/>
      <c r="SQU420" s="416"/>
      <c r="SQV420" s="416"/>
      <c r="SQW420" s="416"/>
      <c r="SQX420" s="416"/>
      <c r="SQY420" s="416"/>
      <c r="SQZ420" s="416"/>
      <c r="SRA420" s="416"/>
      <c r="SRB420" s="416"/>
      <c r="SRC420" s="416"/>
      <c r="SRD420" s="416"/>
      <c r="SRE420" s="416"/>
      <c r="SRF420" s="416"/>
      <c r="SRG420" s="416"/>
      <c r="SRH420" s="416"/>
      <c r="SRI420" s="416"/>
      <c r="SRJ420" s="416"/>
      <c r="SRK420" s="416"/>
      <c r="SRL420" s="416"/>
      <c r="SRM420" s="416"/>
      <c r="SRN420" s="416"/>
      <c r="SRO420" s="416"/>
      <c r="SRP420" s="416"/>
      <c r="SRQ420" s="416"/>
      <c r="SRR420" s="416"/>
      <c r="SRS420" s="416"/>
      <c r="SRT420" s="416"/>
      <c r="SRU420" s="416"/>
      <c r="SRV420" s="416"/>
      <c r="SRW420" s="416"/>
      <c r="SRX420" s="416"/>
      <c r="SRY420" s="416"/>
      <c r="SRZ420" s="416"/>
      <c r="SSA420" s="416"/>
      <c r="SSB420" s="416"/>
      <c r="SSC420" s="416"/>
      <c r="SSD420" s="416"/>
      <c r="SSE420" s="416"/>
      <c r="SSF420" s="416"/>
      <c r="SSG420" s="416"/>
      <c r="SSH420" s="416"/>
      <c r="SSI420" s="416"/>
      <c r="SSJ420" s="416"/>
      <c r="SSK420" s="416"/>
      <c r="SSL420" s="416"/>
      <c r="SSM420" s="416"/>
      <c r="SSN420" s="416"/>
      <c r="SSO420" s="416"/>
      <c r="SSP420" s="416"/>
      <c r="SSQ420" s="416"/>
      <c r="SSR420" s="416"/>
      <c r="SSS420" s="416"/>
      <c r="SST420" s="416"/>
      <c r="SSU420" s="416"/>
      <c r="SSV420" s="416"/>
      <c r="SSW420" s="416"/>
      <c r="SSX420" s="416"/>
      <c r="SSY420" s="416"/>
      <c r="SSZ420" s="416"/>
      <c r="STA420" s="416"/>
      <c r="STB420" s="416"/>
      <c r="STC420" s="416"/>
      <c r="STD420" s="416"/>
      <c r="STE420" s="416"/>
      <c r="STF420" s="416"/>
      <c r="STG420" s="416"/>
      <c r="STH420" s="416"/>
      <c r="STI420" s="416"/>
      <c r="STJ420" s="416"/>
      <c r="STK420" s="416"/>
      <c r="STL420" s="416"/>
      <c r="STM420" s="416"/>
      <c r="STN420" s="416"/>
      <c r="STO420" s="416"/>
      <c r="STP420" s="416"/>
      <c r="STQ420" s="416"/>
      <c r="STR420" s="416"/>
      <c r="STS420" s="416"/>
      <c r="STT420" s="416"/>
      <c r="STU420" s="416"/>
      <c r="STV420" s="416"/>
      <c r="STW420" s="416"/>
      <c r="STX420" s="416"/>
      <c r="STY420" s="416"/>
      <c r="STZ420" s="416"/>
      <c r="SUA420" s="416"/>
      <c r="SUB420" s="416"/>
      <c r="SUC420" s="416"/>
      <c r="SUD420" s="416"/>
      <c r="SUE420" s="416"/>
      <c r="SUF420" s="416"/>
      <c r="SUG420" s="416"/>
      <c r="SUH420" s="416"/>
      <c r="SUI420" s="416"/>
      <c r="SUJ420" s="416"/>
      <c r="SUK420" s="416"/>
      <c r="SUL420" s="416"/>
      <c r="SUM420" s="416"/>
      <c r="SUN420" s="416"/>
      <c r="SUO420" s="416"/>
      <c r="SUP420" s="416"/>
      <c r="SUQ420" s="416"/>
      <c r="SUR420" s="416"/>
      <c r="SUS420" s="416"/>
      <c r="SUT420" s="416"/>
      <c r="SUU420" s="416"/>
      <c r="SUV420" s="416"/>
      <c r="SUW420" s="416"/>
      <c r="SUX420" s="416"/>
      <c r="SUY420" s="416"/>
      <c r="SUZ420" s="416"/>
      <c r="SVA420" s="416"/>
      <c r="SVB420" s="416"/>
      <c r="SVC420" s="416"/>
      <c r="SVD420" s="416"/>
      <c r="SVE420" s="416"/>
      <c r="SVF420" s="416"/>
      <c r="SVG420" s="416"/>
      <c r="SVH420" s="416"/>
      <c r="SVI420" s="416"/>
      <c r="SVJ420" s="416"/>
      <c r="SVK420" s="416"/>
      <c r="SVL420" s="416"/>
      <c r="SVM420" s="416"/>
      <c r="SVN420" s="416"/>
      <c r="SVO420" s="416"/>
      <c r="SVP420" s="416"/>
      <c r="SVQ420" s="416"/>
      <c r="SVR420" s="416"/>
      <c r="SVS420" s="416"/>
      <c r="SVT420" s="416"/>
      <c r="SVU420" s="416"/>
      <c r="SVV420" s="416"/>
      <c r="SVW420" s="416"/>
      <c r="SVX420" s="416"/>
      <c r="SVY420" s="416"/>
      <c r="SVZ420" s="416"/>
      <c r="SWA420" s="416"/>
      <c r="SWB420" s="416"/>
      <c r="SWC420" s="416"/>
      <c r="SWD420" s="416"/>
      <c r="SWE420" s="416"/>
      <c r="SWF420" s="416"/>
      <c r="SWG420" s="416"/>
      <c r="SWH420" s="416"/>
      <c r="SWI420" s="416"/>
      <c r="SWJ420" s="416"/>
      <c r="SWK420" s="416"/>
      <c r="SWL420" s="416"/>
      <c r="SWM420" s="416"/>
      <c r="SWN420" s="416"/>
      <c r="SWO420" s="416"/>
      <c r="SWP420" s="416"/>
      <c r="SWQ420" s="416"/>
      <c r="SWR420" s="416"/>
      <c r="SWS420" s="416"/>
      <c r="SWT420" s="416"/>
      <c r="SWU420" s="416"/>
      <c r="SWV420" s="416"/>
      <c r="SWW420" s="416"/>
      <c r="SWX420" s="416"/>
      <c r="SWY420" s="416"/>
      <c r="SWZ420" s="416"/>
      <c r="SXA420" s="416"/>
      <c r="SXB420" s="416"/>
      <c r="SXC420" s="416"/>
      <c r="SXD420" s="416"/>
      <c r="SXE420" s="416"/>
      <c r="SXF420" s="416"/>
      <c r="SXG420" s="416"/>
      <c r="SXH420" s="416"/>
      <c r="SXI420" s="416"/>
      <c r="SXJ420" s="416"/>
      <c r="SXK420" s="416"/>
      <c r="SXL420" s="416"/>
      <c r="SXM420" s="416"/>
      <c r="SXN420" s="416"/>
      <c r="SXO420" s="416"/>
      <c r="SXP420" s="416"/>
      <c r="SXQ420" s="416"/>
      <c r="SXR420" s="416"/>
      <c r="SXS420" s="416"/>
      <c r="SXT420" s="416"/>
      <c r="SXU420" s="416"/>
      <c r="SXV420" s="416"/>
      <c r="SXW420" s="416"/>
      <c r="SXX420" s="416"/>
      <c r="SXY420" s="416"/>
      <c r="SXZ420" s="416"/>
      <c r="SYA420" s="416"/>
      <c r="SYB420" s="416"/>
      <c r="SYC420" s="416"/>
      <c r="SYD420" s="416"/>
      <c r="SYE420" s="416"/>
      <c r="SYF420" s="416"/>
      <c r="SYG420" s="416"/>
      <c r="SYH420" s="416"/>
      <c r="SYI420" s="416"/>
      <c r="SYJ420" s="416"/>
      <c r="SYK420" s="416"/>
      <c r="SYL420" s="416"/>
      <c r="SYM420" s="416"/>
      <c r="SYN420" s="416"/>
      <c r="SYO420" s="416"/>
      <c r="SYP420" s="416"/>
      <c r="SYQ420" s="416"/>
      <c r="SYR420" s="416"/>
      <c r="SYS420" s="416"/>
      <c r="SYT420" s="416"/>
      <c r="SYU420" s="416"/>
      <c r="SYV420" s="416"/>
      <c r="SYW420" s="416"/>
      <c r="SYX420" s="416"/>
      <c r="SYY420" s="416"/>
      <c r="SYZ420" s="416"/>
      <c r="SZA420" s="416"/>
      <c r="SZB420" s="416"/>
      <c r="SZC420" s="416"/>
      <c r="SZD420" s="416"/>
      <c r="SZE420" s="416"/>
      <c r="SZF420" s="416"/>
      <c r="SZG420" s="416"/>
      <c r="SZH420" s="416"/>
      <c r="SZI420" s="416"/>
      <c r="SZJ420" s="416"/>
      <c r="SZK420" s="416"/>
      <c r="SZL420" s="416"/>
      <c r="SZM420" s="416"/>
      <c r="SZN420" s="416"/>
      <c r="SZO420" s="416"/>
      <c r="SZP420" s="416"/>
      <c r="SZQ420" s="416"/>
      <c r="SZR420" s="416"/>
      <c r="SZS420" s="416"/>
      <c r="SZT420" s="416"/>
      <c r="SZU420" s="416"/>
      <c r="SZV420" s="416"/>
      <c r="SZW420" s="416"/>
      <c r="SZX420" s="416"/>
      <c r="SZY420" s="416"/>
      <c r="SZZ420" s="416"/>
      <c r="TAA420" s="416"/>
      <c r="TAB420" s="416"/>
      <c r="TAC420" s="416"/>
      <c r="TAD420" s="416"/>
      <c r="TAE420" s="416"/>
      <c r="TAF420" s="416"/>
      <c r="TAG420" s="416"/>
      <c r="TAH420" s="416"/>
      <c r="TAI420" s="416"/>
      <c r="TAJ420" s="416"/>
      <c r="TAK420" s="416"/>
      <c r="TAL420" s="416"/>
      <c r="TAM420" s="416"/>
      <c r="TAN420" s="416"/>
      <c r="TAO420" s="416"/>
      <c r="TAP420" s="416"/>
      <c r="TAQ420" s="416"/>
      <c r="TAR420" s="416"/>
      <c r="TAS420" s="416"/>
      <c r="TAT420" s="416"/>
      <c r="TAU420" s="416"/>
      <c r="TAV420" s="416"/>
      <c r="TAW420" s="416"/>
      <c r="TAX420" s="416"/>
      <c r="TAY420" s="416"/>
      <c r="TAZ420" s="416"/>
      <c r="TBA420" s="416"/>
      <c r="TBB420" s="416"/>
      <c r="TBC420" s="416"/>
      <c r="TBD420" s="416"/>
      <c r="TBE420" s="416"/>
      <c r="TBF420" s="416"/>
      <c r="TBG420" s="416"/>
      <c r="TBH420" s="416"/>
      <c r="TBI420" s="416"/>
      <c r="TBJ420" s="416"/>
      <c r="TBK420" s="416"/>
      <c r="TBL420" s="416"/>
      <c r="TBM420" s="416"/>
      <c r="TBN420" s="416"/>
      <c r="TBO420" s="416"/>
      <c r="TBP420" s="416"/>
      <c r="TBQ420" s="416"/>
      <c r="TBR420" s="416"/>
      <c r="TBS420" s="416"/>
      <c r="TBT420" s="416"/>
      <c r="TBU420" s="416"/>
      <c r="TBV420" s="416"/>
      <c r="TBW420" s="416"/>
      <c r="TBX420" s="416"/>
      <c r="TBY420" s="416"/>
      <c r="TBZ420" s="416"/>
      <c r="TCA420" s="416"/>
      <c r="TCB420" s="416"/>
      <c r="TCC420" s="416"/>
      <c r="TCD420" s="416"/>
      <c r="TCE420" s="416"/>
      <c r="TCF420" s="416"/>
      <c r="TCG420" s="416"/>
      <c r="TCH420" s="416"/>
      <c r="TCI420" s="416"/>
      <c r="TCJ420" s="416"/>
      <c r="TCK420" s="416"/>
      <c r="TCL420" s="416"/>
      <c r="TCM420" s="416"/>
      <c r="TCN420" s="416"/>
      <c r="TCO420" s="416"/>
      <c r="TCP420" s="416"/>
      <c r="TCQ420" s="416"/>
      <c r="TCR420" s="416"/>
      <c r="TCS420" s="416"/>
      <c r="TCT420" s="416"/>
      <c r="TCU420" s="416"/>
      <c r="TCV420" s="416"/>
      <c r="TCW420" s="416"/>
      <c r="TCX420" s="416"/>
      <c r="TCY420" s="416"/>
      <c r="TCZ420" s="416"/>
      <c r="TDA420" s="416"/>
      <c r="TDB420" s="416"/>
      <c r="TDC420" s="416"/>
      <c r="TDD420" s="416"/>
      <c r="TDE420" s="416"/>
      <c r="TDF420" s="416"/>
      <c r="TDG420" s="416"/>
      <c r="TDH420" s="416"/>
      <c r="TDI420" s="416"/>
      <c r="TDJ420" s="416"/>
      <c r="TDK420" s="416"/>
      <c r="TDL420" s="416"/>
      <c r="TDM420" s="416"/>
      <c r="TDN420" s="416"/>
      <c r="TDO420" s="416"/>
      <c r="TDP420" s="416"/>
      <c r="TDQ420" s="416"/>
      <c r="TDR420" s="416"/>
      <c r="TDS420" s="416"/>
      <c r="TDT420" s="416"/>
      <c r="TDU420" s="416"/>
      <c r="TDV420" s="416"/>
      <c r="TDW420" s="416"/>
      <c r="TDX420" s="416"/>
      <c r="TDY420" s="416"/>
      <c r="TDZ420" s="416"/>
      <c r="TEA420" s="416"/>
      <c r="TEB420" s="416"/>
      <c r="TEC420" s="416"/>
      <c r="TED420" s="416"/>
      <c r="TEE420" s="416"/>
      <c r="TEF420" s="416"/>
      <c r="TEG420" s="416"/>
      <c r="TEH420" s="416"/>
      <c r="TEI420" s="416"/>
      <c r="TEJ420" s="416"/>
      <c r="TEK420" s="416"/>
      <c r="TEL420" s="416"/>
      <c r="TEM420" s="416"/>
      <c r="TEN420" s="416"/>
      <c r="TEO420" s="416"/>
      <c r="TEP420" s="416"/>
      <c r="TEQ420" s="416"/>
      <c r="TER420" s="416"/>
      <c r="TES420" s="416"/>
      <c r="TET420" s="416"/>
      <c r="TEU420" s="416"/>
      <c r="TEV420" s="416"/>
      <c r="TEW420" s="416"/>
      <c r="TEX420" s="416"/>
      <c r="TEY420" s="416"/>
      <c r="TEZ420" s="416"/>
      <c r="TFA420" s="416"/>
      <c r="TFB420" s="416"/>
      <c r="TFC420" s="416"/>
      <c r="TFD420" s="416"/>
      <c r="TFE420" s="416"/>
      <c r="TFF420" s="416"/>
      <c r="TFG420" s="416"/>
      <c r="TFH420" s="416"/>
      <c r="TFI420" s="416"/>
      <c r="TFJ420" s="416"/>
      <c r="TFK420" s="416"/>
      <c r="TFL420" s="416"/>
      <c r="TFM420" s="416"/>
      <c r="TFN420" s="416"/>
      <c r="TFO420" s="416"/>
      <c r="TFP420" s="416"/>
      <c r="TFQ420" s="416"/>
      <c r="TFR420" s="416"/>
      <c r="TFS420" s="416"/>
      <c r="TFT420" s="416"/>
      <c r="TFU420" s="416"/>
      <c r="TFV420" s="416"/>
      <c r="TFW420" s="416"/>
      <c r="TFX420" s="416"/>
      <c r="TFY420" s="416"/>
      <c r="TFZ420" s="416"/>
      <c r="TGA420" s="416"/>
      <c r="TGB420" s="416"/>
      <c r="TGC420" s="416"/>
      <c r="TGD420" s="416"/>
      <c r="TGE420" s="416"/>
      <c r="TGF420" s="416"/>
      <c r="TGG420" s="416"/>
      <c r="TGH420" s="416"/>
      <c r="TGI420" s="416"/>
      <c r="TGJ420" s="416"/>
      <c r="TGK420" s="416"/>
      <c r="TGL420" s="416"/>
      <c r="TGM420" s="416"/>
      <c r="TGN420" s="416"/>
      <c r="TGO420" s="416"/>
      <c r="TGP420" s="416"/>
      <c r="TGQ420" s="416"/>
      <c r="TGR420" s="416"/>
      <c r="TGS420" s="416"/>
      <c r="TGT420" s="416"/>
      <c r="TGU420" s="416"/>
      <c r="TGV420" s="416"/>
      <c r="TGW420" s="416"/>
      <c r="TGX420" s="416"/>
      <c r="TGY420" s="416"/>
      <c r="TGZ420" s="416"/>
      <c r="THA420" s="416"/>
      <c r="THB420" s="416"/>
      <c r="THC420" s="416"/>
      <c r="THD420" s="416"/>
      <c r="THE420" s="416"/>
      <c r="THF420" s="416"/>
      <c r="THG420" s="416"/>
      <c r="THH420" s="416"/>
      <c r="THI420" s="416"/>
      <c r="THJ420" s="416"/>
      <c r="THK420" s="416"/>
      <c r="THL420" s="416"/>
      <c r="THM420" s="416"/>
      <c r="THN420" s="416"/>
      <c r="THO420" s="416"/>
      <c r="THP420" s="416"/>
      <c r="THQ420" s="416"/>
      <c r="THR420" s="416"/>
      <c r="THS420" s="416"/>
      <c r="THT420" s="416"/>
      <c r="THU420" s="416"/>
      <c r="THV420" s="416"/>
      <c r="THW420" s="416"/>
      <c r="THX420" s="416"/>
      <c r="THY420" s="416"/>
      <c r="THZ420" s="416"/>
      <c r="TIA420" s="416"/>
      <c r="TIB420" s="416"/>
      <c r="TIC420" s="416"/>
      <c r="TID420" s="416"/>
      <c r="TIE420" s="416"/>
      <c r="TIF420" s="416"/>
      <c r="TIG420" s="416"/>
      <c r="TIH420" s="416"/>
      <c r="TII420" s="416"/>
      <c r="TIJ420" s="416"/>
      <c r="TIK420" s="416"/>
      <c r="TIL420" s="416"/>
      <c r="TIM420" s="416"/>
      <c r="TIN420" s="416"/>
      <c r="TIO420" s="416"/>
      <c r="TIP420" s="416"/>
      <c r="TIQ420" s="416"/>
      <c r="TIR420" s="416"/>
      <c r="TIS420" s="416"/>
      <c r="TIT420" s="416"/>
      <c r="TIU420" s="416"/>
      <c r="TIV420" s="416"/>
      <c r="TIW420" s="416"/>
      <c r="TIX420" s="416"/>
      <c r="TIY420" s="416"/>
      <c r="TIZ420" s="416"/>
      <c r="TJA420" s="416"/>
      <c r="TJB420" s="416"/>
      <c r="TJC420" s="416"/>
      <c r="TJD420" s="416"/>
      <c r="TJE420" s="416"/>
      <c r="TJF420" s="416"/>
      <c r="TJG420" s="416"/>
      <c r="TJH420" s="416"/>
      <c r="TJI420" s="416"/>
      <c r="TJJ420" s="416"/>
      <c r="TJK420" s="416"/>
      <c r="TJL420" s="416"/>
      <c r="TJM420" s="416"/>
      <c r="TJN420" s="416"/>
      <c r="TJO420" s="416"/>
      <c r="TJP420" s="416"/>
      <c r="TJQ420" s="416"/>
      <c r="TJR420" s="416"/>
      <c r="TJS420" s="416"/>
      <c r="TJT420" s="416"/>
      <c r="TJU420" s="416"/>
      <c r="TJV420" s="416"/>
      <c r="TJW420" s="416"/>
      <c r="TJX420" s="416"/>
      <c r="TJY420" s="416"/>
      <c r="TJZ420" s="416"/>
      <c r="TKA420" s="416"/>
      <c r="TKB420" s="416"/>
      <c r="TKC420" s="416"/>
      <c r="TKD420" s="416"/>
      <c r="TKE420" s="416"/>
      <c r="TKF420" s="416"/>
      <c r="TKG420" s="416"/>
      <c r="TKH420" s="416"/>
      <c r="TKI420" s="416"/>
      <c r="TKJ420" s="416"/>
      <c r="TKK420" s="416"/>
      <c r="TKL420" s="416"/>
      <c r="TKM420" s="416"/>
      <c r="TKN420" s="416"/>
      <c r="TKO420" s="416"/>
      <c r="TKP420" s="416"/>
      <c r="TKQ420" s="416"/>
      <c r="TKR420" s="416"/>
      <c r="TKS420" s="416"/>
      <c r="TKT420" s="416"/>
      <c r="TKU420" s="416"/>
      <c r="TKV420" s="416"/>
      <c r="TKW420" s="416"/>
      <c r="TKX420" s="416"/>
      <c r="TKY420" s="416"/>
      <c r="TKZ420" s="416"/>
      <c r="TLA420" s="416"/>
      <c r="TLB420" s="416"/>
      <c r="TLC420" s="416"/>
      <c r="TLD420" s="416"/>
      <c r="TLE420" s="416"/>
      <c r="TLF420" s="416"/>
      <c r="TLG420" s="416"/>
      <c r="TLH420" s="416"/>
      <c r="TLI420" s="416"/>
      <c r="TLJ420" s="416"/>
      <c r="TLK420" s="416"/>
      <c r="TLL420" s="416"/>
      <c r="TLM420" s="416"/>
      <c r="TLN420" s="416"/>
      <c r="TLO420" s="416"/>
      <c r="TLP420" s="416"/>
      <c r="TLQ420" s="416"/>
      <c r="TLR420" s="416"/>
      <c r="TLS420" s="416"/>
      <c r="TLT420" s="416"/>
      <c r="TLU420" s="416"/>
      <c r="TLV420" s="416"/>
      <c r="TLW420" s="416"/>
      <c r="TLX420" s="416"/>
      <c r="TLY420" s="416"/>
      <c r="TLZ420" s="416"/>
      <c r="TMA420" s="416"/>
      <c r="TMB420" s="416"/>
      <c r="TMC420" s="416"/>
      <c r="TMD420" s="416"/>
      <c r="TME420" s="416"/>
      <c r="TMF420" s="416"/>
      <c r="TMG420" s="416"/>
      <c r="TMH420" s="416"/>
      <c r="TMI420" s="416"/>
      <c r="TMJ420" s="416"/>
      <c r="TMK420" s="416"/>
      <c r="TML420" s="416"/>
      <c r="TMM420" s="416"/>
      <c r="TMN420" s="416"/>
      <c r="TMO420" s="416"/>
      <c r="TMP420" s="416"/>
      <c r="TMQ420" s="416"/>
      <c r="TMR420" s="416"/>
      <c r="TMS420" s="416"/>
      <c r="TMT420" s="416"/>
      <c r="TMU420" s="416"/>
      <c r="TMV420" s="416"/>
      <c r="TMW420" s="416"/>
      <c r="TMX420" s="416"/>
      <c r="TMY420" s="416"/>
      <c r="TMZ420" s="416"/>
      <c r="TNA420" s="416"/>
      <c r="TNB420" s="416"/>
      <c r="TNC420" s="416"/>
      <c r="TND420" s="416"/>
      <c r="TNE420" s="416"/>
      <c r="TNF420" s="416"/>
      <c r="TNG420" s="416"/>
      <c r="TNH420" s="416"/>
      <c r="TNI420" s="416"/>
      <c r="TNJ420" s="416"/>
      <c r="TNK420" s="416"/>
      <c r="TNL420" s="416"/>
      <c r="TNM420" s="416"/>
      <c r="TNN420" s="416"/>
      <c r="TNO420" s="416"/>
      <c r="TNP420" s="416"/>
      <c r="TNQ420" s="416"/>
      <c r="TNR420" s="416"/>
      <c r="TNS420" s="416"/>
      <c r="TNT420" s="416"/>
      <c r="TNU420" s="416"/>
      <c r="TNV420" s="416"/>
      <c r="TNW420" s="416"/>
      <c r="TNX420" s="416"/>
      <c r="TNY420" s="416"/>
      <c r="TNZ420" s="416"/>
      <c r="TOA420" s="416"/>
      <c r="TOB420" s="416"/>
      <c r="TOC420" s="416"/>
      <c r="TOD420" s="416"/>
      <c r="TOE420" s="416"/>
      <c r="TOF420" s="416"/>
      <c r="TOG420" s="416"/>
      <c r="TOH420" s="416"/>
      <c r="TOI420" s="416"/>
      <c r="TOJ420" s="416"/>
      <c r="TOK420" s="416"/>
      <c r="TOL420" s="416"/>
      <c r="TOM420" s="416"/>
      <c r="TON420" s="416"/>
      <c r="TOO420" s="416"/>
      <c r="TOP420" s="416"/>
      <c r="TOQ420" s="416"/>
      <c r="TOR420" s="416"/>
      <c r="TOS420" s="416"/>
      <c r="TOT420" s="416"/>
      <c r="TOU420" s="416"/>
      <c r="TOV420" s="416"/>
      <c r="TOW420" s="416"/>
      <c r="TOX420" s="416"/>
      <c r="TOY420" s="416"/>
      <c r="TOZ420" s="416"/>
      <c r="TPA420" s="416"/>
      <c r="TPB420" s="416"/>
      <c r="TPC420" s="416"/>
      <c r="TPD420" s="416"/>
      <c r="TPE420" s="416"/>
      <c r="TPF420" s="416"/>
      <c r="TPG420" s="416"/>
      <c r="TPH420" s="416"/>
      <c r="TPI420" s="416"/>
      <c r="TPJ420" s="416"/>
      <c r="TPK420" s="416"/>
      <c r="TPL420" s="416"/>
      <c r="TPM420" s="416"/>
      <c r="TPN420" s="416"/>
      <c r="TPO420" s="416"/>
      <c r="TPP420" s="416"/>
      <c r="TPQ420" s="416"/>
      <c r="TPR420" s="416"/>
      <c r="TPS420" s="416"/>
      <c r="TPT420" s="416"/>
      <c r="TPU420" s="416"/>
      <c r="TPV420" s="416"/>
      <c r="TPW420" s="416"/>
      <c r="TPX420" s="416"/>
      <c r="TPY420" s="416"/>
      <c r="TPZ420" s="416"/>
      <c r="TQA420" s="416"/>
      <c r="TQB420" s="416"/>
      <c r="TQC420" s="416"/>
      <c r="TQD420" s="416"/>
      <c r="TQE420" s="416"/>
      <c r="TQF420" s="416"/>
      <c r="TQG420" s="416"/>
      <c r="TQH420" s="416"/>
      <c r="TQI420" s="416"/>
      <c r="TQJ420" s="416"/>
      <c r="TQK420" s="416"/>
      <c r="TQL420" s="416"/>
      <c r="TQM420" s="416"/>
      <c r="TQN420" s="416"/>
      <c r="TQO420" s="416"/>
      <c r="TQP420" s="416"/>
      <c r="TQQ420" s="416"/>
      <c r="TQR420" s="416"/>
      <c r="TQS420" s="416"/>
      <c r="TQT420" s="416"/>
      <c r="TQU420" s="416"/>
      <c r="TQV420" s="416"/>
      <c r="TQW420" s="416"/>
      <c r="TQX420" s="416"/>
      <c r="TQY420" s="416"/>
      <c r="TQZ420" s="416"/>
      <c r="TRA420" s="416"/>
      <c r="TRB420" s="416"/>
      <c r="TRC420" s="416"/>
      <c r="TRD420" s="416"/>
      <c r="TRE420" s="416"/>
      <c r="TRF420" s="416"/>
      <c r="TRG420" s="416"/>
      <c r="TRH420" s="416"/>
      <c r="TRI420" s="416"/>
      <c r="TRJ420" s="416"/>
      <c r="TRK420" s="416"/>
      <c r="TRL420" s="416"/>
      <c r="TRM420" s="416"/>
      <c r="TRN420" s="416"/>
      <c r="TRO420" s="416"/>
      <c r="TRP420" s="416"/>
      <c r="TRQ420" s="416"/>
      <c r="TRR420" s="416"/>
      <c r="TRS420" s="416"/>
      <c r="TRT420" s="416"/>
      <c r="TRU420" s="416"/>
      <c r="TRV420" s="416"/>
      <c r="TRW420" s="416"/>
      <c r="TRX420" s="416"/>
      <c r="TRY420" s="416"/>
      <c r="TRZ420" s="416"/>
      <c r="TSA420" s="416"/>
      <c r="TSB420" s="416"/>
      <c r="TSC420" s="416"/>
      <c r="TSD420" s="416"/>
      <c r="TSE420" s="416"/>
      <c r="TSF420" s="416"/>
      <c r="TSG420" s="416"/>
      <c r="TSH420" s="416"/>
      <c r="TSI420" s="416"/>
      <c r="TSJ420" s="416"/>
      <c r="TSK420" s="416"/>
      <c r="TSL420" s="416"/>
      <c r="TSM420" s="416"/>
      <c r="TSN420" s="416"/>
      <c r="TSO420" s="416"/>
      <c r="TSP420" s="416"/>
      <c r="TSQ420" s="416"/>
      <c r="TSR420" s="416"/>
      <c r="TSS420" s="416"/>
      <c r="TST420" s="416"/>
      <c r="TSU420" s="416"/>
      <c r="TSV420" s="416"/>
      <c r="TSW420" s="416"/>
      <c r="TSX420" s="416"/>
      <c r="TSY420" s="416"/>
      <c r="TSZ420" s="416"/>
      <c r="TTA420" s="416"/>
      <c r="TTB420" s="416"/>
      <c r="TTC420" s="416"/>
      <c r="TTD420" s="416"/>
      <c r="TTE420" s="416"/>
      <c r="TTF420" s="416"/>
      <c r="TTG420" s="416"/>
      <c r="TTH420" s="416"/>
      <c r="TTI420" s="416"/>
      <c r="TTJ420" s="416"/>
      <c r="TTK420" s="416"/>
      <c r="TTL420" s="416"/>
      <c r="TTM420" s="416"/>
      <c r="TTN420" s="416"/>
      <c r="TTO420" s="416"/>
      <c r="TTP420" s="416"/>
      <c r="TTQ420" s="416"/>
      <c r="TTR420" s="416"/>
      <c r="TTS420" s="416"/>
      <c r="TTT420" s="416"/>
      <c r="TTU420" s="416"/>
      <c r="TTV420" s="416"/>
      <c r="TTW420" s="416"/>
      <c r="TTX420" s="416"/>
      <c r="TTY420" s="416"/>
      <c r="TTZ420" s="416"/>
      <c r="TUA420" s="416"/>
      <c r="TUB420" s="416"/>
      <c r="TUC420" s="416"/>
      <c r="TUD420" s="416"/>
      <c r="TUE420" s="416"/>
      <c r="TUF420" s="416"/>
      <c r="TUG420" s="416"/>
      <c r="TUH420" s="416"/>
      <c r="TUI420" s="416"/>
      <c r="TUJ420" s="416"/>
      <c r="TUK420" s="416"/>
      <c r="TUL420" s="416"/>
      <c r="TUM420" s="416"/>
      <c r="TUN420" s="416"/>
      <c r="TUO420" s="416"/>
      <c r="TUP420" s="416"/>
      <c r="TUQ420" s="416"/>
      <c r="TUR420" s="416"/>
      <c r="TUS420" s="416"/>
      <c r="TUT420" s="416"/>
      <c r="TUU420" s="416"/>
      <c r="TUV420" s="416"/>
      <c r="TUW420" s="416"/>
      <c r="TUX420" s="416"/>
      <c r="TUY420" s="416"/>
      <c r="TUZ420" s="416"/>
      <c r="TVA420" s="416"/>
      <c r="TVB420" s="416"/>
      <c r="TVC420" s="416"/>
      <c r="TVD420" s="416"/>
      <c r="TVE420" s="416"/>
      <c r="TVF420" s="416"/>
      <c r="TVG420" s="416"/>
      <c r="TVH420" s="416"/>
      <c r="TVI420" s="416"/>
      <c r="TVJ420" s="416"/>
      <c r="TVK420" s="416"/>
      <c r="TVL420" s="416"/>
      <c r="TVM420" s="416"/>
      <c r="TVN420" s="416"/>
      <c r="TVO420" s="416"/>
      <c r="TVP420" s="416"/>
      <c r="TVQ420" s="416"/>
      <c r="TVR420" s="416"/>
      <c r="TVS420" s="416"/>
      <c r="TVT420" s="416"/>
      <c r="TVU420" s="416"/>
      <c r="TVV420" s="416"/>
      <c r="TVW420" s="416"/>
      <c r="TVX420" s="416"/>
      <c r="TVY420" s="416"/>
      <c r="TVZ420" s="416"/>
      <c r="TWA420" s="416"/>
      <c r="TWB420" s="416"/>
      <c r="TWC420" s="416"/>
      <c r="TWD420" s="416"/>
      <c r="TWE420" s="416"/>
      <c r="TWF420" s="416"/>
      <c r="TWG420" s="416"/>
      <c r="TWH420" s="416"/>
      <c r="TWI420" s="416"/>
      <c r="TWJ420" s="416"/>
      <c r="TWK420" s="416"/>
      <c r="TWL420" s="416"/>
      <c r="TWM420" s="416"/>
      <c r="TWN420" s="416"/>
      <c r="TWO420" s="416"/>
      <c r="TWP420" s="416"/>
      <c r="TWQ420" s="416"/>
      <c r="TWR420" s="416"/>
      <c r="TWS420" s="416"/>
      <c r="TWT420" s="416"/>
      <c r="TWU420" s="416"/>
      <c r="TWV420" s="416"/>
      <c r="TWW420" s="416"/>
      <c r="TWX420" s="416"/>
      <c r="TWY420" s="416"/>
      <c r="TWZ420" s="416"/>
      <c r="TXA420" s="416"/>
      <c r="TXB420" s="416"/>
      <c r="TXC420" s="416"/>
      <c r="TXD420" s="416"/>
      <c r="TXE420" s="416"/>
      <c r="TXF420" s="416"/>
      <c r="TXG420" s="416"/>
      <c r="TXH420" s="416"/>
      <c r="TXI420" s="416"/>
      <c r="TXJ420" s="416"/>
      <c r="TXK420" s="416"/>
      <c r="TXL420" s="416"/>
      <c r="TXM420" s="416"/>
      <c r="TXN420" s="416"/>
      <c r="TXO420" s="416"/>
      <c r="TXP420" s="416"/>
      <c r="TXQ420" s="416"/>
      <c r="TXR420" s="416"/>
      <c r="TXS420" s="416"/>
      <c r="TXT420" s="416"/>
      <c r="TXU420" s="416"/>
      <c r="TXV420" s="416"/>
      <c r="TXW420" s="416"/>
      <c r="TXX420" s="416"/>
      <c r="TXY420" s="416"/>
      <c r="TXZ420" s="416"/>
      <c r="TYA420" s="416"/>
      <c r="TYB420" s="416"/>
      <c r="TYC420" s="416"/>
      <c r="TYD420" s="416"/>
      <c r="TYE420" s="416"/>
      <c r="TYF420" s="416"/>
      <c r="TYG420" s="416"/>
      <c r="TYH420" s="416"/>
      <c r="TYI420" s="416"/>
      <c r="TYJ420" s="416"/>
      <c r="TYK420" s="416"/>
      <c r="TYL420" s="416"/>
      <c r="TYM420" s="416"/>
      <c r="TYN420" s="416"/>
      <c r="TYO420" s="416"/>
      <c r="TYP420" s="416"/>
      <c r="TYQ420" s="416"/>
      <c r="TYR420" s="416"/>
      <c r="TYS420" s="416"/>
      <c r="TYT420" s="416"/>
      <c r="TYU420" s="416"/>
      <c r="TYV420" s="416"/>
      <c r="TYW420" s="416"/>
      <c r="TYX420" s="416"/>
      <c r="TYY420" s="416"/>
      <c r="TYZ420" s="416"/>
      <c r="TZA420" s="416"/>
      <c r="TZB420" s="416"/>
      <c r="TZC420" s="416"/>
      <c r="TZD420" s="416"/>
      <c r="TZE420" s="416"/>
      <c r="TZF420" s="416"/>
      <c r="TZG420" s="416"/>
      <c r="TZH420" s="416"/>
      <c r="TZI420" s="416"/>
      <c r="TZJ420" s="416"/>
      <c r="TZK420" s="416"/>
      <c r="TZL420" s="416"/>
      <c r="TZM420" s="416"/>
      <c r="TZN420" s="416"/>
      <c r="TZO420" s="416"/>
      <c r="TZP420" s="416"/>
      <c r="TZQ420" s="416"/>
      <c r="TZR420" s="416"/>
      <c r="TZS420" s="416"/>
      <c r="TZT420" s="416"/>
      <c r="TZU420" s="416"/>
      <c r="TZV420" s="416"/>
      <c r="TZW420" s="416"/>
      <c r="TZX420" s="416"/>
      <c r="TZY420" s="416"/>
      <c r="TZZ420" s="416"/>
      <c r="UAA420" s="416"/>
      <c r="UAB420" s="416"/>
      <c r="UAC420" s="416"/>
      <c r="UAD420" s="416"/>
      <c r="UAE420" s="416"/>
      <c r="UAF420" s="416"/>
      <c r="UAG420" s="416"/>
      <c r="UAH420" s="416"/>
      <c r="UAI420" s="416"/>
      <c r="UAJ420" s="416"/>
      <c r="UAK420" s="416"/>
      <c r="UAL420" s="416"/>
      <c r="UAM420" s="416"/>
      <c r="UAN420" s="416"/>
      <c r="UAO420" s="416"/>
      <c r="UAP420" s="416"/>
      <c r="UAQ420" s="416"/>
      <c r="UAR420" s="416"/>
      <c r="UAS420" s="416"/>
      <c r="UAT420" s="416"/>
      <c r="UAU420" s="416"/>
      <c r="UAV420" s="416"/>
      <c r="UAW420" s="416"/>
      <c r="UAX420" s="416"/>
      <c r="UAY420" s="416"/>
      <c r="UAZ420" s="416"/>
      <c r="UBA420" s="416"/>
      <c r="UBB420" s="416"/>
      <c r="UBC420" s="416"/>
      <c r="UBD420" s="416"/>
      <c r="UBE420" s="416"/>
      <c r="UBF420" s="416"/>
      <c r="UBG420" s="416"/>
      <c r="UBH420" s="416"/>
      <c r="UBI420" s="416"/>
      <c r="UBJ420" s="416"/>
      <c r="UBK420" s="416"/>
      <c r="UBL420" s="416"/>
      <c r="UBM420" s="416"/>
      <c r="UBN420" s="416"/>
      <c r="UBO420" s="416"/>
      <c r="UBP420" s="416"/>
      <c r="UBQ420" s="416"/>
      <c r="UBR420" s="416"/>
      <c r="UBS420" s="416"/>
      <c r="UBT420" s="416"/>
      <c r="UBU420" s="416"/>
      <c r="UBV420" s="416"/>
      <c r="UBW420" s="416"/>
      <c r="UBX420" s="416"/>
      <c r="UBY420" s="416"/>
      <c r="UBZ420" s="416"/>
      <c r="UCA420" s="416"/>
      <c r="UCB420" s="416"/>
      <c r="UCC420" s="416"/>
      <c r="UCD420" s="416"/>
      <c r="UCE420" s="416"/>
      <c r="UCF420" s="416"/>
      <c r="UCG420" s="416"/>
      <c r="UCH420" s="416"/>
      <c r="UCI420" s="416"/>
      <c r="UCJ420" s="416"/>
      <c r="UCK420" s="416"/>
      <c r="UCL420" s="416"/>
      <c r="UCM420" s="416"/>
      <c r="UCN420" s="416"/>
      <c r="UCO420" s="416"/>
      <c r="UCP420" s="416"/>
      <c r="UCQ420" s="416"/>
      <c r="UCR420" s="416"/>
      <c r="UCS420" s="416"/>
      <c r="UCT420" s="416"/>
      <c r="UCU420" s="416"/>
      <c r="UCV420" s="416"/>
      <c r="UCW420" s="416"/>
      <c r="UCX420" s="416"/>
      <c r="UCY420" s="416"/>
      <c r="UCZ420" s="416"/>
      <c r="UDA420" s="416"/>
      <c r="UDB420" s="416"/>
      <c r="UDC420" s="416"/>
      <c r="UDD420" s="416"/>
      <c r="UDE420" s="416"/>
      <c r="UDF420" s="416"/>
      <c r="UDG420" s="416"/>
      <c r="UDH420" s="416"/>
      <c r="UDI420" s="416"/>
      <c r="UDJ420" s="416"/>
      <c r="UDK420" s="416"/>
      <c r="UDL420" s="416"/>
      <c r="UDM420" s="416"/>
      <c r="UDN420" s="416"/>
      <c r="UDO420" s="416"/>
      <c r="UDP420" s="416"/>
      <c r="UDQ420" s="416"/>
      <c r="UDR420" s="416"/>
      <c r="UDS420" s="416"/>
      <c r="UDT420" s="416"/>
      <c r="UDU420" s="416"/>
      <c r="UDV420" s="416"/>
      <c r="UDW420" s="416"/>
      <c r="UDX420" s="416"/>
      <c r="UDY420" s="416"/>
      <c r="UDZ420" s="416"/>
      <c r="UEA420" s="416"/>
      <c r="UEB420" s="416"/>
      <c r="UEC420" s="416"/>
      <c r="UED420" s="416"/>
      <c r="UEE420" s="416"/>
      <c r="UEF420" s="416"/>
      <c r="UEG420" s="416"/>
      <c r="UEH420" s="416"/>
      <c r="UEI420" s="416"/>
      <c r="UEJ420" s="416"/>
      <c r="UEK420" s="416"/>
      <c r="UEL420" s="416"/>
      <c r="UEM420" s="416"/>
      <c r="UEN420" s="416"/>
      <c r="UEO420" s="416"/>
      <c r="UEP420" s="416"/>
      <c r="UEQ420" s="416"/>
      <c r="UER420" s="416"/>
      <c r="UES420" s="416"/>
      <c r="UET420" s="416"/>
      <c r="UEU420" s="416"/>
      <c r="UEV420" s="416"/>
      <c r="UEW420" s="416"/>
      <c r="UEX420" s="416"/>
      <c r="UEY420" s="416"/>
      <c r="UEZ420" s="416"/>
      <c r="UFA420" s="416"/>
      <c r="UFB420" s="416"/>
      <c r="UFC420" s="416"/>
      <c r="UFD420" s="416"/>
      <c r="UFE420" s="416"/>
      <c r="UFF420" s="416"/>
      <c r="UFG420" s="416"/>
      <c r="UFH420" s="416"/>
      <c r="UFI420" s="416"/>
      <c r="UFJ420" s="416"/>
      <c r="UFK420" s="416"/>
      <c r="UFL420" s="416"/>
      <c r="UFM420" s="416"/>
      <c r="UFN420" s="416"/>
      <c r="UFO420" s="416"/>
      <c r="UFP420" s="416"/>
      <c r="UFQ420" s="416"/>
      <c r="UFR420" s="416"/>
      <c r="UFS420" s="416"/>
      <c r="UFT420" s="416"/>
      <c r="UFU420" s="416"/>
      <c r="UFV420" s="416"/>
      <c r="UFW420" s="416"/>
      <c r="UFX420" s="416"/>
      <c r="UFY420" s="416"/>
      <c r="UFZ420" s="416"/>
      <c r="UGA420" s="416"/>
      <c r="UGB420" s="416"/>
      <c r="UGC420" s="416"/>
      <c r="UGD420" s="416"/>
      <c r="UGE420" s="416"/>
      <c r="UGF420" s="416"/>
      <c r="UGG420" s="416"/>
      <c r="UGH420" s="416"/>
      <c r="UGI420" s="416"/>
      <c r="UGJ420" s="416"/>
      <c r="UGK420" s="416"/>
      <c r="UGL420" s="416"/>
      <c r="UGM420" s="416"/>
      <c r="UGN420" s="416"/>
      <c r="UGO420" s="416"/>
      <c r="UGP420" s="416"/>
      <c r="UGQ420" s="416"/>
      <c r="UGR420" s="416"/>
      <c r="UGS420" s="416"/>
      <c r="UGT420" s="416"/>
      <c r="UGU420" s="416"/>
      <c r="UGV420" s="416"/>
      <c r="UGW420" s="416"/>
      <c r="UGX420" s="416"/>
      <c r="UGY420" s="416"/>
      <c r="UGZ420" s="416"/>
      <c r="UHA420" s="416"/>
      <c r="UHB420" s="416"/>
      <c r="UHC420" s="416"/>
      <c r="UHD420" s="416"/>
      <c r="UHE420" s="416"/>
      <c r="UHF420" s="416"/>
      <c r="UHG420" s="416"/>
      <c r="UHH420" s="416"/>
      <c r="UHI420" s="416"/>
      <c r="UHJ420" s="416"/>
      <c r="UHK420" s="416"/>
      <c r="UHL420" s="416"/>
      <c r="UHM420" s="416"/>
      <c r="UHN420" s="416"/>
      <c r="UHO420" s="416"/>
      <c r="UHP420" s="416"/>
      <c r="UHQ420" s="416"/>
      <c r="UHR420" s="416"/>
      <c r="UHS420" s="416"/>
      <c r="UHT420" s="416"/>
      <c r="UHU420" s="416"/>
      <c r="UHV420" s="416"/>
      <c r="UHW420" s="416"/>
      <c r="UHX420" s="416"/>
      <c r="UHY420" s="416"/>
      <c r="UHZ420" s="416"/>
      <c r="UIA420" s="416"/>
      <c r="UIB420" s="416"/>
      <c r="UIC420" s="416"/>
      <c r="UID420" s="416"/>
      <c r="UIE420" s="416"/>
      <c r="UIF420" s="416"/>
      <c r="UIG420" s="416"/>
      <c r="UIH420" s="416"/>
      <c r="UII420" s="416"/>
      <c r="UIJ420" s="416"/>
      <c r="UIK420" s="416"/>
      <c r="UIL420" s="416"/>
      <c r="UIM420" s="416"/>
      <c r="UIN420" s="416"/>
      <c r="UIO420" s="416"/>
      <c r="UIP420" s="416"/>
      <c r="UIQ420" s="416"/>
      <c r="UIR420" s="416"/>
      <c r="UIS420" s="416"/>
      <c r="UIT420" s="416"/>
      <c r="UIU420" s="416"/>
      <c r="UIV420" s="416"/>
      <c r="UIW420" s="416"/>
      <c r="UIX420" s="416"/>
      <c r="UIY420" s="416"/>
      <c r="UIZ420" s="416"/>
      <c r="UJA420" s="416"/>
      <c r="UJB420" s="416"/>
      <c r="UJC420" s="416"/>
      <c r="UJD420" s="416"/>
      <c r="UJE420" s="416"/>
      <c r="UJF420" s="416"/>
      <c r="UJG420" s="416"/>
      <c r="UJH420" s="416"/>
      <c r="UJI420" s="416"/>
      <c r="UJJ420" s="416"/>
      <c r="UJK420" s="416"/>
      <c r="UJL420" s="416"/>
      <c r="UJM420" s="416"/>
      <c r="UJN420" s="416"/>
      <c r="UJO420" s="416"/>
      <c r="UJP420" s="416"/>
      <c r="UJQ420" s="416"/>
      <c r="UJR420" s="416"/>
      <c r="UJS420" s="416"/>
      <c r="UJT420" s="416"/>
      <c r="UJU420" s="416"/>
      <c r="UJV420" s="416"/>
      <c r="UJW420" s="416"/>
      <c r="UJX420" s="416"/>
      <c r="UJY420" s="416"/>
      <c r="UJZ420" s="416"/>
      <c r="UKA420" s="416"/>
      <c r="UKB420" s="416"/>
      <c r="UKC420" s="416"/>
      <c r="UKD420" s="416"/>
      <c r="UKE420" s="416"/>
      <c r="UKF420" s="416"/>
      <c r="UKG420" s="416"/>
      <c r="UKH420" s="416"/>
      <c r="UKI420" s="416"/>
      <c r="UKJ420" s="416"/>
      <c r="UKK420" s="416"/>
      <c r="UKL420" s="416"/>
      <c r="UKM420" s="416"/>
      <c r="UKN420" s="416"/>
      <c r="UKO420" s="416"/>
      <c r="UKP420" s="416"/>
      <c r="UKQ420" s="416"/>
      <c r="UKR420" s="416"/>
      <c r="UKS420" s="416"/>
      <c r="UKT420" s="416"/>
      <c r="UKU420" s="416"/>
      <c r="UKV420" s="416"/>
      <c r="UKW420" s="416"/>
      <c r="UKX420" s="416"/>
      <c r="UKY420" s="416"/>
      <c r="UKZ420" s="416"/>
      <c r="ULA420" s="416"/>
      <c r="ULB420" s="416"/>
      <c r="ULC420" s="416"/>
      <c r="ULD420" s="416"/>
      <c r="ULE420" s="416"/>
      <c r="ULF420" s="416"/>
      <c r="ULG420" s="416"/>
      <c r="ULH420" s="416"/>
      <c r="ULI420" s="416"/>
      <c r="ULJ420" s="416"/>
      <c r="ULK420" s="416"/>
      <c r="ULL420" s="416"/>
      <c r="ULM420" s="416"/>
      <c r="ULN420" s="416"/>
      <c r="ULO420" s="416"/>
      <c r="ULP420" s="416"/>
      <c r="ULQ420" s="416"/>
      <c r="ULR420" s="416"/>
      <c r="ULS420" s="416"/>
      <c r="ULT420" s="416"/>
      <c r="ULU420" s="416"/>
      <c r="ULV420" s="416"/>
      <c r="ULW420" s="416"/>
      <c r="ULX420" s="416"/>
      <c r="ULY420" s="416"/>
      <c r="ULZ420" s="416"/>
      <c r="UMA420" s="416"/>
      <c r="UMB420" s="416"/>
      <c r="UMC420" s="416"/>
      <c r="UMD420" s="416"/>
      <c r="UME420" s="416"/>
      <c r="UMF420" s="416"/>
      <c r="UMG420" s="416"/>
      <c r="UMH420" s="416"/>
      <c r="UMI420" s="416"/>
      <c r="UMJ420" s="416"/>
      <c r="UMK420" s="416"/>
      <c r="UML420" s="416"/>
      <c r="UMM420" s="416"/>
      <c r="UMN420" s="416"/>
      <c r="UMO420" s="416"/>
      <c r="UMP420" s="416"/>
      <c r="UMQ420" s="416"/>
      <c r="UMR420" s="416"/>
      <c r="UMS420" s="416"/>
      <c r="UMT420" s="416"/>
      <c r="UMU420" s="416"/>
      <c r="UMV420" s="416"/>
      <c r="UMW420" s="416"/>
      <c r="UMX420" s="416"/>
      <c r="UMY420" s="416"/>
      <c r="UMZ420" s="416"/>
      <c r="UNA420" s="416"/>
      <c r="UNB420" s="416"/>
      <c r="UNC420" s="416"/>
      <c r="UND420" s="416"/>
      <c r="UNE420" s="416"/>
      <c r="UNF420" s="416"/>
      <c r="UNG420" s="416"/>
      <c r="UNH420" s="416"/>
      <c r="UNI420" s="416"/>
      <c r="UNJ420" s="416"/>
      <c r="UNK420" s="416"/>
      <c r="UNL420" s="416"/>
      <c r="UNM420" s="416"/>
      <c r="UNN420" s="416"/>
      <c r="UNO420" s="416"/>
      <c r="UNP420" s="416"/>
      <c r="UNQ420" s="416"/>
      <c r="UNR420" s="416"/>
      <c r="UNS420" s="416"/>
      <c r="UNT420" s="416"/>
      <c r="UNU420" s="416"/>
      <c r="UNV420" s="416"/>
      <c r="UNW420" s="416"/>
      <c r="UNX420" s="416"/>
      <c r="UNY420" s="416"/>
      <c r="UNZ420" s="416"/>
      <c r="UOA420" s="416"/>
      <c r="UOB420" s="416"/>
      <c r="UOC420" s="416"/>
      <c r="UOD420" s="416"/>
      <c r="UOE420" s="416"/>
      <c r="UOF420" s="416"/>
      <c r="UOG420" s="416"/>
      <c r="UOH420" s="416"/>
      <c r="UOI420" s="416"/>
      <c r="UOJ420" s="416"/>
      <c r="UOK420" s="416"/>
      <c r="UOL420" s="416"/>
      <c r="UOM420" s="416"/>
      <c r="UON420" s="416"/>
      <c r="UOO420" s="416"/>
      <c r="UOP420" s="416"/>
      <c r="UOQ420" s="416"/>
      <c r="UOR420" s="416"/>
      <c r="UOS420" s="416"/>
      <c r="UOT420" s="416"/>
      <c r="UOU420" s="416"/>
      <c r="UOV420" s="416"/>
      <c r="UOW420" s="416"/>
      <c r="UOX420" s="416"/>
      <c r="UOY420" s="416"/>
      <c r="UOZ420" s="416"/>
      <c r="UPA420" s="416"/>
      <c r="UPB420" s="416"/>
      <c r="UPC420" s="416"/>
      <c r="UPD420" s="416"/>
      <c r="UPE420" s="416"/>
      <c r="UPF420" s="416"/>
      <c r="UPG420" s="416"/>
      <c r="UPH420" s="416"/>
      <c r="UPI420" s="416"/>
      <c r="UPJ420" s="416"/>
      <c r="UPK420" s="416"/>
      <c r="UPL420" s="416"/>
      <c r="UPM420" s="416"/>
      <c r="UPN420" s="416"/>
      <c r="UPO420" s="416"/>
      <c r="UPP420" s="416"/>
      <c r="UPQ420" s="416"/>
      <c r="UPR420" s="416"/>
      <c r="UPS420" s="416"/>
      <c r="UPT420" s="416"/>
      <c r="UPU420" s="416"/>
      <c r="UPV420" s="416"/>
      <c r="UPW420" s="416"/>
      <c r="UPX420" s="416"/>
      <c r="UPY420" s="416"/>
      <c r="UPZ420" s="416"/>
      <c r="UQA420" s="416"/>
      <c r="UQB420" s="416"/>
      <c r="UQC420" s="416"/>
      <c r="UQD420" s="416"/>
      <c r="UQE420" s="416"/>
      <c r="UQF420" s="416"/>
      <c r="UQG420" s="416"/>
      <c r="UQH420" s="416"/>
      <c r="UQI420" s="416"/>
      <c r="UQJ420" s="416"/>
      <c r="UQK420" s="416"/>
      <c r="UQL420" s="416"/>
      <c r="UQM420" s="416"/>
      <c r="UQN420" s="416"/>
      <c r="UQO420" s="416"/>
      <c r="UQP420" s="416"/>
      <c r="UQQ420" s="416"/>
      <c r="UQR420" s="416"/>
      <c r="UQS420" s="416"/>
      <c r="UQT420" s="416"/>
      <c r="UQU420" s="416"/>
      <c r="UQV420" s="416"/>
      <c r="UQW420" s="416"/>
      <c r="UQX420" s="416"/>
      <c r="UQY420" s="416"/>
      <c r="UQZ420" s="416"/>
      <c r="URA420" s="416"/>
      <c r="URB420" s="416"/>
      <c r="URC420" s="416"/>
      <c r="URD420" s="416"/>
      <c r="URE420" s="416"/>
      <c r="URF420" s="416"/>
      <c r="URG420" s="416"/>
      <c r="URH420" s="416"/>
      <c r="URI420" s="416"/>
      <c r="URJ420" s="416"/>
      <c r="URK420" s="416"/>
      <c r="URL420" s="416"/>
      <c r="URM420" s="416"/>
      <c r="URN420" s="416"/>
      <c r="URO420" s="416"/>
      <c r="URP420" s="416"/>
      <c r="URQ420" s="416"/>
      <c r="URR420" s="416"/>
      <c r="URS420" s="416"/>
      <c r="URT420" s="416"/>
      <c r="URU420" s="416"/>
      <c r="URV420" s="416"/>
      <c r="URW420" s="416"/>
      <c r="URX420" s="416"/>
      <c r="URY420" s="416"/>
      <c r="URZ420" s="416"/>
      <c r="USA420" s="416"/>
      <c r="USB420" s="416"/>
      <c r="USC420" s="416"/>
      <c r="USD420" s="416"/>
      <c r="USE420" s="416"/>
      <c r="USF420" s="416"/>
      <c r="USG420" s="416"/>
      <c r="USH420" s="416"/>
      <c r="USI420" s="416"/>
      <c r="USJ420" s="416"/>
      <c r="USK420" s="416"/>
      <c r="USL420" s="416"/>
      <c r="USM420" s="416"/>
      <c r="USN420" s="416"/>
      <c r="USO420" s="416"/>
      <c r="USP420" s="416"/>
      <c r="USQ420" s="416"/>
      <c r="USR420" s="416"/>
      <c r="USS420" s="416"/>
      <c r="UST420" s="416"/>
      <c r="USU420" s="416"/>
      <c r="USV420" s="416"/>
      <c r="USW420" s="416"/>
      <c r="USX420" s="416"/>
      <c r="USY420" s="416"/>
      <c r="USZ420" s="416"/>
      <c r="UTA420" s="416"/>
      <c r="UTB420" s="416"/>
      <c r="UTC420" s="416"/>
      <c r="UTD420" s="416"/>
      <c r="UTE420" s="416"/>
      <c r="UTF420" s="416"/>
      <c r="UTG420" s="416"/>
      <c r="UTH420" s="416"/>
      <c r="UTI420" s="416"/>
      <c r="UTJ420" s="416"/>
      <c r="UTK420" s="416"/>
      <c r="UTL420" s="416"/>
      <c r="UTM420" s="416"/>
      <c r="UTN420" s="416"/>
      <c r="UTO420" s="416"/>
      <c r="UTP420" s="416"/>
      <c r="UTQ420" s="416"/>
      <c r="UTR420" s="416"/>
      <c r="UTS420" s="416"/>
      <c r="UTT420" s="416"/>
      <c r="UTU420" s="416"/>
      <c r="UTV420" s="416"/>
      <c r="UTW420" s="416"/>
      <c r="UTX420" s="416"/>
      <c r="UTY420" s="416"/>
      <c r="UTZ420" s="416"/>
      <c r="UUA420" s="416"/>
      <c r="UUB420" s="416"/>
      <c r="UUC420" s="416"/>
      <c r="UUD420" s="416"/>
      <c r="UUE420" s="416"/>
      <c r="UUF420" s="416"/>
      <c r="UUG420" s="416"/>
      <c r="UUH420" s="416"/>
      <c r="UUI420" s="416"/>
      <c r="UUJ420" s="416"/>
      <c r="UUK420" s="416"/>
      <c r="UUL420" s="416"/>
      <c r="UUM420" s="416"/>
      <c r="UUN420" s="416"/>
      <c r="UUO420" s="416"/>
      <c r="UUP420" s="416"/>
      <c r="UUQ420" s="416"/>
      <c r="UUR420" s="416"/>
      <c r="UUS420" s="416"/>
      <c r="UUT420" s="416"/>
      <c r="UUU420" s="416"/>
      <c r="UUV420" s="416"/>
      <c r="UUW420" s="416"/>
      <c r="UUX420" s="416"/>
      <c r="UUY420" s="416"/>
      <c r="UUZ420" s="416"/>
      <c r="UVA420" s="416"/>
      <c r="UVB420" s="416"/>
      <c r="UVC420" s="416"/>
      <c r="UVD420" s="416"/>
      <c r="UVE420" s="416"/>
      <c r="UVF420" s="416"/>
      <c r="UVG420" s="416"/>
      <c r="UVH420" s="416"/>
      <c r="UVI420" s="416"/>
      <c r="UVJ420" s="416"/>
      <c r="UVK420" s="416"/>
      <c r="UVL420" s="416"/>
      <c r="UVM420" s="416"/>
      <c r="UVN420" s="416"/>
      <c r="UVO420" s="416"/>
      <c r="UVP420" s="416"/>
      <c r="UVQ420" s="416"/>
      <c r="UVR420" s="416"/>
      <c r="UVS420" s="416"/>
      <c r="UVT420" s="416"/>
      <c r="UVU420" s="416"/>
      <c r="UVV420" s="416"/>
      <c r="UVW420" s="416"/>
      <c r="UVX420" s="416"/>
      <c r="UVY420" s="416"/>
      <c r="UVZ420" s="416"/>
      <c r="UWA420" s="416"/>
      <c r="UWB420" s="416"/>
      <c r="UWC420" s="416"/>
      <c r="UWD420" s="416"/>
      <c r="UWE420" s="416"/>
      <c r="UWF420" s="416"/>
      <c r="UWG420" s="416"/>
      <c r="UWH420" s="416"/>
      <c r="UWI420" s="416"/>
      <c r="UWJ420" s="416"/>
      <c r="UWK420" s="416"/>
      <c r="UWL420" s="416"/>
      <c r="UWM420" s="416"/>
      <c r="UWN420" s="416"/>
      <c r="UWO420" s="416"/>
      <c r="UWP420" s="416"/>
      <c r="UWQ420" s="416"/>
      <c r="UWR420" s="416"/>
      <c r="UWS420" s="416"/>
      <c r="UWT420" s="416"/>
      <c r="UWU420" s="416"/>
      <c r="UWV420" s="416"/>
      <c r="UWW420" s="416"/>
      <c r="UWX420" s="416"/>
      <c r="UWY420" s="416"/>
      <c r="UWZ420" s="416"/>
      <c r="UXA420" s="416"/>
      <c r="UXB420" s="416"/>
      <c r="UXC420" s="416"/>
      <c r="UXD420" s="416"/>
      <c r="UXE420" s="416"/>
      <c r="UXF420" s="416"/>
      <c r="UXG420" s="416"/>
      <c r="UXH420" s="416"/>
      <c r="UXI420" s="416"/>
      <c r="UXJ420" s="416"/>
      <c r="UXK420" s="416"/>
      <c r="UXL420" s="416"/>
      <c r="UXM420" s="416"/>
      <c r="UXN420" s="416"/>
      <c r="UXO420" s="416"/>
      <c r="UXP420" s="416"/>
      <c r="UXQ420" s="416"/>
      <c r="UXR420" s="416"/>
      <c r="UXS420" s="416"/>
      <c r="UXT420" s="416"/>
      <c r="UXU420" s="416"/>
      <c r="UXV420" s="416"/>
      <c r="UXW420" s="416"/>
      <c r="UXX420" s="416"/>
      <c r="UXY420" s="416"/>
      <c r="UXZ420" s="416"/>
      <c r="UYA420" s="416"/>
      <c r="UYB420" s="416"/>
      <c r="UYC420" s="416"/>
      <c r="UYD420" s="416"/>
      <c r="UYE420" s="416"/>
      <c r="UYF420" s="416"/>
      <c r="UYG420" s="416"/>
      <c r="UYH420" s="416"/>
      <c r="UYI420" s="416"/>
      <c r="UYJ420" s="416"/>
      <c r="UYK420" s="416"/>
      <c r="UYL420" s="416"/>
      <c r="UYM420" s="416"/>
      <c r="UYN420" s="416"/>
      <c r="UYO420" s="416"/>
      <c r="UYP420" s="416"/>
      <c r="UYQ420" s="416"/>
      <c r="UYR420" s="416"/>
      <c r="UYS420" s="416"/>
      <c r="UYT420" s="416"/>
      <c r="UYU420" s="416"/>
      <c r="UYV420" s="416"/>
      <c r="UYW420" s="416"/>
      <c r="UYX420" s="416"/>
      <c r="UYY420" s="416"/>
      <c r="UYZ420" s="416"/>
      <c r="UZA420" s="416"/>
      <c r="UZB420" s="416"/>
      <c r="UZC420" s="416"/>
      <c r="UZD420" s="416"/>
      <c r="UZE420" s="416"/>
      <c r="UZF420" s="416"/>
      <c r="UZG420" s="416"/>
      <c r="UZH420" s="416"/>
      <c r="UZI420" s="416"/>
      <c r="UZJ420" s="416"/>
      <c r="UZK420" s="416"/>
      <c r="UZL420" s="416"/>
      <c r="UZM420" s="416"/>
      <c r="UZN420" s="416"/>
      <c r="UZO420" s="416"/>
      <c r="UZP420" s="416"/>
      <c r="UZQ420" s="416"/>
      <c r="UZR420" s="416"/>
      <c r="UZS420" s="416"/>
      <c r="UZT420" s="416"/>
      <c r="UZU420" s="416"/>
      <c r="UZV420" s="416"/>
      <c r="UZW420" s="416"/>
      <c r="UZX420" s="416"/>
      <c r="UZY420" s="416"/>
      <c r="UZZ420" s="416"/>
      <c r="VAA420" s="416"/>
      <c r="VAB420" s="416"/>
      <c r="VAC420" s="416"/>
      <c r="VAD420" s="416"/>
      <c r="VAE420" s="416"/>
      <c r="VAF420" s="416"/>
      <c r="VAG420" s="416"/>
      <c r="VAH420" s="416"/>
      <c r="VAI420" s="416"/>
      <c r="VAJ420" s="416"/>
      <c r="VAK420" s="416"/>
      <c r="VAL420" s="416"/>
      <c r="VAM420" s="416"/>
      <c r="VAN420" s="416"/>
      <c r="VAO420" s="416"/>
      <c r="VAP420" s="416"/>
      <c r="VAQ420" s="416"/>
      <c r="VAR420" s="416"/>
      <c r="VAS420" s="416"/>
      <c r="VAT420" s="416"/>
      <c r="VAU420" s="416"/>
      <c r="VAV420" s="416"/>
      <c r="VAW420" s="416"/>
      <c r="VAX420" s="416"/>
      <c r="VAY420" s="416"/>
      <c r="VAZ420" s="416"/>
      <c r="VBA420" s="416"/>
      <c r="VBB420" s="416"/>
      <c r="VBC420" s="416"/>
      <c r="VBD420" s="416"/>
      <c r="VBE420" s="416"/>
      <c r="VBF420" s="416"/>
      <c r="VBG420" s="416"/>
      <c r="VBH420" s="416"/>
      <c r="VBI420" s="416"/>
      <c r="VBJ420" s="416"/>
      <c r="VBK420" s="416"/>
      <c r="VBL420" s="416"/>
      <c r="VBM420" s="416"/>
      <c r="VBN420" s="416"/>
      <c r="VBO420" s="416"/>
      <c r="VBP420" s="416"/>
      <c r="VBQ420" s="416"/>
      <c r="VBR420" s="416"/>
      <c r="VBS420" s="416"/>
      <c r="VBT420" s="416"/>
      <c r="VBU420" s="416"/>
      <c r="VBV420" s="416"/>
      <c r="VBW420" s="416"/>
      <c r="VBX420" s="416"/>
      <c r="VBY420" s="416"/>
      <c r="VBZ420" s="416"/>
      <c r="VCA420" s="416"/>
      <c r="VCB420" s="416"/>
      <c r="VCC420" s="416"/>
      <c r="VCD420" s="416"/>
      <c r="VCE420" s="416"/>
      <c r="VCF420" s="416"/>
      <c r="VCG420" s="416"/>
      <c r="VCH420" s="416"/>
      <c r="VCI420" s="416"/>
      <c r="VCJ420" s="416"/>
      <c r="VCK420" s="416"/>
      <c r="VCL420" s="416"/>
      <c r="VCM420" s="416"/>
      <c r="VCN420" s="416"/>
      <c r="VCO420" s="416"/>
      <c r="VCP420" s="416"/>
      <c r="VCQ420" s="416"/>
      <c r="VCR420" s="416"/>
      <c r="VCS420" s="416"/>
      <c r="VCT420" s="416"/>
      <c r="VCU420" s="416"/>
      <c r="VCV420" s="416"/>
      <c r="VCW420" s="416"/>
      <c r="VCX420" s="416"/>
      <c r="VCY420" s="416"/>
      <c r="VCZ420" s="416"/>
      <c r="VDA420" s="416"/>
      <c r="VDB420" s="416"/>
      <c r="VDC420" s="416"/>
      <c r="VDD420" s="416"/>
      <c r="VDE420" s="416"/>
      <c r="VDF420" s="416"/>
      <c r="VDG420" s="416"/>
      <c r="VDH420" s="416"/>
      <c r="VDI420" s="416"/>
      <c r="VDJ420" s="416"/>
      <c r="VDK420" s="416"/>
      <c r="VDL420" s="416"/>
      <c r="VDM420" s="416"/>
      <c r="VDN420" s="416"/>
      <c r="VDO420" s="416"/>
      <c r="VDP420" s="416"/>
      <c r="VDQ420" s="416"/>
      <c r="VDR420" s="416"/>
      <c r="VDS420" s="416"/>
      <c r="VDT420" s="416"/>
      <c r="VDU420" s="416"/>
      <c r="VDV420" s="416"/>
      <c r="VDW420" s="416"/>
      <c r="VDX420" s="416"/>
      <c r="VDY420" s="416"/>
      <c r="VDZ420" s="416"/>
      <c r="VEA420" s="416"/>
      <c r="VEB420" s="416"/>
      <c r="VEC420" s="416"/>
      <c r="VED420" s="416"/>
      <c r="VEE420" s="416"/>
      <c r="VEF420" s="416"/>
      <c r="VEG420" s="416"/>
      <c r="VEH420" s="416"/>
      <c r="VEI420" s="416"/>
      <c r="VEJ420" s="416"/>
      <c r="VEK420" s="416"/>
      <c r="VEL420" s="416"/>
      <c r="VEM420" s="416"/>
      <c r="VEN420" s="416"/>
      <c r="VEO420" s="416"/>
      <c r="VEP420" s="416"/>
      <c r="VEQ420" s="416"/>
      <c r="VER420" s="416"/>
      <c r="VES420" s="416"/>
      <c r="VET420" s="416"/>
      <c r="VEU420" s="416"/>
      <c r="VEV420" s="416"/>
      <c r="VEW420" s="416"/>
      <c r="VEX420" s="416"/>
      <c r="VEY420" s="416"/>
      <c r="VEZ420" s="416"/>
      <c r="VFA420" s="416"/>
      <c r="VFB420" s="416"/>
      <c r="VFC420" s="416"/>
      <c r="VFD420" s="416"/>
      <c r="VFE420" s="416"/>
      <c r="VFF420" s="416"/>
      <c r="VFG420" s="416"/>
      <c r="VFH420" s="416"/>
      <c r="VFI420" s="416"/>
      <c r="VFJ420" s="416"/>
      <c r="VFK420" s="416"/>
      <c r="VFL420" s="416"/>
      <c r="VFM420" s="416"/>
      <c r="VFN420" s="416"/>
      <c r="VFO420" s="416"/>
      <c r="VFP420" s="416"/>
      <c r="VFQ420" s="416"/>
      <c r="VFR420" s="416"/>
      <c r="VFS420" s="416"/>
      <c r="VFT420" s="416"/>
      <c r="VFU420" s="416"/>
      <c r="VFV420" s="416"/>
      <c r="VFW420" s="416"/>
      <c r="VFX420" s="416"/>
      <c r="VFY420" s="416"/>
      <c r="VFZ420" s="416"/>
      <c r="VGA420" s="416"/>
      <c r="VGB420" s="416"/>
      <c r="VGC420" s="416"/>
      <c r="VGD420" s="416"/>
      <c r="VGE420" s="416"/>
      <c r="VGF420" s="416"/>
      <c r="VGG420" s="416"/>
      <c r="VGH420" s="416"/>
      <c r="VGI420" s="416"/>
      <c r="VGJ420" s="416"/>
      <c r="VGK420" s="416"/>
      <c r="VGL420" s="416"/>
      <c r="VGM420" s="416"/>
      <c r="VGN420" s="416"/>
      <c r="VGO420" s="416"/>
      <c r="VGP420" s="416"/>
      <c r="VGQ420" s="416"/>
      <c r="VGR420" s="416"/>
      <c r="VGS420" s="416"/>
      <c r="VGT420" s="416"/>
      <c r="VGU420" s="416"/>
      <c r="VGV420" s="416"/>
      <c r="VGW420" s="416"/>
      <c r="VGX420" s="416"/>
      <c r="VGY420" s="416"/>
      <c r="VGZ420" s="416"/>
      <c r="VHA420" s="416"/>
      <c r="VHB420" s="416"/>
      <c r="VHC420" s="416"/>
      <c r="VHD420" s="416"/>
      <c r="VHE420" s="416"/>
      <c r="VHF420" s="416"/>
      <c r="VHG420" s="416"/>
      <c r="VHH420" s="416"/>
      <c r="VHI420" s="416"/>
      <c r="VHJ420" s="416"/>
      <c r="VHK420" s="416"/>
      <c r="VHL420" s="416"/>
      <c r="VHM420" s="416"/>
      <c r="VHN420" s="416"/>
      <c r="VHO420" s="416"/>
      <c r="VHP420" s="416"/>
      <c r="VHQ420" s="416"/>
      <c r="VHR420" s="416"/>
      <c r="VHS420" s="416"/>
      <c r="VHT420" s="416"/>
      <c r="VHU420" s="416"/>
      <c r="VHV420" s="416"/>
      <c r="VHW420" s="416"/>
      <c r="VHX420" s="416"/>
      <c r="VHY420" s="416"/>
      <c r="VHZ420" s="416"/>
      <c r="VIA420" s="416"/>
      <c r="VIB420" s="416"/>
      <c r="VIC420" s="416"/>
      <c r="VID420" s="416"/>
      <c r="VIE420" s="416"/>
      <c r="VIF420" s="416"/>
      <c r="VIG420" s="416"/>
      <c r="VIH420" s="416"/>
      <c r="VII420" s="416"/>
      <c r="VIJ420" s="416"/>
      <c r="VIK420" s="416"/>
      <c r="VIL420" s="416"/>
      <c r="VIM420" s="416"/>
      <c r="VIN420" s="416"/>
      <c r="VIO420" s="416"/>
      <c r="VIP420" s="416"/>
      <c r="VIQ420" s="416"/>
      <c r="VIR420" s="416"/>
      <c r="VIS420" s="416"/>
      <c r="VIT420" s="416"/>
      <c r="VIU420" s="416"/>
      <c r="VIV420" s="416"/>
      <c r="VIW420" s="416"/>
      <c r="VIX420" s="416"/>
      <c r="VIY420" s="416"/>
      <c r="VIZ420" s="416"/>
      <c r="VJA420" s="416"/>
      <c r="VJB420" s="416"/>
      <c r="VJC420" s="416"/>
      <c r="VJD420" s="416"/>
      <c r="VJE420" s="416"/>
      <c r="VJF420" s="416"/>
      <c r="VJG420" s="416"/>
      <c r="VJH420" s="416"/>
      <c r="VJI420" s="416"/>
      <c r="VJJ420" s="416"/>
      <c r="VJK420" s="416"/>
      <c r="VJL420" s="416"/>
      <c r="VJM420" s="416"/>
      <c r="VJN420" s="416"/>
      <c r="VJO420" s="416"/>
      <c r="VJP420" s="416"/>
      <c r="VJQ420" s="416"/>
      <c r="VJR420" s="416"/>
      <c r="VJS420" s="416"/>
      <c r="VJT420" s="416"/>
      <c r="VJU420" s="416"/>
      <c r="VJV420" s="416"/>
      <c r="VJW420" s="416"/>
      <c r="VJX420" s="416"/>
      <c r="VJY420" s="416"/>
      <c r="VJZ420" s="416"/>
      <c r="VKA420" s="416"/>
      <c r="VKB420" s="416"/>
      <c r="VKC420" s="416"/>
      <c r="VKD420" s="416"/>
      <c r="VKE420" s="416"/>
      <c r="VKF420" s="416"/>
      <c r="VKG420" s="416"/>
      <c r="VKH420" s="416"/>
      <c r="VKI420" s="416"/>
      <c r="VKJ420" s="416"/>
      <c r="VKK420" s="416"/>
      <c r="VKL420" s="416"/>
      <c r="VKM420" s="416"/>
      <c r="VKN420" s="416"/>
      <c r="VKO420" s="416"/>
      <c r="VKP420" s="416"/>
      <c r="VKQ420" s="416"/>
      <c r="VKR420" s="416"/>
      <c r="VKS420" s="416"/>
      <c r="VKT420" s="416"/>
      <c r="VKU420" s="416"/>
      <c r="VKV420" s="416"/>
      <c r="VKW420" s="416"/>
      <c r="VKX420" s="416"/>
      <c r="VKY420" s="416"/>
      <c r="VKZ420" s="416"/>
      <c r="VLA420" s="416"/>
      <c r="VLB420" s="416"/>
      <c r="VLC420" s="416"/>
      <c r="VLD420" s="416"/>
      <c r="VLE420" s="416"/>
      <c r="VLF420" s="416"/>
      <c r="VLG420" s="416"/>
      <c r="VLH420" s="416"/>
      <c r="VLI420" s="416"/>
      <c r="VLJ420" s="416"/>
      <c r="VLK420" s="416"/>
      <c r="VLL420" s="416"/>
      <c r="VLM420" s="416"/>
      <c r="VLN420" s="416"/>
      <c r="VLO420" s="416"/>
      <c r="VLP420" s="416"/>
      <c r="VLQ420" s="416"/>
      <c r="VLR420" s="416"/>
      <c r="VLS420" s="416"/>
      <c r="VLT420" s="416"/>
      <c r="VLU420" s="416"/>
      <c r="VLV420" s="416"/>
      <c r="VLW420" s="416"/>
      <c r="VLX420" s="416"/>
      <c r="VLY420" s="416"/>
      <c r="VLZ420" s="416"/>
      <c r="VMA420" s="416"/>
      <c r="VMB420" s="416"/>
      <c r="VMC420" s="416"/>
      <c r="VMD420" s="416"/>
      <c r="VME420" s="416"/>
      <c r="VMF420" s="416"/>
      <c r="VMG420" s="416"/>
      <c r="VMH420" s="416"/>
      <c r="VMI420" s="416"/>
      <c r="VMJ420" s="416"/>
      <c r="VMK420" s="416"/>
      <c r="VML420" s="416"/>
      <c r="VMM420" s="416"/>
      <c r="VMN420" s="416"/>
      <c r="VMO420" s="416"/>
      <c r="VMP420" s="416"/>
      <c r="VMQ420" s="416"/>
      <c r="VMR420" s="416"/>
      <c r="VMS420" s="416"/>
      <c r="VMT420" s="416"/>
      <c r="VMU420" s="416"/>
      <c r="VMV420" s="416"/>
      <c r="VMW420" s="416"/>
      <c r="VMX420" s="416"/>
      <c r="VMY420" s="416"/>
      <c r="VMZ420" s="416"/>
      <c r="VNA420" s="416"/>
      <c r="VNB420" s="416"/>
      <c r="VNC420" s="416"/>
      <c r="VND420" s="416"/>
      <c r="VNE420" s="416"/>
      <c r="VNF420" s="416"/>
      <c r="VNG420" s="416"/>
      <c r="VNH420" s="416"/>
      <c r="VNI420" s="416"/>
      <c r="VNJ420" s="416"/>
      <c r="VNK420" s="416"/>
      <c r="VNL420" s="416"/>
      <c r="VNM420" s="416"/>
      <c r="VNN420" s="416"/>
      <c r="VNO420" s="416"/>
      <c r="VNP420" s="416"/>
      <c r="VNQ420" s="416"/>
      <c r="VNR420" s="416"/>
      <c r="VNS420" s="416"/>
      <c r="VNT420" s="416"/>
      <c r="VNU420" s="416"/>
      <c r="VNV420" s="416"/>
      <c r="VNW420" s="416"/>
      <c r="VNX420" s="416"/>
      <c r="VNY420" s="416"/>
      <c r="VNZ420" s="416"/>
      <c r="VOA420" s="416"/>
      <c r="VOB420" s="416"/>
      <c r="VOC420" s="416"/>
      <c r="VOD420" s="416"/>
      <c r="VOE420" s="416"/>
      <c r="VOF420" s="416"/>
      <c r="VOG420" s="416"/>
      <c r="VOH420" s="416"/>
      <c r="VOI420" s="416"/>
      <c r="VOJ420" s="416"/>
      <c r="VOK420" s="416"/>
      <c r="VOL420" s="416"/>
      <c r="VOM420" s="416"/>
      <c r="VON420" s="416"/>
      <c r="VOO420" s="416"/>
      <c r="VOP420" s="416"/>
      <c r="VOQ420" s="416"/>
      <c r="VOR420" s="416"/>
      <c r="VOS420" s="416"/>
      <c r="VOT420" s="416"/>
      <c r="VOU420" s="416"/>
      <c r="VOV420" s="416"/>
      <c r="VOW420" s="416"/>
      <c r="VOX420" s="416"/>
      <c r="VOY420" s="416"/>
      <c r="VOZ420" s="416"/>
      <c r="VPA420" s="416"/>
      <c r="VPB420" s="416"/>
      <c r="VPC420" s="416"/>
      <c r="VPD420" s="416"/>
      <c r="VPE420" s="416"/>
      <c r="VPF420" s="416"/>
      <c r="VPG420" s="416"/>
      <c r="VPH420" s="416"/>
      <c r="VPI420" s="416"/>
      <c r="VPJ420" s="416"/>
      <c r="VPK420" s="416"/>
      <c r="VPL420" s="416"/>
      <c r="VPM420" s="416"/>
      <c r="VPN420" s="416"/>
      <c r="VPO420" s="416"/>
      <c r="VPP420" s="416"/>
      <c r="VPQ420" s="416"/>
      <c r="VPR420" s="416"/>
      <c r="VPS420" s="416"/>
      <c r="VPT420" s="416"/>
      <c r="VPU420" s="416"/>
      <c r="VPV420" s="416"/>
      <c r="VPW420" s="416"/>
      <c r="VPX420" s="416"/>
      <c r="VPY420" s="416"/>
      <c r="VPZ420" s="416"/>
      <c r="VQA420" s="416"/>
      <c r="VQB420" s="416"/>
      <c r="VQC420" s="416"/>
      <c r="VQD420" s="416"/>
      <c r="VQE420" s="416"/>
      <c r="VQF420" s="416"/>
      <c r="VQG420" s="416"/>
      <c r="VQH420" s="416"/>
      <c r="VQI420" s="416"/>
      <c r="VQJ420" s="416"/>
      <c r="VQK420" s="416"/>
      <c r="VQL420" s="416"/>
      <c r="VQM420" s="416"/>
      <c r="VQN420" s="416"/>
      <c r="VQO420" s="416"/>
      <c r="VQP420" s="416"/>
      <c r="VQQ420" s="416"/>
      <c r="VQR420" s="416"/>
      <c r="VQS420" s="416"/>
      <c r="VQT420" s="416"/>
      <c r="VQU420" s="416"/>
      <c r="VQV420" s="416"/>
      <c r="VQW420" s="416"/>
      <c r="VQX420" s="416"/>
      <c r="VQY420" s="416"/>
      <c r="VQZ420" s="416"/>
      <c r="VRA420" s="416"/>
      <c r="VRB420" s="416"/>
      <c r="VRC420" s="416"/>
      <c r="VRD420" s="416"/>
      <c r="VRE420" s="416"/>
      <c r="VRF420" s="416"/>
      <c r="VRG420" s="416"/>
      <c r="VRH420" s="416"/>
      <c r="VRI420" s="416"/>
      <c r="VRJ420" s="416"/>
      <c r="VRK420" s="416"/>
      <c r="VRL420" s="416"/>
      <c r="VRM420" s="416"/>
      <c r="VRN420" s="416"/>
      <c r="VRO420" s="416"/>
      <c r="VRP420" s="416"/>
      <c r="VRQ420" s="416"/>
      <c r="VRR420" s="416"/>
      <c r="VRS420" s="416"/>
      <c r="VRT420" s="416"/>
      <c r="VRU420" s="416"/>
      <c r="VRV420" s="416"/>
      <c r="VRW420" s="416"/>
      <c r="VRX420" s="416"/>
      <c r="VRY420" s="416"/>
      <c r="VRZ420" s="416"/>
      <c r="VSA420" s="416"/>
      <c r="VSB420" s="416"/>
      <c r="VSC420" s="416"/>
      <c r="VSD420" s="416"/>
      <c r="VSE420" s="416"/>
      <c r="VSF420" s="416"/>
      <c r="VSG420" s="416"/>
      <c r="VSH420" s="416"/>
      <c r="VSI420" s="416"/>
      <c r="VSJ420" s="416"/>
      <c r="VSK420" s="416"/>
      <c r="VSL420" s="416"/>
      <c r="VSM420" s="416"/>
      <c r="VSN420" s="416"/>
      <c r="VSO420" s="416"/>
      <c r="VSP420" s="416"/>
      <c r="VSQ420" s="416"/>
      <c r="VSR420" s="416"/>
      <c r="VSS420" s="416"/>
      <c r="VST420" s="416"/>
      <c r="VSU420" s="416"/>
      <c r="VSV420" s="416"/>
      <c r="VSW420" s="416"/>
      <c r="VSX420" s="416"/>
      <c r="VSY420" s="416"/>
      <c r="VSZ420" s="416"/>
      <c r="VTA420" s="416"/>
      <c r="VTB420" s="416"/>
      <c r="VTC420" s="416"/>
      <c r="VTD420" s="416"/>
      <c r="VTE420" s="416"/>
      <c r="VTF420" s="416"/>
      <c r="VTG420" s="416"/>
      <c r="VTH420" s="416"/>
      <c r="VTI420" s="416"/>
      <c r="VTJ420" s="416"/>
      <c r="VTK420" s="416"/>
      <c r="VTL420" s="416"/>
      <c r="VTM420" s="416"/>
      <c r="VTN420" s="416"/>
      <c r="VTO420" s="416"/>
      <c r="VTP420" s="416"/>
      <c r="VTQ420" s="416"/>
      <c r="VTR420" s="416"/>
      <c r="VTS420" s="416"/>
      <c r="VTT420" s="416"/>
      <c r="VTU420" s="416"/>
      <c r="VTV420" s="416"/>
      <c r="VTW420" s="416"/>
      <c r="VTX420" s="416"/>
      <c r="VTY420" s="416"/>
      <c r="VTZ420" s="416"/>
      <c r="VUA420" s="416"/>
      <c r="VUB420" s="416"/>
      <c r="VUC420" s="416"/>
      <c r="VUD420" s="416"/>
      <c r="VUE420" s="416"/>
      <c r="VUF420" s="416"/>
      <c r="VUG420" s="416"/>
      <c r="VUH420" s="416"/>
      <c r="VUI420" s="416"/>
      <c r="VUJ420" s="416"/>
      <c r="VUK420" s="416"/>
      <c r="VUL420" s="416"/>
      <c r="VUM420" s="416"/>
      <c r="VUN420" s="416"/>
      <c r="VUO420" s="416"/>
      <c r="VUP420" s="416"/>
      <c r="VUQ420" s="416"/>
      <c r="VUR420" s="416"/>
      <c r="VUS420" s="416"/>
      <c r="VUT420" s="416"/>
      <c r="VUU420" s="416"/>
      <c r="VUV420" s="416"/>
      <c r="VUW420" s="416"/>
      <c r="VUX420" s="416"/>
      <c r="VUY420" s="416"/>
      <c r="VUZ420" s="416"/>
      <c r="VVA420" s="416"/>
      <c r="VVB420" s="416"/>
      <c r="VVC420" s="416"/>
      <c r="VVD420" s="416"/>
      <c r="VVE420" s="416"/>
      <c r="VVF420" s="416"/>
      <c r="VVG420" s="416"/>
      <c r="VVH420" s="416"/>
      <c r="VVI420" s="416"/>
      <c r="VVJ420" s="416"/>
      <c r="VVK420" s="416"/>
      <c r="VVL420" s="416"/>
      <c r="VVM420" s="416"/>
      <c r="VVN420" s="416"/>
      <c r="VVO420" s="416"/>
      <c r="VVP420" s="416"/>
      <c r="VVQ420" s="416"/>
      <c r="VVR420" s="416"/>
      <c r="VVS420" s="416"/>
      <c r="VVT420" s="416"/>
      <c r="VVU420" s="416"/>
      <c r="VVV420" s="416"/>
      <c r="VVW420" s="416"/>
      <c r="VVX420" s="416"/>
      <c r="VVY420" s="416"/>
      <c r="VVZ420" s="416"/>
      <c r="VWA420" s="416"/>
      <c r="VWB420" s="416"/>
      <c r="VWC420" s="416"/>
      <c r="VWD420" s="416"/>
      <c r="VWE420" s="416"/>
      <c r="VWF420" s="416"/>
      <c r="VWG420" s="416"/>
      <c r="VWH420" s="416"/>
      <c r="VWI420" s="416"/>
      <c r="VWJ420" s="416"/>
      <c r="VWK420" s="416"/>
      <c r="VWL420" s="416"/>
      <c r="VWM420" s="416"/>
      <c r="VWN420" s="416"/>
      <c r="VWO420" s="416"/>
      <c r="VWP420" s="416"/>
      <c r="VWQ420" s="416"/>
      <c r="VWR420" s="416"/>
      <c r="VWS420" s="416"/>
      <c r="VWT420" s="416"/>
      <c r="VWU420" s="416"/>
      <c r="VWV420" s="416"/>
      <c r="VWW420" s="416"/>
      <c r="VWX420" s="416"/>
      <c r="VWY420" s="416"/>
      <c r="VWZ420" s="416"/>
      <c r="VXA420" s="416"/>
      <c r="VXB420" s="416"/>
      <c r="VXC420" s="416"/>
      <c r="VXD420" s="416"/>
      <c r="VXE420" s="416"/>
      <c r="VXF420" s="416"/>
      <c r="VXG420" s="416"/>
      <c r="VXH420" s="416"/>
      <c r="VXI420" s="416"/>
      <c r="VXJ420" s="416"/>
      <c r="VXK420" s="416"/>
      <c r="VXL420" s="416"/>
      <c r="VXM420" s="416"/>
      <c r="VXN420" s="416"/>
      <c r="VXO420" s="416"/>
      <c r="VXP420" s="416"/>
      <c r="VXQ420" s="416"/>
      <c r="VXR420" s="416"/>
      <c r="VXS420" s="416"/>
      <c r="VXT420" s="416"/>
      <c r="VXU420" s="416"/>
      <c r="VXV420" s="416"/>
      <c r="VXW420" s="416"/>
      <c r="VXX420" s="416"/>
      <c r="VXY420" s="416"/>
      <c r="VXZ420" s="416"/>
      <c r="VYA420" s="416"/>
      <c r="VYB420" s="416"/>
      <c r="VYC420" s="416"/>
      <c r="VYD420" s="416"/>
      <c r="VYE420" s="416"/>
      <c r="VYF420" s="416"/>
      <c r="VYG420" s="416"/>
      <c r="VYH420" s="416"/>
      <c r="VYI420" s="416"/>
      <c r="VYJ420" s="416"/>
      <c r="VYK420" s="416"/>
      <c r="VYL420" s="416"/>
      <c r="VYM420" s="416"/>
      <c r="VYN420" s="416"/>
      <c r="VYO420" s="416"/>
      <c r="VYP420" s="416"/>
      <c r="VYQ420" s="416"/>
      <c r="VYR420" s="416"/>
      <c r="VYS420" s="416"/>
      <c r="VYT420" s="416"/>
      <c r="VYU420" s="416"/>
      <c r="VYV420" s="416"/>
      <c r="VYW420" s="416"/>
      <c r="VYX420" s="416"/>
      <c r="VYY420" s="416"/>
      <c r="VYZ420" s="416"/>
      <c r="VZA420" s="416"/>
      <c r="VZB420" s="416"/>
      <c r="VZC420" s="416"/>
      <c r="VZD420" s="416"/>
      <c r="VZE420" s="416"/>
      <c r="VZF420" s="416"/>
      <c r="VZG420" s="416"/>
      <c r="VZH420" s="416"/>
      <c r="VZI420" s="416"/>
      <c r="VZJ420" s="416"/>
      <c r="VZK420" s="416"/>
      <c r="VZL420" s="416"/>
      <c r="VZM420" s="416"/>
      <c r="VZN420" s="416"/>
      <c r="VZO420" s="416"/>
      <c r="VZP420" s="416"/>
      <c r="VZQ420" s="416"/>
      <c r="VZR420" s="416"/>
      <c r="VZS420" s="416"/>
      <c r="VZT420" s="416"/>
      <c r="VZU420" s="416"/>
      <c r="VZV420" s="416"/>
      <c r="VZW420" s="416"/>
      <c r="VZX420" s="416"/>
      <c r="VZY420" s="416"/>
      <c r="VZZ420" s="416"/>
      <c r="WAA420" s="416"/>
      <c r="WAB420" s="416"/>
      <c r="WAC420" s="416"/>
      <c r="WAD420" s="416"/>
      <c r="WAE420" s="416"/>
      <c r="WAF420" s="416"/>
      <c r="WAG420" s="416"/>
      <c r="WAH420" s="416"/>
      <c r="WAI420" s="416"/>
      <c r="WAJ420" s="416"/>
      <c r="WAK420" s="416"/>
      <c r="WAL420" s="416"/>
      <c r="WAM420" s="416"/>
      <c r="WAN420" s="416"/>
      <c r="WAO420" s="416"/>
      <c r="WAP420" s="416"/>
      <c r="WAQ420" s="416"/>
      <c r="WAR420" s="416"/>
      <c r="WAS420" s="416"/>
      <c r="WAT420" s="416"/>
      <c r="WAU420" s="416"/>
      <c r="WAV420" s="416"/>
      <c r="WAW420" s="416"/>
      <c r="WAX420" s="416"/>
      <c r="WAY420" s="416"/>
      <c r="WAZ420" s="416"/>
      <c r="WBA420" s="416"/>
      <c r="WBB420" s="416"/>
      <c r="WBC420" s="416"/>
      <c r="WBD420" s="416"/>
      <c r="WBE420" s="416"/>
      <c r="WBF420" s="416"/>
      <c r="WBG420" s="416"/>
      <c r="WBH420" s="416"/>
      <c r="WBI420" s="416"/>
      <c r="WBJ420" s="416"/>
      <c r="WBK420" s="416"/>
      <c r="WBL420" s="416"/>
      <c r="WBM420" s="416"/>
      <c r="WBN420" s="416"/>
      <c r="WBO420" s="416"/>
      <c r="WBP420" s="416"/>
      <c r="WBQ420" s="416"/>
      <c r="WBR420" s="416"/>
      <c r="WBS420" s="416"/>
      <c r="WBT420" s="416"/>
      <c r="WBU420" s="416"/>
      <c r="WBV420" s="416"/>
      <c r="WBW420" s="416"/>
      <c r="WBX420" s="416"/>
      <c r="WBY420" s="416"/>
      <c r="WBZ420" s="416"/>
      <c r="WCA420" s="416"/>
      <c r="WCB420" s="416"/>
      <c r="WCC420" s="416"/>
      <c r="WCD420" s="416"/>
      <c r="WCE420" s="416"/>
      <c r="WCF420" s="416"/>
      <c r="WCG420" s="416"/>
      <c r="WCH420" s="416"/>
      <c r="WCI420" s="416"/>
      <c r="WCJ420" s="416"/>
      <c r="WCK420" s="416"/>
      <c r="WCL420" s="416"/>
      <c r="WCM420" s="416"/>
      <c r="WCN420" s="416"/>
      <c r="WCO420" s="416"/>
      <c r="WCP420" s="416"/>
      <c r="WCQ420" s="416"/>
      <c r="WCR420" s="416"/>
      <c r="WCS420" s="416"/>
      <c r="WCT420" s="416"/>
      <c r="WCU420" s="416"/>
      <c r="WCV420" s="416"/>
      <c r="WCW420" s="416"/>
      <c r="WCX420" s="416"/>
      <c r="WCY420" s="416"/>
      <c r="WCZ420" s="416"/>
      <c r="WDA420" s="416"/>
      <c r="WDB420" s="416"/>
      <c r="WDC420" s="416"/>
      <c r="WDD420" s="416"/>
      <c r="WDE420" s="416"/>
      <c r="WDF420" s="416"/>
      <c r="WDG420" s="416"/>
      <c r="WDH420" s="416"/>
      <c r="WDI420" s="416"/>
      <c r="WDJ420" s="416"/>
      <c r="WDK420" s="416"/>
      <c r="WDL420" s="416"/>
      <c r="WDM420" s="416"/>
      <c r="WDN420" s="416"/>
      <c r="WDO420" s="416"/>
      <c r="WDP420" s="416"/>
      <c r="WDQ420" s="416"/>
      <c r="WDR420" s="416"/>
      <c r="WDS420" s="416"/>
      <c r="WDT420" s="416"/>
      <c r="WDU420" s="416"/>
      <c r="WDV420" s="416"/>
      <c r="WDW420" s="416"/>
      <c r="WDX420" s="416"/>
      <c r="WDY420" s="416"/>
      <c r="WDZ420" s="416"/>
      <c r="WEA420" s="416"/>
      <c r="WEB420" s="416"/>
      <c r="WEC420" s="416"/>
      <c r="WED420" s="416"/>
      <c r="WEE420" s="416"/>
      <c r="WEF420" s="416"/>
      <c r="WEG420" s="416"/>
      <c r="WEH420" s="416"/>
      <c r="WEI420" s="416"/>
      <c r="WEJ420" s="416"/>
      <c r="WEK420" s="416"/>
      <c r="WEL420" s="416"/>
      <c r="WEM420" s="416"/>
      <c r="WEN420" s="416"/>
      <c r="WEO420" s="416"/>
      <c r="WEP420" s="416"/>
      <c r="WEQ420" s="416"/>
      <c r="WER420" s="416"/>
      <c r="WES420" s="416"/>
      <c r="WET420" s="416"/>
      <c r="WEU420" s="416"/>
      <c r="WEV420" s="416"/>
      <c r="WEW420" s="416"/>
      <c r="WEX420" s="416"/>
      <c r="WEY420" s="416"/>
      <c r="WEZ420" s="416"/>
      <c r="WFA420" s="416"/>
      <c r="WFB420" s="416"/>
      <c r="WFC420" s="416"/>
      <c r="WFD420" s="416"/>
      <c r="WFE420" s="416"/>
      <c r="WFF420" s="416"/>
      <c r="WFG420" s="416"/>
      <c r="WFH420" s="416"/>
      <c r="WFI420" s="416"/>
      <c r="WFJ420" s="416"/>
      <c r="WFK420" s="416"/>
      <c r="WFL420" s="416"/>
      <c r="WFM420" s="416"/>
      <c r="WFN420" s="416"/>
      <c r="WFO420" s="416"/>
      <c r="WFP420" s="416"/>
      <c r="WFQ420" s="416"/>
      <c r="WFR420" s="416"/>
      <c r="WFS420" s="416"/>
      <c r="WFT420" s="416"/>
      <c r="WFU420" s="416"/>
      <c r="WFV420" s="416"/>
      <c r="WFW420" s="416"/>
      <c r="WFX420" s="416"/>
      <c r="WFY420" s="416"/>
      <c r="WFZ420" s="416"/>
      <c r="WGA420" s="416"/>
      <c r="WGB420" s="416"/>
      <c r="WGC420" s="416"/>
      <c r="WGD420" s="416"/>
      <c r="WGE420" s="416"/>
      <c r="WGF420" s="416"/>
      <c r="WGG420" s="416"/>
      <c r="WGH420" s="416"/>
      <c r="WGI420" s="416"/>
      <c r="WGJ420" s="416"/>
      <c r="WGK420" s="416"/>
      <c r="WGL420" s="416"/>
      <c r="WGM420" s="416"/>
      <c r="WGN420" s="416"/>
      <c r="WGO420" s="416"/>
      <c r="WGP420" s="416"/>
      <c r="WGQ420" s="416"/>
      <c r="WGR420" s="416"/>
      <c r="WGS420" s="416"/>
      <c r="WGT420" s="416"/>
      <c r="WGU420" s="416"/>
      <c r="WGV420" s="416"/>
      <c r="WGW420" s="416"/>
      <c r="WGX420" s="416"/>
      <c r="WGY420" s="416"/>
      <c r="WGZ420" s="416"/>
      <c r="WHA420" s="416"/>
      <c r="WHB420" s="416"/>
      <c r="WHC420" s="416"/>
      <c r="WHD420" s="416"/>
      <c r="WHE420" s="416"/>
      <c r="WHF420" s="416"/>
      <c r="WHG420" s="416"/>
      <c r="WHH420" s="416"/>
      <c r="WHI420" s="416"/>
      <c r="WHJ420" s="416"/>
      <c r="WHK420" s="416"/>
      <c r="WHL420" s="416"/>
      <c r="WHM420" s="416"/>
      <c r="WHN420" s="416"/>
      <c r="WHO420" s="416"/>
      <c r="WHP420" s="416"/>
      <c r="WHQ420" s="416"/>
      <c r="WHR420" s="416"/>
      <c r="WHS420" s="416"/>
      <c r="WHT420" s="416"/>
      <c r="WHU420" s="416"/>
      <c r="WHV420" s="416"/>
      <c r="WHW420" s="416"/>
      <c r="WHX420" s="416"/>
      <c r="WHY420" s="416"/>
      <c r="WHZ420" s="416"/>
      <c r="WIA420" s="416"/>
      <c r="WIB420" s="416"/>
      <c r="WIC420" s="416"/>
      <c r="WID420" s="416"/>
      <c r="WIE420" s="416"/>
      <c r="WIF420" s="416"/>
      <c r="WIG420" s="416"/>
      <c r="WIH420" s="416"/>
      <c r="WII420" s="416"/>
      <c r="WIJ420" s="416"/>
      <c r="WIK420" s="416"/>
      <c r="WIL420" s="416"/>
      <c r="WIM420" s="416"/>
      <c r="WIN420" s="416"/>
      <c r="WIO420" s="416"/>
      <c r="WIP420" s="416"/>
      <c r="WIQ420" s="416"/>
      <c r="WIR420" s="416"/>
      <c r="WIS420" s="416"/>
      <c r="WIT420" s="416"/>
      <c r="WIU420" s="416"/>
      <c r="WIV420" s="416"/>
      <c r="WIW420" s="416"/>
      <c r="WIX420" s="416"/>
      <c r="WIY420" s="416"/>
      <c r="WIZ420" s="416"/>
      <c r="WJA420" s="416"/>
      <c r="WJB420" s="416"/>
      <c r="WJC420" s="416"/>
      <c r="WJD420" s="416"/>
      <c r="WJE420" s="416"/>
      <c r="WJF420" s="416"/>
      <c r="WJG420" s="416"/>
      <c r="WJH420" s="416"/>
      <c r="WJI420" s="416"/>
      <c r="WJJ420" s="416"/>
      <c r="WJK420" s="416"/>
      <c r="WJL420" s="416"/>
      <c r="WJM420" s="416"/>
      <c r="WJN420" s="416"/>
      <c r="WJO420" s="416"/>
      <c r="WJP420" s="416"/>
      <c r="WJQ420" s="416"/>
      <c r="WJR420" s="416"/>
      <c r="WJS420" s="416"/>
      <c r="WJT420" s="416"/>
      <c r="WJU420" s="416"/>
      <c r="WJV420" s="416"/>
      <c r="WJW420" s="416"/>
      <c r="WJX420" s="416"/>
      <c r="WJY420" s="416"/>
      <c r="WJZ420" s="416"/>
      <c r="WKA420" s="416"/>
      <c r="WKB420" s="416"/>
      <c r="WKC420" s="416"/>
      <c r="WKD420" s="416"/>
      <c r="WKE420" s="416"/>
      <c r="WKF420" s="416"/>
      <c r="WKG420" s="416"/>
      <c r="WKH420" s="416"/>
      <c r="WKI420" s="416"/>
      <c r="WKJ420" s="416"/>
      <c r="WKK420" s="416"/>
      <c r="WKL420" s="416"/>
      <c r="WKM420" s="416"/>
      <c r="WKN420" s="416"/>
      <c r="WKO420" s="416"/>
      <c r="WKP420" s="416"/>
      <c r="WKQ420" s="416"/>
      <c r="WKR420" s="416"/>
      <c r="WKS420" s="416"/>
      <c r="WKT420" s="416"/>
      <c r="WKU420" s="416"/>
      <c r="WKV420" s="416"/>
      <c r="WKW420" s="416"/>
      <c r="WKX420" s="416"/>
      <c r="WKY420" s="416"/>
      <c r="WKZ420" s="416"/>
      <c r="WLA420" s="416"/>
      <c r="WLB420" s="416"/>
      <c r="WLC420" s="416"/>
      <c r="WLD420" s="416"/>
      <c r="WLE420" s="416"/>
      <c r="WLF420" s="416"/>
      <c r="WLG420" s="416"/>
      <c r="WLH420" s="416"/>
      <c r="WLI420" s="416"/>
      <c r="WLJ420" s="416"/>
      <c r="WLK420" s="416"/>
      <c r="WLL420" s="416"/>
      <c r="WLM420" s="416"/>
      <c r="WLN420" s="416"/>
      <c r="WLO420" s="416"/>
      <c r="WLP420" s="416"/>
      <c r="WLQ420" s="416"/>
      <c r="WLR420" s="416"/>
      <c r="WLS420" s="416"/>
      <c r="WLT420" s="416"/>
      <c r="WLU420" s="416"/>
      <c r="WLV420" s="416"/>
      <c r="WLW420" s="416"/>
      <c r="WLX420" s="416"/>
      <c r="WLY420" s="416"/>
      <c r="WLZ420" s="416"/>
      <c r="WMA420" s="416"/>
      <c r="WMB420" s="416"/>
      <c r="WMC420" s="416"/>
      <c r="WMD420" s="416"/>
      <c r="WME420" s="416"/>
      <c r="WMF420" s="416"/>
      <c r="WMG420" s="416"/>
      <c r="WMH420" s="416"/>
      <c r="WMI420" s="416"/>
      <c r="WMJ420" s="416"/>
      <c r="WMK420" s="416"/>
      <c r="WML420" s="416"/>
      <c r="WMM420" s="416"/>
      <c r="WMN420" s="416"/>
      <c r="WMO420" s="416"/>
      <c r="WMP420" s="416"/>
      <c r="WMQ420" s="416"/>
      <c r="WMR420" s="416"/>
      <c r="WMS420" s="416"/>
      <c r="WMT420" s="416"/>
      <c r="WMU420" s="416"/>
      <c r="WMV420" s="416"/>
      <c r="WMW420" s="416"/>
      <c r="WMX420" s="416"/>
      <c r="WMY420" s="416"/>
      <c r="WMZ420" s="416"/>
      <c r="WNA420" s="416"/>
      <c r="WNB420" s="416"/>
      <c r="WNC420" s="416"/>
      <c r="WND420" s="416"/>
      <c r="WNE420" s="416"/>
      <c r="WNF420" s="416"/>
      <c r="WNG420" s="416"/>
      <c r="WNH420" s="416"/>
      <c r="WNI420" s="416"/>
      <c r="WNJ420" s="416"/>
      <c r="WNK420" s="416"/>
      <c r="WNL420" s="416"/>
      <c r="WNM420" s="416"/>
      <c r="WNN420" s="416"/>
      <c r="WNO420" s="416"/>
      <c r="WNP420" s="416"/>
      <c r="WNQ420" s="416"/>
      <c r="WNR420" s="416"/>
      <c r="WNS420" s="416"/>
      <c r="WNT420" s="416"/>
      <c r="WNU420" s="416"/>
      <c r="WNV420" s="416"/>
      <c r="WNW420" s="416"/>
      <c r="WNX420" s="416"/>
      <c r="WNY420" s="416"/>
      <c r="WNZ420" s="416"/>
      <c r="WOA420" s="416"/>
      <c r="WOB420" s="416"/>
      <c r="WOC420" s="416"/>
      <c r="WOD420" s="416"/>
      <c r="WOE420" s="416"/>
      <c r="WOF420" s="416"/>
      <c r="WOG420" s="416"/>
      <c r="WOH420" s="416"/>
      <c r="WOI420" s="416"/>
      <c r="WOJ420" s="416"/>
      <c r="WOK420" s="416"/>
      <c r="WOL420" s="416"/>
      <c r="WOM420" s="416"/>
      <c r="WON420" s="416"/>
      <c r="WOO420" s="416"/>
      <c r="WOP420" s="416"/>
      <c r="WOQ420" s="416"/>
      <c r="WOR420" s="416"/>
      <c r="WOS420" s="416"/>
      <c r="WOT420" s="416"/>
      <c r="WOU420" s="416"/>
      <c r="WOV420" s="416"/>
      <c r="WOW420" s="416"/>
      <c r="WOX420" s="416"/>
      <c r="WOY420" s="416"/>
      <c r="WOZ420" s="416"/>
      <c r="WPA420" s="416"/>
      <c r="WPB420" s="416"/>
      <c r="WPC420" s="416"/>
      <c r="WPD420" s="416"/>
      <c r="WPE420" s="416"/>
      <c r="WPF420" s="416"/>
      <c r="WPG420" s="416"/>
      <c r="WPH420" s="416"/>
      <c r="WPI420" s="416"/>
      <c r="WPJ420" s="416"/>
      <c r="WPK420" s="416"/>
      <c r="WPL420" s="416"/>
      <c r="WPM420" s="416"/>
      <c r="WPN420" s="416"/>
      <c r="WPO420" s="416"/>
      <c r="WPP420" s="416"/>
      <c r="WPQ420" s="416"/>
      <c r="WPR420" s="416"/>
      <c r="WPS420" s="416"/>
      <c r="WPT420" s="416"/>
      <c r="WPU420" s="416"/>
      <c r="WPV420" s="416"/>
      <c r="WPW420" s="416"/>
      <c r="WPX420" s="416"/>
      <c r="WPY420" s="416"/>
      <c r="WPZ420" s="416"/>
      <c r="WQA420" s="416"/>
      <c r="WQB420" s="416"/>
      <c r="WQC420" s="416"/>
      <c r="WQD420" s="416"/>
      <c r="WQE420" s="416"/>
      <c r="WQF420" s="416"/>
      <c r="WQG420" s="416"/>
      <c r="WQH420" s="416"/>
      <c r="WQI420" s="416"/>
      <c r="WQJ420" s="416"/>
      <c r="WQK420" s="416"/>
      <c r="WQL420" s="416"/>
      <c r="WQM420" s="416"/>
      <c r="WQN420" s="416"/>
      <c r="WQO420" s="416"/>
      <c r="WQP420" s="416"/>
      <c r="WQQ420" s="416"/>
      <c r="WQR420" s="416"/>
      <c r="WQS420" s="416"/>
      <c r="WQT420" s="416"/>
      <c r="WQU420" s="416"/>
      <c r="WQV420" s="416"/>
      <c r="WQW420" s="416"/>
      <c r="WQX420" s="416"/>
      <c r="WQY420" s="416"/>
      <c r="WQZ420" s="416"/>
      <c r="WRA420" s="416"/>
      <c r="WRB420" s="416"/>
      <c r="WRC420" s="416"/>
      <c r="WRD420" s="416"/>
      <c r="WRE420" s="416"/>
      <c r="WRF420" s="416"/>
      <c r="WRG420" s="416"/>
      <c r="WRH420" s="416"/>
      <c r="WRI420" s="416"/>
      <c r="WRJ420" s="416"/>
      <c r="WRK420" s="416"/>
      <c r="WRL420" s="416"/>
      <c r="WRM420" s="416"/>
      <c r="WRN420" s="416"/>
      <c r="WRO420" s="416"/>
      <c r="WRP420" s="416"/>
      <c r="WRQ420" s="416"/>
      <c r="WRR420" s="416"/>
      <c r="WRS420" s="416"/>
      <c r="WRT420" s="416"/>
      <c r="WRU420" s="416"/>
      <c r="WRV420" s="416"/>
      <c r="WRW420" s="416"/>
      <c r="WRX420" s="416"/>
      <c r="WRY420" s="416"/>
      <c r="WRZ420" s="416"/>
      <c r="WSA420" s="416"/>
      <c r="WSB420" s="416"/>
      <c r="WSC420" s="416"/>
      <c r="WSD420" s="416"/>
      <c r="WSE420" s="416"/>
      <c r="WSF420" s="416"/>
      <c r="WSG420" s="416"/>
      <c r="WSH420" s="416"/>
      <c r="WSI420" s="416"/>
      <c r="WSJ420" s="416"/>
      <c r="WSK420" s="416"/>
      <c r="WSL420" s="416"/>
      <c r="WSM420" s="416"/>
      <c r="WSN420" s="416"/>
      <c r="WSO420" s="416"/>
      <c r="WSP420" s="416"/>
      <c r="WSQ420" s="416"/>
      <c r="WSR420" s="416"/>
      <c r="WSS420" s="416"/>
      <c r="WST420" s="416"/>
      <c r="WSU420" s="416"/>
      <c r="WSV420" s="416"/>
      <c r="WSW420" s="416"/>
      <c r="WSX420" s="416"/>
      <c r="WSY420" s="416"/>
      <c r="WSZ420" s="416"/>
      <c r="WTA420" s="416"/>
      <c r="WTB420" s="416"/>
      <c r="WTC420" s="416"/>
      <c r="WTD420" s="416"/>
      <c r="WTE420" s="416"/>
      <c r="WTF420" s="416"/>
      <c r="WTG420" s="416"/>
      <c r="WTH420" s="416"/>
      <c r="WTI420" s="416"/>
      <c r="WTJ420" s="416"/>
      <c r="WTK420" s="416"/>
      <c r="WTL420" s="416"/>
      <c r="WTM420" s="416"/>
      <c r="WTN420" s="416"/>
      <c r="WTO420" s="416"/>
      <c r="WTP420" s="416"/>
      <c r="WTQ420" s="416"/>
      <c r="WTR420" s="416"/>
      <c r="WTS420" s="416"/>
      <c r="WTT420" s="416"/>
      <c r="WTU420" s="416"/>
      <c r="WTV420" s="416"/>
      <c r="WTW420" s="416"/>
      <c r="WTX420" s="416"/>
      <c r="WTY420" s="416"/>
      <c r="WTZ420" s="416"/>
      <c r="WUA420" s="416"/>
      <c r="WUB420" s="416"/>
      <c r="WUC420" s="416"/>
      <c r="WUD420" s="416"/>
      <c r="WUE420" s="416"/>
      <c r="WUF420" s="416"/>
      <c r="WUG420" s="416"/>
      <c r="WUH420" s="416"/>
      <c r="WUI420" s="416"/>
      <c r="WUJ420" s="416"/>
      <c r="WUK420" s="416"/>
      <c r="WUL420" s="416"/>
      <c r="WUM420" s="416"/>
      <c r="WUN420" s="416"/>
      <c r="WUO420" s="416"/>
      <c r="WUP420" s="416"/>
      <c r="WUQ420" s="416"/>
      <c r="WUR420" s="416"/>
      <c r="WUS420" s="416"/>
      <c r="WUT420" s="416"/>
      <c r="WUU420" s="416"/>
      <c r="WUV420" s="416"/>
      <c r="WUW420" s="416"/>
      <c r="WUX420" s="416"/>
      <c r="WUY420" s="416"/>
      <c r="WUZ420" s="416"/>
      <c r="WVA420" s="416"/>
      <c r="WVB420" s="416"/>
      <c r="WVC420" s="416"/>
      <c r="WVD420" s="416"/>
      <c r="WVE420" s="416"/>
      <c r="WVF420" s="416"/>
      <c r="WVG420" s="416"/>
      <c r="WVH420" s="416"/>
      <c r="WVI420" s="416"/>
      <c r="WVJ420" s="416"/>
      <c r="WVK420" s="416"/>
      <c r="WVL420" s="416"/>
      <c r="WVM420" s="416"/>
      <c r="WVN420" s="416"/>
      <c r="WVO420" s="416"/>
      <c r="WVP420" s="416"/>
      <c r="WVQ420" s="416"/>
      <c r="WVR420" s="416"/>
      <c r="WVS420" s="416"/>
      <c r="WVT420" s="416"/>
      <c r="WVU420" s="416"/>
      <c r="WVV420" s="416"/>
      <c r="WVW420" s="416"/>
      <c r="WVX420" s="416"/>
      <c r="WVY420" s="416"/>
      <c r="WVZ420" s="416"/>
      <c r="WWA420" s="416"/>
      <c r="WWB420" s="416"/>
      <c r="WWC420" s="416"/>
      <c r="WWD420" s="416"/>
      <c r="WWE420" s="416"/>
      <c r="WWF420" s="416"/>
      <c r="WWG420" s="416"/>
      <c r="WWH420" s="416"/>
      <c r="WWI420" s="416"/>
      <c r="WWJ420" s="416"/>
      <c r="WWK420" s="416"/>
      <c r="WWL420" s="416"/>
      <c r="WWM420" s="416"/>
      <c r="WWN420" s="416"/>
      <c r="WWO420" s="416"/>
      <c r="WWP420" s="416"/>
      <c r="WWQ420" s="416"/>
      <c r="WWR420" s="416"/>
      <c r="WWS420" s="416"/>
      <c r="WWT420" s="416"/>
      <c r="WWU420" s="416"/>
      <c r="WWV420" s="416"/>
      <c r="WWW420" s="416"/>
      <c r="WWX420" s="416"/>
      <c r="WWY420" s="416"/>
      <c r="WWZ420" s="416"/>
      <c r="WXA420" s="416"/>
      <c r="WXB420" s="416"/>
      <c r="WXC420" s="416"/>
      <c r="WXD420" s="416"/>
      <c r="WXE420" s="416"/>
      <c r="WXF420" s="416"/>
      <c r="WXG420" s="416"/>
      <c r="WXH420" s="416"/>
      <c r="WXI420" s="416"/>
      <c r="WXJ420" s="416"/>
      <c r="WXK420" s="416"/>
      <c r="WXL420" s="416"/>
      <c r="WXM420" s="416"/>
      <c r="WXN420" s="416"/>
      <c r="WXO420" s="416"/>
      <c r="WXP420" s="416"/>
      <c r="WXQ420" s="416"/>
      <c r="WXR420" s="416"/>
      <c r="WXS420" s="416"/>
      <c r="WXT420" s="416"/>
      <c r="WXU420" s="416"/>
      <c r="WXV420" s="416"/>
      <c r="WXW420" s="416"/>
      <c r="WXX420" s="416"/>
      <c r="WXY420" s="416"/>
      <c r="WXZ420" s="416"/>
      <c r="WYA420" s="416"/>
      <c r="WYB420" s="416"/>
      <c r="WYC420" s="416"/>
      <c r="WYD420" s="416"/>
      <c r="WYE420" s="416"/>
      <c r="WYF420" s="416"/>
      <c r="WYG420" s="416"/>
      <c r="WYH420" s="416"/>
      <c r="WYI420" s="416"/>
      <c r="WYJ420" s="416"/>
      <c r="WYK420" s="416"/>
      <c r="WYL420" s="416"/>
      <c r="WYM420" s="416"/>
      <c r="WYN420" s="416"/>
      <c r="WYO420" s="416"/>
      <c r="WYP420" s="416"/>
      <c r="WYQ420" s="416"/>
      <c r="WYR420" s="416"/>
      <c r="WYS420" s="416"/>
      <c r="WYT420" s="416"/>
      <c r="WYU420" s="416"/>
      <c r="WYV420" s="416"/>
      <c r="WYW420" s="416"/>
      <c r="WYX420" s="416"/>
      <c r="WYY420" s="416"/>
      <c r="WYZ420" s="416"/>
      <c r="WZA420" s="416"/>
      <c r="WZB420" s="416"/>
      <c r="WZC420" s="416"/>
      <c r="WZD420" s="416"/>
      <c r="WZE420" s="416"/>
      <c r="WZF420" s="416"/>
      <c r="WZG420" s="416"/>
      <c r="WZH420" s="416"/>
      <c r="WZI420" s="416"/>
      <c r="WZJ420" s="416"/>
      <c r="WZK420" s="416"/>
      <c r="WZL420" s="416"/>
      <c r="WZM420" s="416"/>
      <c r="WZN420" s="416"/>
      <c r="WZO420" s="416"/>
      <c r="WZP420" s="416"/>
      <c r="WZQ420" s="416"/>
      <c r="WZR420" s="416"/>
      <c r="WZS420" s="416"/>
      <c r="WZT420" s="416"/>
      <c r="WZU420" s="416"/>
      <c r="WZV420" s="416"/>
      <c r="WZW420" s="416"/>
      <c r="WZX420" s="416"/>
      <c r="WZY420" s="416"/>
      <c r="WZZ420" s="416"/>
      <c r="XAA420" s="416"/>
      <c r="XAB420" s="416"/>
      <c r="XAC420" s="416"/>
      <c r="XAD420" s="416"/>
      <c r="XAE420" s="416"/>
      <c r="XAF420" s="416"/>
      <c r="XAG420" s="416"/>
      <c r="XAH420" s="416"/>
      <c r="XAI420" s="416"/>
      <c r="XAJ420" s="416"/>
      <c r="XAK420" s="416"/>
      <c r="XAL420" s="416"/>
      <c r="XAM420" s="416"/>
      <c r="XAN420" s="416"/>
      <c r="XAO420" s="416"/>
      <c r="XAP420" s="416"/>
      <c r="XAQ420" s="416"/>
      <c r="XAR420" s="416"/>
      <c r="XAS420" s="416"/>
      <c r="XAT420" s="416"/>
      <c r="XAU420" s="416"/>
      <c r="XAV420" s="416"/>
      <c r="XAW420" s="416"/>
      <c r="XAX420" s="416"/>
      <c r="XAY420" s="416"/>
      <c r="XAZ420" s="416"/>
      <c r="XBA420" s="416"/>
      <c r="XBB420" s="416"/>
      <c r="XBC420" s="416"/>
      <c r="XBD420" s="416"/>
      <c r="XBE420" s="416"/>
      <c r="XBF420" s="416"/>
      <c r="XBG420" s="416"/>
      <c r="XBH420" s="416"/>
      <c r="XBI420" s="416"/>
      <c r="XBJ420" s="416"/>
      <c r="XBK420" s="416"/>
      <c r="XBL420" s="416"/>
      <c r="XBM420" s="416"/>
      <c r="XBN420" s="416"/>
      <c r="XBO420" s="416"/>
      <c r="XBP420" s="416"/>
      <c r="XBQ420" s="416"/>
      <c r="XBR420" s="416"/>
      <c r="XBS420" s="416"/>
      <c r="XBT420" s="416"/>
      <c r="XBU420" s="416"/>
      <c r="XBV420" s="416"/>
      <c r="XBW420" s="416"/>
      <c r="XBX420" s="416"/>
      <c r="XBY420" s="416"/>
      <c r="XBZ420" s="416"/>
      <c r="XCA420" s="416"/>
      <c r="XCB420" s="416"/>
      <c r="XCC420" s="416"/>
      <c r="XCD420" s="416"/>
      <c r="XCE420" s="416"/>
      <c r="XCF420" s="416"/>
      <c r="XCG420" s="416"/>
      <c r="XCH420" s="416"/>
      <c r="XCI420" s="416"/>
      <c r="XCJ420" s="416"/>
      <c r="XCK420" s="416"/>
      <c r="XCL420" s="416"/>
      <c r="XCM420" s="416"/>
      <c r="XCN420" s="416"/>
      <c r="XCO420" s="416"/>
      <c r="XCP420" s="416"/>
      <c r="XCQ420" s="416"/>
      <c r="XCR420" s="416"/>
      <c r="XCS420" s="416"/>
      <c r="XCT420" s="416"/>
      <c r="XCU420" s="416"/>
      <c r="XCV420" s="416"/>
      <c r="XCW420" s="416"/>
      <c r="XCX420" s="416"/>
      <c r="XCY420" s="416"/>
      <c r="XCZ420" s="416"/>
      <c r="XDA420" s="416"/>
      <c r="XDB420" s="416"/>
      <c r="XDC420" s="416"/>
      <c r="XDD420" s="416"/>
      <c r="XDE420" s="416"/>
      <c r="XDF420" s="416"/>
      <c r="XDG420" s="416"/>
      <c r="XDH420" s="416"/>
      <c r="XDI420" s="416"/>
      <c r="XDJ420" s="416"/>
      <c r="XDK420" s="416"/>
      <c r="XDL420" s="416"/>
      <c r="XDM420" s="416"/>
      <c r="XDN420" s="416"/>
      <c r="XDO420" s="416"/>
      <c r="XDP420" s="416"/>
      <c r="XDQ420" s="416"/>
      <c r="XDR420" s="416"/>
      <c r="XDS420" s="416"/>
      <c r="XDT420" s="416"/>
      <c r="XDU420" s="416"/>
      <c r="XDV420" s="416"/>
      <c r="XDW420" s="416"/>
      <c r="XDX420" s="416"/>
      <c r="XDY420" s="416"/>
      <c r="XDZ420" s="416"/>
      <c r="XEA420" s="416"/>
      <c r="XEB420" s="416"/>
      <c r="XEC420" s="416"/>
      <c r="XED420" s="416"/>
      <c r="XEE420" s="416"/>
      <c r="XEF420" s="416"/>
      <c r="XEG420" s="416"/>
      <c r="XEH420" s="416"/>
      <c r="XEI420" s="416"/>
      <c r="XEJ420" s="416"/>
      <c r="XEK420" s="416"/>
      <c r="XEL420" s="416"/>
      <c r="XEM420" s="416"/>
      <c r="XEN420" s="416"/>
      <c r="XEO420" s="416"/>
      <c r="XEP420" s="416"/>
      <c r="XEQ420" s="416"/>
      <c r="XER420" s="416"/>
      <c r="XES420" s="416"/>
      <c r="XET420" s="416"/>
      <c r="XEU420" s="416"/>
      <c r="XEV420" s="416"/>
      <c r="XEW420" s="416"/>
      <c r="XEX420" s="416"/>
      <c r="XEY420" s="416"/>
      <c r="XEZ420" s="416"/>
      <c r="XFA420" s="416"/>
      <c r="XFB420" s="416"/>
    </row>
    <row r="421" spans="1:16382" ht="18.75">
      <c r="A421" s="426" t="str">
        <f>'3ème trim 2016'!A43</f>
        <v>08.2016</v>
      </c>
      <c r="B421" s="426">
        <f>'3ème trim 2016'!B43</f>
        <v>304341</v>
      </c>
      <c r="C421" s="670"/>
      <c r="D421" s="338" t="str">
        <f>'3ème trim 2016'!D43</f>
        <v>REEBOU PACK</v>
      </c>
      <c r="E421" s="362"/>
      <c r="F421" s="237">
        <f>'3ème trim 2016'!F43</f>
        <v>0</v>
      </c>
      <c r="G421" s="25">
        <f>'3ème trim 2016'!G43</f>
        <v>0</v>
      </c>
      <c r="H421" s="345"/>
      <c r="I421" s="143">
        <f>'3ème trim 2016'!I43</f>
        <v>16.631999999999998</v>
      </c>
      <c r="J421" s="398"/>
    </row>
    <row r="422" spans="1:16382" ht="18.75">
      <c r="A422" s="425" t="str">
        <f>'4ème trim 2016'!A80</f>
        <v>12.2016</v>
      </c>
      <c r="B422" s="426">
        <f>'4ème trim 2016'!B80</f>
        <v>807737</v>
      </c>
      <c r="C422" s="657"/>
      <c r="D422" s="338" t="str">
        <f>'4ème trim 2016'!D80</f>
        <v>PACK REEBOU</v>
      </c>
      <c r="E422" s="360"/>
      <c r="F422" s="237">
        <f>'4ème trim 2016'!F80</f>
        <v>0</v>
      </c>
      <c r="G422" s="22">
        <f>'4ème trim 2016'!G80</f>
        <v>0</v>
      </c>
      <c r="H422" s="441"/>
      <c r="I422" s="143">
        <f>'4ème trim 2016'!I80</f>
        <v>21.762</v>
      </c>
      <c r="J422" s="401"/>
    </row>
    <row r="423" spans="1:16382" ht="30">
      <c r="A423" s="639" t="str">
        <f>'2eme trim 2017 '!A10</f>
        <v>04.2017</v>
      </c>
      <c r="B423" s="640">
        <f>'2eme trim 2017 '!B10</f>
        <v>838612</v>
      </c>
      <c r="C423" s="660"/>
      <c r="D423" s="602" t="str">
        <f>'2eme trim 2017 '!D10</f>
        <v>HORIZONT 60 INVEST</v>
      </c>
      <c r="E423" s="603"/>
      <c r="F423" s="604">
        <f>'2eme trim 2017 '!F10</f>
        <v>0</v>
      </c>
      <c r="G423" s="605">
        <f>'2eme trim 2017 '!G10</f>
        <v>2050</v>
      </c>
      <c r="H423" s="606"/>
      <c r="I423" s="607">
        <f>'2eme trim 2017 '!I10</f>
        <v>489.59999999999997</v>
      </c>
      <c r="J423" s="632" t="s">
        <v>625</v>
      </c>
    </row>
    <row r="424" spans="1:16382" ht="18.75">
      <c r="A424" s="425" t="str">
        <f>'3ème trim 2016'!A20</f>
        <v>07.2016</v>
      </c>
      <c r="B424" s="426">
        <f>'3ème trim 2016'!B20</f>
        <v>909120</v>
      </c>
      <c r="C424" s="652"/>
      <c r="D424" s="338" t="str">
        <f>'3ème trim 2016'!D20</f>
        <v>REEBOU FAMILY</v>
      </c>
      <c r="E424" s="362"/>
      <c r="F424" s="237">
        <f>'3ème trim 2016'!F20</f>
        <v>0</v>
      </c>
      <c r="G424" s="25">
        <f>'3ème trim 2016'!G20</f>
        <v>0</v>
      </c>
      <c r="H424" s="345"/>
      <c r="I424" s="143">
        <f>'3ème trim 2016'!I20</f>
        <v>98.055599999999998</v>
      </c>
      <c r="J424" s="398"/>
    </row>
    <row r="425" spans="1:16382" ht="18.75">
      <c r="A425" s="425" t="str">
        <f>'3ème trim 2016'!A21</f>
        <v>07.2016</v>
      </c>
      <c r="B425" s="426">
        <f>'3ème trim 2016'!B21</f>
        <v>909120</v>
      </c>
      <c r="C425" s="652"/>
      <c r="D425" s="338" t="str">
        <f>'3ème trim 2016'!D21</f>
        <v>MOBILE</v>
      </c>
      <c r="E425" s="362"/>
      <c r="F425" s="237">
        <f>'3ème trim 2016'!F21</f>
        <v>0</v>
      </c>
      <c r="G425" s="25">
        <f>'3ème trim 2016'!G21</f>
        <v>0</v>
      </c>
      <c r="H425" s="345"/>
      <c r="I425" s="143">
        <f>'3ème trim 2016'!I21</f>
        <v>64.484999999999999</v>
      </c>
      <c r="J425" s="398"/>
    </row>
    <row r="426" spans="1:16382" ht="18.75">
      <c r="A426" s="425" t="str">
        <f>'2eme trim 2017 '!A57</f>
        <v>06.2017</v>
      </c>
      <c r="B426" s="426">
        <f>'2eme trim 2017 '!B57</f>
        <v>524936</v>
      </c>
      <c r="C426" s="657"/>
      <c r="D426" s="338" t="str">
        <f>'2eme trim 2017 '!D57</f>
        <v>REEBOU PRO</v>
      </c>
      <c r="E426" s="360"/>
      <c r="F426" s="237">
        <f>'2eme trim 2017 '!F57</f>
        <v>0</v>
      </c>
      <c r="G426" s="22">
        <f>'2eme trim 2017 '!G57</f>
        <v>0</v>
      </c>
      <c r="H426" s="441"/>
      <c r="I426" s="143">
        <f>'2eme trim 2017 '!I57</f>
        <v>175.60679999999999</v>
      </c>
      <c r="J426" s="402"/>
    </row>
    <row r="427" spans="1:16382" ht="18.75">
      <c r="A427" s="425" t="str">
        <f>'4eme trim 2017  '!A89</f>
        <v>12.2017</v>
      </c>
      <c r="B427" s="565">
        <f>'4eme trim 2017  '!B89</f>
        <v>524936</v>
      </c>
      <c r="C427" s="664"/>
      <c r="D427" s="384" t="str">
        <f>'4eme trim 2017  '!D89</f>
        <v>REEBOU PRO</v>
      </c>
      <c r="E427" s="566"/>
      <c r="F427" s="237">
        <f>'4eme trim 2017  '!F89</f>
        <v>0</v>
      </c>
      <c r="G427" s="35">
        <f>'4eme trim 2017  '!G89</f>
        <v>0</v>
      </c>
      <c r="H427" s="567"/>
      <c r="I427" s="567">
        <f>'4eme trim 2017  '!I89</f>
        <v>-175.60679999999999</v>
      </c>
      <c r="J427" s="443" t="str">
        <f>'4eme trim 2017  '!K89</f>
        <v>Annulation</v>
      </c>
    </row>
    <row r="428" spans="1:16382" ht="18.75">
      <c r="A428" s="425" t="str">
        <f>'4eme trim 2017  '!A86</f>
        <v>12.2017</v>
      </c>
      <c r="B428" s="426">
        <f>'4eme trim 2017  '!B86</f>
        <v>974373</v>
      </c>
      <c r="C428" s="652"/>
      <c r="D428" s="338" t="str">
        <f>'4eme trim 2017  '!D86</f>
        <v>REEBOU Family</v>
      </c>
      <c r="E428" s="362"/>
      <c r="F428" s="237">
        <f>'4eme trim 2017  '!F86</f>
        <v>0</v>
      </c>
      <c r="G428" s="25">
        <f>'4eme trim 2017  '!G86</f>
        <v>0</v>
      </c>
      <c r="H428" s="345"/>
      <c r="I428" s="143">
        <f>'4eme trim 2017  '!I86</f>
        <v>20.22</v>
      </c>
      <c r="J428" s="398"/>
    </row>
    <row r="429" spans="1:16382" ht="18.75">
      <c r="A429" s="419" t="str">
        <f>'2ème Trim.2018'!A30</f>
        <v>04.2018</v>
      </c>
      <c r="B429" s="416">
        <f>'2ème Trim.2018'!B30</f>
        <v>891120</v>
      </c>
      <c r="C429" s="652"/>
      <c r="D429" s="338" t="str">
        <f>'2ème Trim.2018'!D30</f>
        <v>MOBILE2016</v>
      </c>
      <c r="E429" s="362"/>
      <c r="F429" s="237">
        <f>'2ème Trim.2018'!F30</f>
        <v>0</v>
      </c>
      <c r="G429" s="25">
        <f>'2ème Trim.2018'!G30</f>
        <v>0</v>
      </c>
      <c r="H429" s="345"/>
      <c r="I429" s="143">
        <f>'2ème Trim.2018'!I30</f>
        <v>82.703699999999998</v>
      </c>
    </row>
    <row r="430" spans="1:16382" ht="18.75">
      <c r="A430" s="419" t="str">
        <f>'2ème Trim.2018'!A31</f>
        <v>04.2018</v>
      </c>
      <c r="B430" s="416">
        <f>'2ème Trim.2018'!B31</f>
        <v>988611</v>
      </c>
      <c r="C430" s="652"/>
      <c r="D430" s="338" t="str">
        <f>'2ème Trim.2018'!D31</f>
        <v>MOBILE2016</v>
      </c>
      <c r="E430" s="362"/>
      <c r="F430" s="237">
        <f>'2ème Trim.2018'!F31</f>
        <v>0</v>
      </c>
      <c r="G430" s="25">
        <f>'2ème Trim.2018'!G31</f>
        <v>0</v>
      </c>
      <c r="H430" s="345"/>
      <c r="I430" s="143">
        <f>'2ème Trim.2018'!I31</f>
        <v>123.43790000000001</v>
      </c>
    </row>
    <row r="431" spans="1:16382" ht="18.75">
      <c r="A431" s="419" t="str">
        <f>'2ème Trim.2018'!A32</f>
        <v>04.2018</v>
      </c>
      <c r="B431" s="416">
        <f>'2ème Trim.2018'!B32</f>
        <v>801165</v>
      </c>
      <c r="C431" s="652"/>
      <c r="D431" s="338" t="str">
        <f>'2ème Trim.2018'!D32</f>
        <v>HORIZONT60Invest</v>
      </c>
      <c r="E431" s="362"/>
      <c r="F431" s="237">
        <f>'2ème Trim.2018'!F32</f>
        <v>0</v>
      </c>
      <c r="G431" s="25">
        <f>'2ème Trim.2018'!G32</f>
        <v>2037</v>
      </c>
      <c r="H431" s="345"/>
      <c r="I431" s="143">
        <f>'2ème Trim.2018'!I32</f>
        <v>606.48</v>
      </c>
    </row>
    <row r="432" spans="1:16382" ht="18.75">
      <c r="A432" s="419" t="str">
        <f>'2ème Trim.2018'!A33</f>
        <v>04.2018</v>
      </c>
      <c r="B432" s="416">
        <f>'2ème Trim.2018'!B33</f>
        <v>989575</v>
      </c>
      <c r="C432" s="652"/>
      <c r="D432" s="338" t="str">
        <f>'2ème Trim.2018'!D33</f>
        <v>NOVA</v>
      </c>
      <c r="E432" s="362"/>
      <c r="F432" s="237">
        <f>'2ème Trim.2018'!F33</f>
        <v>0</v>
      </c>
      <c r="G432" s="25">
        <f>'2ème Trim.2018'!G33</f>
        <v>2033</v>
      </c>
      <c r="H432" s="345"/>
      <c r="I432" s="143">
        <f>'2ème Trim.2018'!I33</f>
        <v>112.5</v>
      </c>
    </row>
    <row r="433" spans="1:9" ht="18.75">
      <c r="A433" s="419" t="str">
        <f>'2ème Trim.2018'!A34</f>
        <v>04.2018</v>
      </c>
      <c r="B433" s="416">
        <f>'2ème Trim.2018'!B34</f>
        <v>989575</v>
      </c>
      <c r="C433" s="652"/>
      <c r="D433" s="338" t="str">
        <f>'2ème Trim.2018'!D34</f>
        <v>NOVA</v>
      </c>
      <c r="E433" s="362"/>
      <c r="F433" s="237">
        <f>'2ème Trim.2018'!F34</f>
        <v>0</v>
      </c>
      <c r="G433" s="25">
        <f>'2ème Trim.2018'!G34</f>
        <v>2034</v>
      </c>
      <c r="H433" s="345"/>
      <c r="I433" s="143">
        <f>'2ème Trim.2018'!I34</f>
        <v>120</v>
      </c>
    </row>
    <row r="434" spans="1:9" ht="18.75">
      <c r="A434" s="419" t="str">
        <f>'2ème Trim.2018'!A35</f>
        <v>04.2018</v>
      </c>
      <c r="B434" s="416">
        <f>'2ème Trim.2018'!B35</f>
        <v>427416</v>
      </c>
      <c r="C434" s="652"/>
      <c r="D434" s="338" t="str">
        <f>'2ème Trim.2018'!D35</f>
        <v>REEBOU Family</v>
      </c>
      <c r="E434" s="362"/>
      <c r="F434" s="237">
        <f>'2ème Trim.2018'!F35</f>
        <v>0</v>
      </c>
      <c r="G434" s="25">
        <f>'2ème Trim.2018'!G35</f>
        <v>0</v>
      </c>
      <c r="H434" s="345"/>
      <c r="I434" s="143">
        <f>'2ème Trim.2018'!I35</f>
        <v>57.473599999999998</v>
      </c>
    </row>
    <row r="435" spans="1:9" ht="18.75">
      <c r="A435" s="419" t="str">
        <f>'2ème Trim.2018'!A36</f>
        <v>04.2018</v>
      </c>
      <c r="B435" s="416">
        <f>'2ème Trim.2018'!B36</f>
        <v>0</v>
      </c>
      <c r="C435" s="652"/>
      <c r="D435" s="338" t="str">
        <f>'2ème Trim.2018'!D36</f>
        <v>BSH</v>
      </c>
      <c r="E435" s="362"/>
      <c r="F435" s="237">
        <f>'2ème Trim.2018'!F36</f>
        <v>0</v>
      </c>
      <c r="G435" s="25">
        <f>'2ème Trim.2018'!G36</f>
        <v>0</v>
      </c>
      <c r="H435" s="345"/>
      <c r="I435" s="143">
        <f>'2ème Trim.2018'!I36</f>
        <v>0</v>
      </c>
    </row>
    <row r="436" spans="1:9" ht="18.75">
      <c r="A436" s="419" t="str">
        <f>'2ème Trim.2018'!A37</f>
        <v>04.2018</v>
      </c>
      <c r="B436" s="416">
        <f>'2ème Trim.2018'!B37</f>
        <v>992259</v>
      </c>
      <c r="C436" s="652"/>
      <c r="D436" s="338" t="str">
        <f>'2ème Trim.2018'!D37</f>
        <v>REEBOU Family</v>
      </c>
      <c r="E436" s="362"/>
      <c r="F436" s="237">
        <f>'2ème Trim.2018'!F37</f>
        <v>0</v>
      </c>
      <c r="G436" s="25">
        <f>'2ème Trim.2018'!G37</f>
        <v>0</v>
      </c>
      <c r="H436" s="345"/>
      <c r="I436" s="143">
        <f>'2ème Trim.2018'!I37</f>
        <v>20.042400000000001</v>
      </c>
    </row>
    <row r="437" spans="1:9" ht="18.75">
      <c r="A437" s="419" t="str">
        <f>'2ème Trim.2018'!A38</f>
        <v>04.2018</v>
      </c>
      <c r="B437" s="416">
        <f>'2ème Trim.2018'!B38</f>
        <v>395414</v>
      </c>
      <c r="C437" s="652"/>
      <c r="D437" s="338" t="str">
        <f>'2ème Trim.2018'!D38</f>
        <v>FOCUS</v>
      </c>
      <c r="E437" s="362"/>
      <c r="F437" s="237">
        <f>'2ème Trim.2018'!F38</f>
        <v>0</v>
      </c>
      <c r="G437" s="25">
        <f>'2ème Trim.2018'!G38</f>
        <v>0</v>
      </c>
      <c r="H437" s="345"/>
      <c r="I437" s="143">
        <f>'2ème Trim.2018'!I38</f>
        <v>44.021999999999998</v>
      </c>
    </row>
    <row r="438" spans="1:9" ht="18.75">
      <c r="A438" s="419" t="str">
        <f>'2ème Trim.2018'!A39</f>
        <v>04.2018</v>
      </c>
      <c r="B438" s="416">
        <f>'2ème Trim.2018'!B39</f>
        <v>991345</v>
      </c>
      <c r="C438" s="652"/>
      <c r="D438" s="338" t="str">
        <f>'2ème Trim.2018'!D39</f>
        <v>MOBILE2016</v>
      </c>
      <c r="E438" s="362"/>
      <c r="F438" s="237">
        <f>'2ème Trim.2018'!F39</f>
        <v>0</v>
      </c>
      <c r="G438" s="25">
        <f>'2ème Trim.2018'!G39</f>
        <v>0</v>
      </c>
      <c r="H438" s="345"/>
      <c r="I438" s="143">
        <f>'2ème Trim.2018'!I39</f>
        <v>63.058100000000003</v>
      </c>
    </row>
    <row r="439" spans="1:9" ht="18.75">
      <c r="A439" s="419" t="str">
        <f>'2ème Trim.2018'!A40</f>
        <v>04.2018</v>
      </c>
      <c r="B439" s="416">
        <f>'2ème Trim.2018'!B40</f>
        <v>809253</v>
      </c>
      <c r="C439" s="652"/>
      <c r="D439" s="338" t="str">
        <f>'2ème Trim.2018'!D40</f>
        <v>MOBILE2016</v>
      </c>
      <c r="E439" s="362"/>
      <c r="F439" s="237">
        <f>'2ème Trim.2018'!F40</f>
        <v>0</v>
      </c>
      <c r="G439" s="25">
        <f>'2ème Trim.2018'!G40</f>
        <v>0</v>
      </c>
      <c r="H439" s="345"/>
      <c r="I439" s="143">
        <f>'2ème Trim.2018'!I40</f>
        <v>75.974250000000012</v>
      </c>
    </row>
    <row r="440" spans="1:9" ht="18.75">
      <c r="A440" s="419" t="str">
        <f>'2ème Trim.2018'!A41</f>
        <v>04.2018</v>
      </c>
      <c r="B440" s="416">
        <f>'2ème Trim.2018'!B41</f>
        <v>0</v>
      </c>
      <c r="C440" s="652"/>
      <c r="D440" s="338" t="str">
        <f>'2ème Trim.2018'!D41</f>
        <v>BSH</v>
      </c>
      <c r="E440" s="362"/>
      <c r="F440" s="237">
        <f>'2ème Trim.2018'!F41</f>
        <v>0</v>
      </c>
      <c r="G440" s="25">
        <f>'2ème Trim.2018'!G41</f>
        <v>0</v>
      </c>
      <c r="H440" s="345"/>
      <c r="I440" s="143">
        <f>'2ème Trim.2018'!I41</f>
        <v>0</v>
      </c>
    </row>
    <row r="441" spans="1:9" ht="18.75">
      <c r="A441" s="419" t="str">
        <f>'2ème Trim.2018'!A42</f>
        <v>04.2018</v>
      </c>
      <c r="B441" s="416">
        <f>'2ème Trim.2018'!B42</f>
        <v>990516</v>
      </c>
      <c r="C441" s="652"/>
      <c r="D441" s="338" t="str">
        <f>'2ème Trim.2018'!D42</f>
        <v>MOBILE2016</v>
      </c>
      <c r="E441" s="362"/>
      <c r="F441" s="237">
        <f>'2ème Trim.2018'!F42</f>
        <v>0</v>
      </c>
      <c r="G441" s="25">
        <f>'2ème Trim.2018'!G42</f>
        <v>0</v>
      </c>
      <c r="H441" s="345"/>
      <c r="I441" s="143">
        <f>'2ème Trim.2018'!I42</f>
        <v>69.873350000000002</v>
      </c>
    </row>
    <row r="442" spans="1:9" ht="18.75">
      <c r="A442" s="419" t="str">
        <f>'2ème Trim.2018'!A43</f>
        <v>04.2018</v>
      </c>
      <c r="B442" s="416">
        <f>'2ème Trim.2018'!B43</f>
        <v>273884</v>
      </c>
      <c r="C442" s="652"/>
      <c r="D442" s="338" t="str">
        <f>'2ème Trim.2018'!D43</f>
        <v>MOBILE2016</v>
      </c>
      <c r="E442" s="362"/>
      <c r="F442" s="237">
        <f>'2ème Trim.2018'!F43</f>
        <v>0</v>
      </c>
      <c r="G442" s="25">
        <f>'2ème Trim.2018'!G43</f>
        <v>0</v>
      </c>
      <c r="H442" s="345"/>
      <c r="I442" s="143">
        <f>'2ème Trim.2018'!I43</f>
        <v>43.114800000000002</v>
      </c>
    </row>
    <row r="443" spans="1:9" ht="18.75">
      <c r="A443" s="419"/>
      <c r="B443" s="416"/>
      <c r="C443" s="652"/>
      <c r="D443" s="338"/>
      <c r="E443" s="362"/>
      <c r="F443" s="237"/>
      <c r="G443" s="25"/>
      <c r="H443" s="345"/>
      <c r="I443" s="143"/>
    </row>
    <row r="444" spans="1:9" ht="18.75">
      <c r="A444" s="419"/>
      <c r="B444" s="416"/>
      <c r="C444" s="652"/>
      <c r="D444" s="338"/>
      <c r="E444" s="362"/>
      <c r="F444" s="237"/>
      <c r="G444" s="25"/>
      <c r="H444" s="345"/>
      <c r="I444" s="143"/>
    </row>
    <row r="445" spans="1:9" ht="18.75">
      <c r="A445" s="419"/>
      <c r="B445" s="416"/>
      <c r="C445" s="652"/>
      <c r="D445" s="338"/>
      <c r="E445" s="362"/>
      <c r="F445" s="237"/>
      <c r="G445" s="25"/>
      <c r="H445" s="345"/>
      <c r="I445" s="143"/>
    </row>
    <row r="446" spans="1:9" ht="18.75">
      <c r="A446" s="419"/>
      <c r="B446" s="416"/>
      <c r="C446" s="652"/>
      <c r="D446" s="338"/>
      <c r="E446" s="362"/>
      <c r="F446" s="237"/>
      <c r="G446" s="25"/>
      <c r="H446" s="345"/>
      <c r="I446" s="143"/>
    </row>
    <row r="447" spans="1:9" ht="18.75">
      <c r="A447" s="419"/>
      <c r="B447" s="416"/>
      <c r="C447" s="652"/>
      <c r="D447" s="338"/>
      <c r="E447" s="362"/>
      <c r="F447" s="237"/>
      <c r="G447" s="25"/>
      <c r="H447" s="345"/>
      <c r="I447" s="143"/>
    </row>
    <row r="448" spans="1:9" ht="18.75">
      <c r="A448" s="419"/>
      <c r="B448" s="416"/>
      <c r="C448" s="652"/>
      <c r="D448" s="338"/>
      <c r="E448" s="362"/>
      <c r="F448" s="237"/>
      <c r="G448" s="25"/>
      <c r="H448" s="345"/>
      <c r="I448" s="143"/>
    </row>
    <row r="449" spans="1:9" ht="18.75">
      <c r="A449" s="419"/>
      <c r="B449" s="416"/>
      <c r="C449" s="652"/>
      <c r="D449" s="338"/>
      <c r="E449" s="362"/>
      <c r="F449" s="237"/>
      <c r="G449" s="25"/>
      <c r="H449" s="345"/>
      <c r="I449" s="143"/>
    </row>
    <row r="450" spans="1:9" ht="18.75">
      <c r="A450" s="419"/>
      <c r="B450" s="416"/>
      <c r="C450" s="652"/>
      <c r="D450" s="338"/>
      <c r="E450" s="362"/>
      <c r="F450" s="237"/>
      <c r="G450" s="25"/>
      <c r="H450" s="345"/>
      <c r="I450" s="143"/>
    </row>
    <row r="451" spans="1:9" ht="18.75">
      <c r="A451" s="419"/>
      <c r="B451" s="416"/>
      <c r="C451" s="652"/>
      <c r="D451" s="338"/>
      <c r="E451" s="362"/>
      <c r="F451" s="237"/>
      <c r="G451" s="25"/>
      <c r="H451" s="345"/>
      <c r="I451" s="143"/>
    </row>
    <row r="452" spans="1:9" ht="18.75">
      <c r="A452" s="419"/>
      <c r="B452" s="416"/>
      <c r="C452" s="652"/>
      <c r="D452" s="338"/>
      <c r="E452" s="362"/>
      <c r="F452" s="237"/>
      <c r="G452" s="25"/>
      <c r="H452" s="345"/>
      <c r="I452" s="143"/>
    </row>
    <row r="453" spans="1:9" ht="18.75">
      <c r="A453" s="419"/>
      <c r="B453" s="416"/>
      <c r="C453" s="652"/>
      <c r="D453" s="338"/>
      <c r="E453" s="362"/>
      <c r="F453" s="237"/>
      <c r="G453" s="25"/>
      <c r="H453" s="345"/>
      <c r="I453" s="143"/>
    </row>
    <row r="454" spans="1:9" ht="18.75">
      <c r="A454" s="419"/>
      <c r="B454" s="416"/>
      <c r="C454" s="652"/>
      <c r="D454" s="338"/>
      <c r="E454" s="362"/>
      <c r="F454" s="237"/>
      <c r="G454" s="25"/>
      <c r="H454" s="345"/>
      <c r="I454" s="143"/>
    </row>
    <row r="455" spans="1:9" ht="18.75">
      <c r="A455" s="419"/>
      <c r="B455" s="416"/>
      <c r="C455" s="652"/>
      <c r="D455" s="338"/>
      <c r="E455" s="362"/>
      <c r="F455" s="237"/>
      <c r="G455" s="25"/>
      <c r="H455" s="345"/>
      <c r="I455" s="143"/>
    </row>
    <row r="456" spans="1:9" ht="18.75">
      <c r="A456" s="80"/>
      <c r="B456" s="82"/>
      <c r="C456" s="670"/>
      <c r="D456" s="338"/>
      <c r="E456" s="362"/>
      <c r="F456" s="237"/>
      <c r="G456" s="25"/>
      <c r="H456" s="345"/>
      <c r="I456" s="143"/>
    </row>
    <row r="457" spans="1:9">
      <c r="A457" s="416"/>
      <c r="B457" s="416"/>
      <c r="C457" s="659"/>
      <c r="D457" s="362"/>
      <c r="E457" s="325"/>
      <c r="F457" s="525"/>
      <c r="G457" s="325"/>
      <c r="H457" s="156"/>
      <c r="I457" s="156"/>
    </row>
    <row r="458" spans="1:9" ht="18.75">
      <c r="A458" s="416"/>
      <c r="B458" s="416"/>
      <c r="C458" s="670"/>
      <c r="D458" s="338"/>
      <c r="E458" s="362"/>
      <c r="F458" s="237"/>
      <c r="G458" s="25"/>
      <c r="H458" s="345"/>
      <c r="I458" s="143"/>
    </row>
    <row r="459" spans="1:9" ht="18.75">
      <c r="A459" s="419"/>
      <c r="B459" s="416"/>
      <c r="C459" s="652"/>
      <c r="D459" s="338"/>
      <c r="E459" s="362"/>
      <c r="F459" s="237"/>
      <c r="G459" s="25"/>
      <c r="H459" s="345"/>
      <c r="I459" s="143"/>
    </row>
    <row r="460" spans="1:9" ht="18.75">
      <c r="A460" s="419"/>
      <c r="B460" s="416"/>
      <c r="C460" s="652"/>
      <c r="D460" s="338"/>
      <c r="E460" s="362"/>
      <c r="F460" s="237"/>
      <c r="G460" s="25"/>
      <c r="H460" s="345"/>
      <c r="I460" s="143"/>
    </row>
    <row r="461" spans="1:9" ht="18.75">
      <c r="A461" s="419"/>
      <c r="B461" s="416"/>
      <c r="C461" s="652"/>
      <c r="D461" s="338"/>
      <c r="E461" s="362"/>
      <c r="F461" s="237"/>
      <c r="G461" s="25"/>
      <c r="H461" s="345"/>
      <c r="I461" s="143"/>
    </row>
    <row r="462" spans="1:9" ht="18.75">
      <c r="A462" s="419"/>
      <c r="B462" s="416"/>
      <c r="C462" s="652"/>
      <c r="D462" s="338"/>
      <c r="E462" s="362"/>
      <c r="F462" s="237"/>
      <c r="G462" s="25"/>
      <c r="H462" s="345"/>
      <c r="I462" s="143"/>
    </row>
    <row r="463" spans="1:9" ht="18.75">
      <c r="A463" s="419"/>
      <c r="B463" s="416"/>
      <c r="C463" s="652"/>
      <c r="D463" s="338"/>
      <c r="E463" s="362"/>
      <c r="F463" s="237"/>
      <c r="G463" s="25"/>
      <c r="H463" s="345"/>
      <c r="I463" s="143"/>
    </row>
    <row r="464" spans="1:9" ht="18.75">
      <c r="A464" s="419"/>
      <c r="B464" s="416"/>
      <c r="C464" s="652"/>
      <c r="D464" s="338"/>
      <c r="E464" s="362"/>
      <c r="F464" s="237"/>
      <c r="G464" s="25"/>
      <c r="H464" s="345"/>
      <c r="I464" s="143"/>
    </row>
    <row r="465" spans="1:9" ht="18.75">
      <c r="A465" s="419"/>
      <c r="B465" s="416"/>
      <c r="C465" s="652"/>
      <c r="D465" s="338"/>
      <c r="E465" s="362"/>
      <c r="F465" s="237"/>
      <c r="G465" s="25"/>
      <c r="H465" s="345"/>
      <c r="I465" s="143"/>
    </row>
    <row r="466" spans="1:9" ht="18.75">
      <c r="A466" s="419"/>
      <c r="B466" s="416"/>
      <c r="C466" s="652"/>
      <c r="D466" s="338"/>
      <c r="E466" s="362"/>
      <c r="F466" s="237"/>
      <c r="G466" s="25"/>
      <c r="H466" s="345"/>
      <c r="I466" s="143"/>
    </row>
    <row r="467" spans="1:9" ht="18.75">
      <c r="A467" s="419"/>
      <c r="B467" s="416"/>
      <c r="C467" s="652"/>
      <c r="D467" s="338"/>
      <c r="E467" s="362"/>
      <c r="F467" s="237"/>
      <c r="G467" s="25"/>
      <c r="H467" s="345"/>
      <c r="I467" s="143"/>
    </row>
    <row r="468" spans="1:9" ht="18.75">
      <c r="A468" s="419"/>
      <c r="B468" s="416"/>
      <c r="C468" s="652"/>
      <c r="D468" s="338"/>
      <c r="E468" s="362"/>
      <c r="F468" s="237"/>
      <c r="G468" s="25"/>
      <c r="H468" s="345"/>
      <c r="I468" s="143"/>
    </row>
    <row r="469" spans="1:9" ht="18.75">
      <c r="A469" s="419"/>
      <c r="B469" s="416"/>
      <c r="C469" s="652"/>
      <c r="D469" s="338"/>
      <c r="E469" s="362"/>
      <c r="F469" s="237"/>
      <c r="G469" s="25"/>
      <c r="H469" s="345"/>
      <c r="I469" s="143"/>
    </row>
    <row r="470" spans="1:9" ht="18.75">
      <c r="A470" s="419"/>
      <c r="B470" s="416"/>
      <c r="C470" s="652"/>
      <c r="D470" s="338"/>
      <c r="E470" s="362"/>
      <c r="F470" s="237"/>
      <c r="G470" s="25"/>
      <c r="H470" s="345"/>
      <c r="I470" s="143"/>
    </row>
    <row r="471" spans="1:9" ht="18.75">
      <c r="A471" s="419"/>
      <c r="B471" s="416"/>
      <c r="C471" s="652"/>
      <c r="D471" s="338"/>
      <c r="E471" s="362"/>
      <c r="F471" s="237"/>
      <c r="G471" s="25"/>
      <c r="H471" s="345"/>
      <c r="I471" s="143"/>
    </row>
    <row r="472" spans="1:9" ht="18.75">
      <c r="A472" s="419"/>
      <c r="B472" s="416"/>
      <c r="C472" s="652"/>
      <c r="D472" s="338"/>
      <c r="E472" s="362"/>
      <c r="F472" s="237"/>
      <c r="G472" s="25"/>
      <c r="H472" s="345"/>
      <c r="I472" s="143"/>
    </row>
    <row r="473" spans="1:9" ht="18.75">
      <c r="A473" s="419"/>
      <c r="B473" s="416"/>
      <c r="C473" s="652"/>
      <c r="D473" s="338"/>
      <c r="E473" s="362"/>
      <c r="F473" s="237"/>
      <c r="G473" s="25"/>
      <c r="H473" s="345"/>
      <c r="I473" s="143"/>
    </row>
    <row r="474" spans="1:9" ht="18.75">
      <c r="A474" s="419"/>
      <c r="B474" s="416"/>
      <c r="C474" s="652"/>
      <c r="D474" s="338"/>
      <c r="E474" s="362"/>
      <c r="F474" s="237"/>
      <c r="G474" s="25"/>
      <c r="H474" s="345"/>
      <c r="I474" s="143"/>
    </row>
    <row r="475" spans="1:9" ht="18.75">
      <c r="A475" s="419"/>
      <c r="B475" s="416"/>
      <c r="C475" s="652"/>
      <c r="D475" s="338"/>
      <c r="E475" s="362"/>
      <c r="F475" s="237"/>
      <c r="G475" s="25"/>
      <c r="H475" s="345"/>
      <c r="I475" s="143"/>
    </row>
    <row r="476" spans="1:9" ht="18.75">
      <c r="A476" s="419"/>
      <c r="B476" s="416"/>
      <c r="C476" s="652"/>
      <c r="D476" s="338"/>
      <c r="E476" s="362"/>
      <c r="F476" s="237"/>
      <c r="G476" s="25"/>
      <c r="H476" s="345"/>
      <c r="I476" s="143"/>
    </row>
    <row r="477" spans="1:9" ht="18.75">
      <c r="A477" s="419"/>
      <c r="B477" s="416"/>
      <c r="C477" s="652"/>
      <c r="D477" s="338"/>
      <c r="E477" s="362"/>
      <c r="F477" s="237"/>
      <c r="G477" s="25"/>
      <c r="H477" s="345"/>
      <c r="I477" s="143"/>
    </row>
    <row r="478" spans="1:9" ht="18.75">
      <c r="A478" s="419"/>
      <c r="B478" s="416"/>
      <c r="C478" s="652"/>
      <c r="D478" s="338"/>
      <c r="E478" s="362"/>
      <c r="F478" s="237"/>
      <c r="G478" s="25"/>
      <c r="H478" s="345"/>
      <c r="I478" s="143"/>
    </row>
    <row r="479" spans="1:9" ht="18.75">
      <c r="A479" s="419"/>
      <c r="B479" s="416"/>
      <c r="C479" s="652"/>
      <c r="D479" s="338"/>
      <c r="E479" s="362"/>
      <c r="F479" s="237"/>
      <c r="G479" s="25"/>
      <c r="H479" s="345"/>
      <c r="I479" s="143"/>
    </row>
    <row r="480" spans="1:9" ht="18.75">
      <c r="A480" s="419"/>
      <c r="B480" s="416"/>
      <c r="C480" s="652"/>
      <c r="D480" s="338"/>
      <c r="E480" s="362"/>
      <c r="F480" s="237"/>
      <c r="G480" s="25"/>
      <c r="H480" s="345"/>
      <c r="I480" s="143"/>
    </row>
    <row r="481" spans="1:9" ht="18.75">
      <c r="A481" s="419"/>
      <c r="B481" s="416"/>
      <c r="C481" s="652"/>
      <c r="D481" s="338"/>
      <c r="E481" s="362"/>
      <c r="F481" s="237"/>
      <c r="G481" s="25"/>
      <c r="H481" s="345"/>
      <c r="I481" s="143"/>
    </row>
    <row r="482" spans="1:9" ht="18.75">
      <c r="A482" s="419"/>
      <c r="B482" s="416"/>
      <c r="C482" s="652"/>
      <c r="D482" s="338"/>
      <c r="E482" s="362"/>
      <c r="F482" s="237"/>
      <c r="G482" s="25"/>
      <c r="H482" s="345"/>
      <c r="I482" s="143"/>
    </row>
    <row r="483" spans="1:9" ht="18.75">
      <c r="A483" s="419"/>
      <c r="B483" s="416"/>
      <c r="C483" s="652"/>
      <c r="D483" s="338"/>
      <c r="E483" s="362"/>
      <c r="F483" s="237"/>
      <c r="G483" s="25"/>
      <c r="H483" s="345"/>
      <c r="I483" s="143"/>
    </row>
    <row r="484" spans="1:9" ht="18.75">
      <c r="A484" s="419"/>
      <c r="B484" s="416"/>
      <c r="C484" s="652"/>
      <c r="D484" s="338"/>
      <c r="E484" s="362"/>
      <c r="F484" s="237"/>
      <c r="G484" s="25"/>
      <c r="H484" s="345"/>
      <c r="I484" s="143"/>
    </row>
    <row r="485" spans="1:9" ht="18.75">
      <c r="A485" s="419"/>
      <c r="B485" s="416"/>
      <c r="C485" s="652"/>
      <c r="D485" s="338"/>
      <c r="E485" s="362"/>
      <c r="F485" s="237"/>
      <c r="G485" s="25"/>
      <c r="H485" s="345"/>
      <c r="I485" s="143"/>
    </row>
    <row r="486" spans="1:9" ht="18.75">
      <c r="A486" s="419"/>
      <c r="B486" s="416"/>
      <c r="C486" s="652"/>
      <c r="D486" s="338"/>
      <c r="E486" s="362"/>
      <c r="F486" s="237"/>
      <c r="G486" s="25"/>
      <c r="H486" s="345"/>
      <c r="I486" s="143"/>
    </row>
    <row r="487" spans="1:9" ht="18.75">
      <c r="A487" s="419"/>
      <c r="B487" s="416"/>
      <c r="C487" s="652"/>
      <c r="D487" s="338"/>
      <c r="E487" s="362"/>
      <c r="F487" s="237"/>
      <c r="G487" s="25"/>
      <c r="H487" s="345"/>
      <c r="I487" s="143"/>
    </row>
    <row r="488" spans="1:9" ht="18.75">
      <c r="A488" s="419"/>
      <c r="B488" s="416"/>
      <c r="C488" s="652"/>
      <c r="D488" s="338"/>
      <c r="E488" s="362"/>
      <c r="F488" s="237"/>
      <c r="G488" s="25"/>
      <c r="H488" s="345"/>
      <c r="I488" s="143"/>
    </row>
    <row r="489" spans="1:9" ht="18.75">
      <c r="A489" s="419"/>
      <c r="B489" s="416"/>
      <c r="C489" s="652"/>
      <c r="D489" s="338"/>
      <c r="E489" s="362"/>
      <c r="F489" s="237"/>
      <c r="G489" s="25"/>
      <c r="H489" s="345"/>
      <c r="I489" s="143"/>
    </row>
    <row r="490" spans="1:9" ht="18.75">
      <c r="A490" s="419"/>
      <c r="B490" s="416"/>
      <c r="C490" s="652"/>
      <c r="D490" s="338"/>
      <c r="E490" s="362"/>
      <c r="F490" s="237"/>
      <c r="G490" s="25"/>
      <c r="H490" s="345"/>
      <c r="I490" s="143"/>
    </row>
    <row r="491" spans="1:9" ht="18.75">
      <c r="A491" s="419"/>
      <c r="B491" s="416"/>
      <c r="C491" s="652"/>
      <c r="D491" s="338"/>
      <c r="E491" s="362"/>
      <c r="F491" s="237"/>
      <c r="G491" s="25"/>
      <c r="H491" s="345"/>
      <c r="I491" s="143"/>
    </row>
    <row r="492" spans="1:9" ht="18.75">
      <c r="A492" s="419"/>
      <c r="B492" s="416"/>
      <c r="C492" s="652"/>
      <c r="D492" s="338"/>
      <c r="E492" s="362"/>
      <c r="F492" s="237"/>
      <c r="G492" s="25"/>
      <c r="H492" s="345"/>
      <c r="I492" s="143"/>
    </row>
    <row r="493" spans="1:9" ht="18.75">
      <c r="A493" s="80"/>
      <c r="B493" s="82"/>
      <c r="C493" s="670"/>
      <c r="D493" s="338"/>
      <c r="E493" s="362"/>
      <c r="F493" s="237"/>
      <c r="G493" s="25"/>
      <c r="H493" s="345"/>
      <c r="I493" s="143"/>
    </row>
    <row r="494" spans="1:9">
      <c r="A494" s="416"/>
      <c r="B494" s="416"/>
      <c r="C494" s="659"/>
      <c r="D494" s="362"/>
      <c r="E494" s="325"/>
      <c r="F494" s="525"/>
      <c r="G494" s="325"/>
      <c r="H494" s="156"/>
      <c r="I494" s="156"/>
    </row>
    <row r="495" spans="1:9" ht="18.75">
      <c r="A495" s="416"/>
      <c r="B495" s="416"/>
      <c r="C495" s="670"/>
      <c r="D495" s="338"/>
      <c r="E495" s="362"/>
      <c r="F495" s="237"/>
      <c r="G495" s="25"/>
      <c r="H495" s="345"/>
      <c r="I495" s="143"/>
    </row>
    <row r="496" spans="1:9" ht="18.75">
      <c r="A496" s="419"/>
      <c r="B496" s="416"/>
      <c r="C496" s="652"/>
      <c r="D496" s="338"/>
      <c r="E496" s="362"/>
      <c r="F496" s="237"/>
      <c r="G496" s="25"/>
      <c r="H496" s="345"/>
      <c r="I496" s="143"/>
    </row>
    <row r="497" spans="1:9" ht="18.75">
      <c r="A497" s="419"/>
      <c r="B497" s="416"/>
      <c r="C497" s="652"/>
      <c r="D497" s="338"/>
      <c r="E497" s="362"/>
      <c r="F497" s="237"/>
      <c r="G497" s="25"/>
      <c r="H497" s="345"/>
      <c r="I497" s="143"/>
    </row>
    <row r="498" spans="1:9" ht="18.75">
      <c r="A498" s="419"/>
      <c r="B498" s="416"/>
      <c r="C498" s="652"/>
      <c r="D498" s="338"/>
      <c r="E498" s="362"/>
      <c r="F498" s="237"/>
      <c r="G498" s="25"/>
      <c r="H498" s="345"/>
      <c r="I498" s="143"/>
    </row>
    <row r="499" spans="1:9" ht="18.75">
      <c r="A499" s="419"/>
      <c r="B499" s="416"/>
      <c r="C499" s="652"/>
      <c r="D499" s="338"/>
      <c r="E499" s="362"/>
      <c r="F499" s="237"/>
      <c r="G499" s="25"/>
      <c r="H499" s="345"/>
      <c r="I499" s="143"/>
    </row>
    <row r="500" spans="1:9" ht="18.75">
      <c r="A500" s="419"/>
      <c r="B500" s="416"/>
      <c r="C500" s="652"/>
      <c r="D500" s="338"/>
      <c r="E500" s="362"/>
      <c r="F500" s="237"/>
      <c r="G500" s="25"/>
      <c r="H500" s="345"/>
      <c r="I500" s="143"/>
    </row>
    <row r="501" spans="1:9" ht="18.75">
      <c r="A501" s="419"/>
      <c r="B501" s="416"/>
      <c r="C501" s="652"/>
      <c r="D501" s="338"/>
      <c r="E501" s="362"/>
      <c r="F501" s="237"/>
      <c r="G501" s="25"/>
      <c r="H501" s="345"/>
      <c r="I501" s="143"/>
    </row>
    <row r="502" spans="1:9" ht="18.75">
      <c r="A502" s="419"/>
      <c r="B502" s="416"/>
      <c r="C502" s="652"/>
      <c r="D502" s="338"/>
      <c r="E502" s="362"/>
      <c r="F502" s="237"/>
      <c r="G502" s="25"/>
      <c r="H502" s="345"/>
      <c r="I502" s="143"/>
    </row>
    <row r="503" spans="1:9" ht="18.75">
      <c r="A503" s="419"/>
      <c r="B503" s="416"/>
      <c r="C503" s="652"/>
      <c r="D503" s="338"/>
      <c r="E503" s="362"/>
      <c r="F503" s="237"/>
      <c r="G503" s="25"/>
      <c r="H503" s="345"/>
      <c r="I503" s="143"/>
    </row>
    <row r="504" spans="1:9" ht="18.75">
      <c r="A504" s="419"/>
      <c r="B504" s="416"/>
      <c r="C504" s="652"/>
      <c r="D504" s="338"/>
      <c r="E504" s="362"/>
      <c r="F504" s="237"/>
      <c r="G504" s="25"/>
      <c r="H504" s="345"/>
      <c r="I504" s="143"/>
    </row>
    <row r="505" spans="1:9" ht="18.75">
      <c r="A505" s="419"/>
      <c r="B505" s="416"/>
      <c r="C505" s="652"/>
      <c r="D505" s="338"/>
      <c r="E505" s="362"/>
      <c r="F505" s="237"/>
      <c r="G505" s="25"/>
      <c r="H505" s="345"/>
      <c r="I505" s="143"/>
    </row>
    <row r="506" spans="1:9" ht="18.75">
      <c r="A506" s="419"/>
      <c r="B506" s="416"/>
      <c r="C506" s="652"/>
      <c r="D506" s="338"/>
      <c r="E506" s="362"/>
      <c r="F506" s="237"/>
      <c r="G506" s="25"/>
      <c r="H506" s="345"/>
      <c r="I506" s="143"/>
    </row>
    <row r="507" spans="1:9" ht="18.75">
      <c r="A507" s="419"/>
      <c r="B507" s="416"/>
      <c r="C507" s="652"/>
      <c r="D507" s="338"/>
      <c r="E507" s="362"/>
      <c r="F507" s="237"/>
      <c r="G507" s="25"/>
      <c r="H507" s="345"/>
      <c r="I507" s="143"/>
    </row>
    <row r="508" spans="1:9" ht="18.75">
      <c r="A508" s="419"/>
      <c r="B508" s="416"/>
      <c r="C508" s="652"/>
      <c r="D508" s="338"/>
      <c r="E508" s="362"/>
      <c r="F508" s="237"/>
      <c r="G508" s="25"/>
      <c r="H508" s="345"/>
      <c r="I508" s="143"/>
    </row>
    <row r="509" spans="1:9" ht="18.75">
      <c r="A509" s="419"/>
      <c r="B509" s="416"/>
      <c r="C509" s="652"/>
      <c r="D509" s="338"/>
      <c r="E509" s="362"/>
      <c r="F509" s="237"/>
      <c r="G509" s="25"/>
      <c r="H509" s="345"/>
      <c r="I509" s="143"/>
    </row>
    <row r="510" spans="1:9" ht="18.75">
      <c r="A510" s="419"/>
      <c r="B510" s="416"/>
      <c r="C510" s="652"/>
      <c r="D510" s="338"/>
      <c r="E510" s="362"/>
      <c r="F510" s="237"/>
      <c r="G510" s="25"/>
      <c r="H510" s="345"/>
      <c r="I510" s="143"/>
    </row>
    <row r="511" spans="1:9" ht="18.75">
      <c r="A511" s="419"/>
      <c r="B511" s="416"/>
      <c r="C511" s="652"/>
      <c r="D511" s="338"/>
      <c r="E511" s="362"/>
      <c r="F511" s="237"/>
      <c r="G511" s="25"/>
      <c r="H511" s="345"/>
      <c r="I511" s="143"/>
    </row>
    <row r="512" spans="1:9" ht="18.75">
      <c r="A512" s="419"/>
      <c r="B512" s="416"/>
      <c r="C512" s="652"/>
      <c r="D512" s="338"/>
      <c r="E512" s="362"/>
      <c r="F512" s="237"/>
      <c r="G512" s="25"/>
      <c r="H512" s="345"/>
      <c r="I512" s="143"/>
    </row>
    <row r="513" spans="1:9" ht="18.75">
      <c r="A513" s="419"/>
      <c r="B513" s="416"/>
      <c r="C513" s="652"/>
      <c r="D513" s="338"/>
      <c r="E513" s="362"/>
      <c r="F513" s="237"/>
      <c r="G513" s="25"/>
      <c r="H513" s="345"/>
      <c r="I513" s="143"/>
    </row>
    <row r="514" spans="1:9" ht="18.75">
      <c r="A514" s="419"/>
      <c r="B514" s="416"/>
      <c r="C514" s="652"/>
      <c r="D514" s="338"/>
      <c r="E514" s="362"/>
      <c r="F514" s="237"/>
      <c r="G514" s="25"/>
      <c r="H514" s="345"/>
      <c r="I514" s="143"/>
    </row>
    <row r="515" spans="1:9" ht="18.75">
      <c r="A515" s="419"/>
      <c r="B515" s="416"/>
      <c r="C515" s="652"/>
      <c r="D515" s="338"/>
      <c r="E515" s="362"/>
      <c r="F515" s="237"/>
      <c r="G515" s="25"/>
      <c r="H515" s="345"/>
      <c r="I515" s="143"/>
    </row>
    <row r="516" spans="1:9" ht="18.75">
      <c r="A516" s="419"/>
      <c r="B516" s="416"/>
      <c r="C516" s="652"/>
      <c r="D516" s="338"/>
      <c r="E516" s="362"/>
      <c r="F516" s="237"/>
      <c r="G516" s="25"/>
      <c r="H516" s="345"/>
      <c r="I516" s="143"/>
    </row>
    <row r="517" spans="1:9" ht="18.75">
      <c r="A517" s="419"/>
      <c r="B517" s="416"/>
      <c r="C517" s="652"/>
      <c r="D517" s="338"/>
      <c r="E517" s="362"/>
      <c r="F517" s="237"/>
      <c r="G517" s="25"/>
      <c r="H517" s="345"/>
      <c r="I517" s="143"/>
    </row>
    <row r="518" spans="1:9" ht="18.75">
      <c r="A518" s="419"/>
      <c r="B518" s="416"/>
      <c r="C518" s="652"/>
      <c r="D518" s="338"/>
      <c r="E518" s="362"/>
      <c r="F518" s="237"/>
      <c r="G518" s="25"/>
      <c r="H518" s="345"/>
      <c r="I518" s="143"/>
    </row>
    <row r="519" spans="1:9" ht="18.75">
      <c r="A519" s="419"/>
      <c r="B519" s="416"/>
      <c r="C519" s="652"/>
      <c r="D519" s="338"/>
      <c r="E519" s="362"/>
      <c r="F519" s="237"/>
      <c r="G519" s="25"/>
      <c r="H519" s="345"/>
      <c r="I519" s="143"/>
    </row>
    <row r="520" spans="1:9" ht="18.75">
      <c r="A520" s="419"/>
      <c r="B520" s="416"/>
      <c r="C520" s="652"/>
      <c r="D520" s="338"/>
      <c r="E520" s="362"/>
      <c r="F520" s="237"/>
      <c r="G520" s="25"/>
      <c r="H520" s="345"/>
      <c r="I520" s="143"/>
    </row>
    <row r="521" spans="1:9" ht="18.75">
      <c r="A521" s="419"/>
      <c r="B521" s="416"/>
      <c r="C521" s="652"/>
      <c r="D521" s="338"/>
      <c r="E521" s="362"/>
      <c r="F521" s="237"/>
      <c r="G521" s="25"/>
      <c r="H521" s="345"/>
      <c r="I521" s="143"/>
    </row>
    <row r="522" spans="1:9" ht="18.75">
      <c r="A522" s="419"/>
      <c r="B522" s="416"/>
      <c r="C522" s="652"/>
      <c r="D522" s="338"/>
      <c r="E522" s="362"/>
      <c r="F522" s="237"/>
      <c r="G522" s="25"/>
      <c r="H522" s="345"/>
      <c r="I522" s="143"/>
    </row>
    <row r="523" spans="1:9" ht="18.75">
      <c r="A523" s="419"/>
      <c r="B523" s="416"/>
      <c r="C523" s="652"/>
      <c r="D523" s="338"/>
      <c r="E523" s="362"/>
      <c r="F523" s="237"/>
      <c r="G523" s="25"/>
      <c r="H523" s="345"/>
      <c r="I523" s="143"/>
    </row>
    <row r="524" spans="1:9" ht="18.75">
      <c r="A524" s="419"/>
      <c r="B524" s="416"/>
      <c r="C524" s="652"/>
      <c r="D524" s="338"/>
      <c r="E524" s="362"/>
      <c r="F524" s="237"/>
      <c r="G524" s="25"/>
      <c r="H524" s="345"/>
      <c r="I524" s="143"/>
    </row>
    <row r="525" spans="1:9" ht="18.75">
      <c r="A525" s="419"/>
      <c r="B525" s="416"/>
      <c r="C525" s="652"/>
      <c r="D525" s="338"/>
      <c r="E525" s="362"/>
      <c r="F525" s="237"/>
      <c r="G525" s="25"/>
      <c r="H525" s="345"/>
      <c r="I525" s="143"/>
    </row>
    <row r="526" spans="1:9" ht="18.75">
      <c r="A526" s="419"/>
      <c r="B526" s="416"/>
      <c r="C526" s="652"/>
      <c r="D526" s="338"/>
      <c r="E526" s="362"/>
      <c r="F526" s="237"/>
      <c r="G526" s="25"/>
      <c r="H526" s="345"/>
      <c r="I526" s="143"/>
    </row>
    <row r="527" spans="1:9" ht="18.75">
      <c r="A527" s="419"/>
      <c r="B527" s="416"/>
      <c r="C527" s="652"/>
      <c r="D527" s="338"/>
      <c r="E527" s="362"/>
      <c r="F527" s="237"/>
      <c r="G527" s="25"/>
      <c r="H527" s="345"/>
      <c r="I527" s="143"/>
    </row>
    <row r="528" spans="1:9" ht="18.75">
      <c r="A528" s="419"/>
      <c r="B528" s="416"/>
      <c r="C528" s="652"/>
      <c r="D528" s="338"/>
      <c r="E528" s="362"/>
      <c r="F528" s="237"/>
      <c r="G528" s="25"/>
      <c r="H528" s="345"/>
      <c r="I528" s="143"/>
    </row>
    <row r="529" spans="1:9" ht="18.75">
      <c r="A529" s="419"/>
      <c r="B529" s="416"/>
      <c r="C529" s="652"/>
      <c r="D529" s="338"/>
      <c r="E529" s="362"/>
      <c r="F529" s="237"/>
      <c r="G529" s="25"/>
      <c r="H529" s="345"/>
      <c r="I529" s="143"/>
    </row>
    <row r="530" spans="1:9" ht="18.75">
      <c r="A530" s="80"/>
      <c r="B530" s="82"/>
      <c r="C530" s="670"/>
      <c r="D530" s="338"/>
      <c r="E530" s="362"/>
      <c r="F530" s="237"/>
      <c r="G530" s="25"/>
      <c r="H530" s="345"/>
      <c r="I530" s="143"/>
    </row>
    <row r="531" spans="1:9">
      <c r="A531" s="416"/>
      <c r="B531" s="416"/>
      <c r="C531" s="659"/>
      <c r="D531" s="362"/>
      <c r="E531" s="325"/>
      <c r="F531" s="525"/>
      <c r="G531" s="325"/>
      <c r="H531" s="156"/>
      <c r="I531" s="156"/>
    </row>
    <row r="532" spans="1:9" ht="18.75">
      <c r="A532" s="416"/>
      <c r="B532" s="416"/>
      <c r="C532" s="670"/>
      <c r="D532" s="338"/>
      <c r="E532" s="362"/>
      <c r="F532" s="237"/>
      <c r="G532" s="25"/>
      <c r="H532" s="345"/>
      <c r="I532" s="143"/>
    </row>
    <row r="533" spans="1:9" ht="15.75" thickBot="1">
      <c r="A533" s="80"/>
      <c r="B533" s="413"/>
      <c r="C533" s="680"/>
      <c r="D533" s="241"/>
      <c r="E533" s="241"/>
      <c r="F533" s="241"/>
      <c r="G533" s="241"/>
      <c r="H533" s="473"/>
      <c r="I533" s="474"/>
    </row>
    <row r="534" spans="1:9" ht="19.5" thickBot="1">
      <c r="A534" s="103"/>
      <c r="B534" s="103"/>
      <c r="C534" s="681" t="s">
        <v>535</v>
      </c>
      <c r="D534" s="342"/>
      <c r="E534" s="367"/>
      <c r="F534" s="321"/>
      <c r="G534" s="119"/>
      <c r="H534" s="349"/>
      <c r="I534" s="354"/>
    </row>
    <row r="535" spans="1:9" ht="18.75">
      <c r="A535" s="83"/>
      <c r="B535" s="83"/>
      <c r="C535" s="682"/>
      <c r="D535" s="343"/>
      <c r="E535" s="368"/>
      <c r="F535" s="322"/>
      <c r="G535" s="110"/>
      <c r="H535" s="350"/>
      <c r="I535" s="329"/>
    </row>
    <row r="536" spans="1:9" ht="18.75">
      <c r="A536" s="83"/>
      <c r="B536" s="83"/>
      <c r="C536" s="682"/>
      <c r="D536" s="343"/>
      <c r="E536" s="368"/>
      <c r="F536" s="322"/>
      <c r="G536" s="110"/>
      <c r="H536" s="350"/>
      <c r="I536" s="329"/>
    </row>
    <row r="537" spans="1:9" ht="19.5" thickBot="1">
      <c r="A537" s="83"/>
      <c r="B537" s="83"/>
      <c r="C537" s="683"/>
      <c r="D537" s="339"/>
      <c r="E537" s="363"/>
      <c r="F537" s="318"/>
      <c r="G537" s="42"/>
      <c r="H537" s="351"/>
      <c r="I537" s="355"/>
    </row>
  </sheetData>
  <sortState ref="A4:L430">
    <sortCondition ref="C4:C430"/>
  </sortState>
  <dataValidations count="5">
    <dataValidation type="list" allowBlank="1" showInputMessage="1" showErrorMessage="1" prompt="Liste choix" sqref="D421:D456 D64:D127 D43:D62 D532:D533 D495:D530 D458:D493 D129:D193 D195:D419">
      <formula1>"MOBILE2016,MOBILE Regio,REEBOU Family,REEBOUImmo,REEBOU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Liste choix" sqref="D194 D128">
      <formula1>"MOBILE2016,MOBILE Regio,REEBOU Family,REEBOU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CHOIX PRODUIT" sqref="D63 D24">
      <formula1>"MOBILE2016,MOBILE Regio,REEBOUfamily,REEBOUpack,REEBOUpro,REEBOUinvest,LOGGIA,MEDICIS,RC,RC ENSEIGN,ZENITH60op100,ZENITH60op25,HORIZONT60invest,HORIZONT60protect,HORIZONT60capi,HELIOS100protect,HELIOS60invest,HELIOS100invest,FOCUS,NOVA,BSH"</formula1>
    </dataValidation>
    <dataValidation type="list" allowBlank="1" showInputMessage="1" showErrorMessage="1" prompt="CHOIX PRODUIT" sqref="D4:D23">
      <formula1>"MOBILE2016,MOBILE Regio,REEBOU Family,REEBOU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Liste choix" sqref="D25:D42">
      <formula1>"MOBILE2016,MOBILE2007,MOBILE Regio,REEBOU Family,REEBOU Pack,REEBOU Pro,REEBOU Invest,LOGGIA,MEDICIS,RC,RC ENSEIGNANT,ZENITH60 Op100,ZENITH60 Op25,HORIZONT60Invest,HORIZONT60Protect,HORIZONT60Capi,HELIOS100Protect,HELIOS100Invest,FOCUS,NOVA,SCHWABISCHHALL"</formula1>
    </dataValidation>
  </dataValidations>
  <pageMargins left="0.70866141732283472" right="0.70866141732283472" top="0.74803149606299213" bottom="0.74803149606299213" header="0.31496062992125984" footer="0.31496062992125984"/>
  <pageSetup paperSize="9" scale="63" orientation="portrait" r:id="rId1"/>
  <headerFooter>
    <oddFooter>&amp;Lmauve : vérifié
orange : +-prob.</oddFooter>
  </headerFooter>
  <rowBreaks count="7" manualBreakCount="7">
    <brk id="60" max="9" man="1"/>
    <brk id="119" max="9" man="1"/>
    <brk id="178" max="9" man="1"/>
    <brk id="238" max="9" man="1"/>
    <brk id="298" max="9" man="1"/>
    <brk id="358" max="9" man="1"/>
    <brk id="418" max="9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77"/>
  <sheetViews>
    <sheetView zoomScaleNormal="100" workbookViewId="0">
      <selection activeCell="N4" sqref="N4"/>
    </sheetView>
    <sheetView workbookViewId="1"/>
    <sheetView workbookViewId="2"/>
  </sheetViews>
  <sheetFormatPr baseColWidth="10" defaultRowHeight="18.75"/>
  <cols>
    <col min="1" max="1" width="11.42578125" style="78" customWidth="1"/>
    <col min="2" max="2" width="17.42578125" style="78" customWidth="1"/>
    <col min="3" max="3" width="28" style="7" customWidth="1"/>
    <col min="4" max="4" width="21.7109375" style="336" customWidth="1"/>
    <col min="5" max="5" width="24.7109375" style="357" customWidth="1"/>
    <col min="6" max="6" width="3.7109375" style="212" customWidth="1"/>
    <col min="7" max="7" width="10.5703125" style="1" customWidth="1"/>
    <col min="8" max="8" width="13.28515625" style="127" customWidth="1"/>
    <col min="9" max="9" width="12.42578125" style="127" customWidth="1"/>
    <col min="10" max="10" width="12.42578125" style="2" customWidth="1"/>
    <col min="11" max="11" width="34.28515625" hidden="1" customWidth="1"/>
    <col min="12" max="12" width="11.5703125" hidden="1" customWidth="1"/>
  </cols>
  <sheetData>
    <row r="1" spans="1:11">
      <c r="A1" s="78">
        <v>2018</v>
      </c>
      <c r="C1" s="7" t="s">
        <v>633</v>
      </c>
      <c r="H1" s="127" t="s">
        <v>635</v>
      </c>
      <c r="J1" s="727">
        <f>2398.3*3</f>
        <v>7194.9000000000005</v>
      </c>
      <c r="K1" s="9"/>
    </row>
    <row r="2" spans="1:11">
      <c r="C2" s="728" t="s">
        <v>634</v>
      </c>
      <c r="J2" s="727"/>
      <c r="K2" s="9"/>
    </row>
    <row r="3" spans="1:11">
      <c r="C3" s="7" t="s">
        <v>631</v>
      </c>
      <c r="G3" s="11" t="s">
        <v>661</v>
      </c>
      <c r="H3" s="734" t="s">
        <v>663</v>
      </c>
      <c r="J3" s="10">
        <f>0*0</f>
        <v>0</v>
      </c>
      <c r="K3" s="9"/>
    </row>
    <row r="4" spans="1:11">
      <c r="C4" s="7" t="s">
        <v>189</v>
      </c>
      <c r="G4" s="11" t="s">
        <v>661</v>
      </c>
      <c r="H4" s="734" t="s">
        <v>664</v>
      </c>
      <c r="J4" s="10">
        <f t="shared" ref="J4:J5" si="0">0*0</f>
        <v>0</v>
      </c>
      <c r="K4" s="9"/>
    </row>
    <row r="5" spans="1:11">
      <c r="C5" s="7" t="s">
        <v>639</v>
      </c>
      <c r="G5" s="11" t="s">
        <v>662</v>
      </c>
      <c r="H5" s="734" t="s">
        <v>665</v>
      </c>
      <c r="J5" s="10">
        <f t="shared" si="0"/>
        <v>0</v>
      </c>
      <c r="K5" s="9"/>
    </row>
    <row r="6" spans="1:11">
      <c r="D6" s="11"/>
      <c r="H6" s="734"/>
      <c r="I6" s="126"/>
      <c r="J6" s="10"/>
      <c r="K6" s="9"/>
    </row>
    <row r="7" spans="1:11">
      <c r="C7" s="7" t="s">
        <v>225</v>
      </c>
      <c r="G7" s="11"/>
      <c r="H7" s="734"/>
      <c r="I7" s="126"/>
      <c r="J7" s="117">
        <f>SUM(J1:J6)</f>
        <v>7194.9000000000005</v>
      </c>
      <c r="K7" s="9"/>
    </row>
    <row r="8" spans="1:11" ht="19.5" thickBot="1">
      <c r="K8" s="11"/>
    </row>
    <row r="9" spans="1:11" ht="30">
      <c r="A9" s="314" t="s">
        <v>411</v>
      </c>
      <c r="B9" s="314" t="s">
        <v>412</v>
      </c>
      <c r="C9" s="315" t="s">
        <v>0</v>
      </c>
      <c r="D9" s="337" t="s">
        <v>50</v>
      </c>
      <c r="E9" s="358" t="s">
        <v>410</v>
      </c>
      <c r="F9" s="316" t="s">
        <v>423</v>
      </c>
      <c r="G9" s="16" t="s">
        <v>53</v>
      </c>
      <c r="H9" s="184" t="s">
        <v>74</v>
      </c>
      <c r="I9" s="135" t="s">
        <v>1</v>
      </c>
      <c r="J9" s="19" t="s">
        <v>92</v>
      </c>
    </row>
    <row r="10" spans="1:11">
      <c r="A10" s="80"/>
      <c r="B10" s="416"/>
      <c r="C10" s="77"/>
      <c r="D10" s="338"/>
      <c r="E10" s="362"/>
      <c r="F10" s="237"/>
      <c r="G10" s="25"/>
      <c r="H10" s="345"/>
      <c r="I10" s="345"/>
      <c r="J10" s="24"/>
      <c r="K10" t="s">
        <v>159</v>
      </c>
    </row>
    <row r="11" spans="1:11" ht="18" customHeight="1">
      <c r="A11" s="80"/>
      <c r="B11" s="416"/>
      <c r="C11" s="71"/>
      <c r="D11" s="338"/>
      <c r="E11" s="360"/>
      <c r="F11" s="237"/>
      <c r="G11" s="22"/>
      <c r="H11" s="143"/>
      <c r="I11" s="143"/>
      <c r="J11" s="24"/>
      <c r="K11" t="s">
        <v>161</v>
      </c>
    </row>
    <row r="12" spans="1:11" ht="18" customHeight="1">
      <c r="A12" s="80"/>
      <c r="B12" s="416"/>
      <c r="C12" s="71"/>
      <c r="D12" s="338"/>
      <c r="E12" s="360"/>
      <c r="F12" s="237"/>
      <c r="G12" s="22"/>
      <c r="H12" s="143"/>
      <c r="I12" s="143"/>
      <c r="J12" s="24"/>
    </row>
    <row r="13" spans="1:11" ht="18" customHeight="1">
      <c r="A13" s="80"/>
      <c r="B13" s="416"/>
      <c r="C13" s="71"/>
      <c r="D13" s="338"/>
      <c r="E13" s="360"/>
      <c r="F13" s="237"/>
      <c r="G13" s="22"/>
      <c r="H13" s="143"/>
      <c r="I13" s="345"/>
      <c r="J13" s="24"/>
    </row>
    <row r="14" spans="1:11" ht="18" customHeight="1">
      <c r="A14" s="80"/>
      <c r="B14" s="416"/>
      <c r="C14" s="71"/>
      <c r="D14" s="338"/>
      <c r="E14" s="360"/>
      <c r="F14" s="237"/>
      <c r="G14" s="22"/>
      <c r="H14" s="143"/>
      <c r="I14" s="143"/>
      <c r="J14" s="24"/>
      <c r="K14" t="s">
        <v>147</v>
      </c>
    </row>
    <row r="15" spans="1:11" ht="18" customHeight="1">
      <c r="A15" s="80"/>
      <c r="B15" s="416"/>
      <c r="C15" s="71"/>
      <c r="D15" s="338"/>
      <c r="E15" s="360"/>
      <c r="F15" s="237"/>
      <c r="G15" s="22"/>
      <c r="H15" s="143"/>
      <c r="I15" s="141"/>
      <c r="J15" s="24"/>
    </row>
    <row r="16" spans="1:11" ht="18" customHeight="1">
      <c r="A16" s="80"/>
      <c r="B16" s="416"/>
      <c r="C16" s="71"/>
      <c r="D16" s="338"/>
      <c r="E16" s="360"/>
      <c r="F16" s="237"/>
      <c r="G16" s="22"/>
      <c r="H16" s="143"/>
      <c r="I16" s="141"/>
      <c r="J16" s="24"/>
    </row>
    <row r="17" spans="1:12" ht="18" customHeight="1">
      <c r="A17" s="80"/>
      <c r="B17" s="416"/>
      <c r="C17" s="71"/>
      <c r="D17" s="338"/>
      <c r="E17" s="360"/>
      <c r="F17" s="237"/>
      <c r="G17" s="22"/>
      <c r="H17" s="143"/>
      <c r="I17" s="141"/>
      <c r="J17" s="24"/>
    </row>
    <row r="18" spans="1:12" ht="18" customHeight="1">
      <c r="A18" s="80"/>
      <c r="B18" s="416"/>
      <c r="C18" s="71"/>
      <c r="D18" s="338"/>
      <c r="E18" s="325"/>
      <c r="F18" s="371"/>
      <c r="G18" s="22"/>
      <c r="H18" s="143"/>
      <c r="I18" s="143"/>
      <c r="J18" s="24"/>
    </row>
    <row r="19" spans="1:12" ht="18" customHeight="1">
      <c r="A19" s="80"/>
      <c r="B19" s="416"/>
      <c r="C19" s="71"/>
      <c r="D19" s="338"/>
      <c r="E19" s="325"/>
      <c r="F19" s="237"/>
      <c r="G19" s="22"/>
      <c r="H19" s="143"/>
      <c r="I19" s="143"/>
      <c r="J19" s="24"/>
    </row>
    <row r="20" spans="1:12" ht="18" customHeight="1">
      <c r="A20" s="80"/>
      <c r="B20" s="416"/>
      <c r="C20" s="71"/>
      <c r="D20" s="338"/>
      <c r="E20" s="360"/>
      <c r="F20" s="237"/>
      <c r="G20" s="22"/>
      <c r="H20" s="143"/>
      <c r="I20" s="141"/>
      <c r="J20" s="24"/>
      <c r="K20" t="s">
        <v>155</v>
      </c>
    </row>
    <row r="21" spans="1:12" ht="18" customHeight="1">
      <c r="A21" s="80"/>
      <c r="B21" s="416"/>
      <c r="C21" s="71"/>
      <c r="D21" s="338"/>
      <c r="E21" s="360"/>
      <c r="F21" s="237"/>
      <c r="G21" s="22"/>
      <c r="H21" s="143"/>
      <c r="I21" s="143"/>
      <c r="J21" s="24"/>
    </row>
    <row r="22" spans="1:12" ht="18" customHeight="1" thickBot="1">
      <c r="A22" s="80"/>
      <c r="B22" s="80"/>
      <c r="C22" s="71"/>
      <c r="D22" s="338"/>
      <c r="E22" s="360"/>
      <c r="F22" s="237"/>
      <c r="G22" s="22"/>
      <c r="H22" s="143"/>
      <c r="I22" s="141"/>
      <c r="J22" s="24"/>
    </row>
    <row r="23" spans="1:12" s="6" customFormat="1" ht="19.5" thickBot="1">
      <c r="A23" s="80"/>
      <c r="B23" s="80"/>
      <c r="C23" s="145" t="s">
        <v>296</v>
      </c>
      <c r="D23" s="339"/>
      <c r="E23" s="361"/>
      <c r="F23" s="318"/>
      <c r="G23" s="147"/>
      <c r="H23" s="735"/>
      <c r="I23" s="149"/>
      <c r="J23" s="151">
        <f>SUM(J10:J22)</f>
        <v>0</v>
      </c>
      <c r="K23" t="s">
        <v>163</v>
      </c>
    </row>
    <row r="24" spans="1:12">
      <c r="A24" s="100"/>
      <c r="B24" s="420"/>
      <c r="C24" s="70"/>
      <c r="D24" s="432"/>
      <c r="E24" s="358"/>
      <c r="F24" s="316"/>
      <c r="G24" s="16"/>
      <c r="H24" s="185"/>
      <c r="I24" s="141"/>
      <c r="J24" s="141"/>
      <c r="K24" s="5" t="s">
        <v>191</v>
      </c>
    </row>
    <row r="25" spans="1:12">
      <c r="A25" s="82"/>
      <c r="B25" s="416"/>
      <c r="C25" s="71"/>
      <c r="D25" s="338"/>
      <c r="E25" s="360"/>
      <c r="F25" s="237"/>
      <c r="G25" s="22"/>
      <c r="H25" s="143"/>
      <c r="I25" s="141"/>
      <c r="J25" s="141"/>
      <c r="K25" s="5" t="s">
        <v>192</v>
      </c>
    </row>
    <row r="26" spans="1:12">
      <c r="A26" s="82"/>
      <c r="B26" s="426"/>
      <c r="C26" s="71"/>
      <c r="D26" s="338"/>
      <c r="E26" s="360"/>
      <c r="F26" s="237"/>
      <c r="G26" s="22"/>
      <c r="H26" s="143"/>
      <c r="I26" s="345"/>
      <c r="J26" s="141"/>
      <c r="K26" s="75" t="s">
        <v>202</v>
      </c>
      <c r="L26" t="s">
        <v>446</v>
      </c>
    </row>
    <row r="27" spans="1:12" s="4" customFormat="1">
      <c r="A27" s="82"/>
      <c r="B27" s="416"/>
      <c r="C27" s="71"/>
      <c r="D27" s="338"/>
      <c r="E27" s="360"/>
      <c r="F27" s="237"/>
      <c r="G27" s="22"/>
      <c r="H27" s="143"/>
      <c r="I27" s="345"/>
      <c r="J27" s="141"/>
      <c r="K27" s="4" t="s">
        <v>203</v>
      </c>
    </row>
    <row r="28" spans="1:12" s="4" customFormat="1">
      <c r="A28" s="82"/>
      <c r="B28" s="416"/>
      <c r="C28" s="71"/>
      <c r="D28" s="338"/>
      <c r="E28" s="362"/>
      <c r="F28" s="237"/>
      <c r="G28" s="25"/>
      <c r="H28" s="345"/>
      <c r="I28" s="345"/>
      <c r="J28" s="141"/>
      <c r="K28" s="75"/>
    </row>
    <row r="29" spans="1:12" s="4" customFormat="1">
      <c r="A29" s="82"/>
      <c r="B29" s="416"/>
      <c r="C29" s="71"/>
      <c r="D29" s="338"/>
      <c r="E29" s="362"/>
      <c r="F29" s="237"/>
      <c r="G29" s="25"/>
      <c r="H29" s="345"/>
      <c r="I29" s="345"/>
      <c r="J29" s="141"/>
      <c r="K29" s="75"/>
    </row>
    <row r="30" spans="1:12" s="4" customFormat="1">
      <c r="A30" s="82"/>
      <c r="B30" s="416"/>
      <c r="C30" s="71"/>
      <c r="D30" s="338"/>
      <c r="E30" s="362"/>
      <c r="F30" s="237"/>
      <c r="G30" s="25"/>
      <c r="H30" s="345"/>
      <c r="I30" s="345"/>
      <c r="J30" s="141"/>
      <c r="K30" t="s">
        <v>197</v>
      </c>
    </row>
    <row r="31" spans="1:12" s="4" customFormat="1">
      <c r="A31" s="82"/>
      <c r="B31" s="416"/>
      <c r="C31" s="71"/>
      <c r="D31" s="338"/>
      <c r="E31" s="362"/>
      <c r="F31" s="237"/>
      <c r="G31" s="25"/>
      <c r="H31" s="143"/>
      <c r="I31" s="345"/>
      <c r="J31" s="141"/>
      <c r="K31" s="4" t="s">
        <v>177</v>
      </c>
    </row>
    <row r="32" spans="1:12" s="4" customFormat="1">
      <c r="A32" s="82"/>
      <c r="B32" s="416"/>
      <c r="C32" s="71"/>
      <c r="D32" s="338"/>
      <c r="E32" s="360"/>
      <c r="F32" s="237"/>
      <c r="G32" s="22"/>
      <c r="H32" s="143"/>
      <c r="I32" s="345"/>
      <c r="J32" s="141"/>
    </row>
    <row r="33" spans="1:11" s="4" customFormat="1">
      <c r="A33" s="82"/>
      <c r="B33" s="416"/>
      <c r="C33" s="71"/>
      <c r="D33" s="338"/>
      <c r="E33" s="362"/>
      <c r="F33" s="237"/>
      <c r="G33" s="25"/>
      <c r="H33" s="143"/>
      <c r="I33" s="345"/>
      <c r="J33" s="141"/>
    </row>
    <row r="34" spans="1:11" s="4" customFormat="1">
      <c r="A34" s="82"/>
      <c r="B34" s="416"/>
      <c r="C34" s="71"/>
      <c r="D34" s="338"/>
      <c r="E34" s="362"/>
      <c r="F34" s="237"/>
      <c r="G34" s="25"/>
      <c r="H34" s="143"/>
      <c r="I34" s="345"/>
      <c r="J34" s="141"/>
    </row>
    <row r="35" spans="1:11" s="4" customFormat="1">
      <c r="A35" s="82"/>
      <c r="B35" s="416"/>
      <c r="C35" s="71"/>
      <c r="D35" s="338"/>
      <c r="E35" s="362"/>
      <c r="F35" s="237"/>
      <c r="G35" s="25"/>
      <c r="H35" s="143"/>
      <c r="I35" s="345"/>
      <c r="J35" s="141"/>
    </row>
    <row r="36" spans="1:11" s="4" customFormat="1">
      <c r="A36" s="82"/>
      <c r="B36" s="416"/>
      <c r="C36" s="71"/>
      <c r="D36" s="338"/>
      <c r="E36" s="362"/>
      <c r="F36" s="237"/>
      <c r="G36" s="25"/>
      <c r="H36" s="143"/>
      <c r="I36" s="141"/>
      <c r="J36" s="141"/>
    </row>
    <row r="37" spans="1:11" s="4" customFormat="1">
      <c r="A37" s="82"/>
      <c r="B37" s="416"/>
      <c r="C37" s="71"/>
      <c r="D37" s="338"/>
      <c r="E37" s="362"/>
      <c r="F37" s="237"/>
      <c r="G37" s="25"/>
      <c r="H37" s="143"/>
      <c r="I37" s="92"/>
      <c r="J37" s="141"/>
    </row>
    <row r="38" spans="1:11" s="4" customFormat="1">
      <c r="A38" s="82"/>
      <c r="B38" s="416"/>
      <c r="C38" s="71"/>
      <c r="D38" s="338"/>
      <c r="E38" s="362"/>
      <c r="F38" s="237"/>
      <c r="G38" s="25"/>
      <c r="H38" s="143"/>
      <c r="I38" s="345"/>
      <c r="J38" s="141"/>
    </row>
    <row r="39" spans="1:11" s="4" customFormat="1">
      <c r="A39" s="82"/>
      <c r="B39" s="416"/>
      <c r="C39" s="71"/>
      <c r="D39" s="338"/>
      <c r="E39" s="362"/>
      <c r="F39" s="237"/>
      <c r="G39" s="25"/>
      <c r="H39" s="143"/>
      <c r="I39" s="345"/>
      <c r="J39" s="141"/>
    </row>
    <row r="40" spans="1:11" s="4" customFormat="1">
      <c r="A40" s="82"/>
      <c r="B40" s="416"/>
      <c r="C40" s="71"/>
      <c r="D40" s="338"/>
      <c r="E40" s="362"/>
      <c r="F40" s="237"/>
      <c r="G40" s="25"/>
      <c r="H40" s="143"/>
      <c r="I40" s="141"/>
      <c r="J40" s="141"/>
    </row>
    <row r="41" spans="1:11" s="4" customFormat="1">
      <c r="A41" s="82"/>
      <c r="B41" s="416"/>
      <c r="C41" s="71"/>
      <c r="D41" s="338"/>
      <c r="E41" s="362"/>
      <c r="F41" s="237"/>
      <c r="G41" s="25"/>
      <c r="H41" s="143"/>
      <c r="I41" s="345"/>
      <c r="J41" s="141"/>
    </row>
    <row r="42" spans="1:11" s="4" customFormat="1">
      <c r="A42" s="80"/>
      <c r="B42" s="80"/>
      <c r="C42" s="71"/>
      <c r="D42" s="338"/>
      <c r="E42" s="362"/>
      <c r="F42" s="237"/>
      <c r="G42" s="25"/>
      <c r="H42" s="143"/>
      <c r="I42" s="345"/>
      <c r="J42" s="141">
        <f t="shared" ref="J42" si="1">I42</f>
        <v>0</v>
      </c>
    </row>
    <row r="43" spans="1:11" ht="19.5" thickBot="1">
      <c r="A43" s="80"/>
      <c r="B43" s="80"/>
      <c r="C43" s="145" t="s">
        <v>281</v>
      </c>
      <c r="D43" s="339"/>
      <c r="E43" s="363"/>
      <c r="F43" s="318"/>
      <c r="G43" s="42"/>
      <c r="H43" s="158"/>
      <c r="I43" s="158"/>
      <c r="J43" s="44">
        <f>SUM(J24:J42)</f>
        <v>0</v>
      </c>
      <c r="K43" s="5" t="s">
        <v>214</v>
      </c>
    </row>
    <row r="44" spans="1:11">
      <c r="A44" s="100"/>
      <c r="B44" s="426"/>
      <c r="C44" s="71"/>
      <c r="D44" s="432"/>
      <c r="E44" s="22"/>
      <c r="F44" s="237"/>
      <c r="G44" s="22"/>
      <c r="H44" s="143"/>
      <c r="I44" s="345"/>
      <c r="J44" s="19"/>
      <c r="K44" s="5"/>
    </row>
    <row r="45" spans="1:11" s="4" customFormat="1">
      <c r="A45" s="82"/>
      <c r="B45" s="416"/>
      <c r="C45" s="71"/>
      <c r="D45" s="338"/>
      <c r="E45" s="360"/>
      <c r="F45" s="319"/>
      <c r="G45" s="22"/>
      <c r="H45" s="143"/>
      <c r="I45" s="345"/>
      <c r="J45" s="24"/>
      <c r="K45" s="5" t="s">
        <v>195</v>
      </c>
    </row>
    <row r="46" spans="1:11">
      <c r="A46" s="82"/>
      <c r="B46" s="416"/>
      <c r="C46" s="71"/>
      <c r="D46" s="338"/>
      <c r="E46" s="362"/>
      <c r="F46" s="237"/>
      <c r="G46" s="25"/>
      <c r="H46" s="345"/>
      <c r="I46" s="141"/>
      <c r="J46" s="38"/>
      <c r="K46" s="75" t="s">
        <v>199</v>
      </c>
    </row>
    <row r="47" spans="1:11">
      <c r="A47" s="82"/>
      <c r="B47" s="416"/>
      <c r="C47" s="71"/>
      <c r="D47" s="338"/>
      <c r="E47" s="360"/>
      <c r="F47" s="237"/>
      <c r="G47" s="22"/>
      <c r="H47" s="143"/>
      <c r="I47" s="141"/>
      <c r="J47" s="24"/>
      <c r="K47" s="75" t="s">
        <v>200</v>
      </c>
    </row>
    <row r="48" spans="1:11" s="6" customFormat="1">
      <c r="A48" s="82"/>
      <c r="B48" s="416"/>
      <c r="C48" s="71"/>
      <c r="D48" s="338"/>
      <c r="E48" s="364"/>
      <c r="F48" s="237"/>
      <c r="G48" s="22"/>
      <c r="H48" s="143"/>
      <c r="I48" s="141"/>
      <c r="J48" s="24"/>
      <c r="K48" s="75"/>
    </row>
    <row r="49" spans="1:12" s="6" customFormat="1">
      <c r="A49" s="82"/>
      <c r="B49" s="416"/>
      <c r="C49" s="71"/>
      <c r="D49" s="338"/>
      <c r="E49" s="364"/>
      <c r="F49" s="237"/>
      <c r="G49" s="28"/>
      <c r="H49" s="346"/>
      <c r="I49" s="345"/>
      <c r="J49" s="30"/>
      <c r="K49"/>
    </row>
    <row r="50" spans="1:12">
      <c r="A50" s="82"/>
      <c r="B50" s="416"/>
      <c r="C50" s="71"/>
      <c r="D50" s="338"/>
      <c r="E50" s="360"/>
      <c r="F50" s="237"/>
      <c r="G50" s="22"/>
      <c r="H50" s="143"/>
      <c r="I50" s="345"/>
      <c r="J50" s="24"/>
      <c r="K50" s="5" t="s">
        <v>211</v>
      </c>
    </row>
    <row r="51" spans="1:12" s="3" customFormat="1">
      <c r="A51" s="82"/>
      <c r="B51" s="416"/>
      <c r="C51" s="77"/>
      <c r="D51" s="338"/>
      <c r="E51" s="362"/>
      <c r="F51" s="237"/>
      <c r="G51" s="32"/>
      <c r="H51" s="345"/>
      <c r="I51" s="345"/>
      <c r="J51" s="352"/>
      <c r="K51" s="4" t="s">
        <v>205</v>
      </c>
    </row>
    <row r="52" spans="1:12" s="3" customFormat="1">
      <c r="A52" s="82"/>
      <c r="B52" s="416"/>
      <c r="C52" s="77"/>
      <c r="D52" s="338"/>
      <c r="E52" s="362"/>
      <c r="F52" s="237"/>
      <c r="G52" s="32"/>
      <c r="H52" s="345"/>
      <c r="I52" s="345"/>
      <c r="J52" s="352"/>
      <c r="K52" s="4"/>
    </row>
    <row r="53" spans="1:12" s="4" customFormat="1">
      <c r="A53" s="82"/>
      <c r="B53" s="416"/>
      <c r="C53" s="74"/>
      <c r="D53" s="338"/>
      <c r="E53" s="362"/>
      <c r="F53" s="237"/>
      <c r="G53" s="25"/>
      <c r="H53" s="345"/>
      <c r="I53" s="345"/>
      <c r="J53" s="38"/>
      <c r="K53" s="5" t="s">
        <v>206</v>
      </c>
      <c r="L53" s="3"/>
    </row>
    <row r="54" spans="1:12">
      <c r="A54" s="82"/>
      <c r="B54" s="416"/>
      <c r="C54" s="74"/>
      <c r="D54" s="338"/>
      <c r="E54" s="362"/>
      <c r="F54" s="237"/>
      <c r="G54" s="25"/>
      <c r="H54" s="345"/>
      <c r="I54" s="345"/>
      <c r="J54" s="38"/>
      <c r="K54" s="5" t="s">
        <v>207</v>
      </c>
    </row>
    <row r="55" spans="1:12">
      <c r="A55" s="82"/>
      <c r="B55" s="416"/>
      <c r="C55" s="77"/>
      <c r="D55" s="338"/>
      <c r="E55" s="362"/>
      <c r="F55" s="237"/>
      <c r="G55" s="25"/>
      <c r="H55" s="345"/>
      <c r="I55" s="345"/>
      <c r="J55" s="38"/>
      <c r="K55" s="5"/>
    </row>
    <row r="56" spans="1:12">
      <c r="A56" s="82"/>
      <c r="B56" s="416"/>
      <c r="C56" s="77"/>
      <c r="D56" s="338"/>
      <c r="E56" s="362"/>
      <c r="F56" s="237"/>
      <c r="G56" s="25"/>
      <c r="H56" s="345"/>
      <c r="I56" s="345"/>
      <c r="J56" s="38"/>
      <c r="K56" s="5"/>
    </row>
    <row r="57" spans="1:12">
      <c r="A57" s="80"/>
      <c r="B57" s="80"/>
      <c r="C57" s="77"/>
      <c r="D57" s="338"/>
      <c r="E57" s="362"/>
      <c r="F57" s="237"/>
      <c r="G57" s="25"/>
      <c r="H57" s="345"/>
      <c r="I57" s="345"/>
      <c r="J57" s="38"/>
      <c r="K57" s="5"/>
    </row>
    <row r="58" spans="1:12">
      <c r="A58" s="80"/>
      <c r="B58" s="80"/>
      <c r="C58" s="77"/>
      <c r="D58" s="338"/>
      <c r="E58" s="362"/>
      <c r="F58" s="237"/>
      <c r="G58" s="25"/>
      <c r="H58" s="345"/>
      <c r="I58" s="345"/>
      <c r="J58" s="38"/>
      <c r="K58" s="5"/>
    </row>
    <row r="59" spans="1:12">
      <c r="A59" s="80"/>
      <c r="B59" s="80"/>
      <c r="C59" s="77"/>
      <c r="D59" s="338"/>
      <c r="E59" s="362"/>
      <c r="F59" s="237"/>
      <c r="G59" s="25"/>
      <c r="H59" s="345"/>
      <c r="I59" s="345"/>
      <c r="J59" s="38"/>
      <c r="K59" s="5"/>
    </row>
    <row r="60" spans="1:12">
      <c r="A60" s="80"/>
      <c r="B60" s="80"/>
      <c r="C60" s="77"/>
      <c r="D60" s="338"/>
      <c r="E60" s="362"/>
      <c r="F60" s="237"/>
      <c r="G60" s="25"/>
      <c r="H60" s="345"/>
      <c r="I60" s="345"/>
      <c r="J60" s="38"/>
      <c r="K60" s="5"/>
    </row>
    <row r="61" spans="1:12">
      <c r="A61" s="80"/>
      <c r="B61" s="80"/>
      <c r="C61" s="77"/>
      <c r="D61" s="338"/>
      <c r="E61" s="362"/>
      <c r="F61" s="237"/>
      <c r="G61" s="25"/>
      <c r="H61" s="345"/>
      <c r="I61" s="345"/>
      <c r="J61" s="38"/>
      <c r="K61" s="5"/>
    </row>
    <row r="62" spans="1:12">
      <c r="A62" s="80"/>
      <c r="B62" s="80"/>
      <c r="C62" s="77"/>
      <c r="D62" s="338"/>
      <c r="E62" s="362"/>
      <c r="F62" s="237"/>
      <c r="G62" s="25"/>
      <c r="H62" s="345"/>
      <c r="I62" s="345"/>
      <c r="J62" s="38"/>
      <c r="K62" s="5"/>
    </row>
    <row r="63" spans="1:12">
      <c r="A63" s="80"/>
      <c r="B63" s="80"/>
      <c r="C63" s="77"/>
      <c r="D63" s="338"/>
      <c r="E63" s="362"/>
      <c r="F63" s="237"/>
      <c r="G63" s="25"/>
      <c r="H63" s="345"/>
      <c r="I63" s="345"/>
      <c r="J63" s="38"/>
      <c r="K63" s="5"/>
    </row>
    <row r="64" spans="1:12">
      <c r="A64" s="80"/>
      <c r="B64" s="80"/>
      <c r="C64" s="77"/>
      <c r="D64" s="338"/>
      <c r="E64" s="362"/>
      <c r="F64" s="237"/>
      <c r="G64" s="25"/>
      <c r="H64" s="345"/>
      <c r="I64" s="345"/>
      <c r="J64" s="38"/>
      <c r="K64" s="5"/>
    </row>
    <row r="65" spans="1:11">
      <c r="A65" s="80"/>
      <c r="B65" s="80"/>
      <c r="C65" s="77"/>
      <c r="D65" s="338"/>
      <c r="E65" s="362"/>
      <c r="F65" s="237"/>
      <c r="G65" s="25"/>
      <c r="H65" s="345"/>
      <c r="I65" s="345"/>
      <c r="J65" s="38"/>
      <c r="K65" s="5"/>
    </row>
    <row r="66" spans="1:11" ht="19.5" thickBot="1">
      <c r="A66" s="103"/>
      <c r="B66" s="469"/>
      <c r="C66" s="172" t="s">
        <v>281</v>
      </c>
      <c r="D66" s="339"/>
      <c r="E66" s="365"/>
      <c r="F66" s="318"/>
      <c r="G66" s="166"/>
      <c r="H66" s="347"/>
      <c r="I66" s="347"/>
      <c r="J66" s="169">
        <f>SUM(J44:J65)</f>
        <v>0</v>
      </c>
      <c r="K66" s="5"/>
    </row>
    <row r="67" spans="1:11" ht="19.5" thickBot="1">
      <c r="A67" s="189"/>
      <c r="B67" s="189"/>
      <c r="C67" s="431"/>
      <c r="D67" s="729"/>
      <c r="E67" s="489"/>
      <c r="F67" s="730"/>
      <c r="G67" s="731"/>
      <c r="H67" s="732"/>
      <c r="I67" s="732"/>
      <c r="J67" s="733"/>
      <c r="K67" s="5"/>
    </row>
    <row r="68" spans="1:11" ht="19.5" thickBot="1">
      <c r="A68" s="83"/>
      <c r="B68" s="190"/>
      <c r="C68" s="173" t="s">
        <v>282</v>
      </c>
      <c r="D68" s="342"/>
      <c r="E68" s="367"/>
      <c r="F68" s="321"/>
      <c r="G68" s="119"/>
      <c r="H68" s="349"/>
      <c r="I68" s="354"/>
      <c r="J68" s="120">
        <f>SUM(J23,J43,J66)</f>
        <v>0</v>
      </c>
      <c r="K68" s="5"/>
    </row>
    <row r="69" spans="1:11">
      <c r="A69" s="83"/>
      <c r="B69" s="83"/>
      <c r="C69" s="109"/>
      <c r="D69" s="343"/>
      <c r="E69" s="368"/>
      <c r="F69" s="322"/>
      <c r="G69" s="110"/>
      <c r="H69" s="350"/>
      <c r="I69" s="329"/>
      <c r="J69" s="115"/>
      <c r="K69" s="5"/>
    </row>
    <row r="70" spans="1:11">
      <c r="A70" s="83"/>
      <c r="B70" s="83"/>
      <c r="C70" s="109" t="s">
        <v>226</v>
      </c>
      <c r="D70" s="343"/>
      <c r="E70" s="368"/>
      <c r="F70" s="322"/>
      <c r="G70" s="110"/>
      <c r="H70" s="350"/>
      <c r="I70" s="329"/>
      <c r="J70" s="115">
        <f>J7</f>
        <v>7194.9000000000005</v>
      </c>
      <c r="K70" s="5"/>
    </row>
    <row r="71" spans="1:11">
      <c r="A71" s="83"/>
      <c r="B71" s="83"/>
      <c r="C71" s="109" t="s">
        <v>224</v>
      </c>
      <c r="D71" s="343"/>
      <c r="E71" s="368"/>
      <c r="F71" s="322"/>
      <c r="G71" s="110"/>
      <c r="H71" s="350"/>
      <c r="I71" s="329"/>
      <c r="J71" s="115">
        <f>SUM(J68:J70)</f>
        <v>7194.9000000000005</v>
      </c>
      <c r="K71" s="5"/>
    </row>
    <row r="72" spans="1:11" s="67" customFormat="1" ht="19.5" thickBot="1">
      <c r="A72" s="83"/>
      <c r="B72" s="83"/>
      <c r="C72" s="104" t="s">
        <v>227</v>
      </c>
      <c r="D72" s="339"/>
      <c r="E72" s="363"/>
      <c r="F72" s="318"/>
      <c r="G72" s="42"/>
      <c r="H72" s="351"/>
      <c r="I72" s="355"/>
      <c r="J72" s="24">
        <f>J71/3</f>
        <v>2398.3000000000002</v>
      </c>
    </row>
    <row r="73" spans="1:11" s="63" customFormat="1">
      <c r="A73" s="83"/>
      <c r="B73" s="83"/>
      <c r="C73" s="64"/>
      <c r="D73" s="344"/>
      <c r="E73" s="369"/>
      <c r="F73" s="323"/>
      <c r="G73" s="478"/>
      <c r="H73" s="129"/>
      <c r="I73" s="139"/>
      <c r="J73" s="68"/>
    </row>
    <row r="74" spans="1:11" s="63" customFormat="1">
      <c r="A74" s="83"/>
      <c r="B74" s="83"/>
      <c r="C74" s="64"/>
      <c r="D74" s="344"/>
      <c r="E74" s="369"/>
      <c r="F74" s="323"/>
      <c r="G74" s="478"/>
      <c r="H74" s="129"/>
      <c r="I74" s="129"/>
      <c r="J74" s="66"/>
    </row>
    <row r="75" spans="1:11" s="63" customFormat="1">
      <c r="A75" s="83"/>
      <c r="B75" s="83"/>
      <c r="C75" s="64"/>
      <c r="D75" s="344"/>
      <c r="E75" s="369"/>
      <c r="F75" s="323"/>
      <c r="G75" s="478"/>
      <c r="H75" s="129"/>
      <c r="I75" s="129"/>
      <c r="J75" s="66"/>
    </row>
    <row r="76" spans="1:11" s="63" customFormat="1">
      <c r="A76" s="83"/>
      <c r="B76" s="83"/>
      <c r="C76" s="64"/>
      <c r="D76" s="344"/>
      <c r="E76" s="369"/>
      <c r="F76" s="323"/>
      <c r="G76" s="478"/>
      <c r="H76" s="129"/>
      <c r="I76" s="129"/>
      <c r="J76" s="66"/>
    </row>
    <row r="77" spans="1:11">
      <c r="C77" s="64"/>
      <c r="D77" s="344"/>
      <c r="E77" s="369"/>
      <c r="F77" s="323"/>
      <c r="G77" s="478"/>
      <c r="H77" s="129"/>
      <c r="I77" s="129"/>
      <c r="J77" s="66"/>
    </row>
  </sheetData>
  <dataValidations count="4">
    <dataValidation type="list" allowBlank="1" showInputMessage="1" showErrorMessage="1" prompt="Liste choix" sqref="D28">
      <formula1>"MOBILE2016,MOBILE Regio,REEBOU Family,REEBOUImmo,REEBOU Pack,REEBOU Pro,REEBOU Invest,LOGGIA,MEDICIS,RC,RC ENSEIGNANT,ZENITH60 Op100,ZENITH60 Op25,HORIZONT60Invest,HORIZONT60Protect,HORIZONT60Capi,HELIOS100Protect,HELIOS100Invest,FOCUS,NOVA,BSH,MOBILE CR"</formula1>
    </dataValidation>
    <dataValidation type="list" allowBlank="1" showInputMessage="1" showErrorMessage="1" prompt="Liste choix" sqref="D57:D66">
      <formula1>"MOBILE2016,MOBILE Regio,REEBOU Family,REEBOUImmo,REEBOU Pack,REEBOU Pro,REEBOU Invest,LOGGIA,MEDICIS,RC,RC ENSEIGNT,ZENITH60 Op100,ZENITH60 Op25,HORIZONT60Inv,HORIZONT60Prot,HORIZONT60Capi,HELIOS100Prot,HELIOS100Inv,FOCUS,NOVA,BSH,EA,TSRD"</formula1>
    </dataValidation>
    <dataValidation type="list" allowBlank="1" showInputMessage="1" showErrorMessage="1" prompt="Liste choix" sqref="D29:D56 D10:D27">
      <formula1>"MOBILE2016,MOBILE Regio,REEBOU Family,REEBOUImmo,REEBOU Pack,REEBOU Pro,REEBOU Invest,LOGGIA,MEDICIS,RC,RC ENSEIGNANT,ZENITH60 Op100,ZENITH60 Op25,HORIZONT60Invest,HORIZONT60Protect,HORIZONT60Capi,HELIOS100Protect,HELIOS100Invest,FOCUS,NOVA,BSH"</formula1>
    </dataValidation>
    <dataValidation type="list" allowBlank="1" showInputMessage="1" showErrorMessage="1" prompt="Liste choix" sqref="C77">
      <formula1>"REEBOU FAMILY,MOBILE 2016,PACK REEBOU FAMILY,MEDICIS,HORIZONT INVEST,RC ENSEIGNANT"</formula1>
    </dataValidation>
  </dataValidations>
  <printOptions horizontalCentered="1" verticalCentered="1" gridLines="1"/>
  <pageMargins left="0.23622047244094491" right="0.23622047244094491" top="0.15748031496062992" bottom="0.19685039370078741" header="0.31496062992125984" footer="0.11811023622047245"/>
  <pageSetup paperSize="9" scale="85" orientation="landscape" r:id="rId1"/>
  <headerFooter>
    <oddHeader xml:space="preserve">&amp;C&amp;"-,Gras"&amp;14COMMISSION JEFF DERAPPE 1erTRIMESTRE 2018
</oddHeader>
    <oddFooter xml:space="preserve">&amp;L&amp;8&amp;Z&amp;F&amp;C&amp;7&amp;P/&amp;N&amp;RModfié le &amp;D </oddFooter>
  </headerFooter>
  <rowBreaks count="2" manualBreakCount="2">
    <brk id="23" max="9" man="1"/>
    <brk id="43" max="9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9"/>
  </sheetPr>
  <dimension ref="A1"/>
  <sheetViews>
    <sheetView topLeftCell="A25" workbookViewId="0">
      <selection activeCell="Q44" sqref="Q44"/>
    </sheetView>
    <sheetView topLeftCell="A28" workbookViewId="1"/>
    <sheetView workbookViewId="2"/>
  </sheetViews>
  <sheetFormatPr baseColWidth="10" defaultRowHeight="15"/>
  <sheetData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B30"/>
  <sheetViews>
    <sheetView topLeftCell="A7" workbookViewId="0">
      <selection activeCell="E20" sqref="E20"/>
    </sheetView>
    <sheetView topLeftCell="A25" workbookViewId="1"/>
    <sheetView workbookViewId="2"/>
  </sheetViews>
  <sheetFormatPr baseColWidth="10" defaultRowHeight="15"/>
  <cols>
    <col min="1" max="1" width="20.42578125" style="396" customWidth="1"/>
    <col min="2" max="2" width="26.85546875" customWidth="1"/>
    <col min="3" max="3" width="15" customWidth="1"/>
  </cols>
  <sheetData>
    <row r="1" spans="1:2">
      <c r="A1" s="396" t="s">
        <v>129</v>
      </c>
    </row>
    <row r="4" spans="1:2">
      <c r="A4" s="442" t="s">
        <v>130</v>
      </c>
      <c r="B4" t="s">
        <v>556</v>
      </c>
    </row>
    <row r="6" spans="1:2">
      <c r="A6" s="442" t="s">
        <v>8</v>
      </c>
    </row>
    <row r="7" spans="1:2">
      <c r="A7" s="400" t="s">
        <v>553</v>
      </c>
      <c r="B7" t="s">
        <v>558</v>
      </c>
    </row>
    <row r="8" spans="1:2">
      <c r="A8" s="400" t="s">
        <v>554</v>
      </c>
      <c r="B8" t="s">
        <v>557</v>
      </c>
    </row>
    <row r="10" spans="1:2">
      <c r="A10" s="442" t="s">
        <v>143</v>
      </c>
    </row>
    <row r="11" spans="1:2">
      <c r="A11" s="396" t="s">
        <v>135</v>
      </c>
      <c r="B11" s="434">
        <v>3.5000000000000003E-2</v>
      </c>
    </row>
    <row r="12" spans="1:2" ht="30">
      <c r="A12" s="396" t="s">
        <v>560</v>
      </c>
    </row>
    <row r="13" spans="1:2">
      <c r="A13" s="396" t="s">
        <v>132</v>
      </c>
      <c r="B13" s="60">
        <v>0.05</v>
      </c>
    </row>
    <row r="14" spans="1:2">
      <c r="A14" s="396" t="s">
        <v>551</v>
      </c>
      <c r="B14" s="434">
        <v>6.5000000000000002E-2</v>
      </c>
    </row>
    <row r="16" spans="1:2">
      <c r="A16" s="442" t="s">
        <v>137</v>
      </c>
    </row>
    <row r="17" spans="1:2">
      <c r="A17" s="471"/>
      <c r="B17" s="472"/>
    </row>
    <row r="18" spans="1:2" ht="30">
      <c r="A18" s="400" t="s">
        <v>552</v>
      </c>
      <c r="B18" s="60">
        <v>0.08</v>
      </c>
    </row>
    <row r="19" spans="1:2">
      <c r="A19" s="400"/>
      <c r="B19" s="60"/>
    </row>
    <row r="20" spans="1:2" ht="30">
      <c r="A20" s="443" t="s">
        <v>541</v>
      </c>
      <c r="B20" s="60">
        <v>0.05</v>
      </c>
    </row>
    <row r="21" spans="1:2">
      <c r="A21" s="400" t="s">
        <v>550</v>
      </c>
    </row>
    <row r="22" spans="1:2">
      <c r="A22" s="400"/>
    </row>
    <row r="24" spans="1:2">
      <c r="A24" s="396" t="s">
        <v>140</v>
      </c>
      <c r="B24" t="s">
        <v>559</v>
      </c>
    </row>
    <row r="25" spans="1:2">
      <c r="A25" s="396" t="s">
        <v>141</v>
      </c>
      <c r="B25" t="s">
        <v>542</v>
      </c>
    </row>
    <row r="26" spans="1:2">
      <c r="A26" s="396" t="s">
        <v>142</v>
      </c>
      <c r="B26" t="s">
        <v>543</v>
      </c>
    </row>
    <row r="29" spans="1:2">
      <c r="A29" s="338"/>
      <c r="B29" s="175" t="s">
        <v>473</v>
      </c>
    </row>
    <row r="30" spans="1:2">
      <c r="A30" s="4" t="s">
        <v>591</v>
      </c>
    </row>
  </sheetData>
  <dataValidations count="1">
    <dataValidation type="list" allowBlank="1" showInputMessage="1" showErrorMessage="1" prompt="Liste choix" sqref="A29">
      <formula1>"MOBILE2016,MOBILE Regio,REEBOU Family,REEBOUImmo,REEBOU Pack,REEBOU Pro,REEBOU Invest,LOGGIA,MEDICIS,RC,RC ENSEIGNT,ZENITH60 Op100,ZENITH60 Op25,HORIZONT60Inv,HORIZONT60Prot,HORIZONT60Capi,HELIOS100Prot,HELIOS100Inv,FOCUS,NOVA,BSH,EA,TSRD"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C31"/>
  <sheetViews>
    <sheetView workbookViewId="0">
      <selection activeCell="B31" sqref="B31"/>
    </sheetView>
    <sheetView workbookViewId="1"/>
    <sheetView workbookViewId="2"/>
  </sheetViews>
  <sheetFormatPr baseColWidth="10" defaultRowHeight="15"/>
  <cols>
    <col min="1" max="1" width="18.140625" customWidth="1"/>
    <col min="2" max="2" width="26.85546875" customWidth="1"/>
    <col min="3" max="3" width="15" customWidth="1"/>
  </cols>
  <sheetData>
    <row r="1" spans="1:3">
      <c r="A1" t="s">
        <v>129</v>
      </c>
    </row>
    <row r="3" spans="1:3">
      <c r="A3" s="61" t="s">
        <v>291</v>
      </c>
      <c r="B3" s="60">
        <v>0.35</v>
      </c>
    </row>
    <row r="5" spans="1:3">
      <c r="A5" s="61" t="s">
        <v>130</v>
      </c>
      <c r="B5" t="s">
        <v>131</v>
      </c>
      <c r="C5" t="s">
        <v>172</v>
      </c>
    </row>
    <row r="7" spans="1:3">
      <c r="A7" s="61" t="s">
        <v>8</v>
      </c>
      <c r="B7" t="s">
        <v>168</v>
      </c>
      <c r="C7" t="s">
        <v>172</v>
      </c>
    </row>
    <row r="9" spans="1:3">
      <c r="A9" s="61" t="s">
        <v>143</v>
      </c>
    </row>
    <row r="10" spans="1:3">
      <c r="A10" t="s">
        <v>135</v>
      </c>
      <c r="B10" s="60">
        <v>0.04</v>
      </c>
    </row>
    <row r="11" spans="1:3">
      <c r="A11" t="s">
        <v>136</v>
      </c>
    </row>
    <row r="12" spans="1:3">
      <c r="A12" t="s">
        <v>132</v>
      </c>
      <c r="B12" s="60">
        <v>0.06</v>
      </c>
    </row>
    <row r="13" spans="1:3">
      <c r="A13" t="s">
        <v>133</v>
      </c>
      <c r="B13" s="60">
        <v>7.0000000000000007E-2</v>
      </c>
    </row>
    <row r="14" spans="1:3">
      <c r="A14" t="s">
        <v>134</v>
      </c>
      <c r="B14" s="60">
        <v>0.08</v>
      </c>
    </row>
    <row r="16" spans="1:3">
      <c r="A16" s="61" t="s">
        <v>137</v>
      </c>
      <c r="B16" s="60">
        <v>0.12</v>
      </c>
    </row>
    <row r="17" spans="1:2">
      <c r="A17" t="s">
        <v>174</v>
      </c>
      <c r="B17" s="60">
        <v>0.15</v>
      </c>
    </row>
    <row r="18" spans="1:2">
      <c r="A18" t="s">
        <v>287</v>
      </c>
      <c r="B18" s="60">
        <v>0.1</v>
      </c>
    </row>
    <row r="19" spans="1:2">
      <c r="A19" t="s">
        <v>288</v>
      </c>
      <c r="B19" s="60">
        <v>0.1</v>
      </c>
    </row>
    <row r="21" spans="1:2">
      <c r="A21" s="61" t="s">
        <v>138</v>
      </c>
      <c r="B21" s="60">
        <v>0.5</v>
      </c>
    </row>
    <row r="23" spans="1:2">
      <c r="A23" s="61" t="s">
        <v>139</v>
      </c>
      <c r="B23" s="175" t="s">
        <v>289</v>
      </c>
    </row>
    <row r="24" spans="1:2">
      <c r="A24" t="s">
        <v>172</v>
      </c>
      <c r="B24" t="s">
        <v>173</v>
      </c>
    </row>
    <row r="25" spans="1:2">
      <c r="A25" t="s">
        <v>140</v>
      </c>
      <c r="B25" t="s">
        <v>169</v>
      </c>
    </row>
    <row r="26" spans="1:2">
      <c r="A26" t="s">
        <v>141</v>
      </c>
      <c r="B26" t="s">
        <v>170</v>
      </c>
    </row>
    <row r="27" spans="1:2">
      <c r="A27" t="s">
        <v>142</v>
      </c>
      <c r="B27" t="s">
        <v>171</v>
      </c>
    </row>
    <row r="29" spans="1:2" ht="18.75">
      <c r="A29" s="69" t="s">
        <v>175</v>
      </c>
    </row>
    <row r="31" spans="1:2">
      <c r="A31" s="384"/>
      <c r="B31" s="175" t="s">
        <v>473</v>
      </c>
    </row>
  </sheetData>
  <dataValidations count="1">
    <dataValidation type="list" allowBlank="1" showInputMessage="1" showErrorMessage="1" prompt="Liste choix" sqref="A31">
      <formula1>"MOBILE2016,MOBILE2007,MOBILE Regio,REEBOU Family,REEBOU Pack,REEBOU Pro,REEBOU Invest,LOGGIA,MEDICIS,RC,RC ENSEIGNANT,ZENITH60 Op100,ZENITH60 Op25,HORIZONT60Invest,HORIZONT60Protect,HORIZONT60Capi,HELIOS100Protect,HELIOS100Invest,FOCUS,NOVA,SCHWABISCHHALL"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L100"/>
  <sheetViews>
    <sheetView zoomScaleNormal="100" workbookViewId="0">
      <selection activeCell="B41" sqref="B41"/>
    </sheetView>
    <sheetView workbookViewId="1"/>
    <sheetView workbookViewId="2"/>
  </sheetViews>
  <sheetFormatPr baseColWidth="10" defaultRowHeight="18.75"/>
  <cols>
    <col min="1" max="1" width="11.42578125" style="78" customWidth="1"/>
    <col min="2" max="2" width="17.42578125" style="78" customWidth="1"/>
    <col min="3" max="3" width="28" style="7" customWidth="1"/>
    <col min="4" max="4" width="21.7109375" style="336" customWidth="1"/>
    <col min="5" max="5" width="24.7109375" style="357" customWidth="1"/>
    <col min="6" max="6" width="3.7109375" style="212" customWidth="1"/>
    <col min="7" max="7" width="10.5703125" style="1" customWidth="1"/>
    <col min="8" max="8" width="13.28515625" style="127" customWidth="1"/>
    <col min="9" max="9" width="12.42578125" style="127" customWidth="1"/>
    <col min="10" max="10" width="12.42578125" style="2" customWidth="1"/>
    <col min="11" max="11" width="34.28515625" hidden="1" customWidth="1"/>
    <col min="12" max="12" width="11.5703125" hidden="1" customWidth="1"/>
  </cols>
  <sheetData>
    <row r="1" spans="1:11">
      <c r="A1" s="78">
        <v>2018</v>
      </c>
      <c r="C1" s="7" t="s">
        <v>633</v>
      </c>
      <c r="H1" s="127" t="s">
        <v>635</v>
      </c>
      <c r="J1" s="727">
        <f>2398.3*3</f>
        <v>7194.9000000000005</v>
      </c>
      <c r="K1" s="9"/>
    </row>
    <row r="2" spans="1:11">
      <c r="C2" s="728" t="s">
        <v>634</v>
      </c>
      <c r="J2" s="727"/>
      <c r="K2" s="9"/>
    </row>
    <row r="3" spans="1:11">
      <c r="C3" s="7" t="s">
        <v>631</v>
      </c>
      <c r="G3" s="11" t="s">
        <v>642</v>
      </c>
      <c r="H3" s="734" t="s">
        <v>644</v>
      </c>
      <c r="J3" s="10">
        <f>20*11.51</f>
        <v>230.2</v>
      </c>
      <c r="K3" s="9"/>
    </row>
    <row r="4" spans="1:11">
      <c r="C4" s="7" t="s">
        <v>189</v>
      </c>
      <c r="G4" s="11" t="s">
        <v>642</v>
      </c>
      <c r="H4" s="734" t="s">
        <v>644</v>
      </c>
      <c r="J4" s="10">
        <f>37*11.51</f>
        <v>425.87</v>
      </c>
      <c r="K4" s="9"/>
    </row>
    <row r="5" spans="1:11">
      <c r="C5" s="7" t="s">
        <v>639</v>
      </c>
      <c r="G5" s="11" t="s">
        <v>643</v>
      </c>
      <c r="H5" s="734" t="s">
        <v>644</v>
      </c>
      <c r="J5" s="10">
        <f>8*11.51</f>
        <v>92.08</v>
      </c>
      <c r="K5" s="9"/>
    </row>
    <row r="6" spans="1:11">
      <c r="D6" s="11"/>
      <c r="H6" s="734"/>
      <c r="I6" s="126"/>
      <c r="J6" s="10"/>
      <c r="K6" s="9"/>
    </row>
    <row r="7" spans="1:11">
      <c r="C7" s="7" t="s">
        <v>225</v>
      </c>
      <c r="G7" s="11"/>
      <c r="H7" s="734"/>
      <c r="I7" s="126"/>
      <c r="J7" s="117">
        <f>SUM(J1:J6)</f>
        <v>7943.05</v>
      </c>
      <c r="K7" s="9"/>
    </row>
    <row r="8" spans="1:11" ht="19.5" thickBot="1">
      <c r="K8" s="11"/>
    </row>
    <row r="9" spans="1:11" ht="30">
      <c r="A9" s="314" t="s">
        <v>411</v>
      </c>
      <c r="B9" s="314" t="s">
        <v>412</v>
      </c>
      <c r="C9" s="315" t="s">
        <v>0</v>
      </c>
      <c r="D9" s="337" t="s">
        <v>50</v>
      </c>
      <c r="E9" s="358" t="s">
        <v>410</v>
      </c>
      <c r="F9" s="316" t="s">
        <v>423</v>
      </c>
      <c r="G9" s="16" t="s">
        <v>53</v>
      </c>
      <c r="H9" s="184" t="s">
        <v>74</v>
      </c>
      <c r="I9" s="135" t="s">
        <v>1</v>
      </c>
      <c r="J9" s="19" t="s">
        <v>92</v>
      </c>
    </row>
    <row r="10" spans="1:11">
      <c r="A10" s="81"/>
      <c r="B10" s="81" t="s">
        <v>426</v>
      </c>
      <c r="C10" s="326" t="s">
        <v>434</v>
      </c>
      <c r="D10" s="334" t="s">
        <v>435</v>
      </c>
      <c r="E10" s="359" t="s">
        <v>425</v>
      </c>
      <c r="F10" s="327"/>
      <c r="G10" s="22"/>
      <c r="H10" s="143">
        <v>100</v>
      </c>
      <c r="I10" s="143"/>
      <c r="J10" s="330">
        <f>I10</f>
        <v>0</v>
      </c>
    </row>
    <row r="11" spans="1:11">
      <c r="A11" s="81"/>
      <c r="B11" s="81" t="s">
        <v>426</v>
      </c>
      <c r="C11" s="326" t="s">
        <v>434</v>
      </c>
      <c r="D11" s="334" t="s">
        <v>441</v>
      </c>
      <c r="E11" s="359" t="s">
        <v>425</v>
      </c>
      <c r="F11" s="327"/>
      <c r="G11" s="22"/>
      <c r="H11" s="143">
        <v>100</v>
      </c>
      <c r="I11" s="143"/>
      <c r="J11" s="330">
        <f t="shared" ref="J11:J29" si="0">I11</f>
        <v>0</v>
      </c>
    </row>
    <row r="12" spans="1:11">
      <c r="A12" s="81"/>
      <c r="B12" s="81" t="s">
        <v>426</v>
      </c>
      <c r="C12" s="326" t="s">
        <v>434</v>
      </c>
      <c r="D12" s="334" t="s">
        <v>436</v>
      </c>
      <c r="E12" s="359" t="s">
        <v>425</v>
      </c>
      <c r="F12" s="327"/>
      <c r="G12" s="22"/>
      <c r="H12" s="143">
        <v>100</v>
      </c>
      <c r="I12" s="143">
        <f>H12*0.12</f>
        <v>12</v>
      </c>
      <c r="J12" s="330">
        <f t="shared" si="0"/>
        <v>12</v>
      </c>
    </row>
    <row r="13" spans="1:11">
      <c r="A13" s="81"/>
      <c r="B13" s="81" t="s">
        <v>426</v>
      </c>
      <c r="C13" s="326" t="s">
        <v>426</v>
      </c>
      <c r="D13" s="334" t="s">
        <v>437</v>
      </c>
      <c r="E13" s="359" t="s">
        <v>425</v>
      </c>
      <c r="F13" s="327"/>
      <c r="G13" s="22"/>
      <c r="H13" s="143">
        <v>100</v>
      </c>
      <c r="I13" s="143">
        <f>H13*0.15</f>
        <v>15</v>
      </c>
      <c r="J13" s="330">
        <f t="shared" si="0"/>
        <v>15</v>
      </c>
    </row>
    <row r="14" spans="1:11">
      <c r="A14" s="81"/>
      <c r="B14" s="81" t="s">
        <v>426</v>
      </c>
      <c r="C14" s="326" t="s">
        <v>426</v>
      </c>
      <c r="D14" s="334" t="s">
        <v>438</v>
      </c>
      <c r="E14" s="359" t="s">
        <v>425</v>
      </c>
      <c r="F14" s="327"/>
      <c r="G14" s="22"/>
      <c r="H14" s="143">
        <v>100</v>
      </c>
      <c r="I14" s="143">
        <f>H14*0.12</f>
        <v>12</v>
      </c>
      <c r="J14" s="330">
        <f t="shared" si="0"/>
        <v>12</v>
      </c>
    </row>
    <row r="15" spans="1:11">
      <c r="A15" s="81"/>
      <c r="B15" s="81" t="s">
        <v>426</v>
      </c>
      <c r="C15" s="326" t="s">
        <v>426</v>
      </c>
      <c r="D15" s="334" t="s">
        <v>439</v>
      </c>
      <c r="E15" s="359" t="s">
        <v>425</v>
      </c>
      <c r="F15" s="327"/>
      <c r="G15" s="22"/>
      <c r="H15" s="143">
        <v>100</v>
      </c>
      <c r="I15" s="143">
        <f>H15*0.12</f>
        <v>12</v>
      </c>
      <c r="J15" s="330">
        <f t="shared" si="0"/>
        <v>12</v>
      </c>
    </row>
    <row r="16" spans="1:11">
      <c r="A16" s="81"/>
      <c r="B16" s="81" t="s">
        <v>426</v>
      </c>
      <c r="C16" s="326" t="s">
        <v>426</v>
      </c>
      <c r="D16" s="334" t="s">
        <v>183</v>
      </c>
      <c r="E16" s="359" t="s">
        <v>425</v>
      </c>
      <c r="F16" s="327"/>
      <c r="G16" s="22"/>
      <c r="H16" s="143">
        <v>100</v>
      </c>
      <c r="I16" s="143">
        <f>H16*0.12</f>
        <v>12</v>
      </c>
      <c r="J16" s="330">
        <f t="shared" si="0"/>
        <v>12</v>
      </c>
    </row>
    <row r="17" spans="1:11">
      <c r="A17" s="81"/>
      <c r="B17" s="81" t="s">
        <v>426</v>
      </c>
      <c r="C17" s="326" t="s">
        <v>426</v>
      </c>
      <c r="D17" s="334" t="s">
        <v>306</v>
      </c>
      <c r="E17" s="359" t="s">
        <v>425</v>
      </c>
      <c r="F17" s="327"/>
      <c r="G17" s="114"/>
      <c r="H17" s="143">
        <v>100</v>
      </c>
      <c r="I17" s="329">
        <f>((H17/12)*3.5)*0.6</f>
        <v>17.5</v>
      </c>
      <c r="J17" s="330">
        <f t="shared" si="0"/>
        <v>17.5</v>
      </c>
    </row>
    <row r="18" spans="1:11">
      <c r="A18" s="81"/>
      <c r="B18" s="81" t="s">
        <v>426</v>
      </c>
      <c r="C18" s="326" t="s">
        <v>426</v>
      </c>
      <c r="D18" s="334" t="s">
        <v>440</v>
      </c>
      <c r="E18" s="359" t="s">
        <v>425</v>
      </c>
      <c r="F18" s="327"/>
      <c r="G18" s="114"/>
      <c r="H18" s="143">
        <v>100</v>
      </c>
      <c r="I18" s="143">
        <f>H18*0.12</f>
        <v>12</v>
      </c>
      <c r="J18" s="330">
        <f t="shared" si="0"/>
        <v>12</v>
      </c>
    </row>
    <row r="19" spans="1:11">
      <c r="A19" s="81"/>
      <c r="B19" s="81" t="s">
        <v>426</v>
      </c>
      <c r="C19" s="326" t="s">
        <v>426</v>
      </c>
      <c r="D19" s="334" t="s">
        <v>414</v>
      </c>
      <c r="E19" s="359" t="s">
        <v>425</v>
      </c>
      <c r="F19" s="327"/>
      <c r="G19" s="114"/>
      <c r="H19" s="143">
        <v>100</v>
      </c>
      <c r="I19" s="143">
        <f>H19*0.12</f>
        <v>12</v>
      </c>
      <c r="J19" s="330">
        <f t="shared" si="0"/>
        <v>12</v>
      </c>
    </row>
    <row r="20" spans="1:11">
      <c r="A20" s="81"/>
      <c r="B20" s="81" t="s">
        <v>426</v>
      </c>
      <c r="C20" s="326" t="s">
        <v>426</v>
      </c>
      <c r="D20" s="334" t="s">
        <v>428</v>
      </c>
      <c r="E20" s="359" t="s">
        <v>425</v>
      </c>
      <c r="F20" s="327"/>
      <c r="G20" s="114">
        <v>2050</v>
      </c>
      <c r="H20" s="328">
        <v>1000</v>
      </c>
      <c r="I20" s="329" t="e">
        <f>(H20*#REF!*0.027)*0.6</f>
        <v>#REF!</v>
      </c>
      <c r="J20" s="330" t="e">
        <f t="shared" si="0"/>
        <v>#REF!</v>
      </c>
    </row>
    <row r="21" spans="1:11">
      <c r="A21" s="81"/>
      <c r="B21" s="81" t="s">
        <v>426</v>
      </c>
      <c r="C21" s="326" t="s">
        <v>426</v>
      </c>
      <c r="D21" s="334" t="s">
        <v>442</v>
      </c>
      <c r="E21" s="359" t="s">
        <v>425</v>
      </c>
      <c r="F21" s="327"/>
      <c r="G21" s="114">
        <v>2050</v>
      </c>
      <c r="H21" s="328">
        <v>1000</v>
      </c>
      <c r="I21" s="329" t="e">
        <f>(H21*#REF!*0.018)*0.6</f>
        <v>#REF!</v>
      </c>
      <c r="J21" s="330" t="e">
        <f t="shared" si="0"/>
        <v>#REF!</v>
      </c>
    </row>
    <row r="22" spans="1:11">
      <c r="A22" s="81"/>
      <c r="B22" s="81" t="s">
        <v>426</v>
      </c>
      <c r="C22" s="326" t="s">
        <v>426</v>
      </c>
      <c r="D22" s="334" t="s">
        <v>427</v>
      </c>
      <c r="E22" s="359" t="s">
        <v>425</v>
      </c>
      <c r="F22" s="327"/>
      <c r="G22" s="114">
        <v>2050</v>
      </c>
      <c r="H22" s="328">
        <v>1000</v>
      </c>
      <c r="I22" s="329" t="e">
        <f>(H22*#REF!*0.02)*0.6</f>
        <v>#REF!</v>
      </c>
      <c r="J22" s="330" t="e">
        <f t="shared" si="0"/>
        <v>#REF!</v>
      </c>
    </row>
    <row r="23" spans="1:11">
      <c r="A23" s="81"/>
      <c r="B23" s="81" t="s">
        <v>426</v>
      </c>
      <c r="C23" s="326" t="s">
        <v>426</v>
      </c>
      <c r="D23" s="334" t="s">
        <v>430</v>
      </c>
      <c r="E23" s="359" t="s">
        <v>425</v>
      </c>
      <c r="F23" s="327"/>
      <c r="G23" s="114">
        <v>2050</v>
      </c>
      <c r="H23" s="328">
        <v>1000</v>
      </c>
      <c r="I23" s="329" t="e">
        <f>(H23*#REF!*0.02)*0.6</f>
        <v>#REF!</v>
      </c>
      <c r="J23" s="330" t="e">
        <f t="shared" si="0"/>
        <v>#REF!</v>
      </c>
    </row>
    <row r="24" spans="1:11">
      <c r="A24" s="81"/>
      <c r="B24" s="81" t="s">
        <v>426</v>
      </c>
      <c r="C24" s="326" t="s">
        <v>426</v>
      </c>
      <c r="D24" s="334" t="s">
        <v>429</v>
      </c>
      <c r="E24" s="359" t="s">
        <v>425</v>
      </c>
      <c r="F24" s="327"/>
      <c r="G24" s="114">
        <v>2050</v>
      </c>
      <c r="H24" s="328">
        <v>1000</v>
      </c>
      <c r="I24" s="329" t="e">
        <f>(H24*#REF!*0.02)*0.6</f>
        <v>#REF!</v>
      </c>
      <c r="J24" s="330" t="e">
        <f t="shared" si="0"/>
        <v>#REF!</v>
      </c>
    </row>
    <row r="25" spans="1:11">
      <c r="A25" s="81"/>
      <c r="B25" s="81" t="s">
        <v>426</v>
      </c>
      <c r="C25" s="326" t="s">
        <v>426</v>
      </c>
      <c r="D25" s="334" t="s">
        <v>431</v>
      </c>
      <c r="E25" s="359" t="s">
        <v>425</v>
      </c>
      <c r="F25" s="327"/>
      <c r="G25" s="114">
        <v>2050</v>
      </c>
      <c r="H25" s="328">
        <v>1000</v>
      </c>
      <c r="I25" s="329" t="e">
        <f>(H25*#REF!*0.027)*0.6</f>
        <v>#REF!</v>
      </c>
      <c r="J25" s="330" t="e">
        <f t="shared" si="0"/>
        <v>#REF!</v>
      </c>
    </row>
    <row r="26" spans="1:11">
      <c r="A26" s="81"/>
      <c r="B26" s="81" t="s">
        <v>426</v>
      </c>
      <c r="C26" s="326" t="s">
        <v>426</v>
      </c>
      <c r="D26" s="334" t="s">
        <v>432</v>
      </c>
      <c r="E26" s="359" t="s">
        <v>425</v>
      </c>
      <c r="F26" s="327"/>
      <c r="G26" s="114">
        <v>2050</v>
      </c>
      <c r="H26" s="328">
        <v>1000</v>
      </c>
      <c r="I26" s="329" t="e">
        <f>(H26*#REF!*0.026)*0.6</f>
        <v>#REF!</v>
      </c>
      <c r="J26" s="330" t="e">
        <f t="shared" si="0"/>
        <v>#REF!</v>
      </c>
    </row>
    <row r="27" spans="1:11">
      <c r="A27" s="81"/>
      <c r="B27" s="81" t="s">
        <v>426</v>
      </c>
      <c r="C27" s="326" t="s">
        <v>426</v>
      </c>
      <c r="D27" s="334" t="s">
        <v>433</v>
      </c>
      <c r="E27" s="359" t="s">
        <v>425</v>
      </c>
      <c r="F27" s="327"/>
      <c r="G27" s="114"/>
      <c r="H27" s="328">
        <v>10000</v>
      </c>
      <c r="I27" s="329">
        <f>H27*0.075*0.6</f>
        <v>450</v>
      </c>
      <c r="J27" s="330">
        <f t="shared" si="0"/>
        <v>450</v>
      </c>
    </row>
    <row r="28" spans="1:11">
      <c r="A28" s="81"/>
      <c r="B28" s="81" t="s">
        <v>426</v>
      </c>
      <c r="C28" s="326" t="s">
        <v>426</v>
      </c>
      <c r="D28" s="334" t="s">
        <v>365</v>
      </c>
      <c r="E28" s="359" t="s">
        <v>425</v>
      </c>
      <c r="F28" s="327"/>
      <c r="G28" s="114">
        <v>2050</v>
      </c>
      <c r="H28" s="328">
        <v>1000</v>
      </c>
      <c r="I28" s="329" t="e">
        <f>(H28*#REF!*0.025)*0.6</f>
        <v>#REF!</v>
      </c>
      <c r="J28" s="330" t="e">
        <f t="shared" si="0"/>
        <v>#REF!</v>
      </c>
    </row>
    <row r="29" spans="1:11">
      <c r="A29" s="81"/>
      <c r="B29" s="81" t="s">
        <v>426</v>
      </c>
      <c r="C29" s="326" t="s">
        <v>426</v>
      </c>
      <c r="D29" s="334" t="s">
        <v>443</v>
      </c>
      <c r="E29" s="359" t="s">
        <v>425</v>
      </c>
      <c r="F29" s="327"/>
      <c r="G29" s="114"/>
      <c r="H29" s="328">
        <v>150000</v>
      </c>
      <c r="I29" s="143">
        <f>(H29*0.007)*0.6</f>
        <v>630</v>
      </c>
      <c r="J29" s="330">
        <f t="shared" si="0"/>
        <v>630</v>
      </c>
    </row>
    <row r="30" spans="1:11">
      <c r="K30" t="s">
        <v>159</v>
      </c>
    </row>
    <row r="31" spans="1:11" ht="18" customHeight="1">
      <c r="K31" t="s">
        <v>161</v>
      </c>
    </row>
    <row r="32" spans="1:11" ht="18" customHeight="1"/>
    <row r="33" spans="1:11" ht="18" customHeight="1"/>
    <row r="34" spans="1:11" ht="18" customHeight="1">
      <c r="K34" t="s">
        <v>147</v>
      </c>
    </row>
    <row r="35" spans="1:11" ht="18" customHeight="1"/>
    <row r="36" spans="1:11" ht="18" customHeight="1"/>
    <row r="37" spans="1:11" ht="18" customHeight="1"/>
    <row r="38" spans="1:11" ht="18" customHeight="1"/>
    <row r="39" spans="1:11" ht="18" customHeight="1"/>
    <row r="40" spans="1:11" ht="18" customHeight="1"/>
    <row r="41" spans="1:11" ht="18" customHeight="1"/>
    <row r="42" spans="1:11" ht="18" customHeight="1"/>
    <row r="43" spans="1:11" ht="18" customHeight="1">
      <c r="K43" t="s">
        <v>155</v>
      </c>
    </row>
    <row r="44" spans="1:11" ht="18" customHeight="1">
      <c r="A44" s="80"/>
      <c r="B44" s="416"/>
      <c r="C44" s="71"/>
      <c r="D44" s="338"/>
      <c r="E44" s="360"/>
      <c r="F44" s="237"/>
      <c r="G44" s="22"/>
      <c r="H44" s="143"/>
      <c r="I44" s="143"/>
      <c r="J44" s="24"/>
    </row>
    <row r="45" spans="1:11" ht="18" customHeight="1" thickBot="1">
      <c r="A45" s="80"/>
      <c r="B45" s="80"/>
      <c r="C45" s="71"/>
      <c r="D45" s="338"/>
      <c r="E45" s="360"/>
      <c r="F45" s="237"/>
      <c r="G45" s="22"/>
      <c r="H45" s="143"/>
      <c r="I45" s="141"/>
      <c r="J45" s="24"/>
    </row>
    <row r="46" spans="1:11" s="6" customFormat="1" ht="19.5" thickBot="1">
      <c r="A46" s="80"/>
      <c r="B46" s="80"/>
      <c r="C46" s="145"/>
      <c r="D46" s="339"/>
      <c r="E46" s="361"/>
      <c r="F46" s="318"/>
      <c r="G46" s="147"/>
      <c r="H46" s="735"/>
      <c r="I46" s="149"/>
      <c r="J46" s="151"/>
      <c r="K46"/>
    </row>
    <row r="47" spans="1:11">
      <c r="A47" s="100"/>
      <c r="B47" s="420"/>
      <c r="C47" s="70"/>
      <c r="D47" s="432"/>
      <c r="E47" s="358"/>
      <c r="F47" s="316"/>
      <c r="G47" s="16"/>
      <c r="H47" s="185"/>
      <c r="I47" s="141"/>
      <c r="J47" s="141"/>
      <c r="K47" s="5"/>
    </row>
    <row r="48" spans="1:11">
      <c r="A48" s="82"/>
      <c r="B48" s="416"/>
      <c r="C48" s="71"/>
      <c r="D48" s="338"/>
      <c r="E48" s="360"/>
      <c r="F48" s="237"/>
      <c r="G48" s="22"/>
      <c r="H48" s="143"/>
      <c r="I48" s="141"/>
      <c r="J48" s="141"/>
      <c r="K48" s="5"/>
    </row>
    <row r="49" spans="1:11">
      <c r="A49" s="82"/>
      <c r="B49" s="426"/>
      <c r="C49" s="71"/>
      <c r="D49" s="338"/>
      <c r="E49" s="360"/>
      <c r="F49" s="237"/>
      <c r="G49" s="22"/>
      <c r="H49" s="143"/>
      <c r="I49" s="345"/>
      <c r="J49" s="141"/>
      <c r="K49" s="75"/>
    </row>
    <row r="50" spans="1:11" s="4" customFormat="1">
      <c r="A50" s="82"/>
      <c r="B50" s="416"/>
      <c r="C50" s="71"/>
      <c r="D50" s="338"/>
      <c r="E50" s="360"/>
      <c r="F50" s="237"/>
      <c r="G50" s="22"/>
      <c r="H50" s="143"/>
      <c r="I50" s="345"/>
      <c r="J50" s="141"/>
    </row>
    <row r="51" spans="1:11" s="4" customFormat="1">
      <c r="A51" s="82"/>
      <c r="B51" s="416"/>
      <c r="C51" s="71"/>
      <c r="D51" s="338"/>
      <c r="E51" s="362"/>
      <c r="F51" s="237"/>
      <c r="G51" s="25"/>
      <c r="H51" s="345"/>
      <c r="I51" s="345"/>
      <c r="J51" s="141"/>
      <c r="K51" s="75"/>
    </row>
    <row r="52" spans="1:11" s="4" customFormat="1">
      <c r="A52" s="82"/>
      <c r="B52" s="416"/>
      <c r="C52" s="71"/>
      <c r="D52" s="338"/>
      <c r="E52" s="362"/>
      <c r="F52" s="237"/>
      <c r="G52" s="25"/>
      <c r="H52" s="345"/>
      <c r="I52" s="345"/>
      <c r="J52" s="141"/>
      <c r="K52" s="75"/>
    </row>
    <row r="53" spans="1:11" s="4" customFormat="1">
      <c r="A53" s="82"/>
      <c r="B53" s="416"/>
      <c r="C53" s="71"/>
      <c r="D53" s="338"/>
      <c r="E53" s="362"/>
      <c r="F53" s="237"/>
      <c r="G53" s="25"/>
      <c r="H53" s="345"/>
      <c r="I53" s="345"/>
      <c r="J53" s="141"/>
      <c r="K53"/>
    </row>
    <row r="54" spans="1:11" s="4" customFormat="1">
      <c r="A54" s="82"/>
      <c r="B54" s="416"/>
      <c r="C54" s="71"/>
      <c r="D54" s="338"/>
      <c r="E54" s="362"/>
      <c r="F54" s="237"/>
      <c r="G54" s="25"/>
      <c r="H54" s="143"/>
      <c r="I54" s="345"/>
      <c r="J54" s="141"/>
    </row>
    <row r="55" spans="1:11" s="4" customFormat="1">
      <c r="A55" s="82"/>
      <c r="B55" s="416"/>
      <c r="C55" s="71"/>
      <c r="D55" s="338"/>
      <c r="E55" s="360"/>
      <c r="F55" s="237"/>
      <c r="G55" s="22"/>
      <c r="H55" s="143"/>
      <c r="I55" s="345"/>
      <c r="J55" s="141"/>
    </row>
    <row r="56" spans="1:11" s="4" customFormat="1">
      <c r="A56" s="82"/>
      <c r="B56" s="416"/>
      <c r="C56" s="71"/>
      <c r="D56" s="338"/>
      <c r="E56" s="362"/>
      <c r="F56" s="237"/>
      <c r="G56" s="25"/>
      <c r="H56" s="143"/>
      <c r="I56" s="345"/>
      <c r="J56" s="141"/>
    </row>
    <row r="57" spans="1:11" s="4" customFormat="1">
      <c r="A57" s="82"/>
      <c r="B57" s="416"/>
      <c r="C57" s="71"/>
      <c r="D57" s="338"/>
      <c r="E57" s="362"/>
      <c r="F57" s="237"/>
      <c r="G57" s="25"/>
      <c r="H57" s="143"/>
      <c r="I57" s="345"/>
      <c r="J57" s="141"/>
    </row>
    <row r="58" spans="1:11" s="4" customFormat="1">
      <c r="A58" s="82"/>
      <c r="B58" s="416"/>
      <c r="C58" s="71"/>
      <c r="D58" s="338"/>
      <c r="E58" s="362"/>
      <c r="F58" s="237"/>
      <c r="G58" s="25"/>
      <c r="H58" s="143"/>
      <c r="I58" s="345"/>
      <c r="J58" s="141"/>
    </row>
    <row r="59" spans="1:11" s="4" customFormat="1">
      <c r="A59" s="82"/>
      <c r="B59" s="416"/>
      <c r="C59" s="71"/>
      <c r="D59" s="338"/>
      <c r="E59" s="362"/>
      <c r="F59" s="237"/>
      <c r="G59" s="25"/>
      <c r="H59" s="143"/>
      <c r="I59" s="141"/>
      <c r="J59" s="141"/>
    </row>
    <row r="60" spans="1:11" s="4" customFormat="1">
      <c r="A60" s="82"/>
      <c r="B60" s="416"/>
      <c r="C60" s="71"/>
      <c r="D60" s="338"/>
      <c r="E60" s="362"/>
      <c r="F60" s="237"/>
      <c r="G60" s="25"/>
      <c r="H60" s="143"/>
      <c r="I60" s="92"/>
      <c r="J60" s="141"/>
    </row>
    <row r="61" spans="1:11" s="4" customFormat="1">
      <c r="A61" s="82"/>
      <c r="B61" s="416"/>
      <c r="C61" s="71"/>
      <c r="D61" s="338"/>
      <c r="E61" s="362"/>
      <c r="F61" s="237"/>
      <c r="G61" s="25"/>
      <c r="H61" s="143"/>
      <c r="I61" s="345"/>
      <c r="J61" s="141"/>
    </row>
    <row r="62" spans="1:11" s="4" customFormat="1">
      <c r="A62" s="82"/>
      <c r="B62" s="416"/>
      <c r="C62" s="71"/>
      <c r="D62" s="338"/>
      <c r="E62" s="362"/>
      <c r="F62" s="237"/>
      <c r="G62" s="25"/>
      <c r="H62" s="143"/>
      <c r="I62" s="345"/>
      <c r="J62" s="141"/>
    </row>
    <row r="63" spans="1:11" s="4" customFormat="1">
      <c r="A63" s="82"/>
      <c r="B63" s="416"/>
      <c r="C63" s="71"/>
      <c r="D63" s="338"/>
      <c r="E63" s="362"/>
      <c r="F63" s="237"/>
      <c r="G63" s="25"/>
      <c r="H63" s="143"/>
      <c r="I63" s="141"/>
      <c r="J63" s="141"/>
    </row>
    <row r="64" spans="1:11" s="4" customFormat="1">
      <c r="A64" s="82"/>
      <c r="B64" s="416"/>
      <c r="C64" s="71"/>
      <c r="D64" s="338"/>
      <c r="E64" s="362"/>
      <c r="F64" s="237"/>
      <c r="G64" s="25"/>
      <c r="H64" s="143"/>
      <c r="I64" s="345"/>
      <c r="J64" s="141"/>
    </row>
    <row r="65" spans="1:12" s="4" customFormat="1">
      <c r="A65" s="80"/>
      <c r="B65" s="80"/>
      <c r="C65" s="71"/>
      <c r="D65" s="338"/>
      <c r="E65" s="362"/>
      <c r="F65" s="237"/>
      <c r="G65" s="25"/>
      <c r="H65" s="143"/>
      <c r="I65" s="345"/>
      <c r="J65" s="141"/>
    </row>
    <row r="66" spans="1:12" ht="19.5" thickBot="1">
      <c r="A66" s="80"/>
      <c r="B66" s="80"/>
      <c r="C66" s="145"/>
      <c r="D66" s="339"/>
      <c r="E66" s="363"/>
      <c r="F66" s="318"/>
      <c r="G66" s="42"/>
      <c r="H66" s="158"/>
      <c r="I66" s="158"/>
      <c r="J66" s="44"/>
      <c r="K66" s="5"/>
    </row>
    <row r="67" spans="1:12">
      <c r="A67" s="100"/>
      <c r="B67" s="426"/>
      <c r="C67" s="71"/>
      <c r="D67" s="432"/>
      <c r="E67" s="22"/>
      <c r="F67" s="237"/>
      <c r="G67" s="22"/>
      <c r="H67" s="143"/>
      <c r="I67" s="345"/>
      <c r="J67" s="19"/>
      <c r="K67" s="5"/>
    </row>
    <row r="68" spans="1:12" s="4" customFormat="1">
      <c r="A68" s="82"/>
      <c r="B68" s="416"/>
      <c r="C68" s="71"/>
      <c r="D68" s="338"/>
      <c r="E68" s="360"/>
      <c r="F68" s="319"/>
      <c r="G68" s="22"/>
      <c r="H68" s="143"/>
      <c r="I68" s="345"/>
      <c r="J68" s="24"/>
      <c r="K68" s="5"/>
    </row>
    <row r="69" spans="1:12">
      <c r="A69" s="82"/>
      <c r="B69" s="416"/>
      <c r="C69" s="71"/>
      <c r="D69" s="338"/>
      <c r="E69" s="362"/>
      <c r="F69" s="237"/>
      <c r="G69" s="25"/>
      <c r="H69" s="345"/>
      <c r="I69" s="141"/>
      <c r="J69" s="38"/>
      <c r="K69" s="75"/>
    </row>
    <row r="70" spans="1:12">
      <c r="A70" s="82"/>
      <c r="B70" s="416"/>
      <c r="C70" s="71"/>
      <c r="D70" s="338"/>
      <c r="E70" s="360"/>
      <c r="F70" s="237"/>
      <c r="G70" s="22"/>
      <c r="H70" s="143"/>
      <c r="I70" s="141"/>
      <c r="J70" s="24"/>
      <c r="K70" s="75"/>
    </row>
    <row r="71" spans="1:12" s="6" customFormat="1">
      <c r="A71" s="82"/>
      <c r="B71" s="416"/>
      <c r="C71" s="71"/>
      <c r="D71" s="338"/>
      <c r="E71" s="364"/>
      <c r="F71" s="237"/>
      <c r="G71" s="22"/>
      <c r="H71" s="143"/>
      <c r="I71" s="141"/>
      <c r="J71" s="24"/>
      <c r="K71" s="75"/>
    </row>
    <row r="72" spans="1:12" s="6" customFormat="1">
      <c r="A72" s="82"/>
      <c r="B72" s="416"/>
      <c r="C72" s="71"/>
      <c r="D72" s="338"/>
      <c r="E72" s="364"/>
      <c r="F72" s="237"/>
      <c r="G72" s="28"/>
      <c r="H72" s="346"/>
      <c r="I72" s="345"/>
      <c r="J72" s="30"/>
      <c r="K72"/>
    </row>
    <row r="73" spans="1:12">
      <c r="A73" s="82"/>
      <c r="B73" s="416"/>
      <c r="C73" s="71"/>
      <c r="D73" s="338"/>
      <c r="E73" s="360"/>
      <c r="F73" s="237"/>
      <c r="G73" s="22"/>
      <c r="H73" s="143"/>
      <c r="I73" s="345"/>
      <c r="J73" s="24"/>
      <c r="K73" s="5"/>
    </row>
    <row r="74" spans="1:12" s="3" customFormat="1">
      <c r="A74" s="82"/>
      <c r="B74" s="416"/>
      <c r="C74" s="77"/>
      <c r="D74" s="338"/>
      <c r="E74" s="362"/>
      <c r="F74" s="237"/>
      <c r="G74" s="32"/>
      <c r="H74" s="345"/>
      <c r="I74" s="345"/>
      <c r="J74" s="352"/>
      <c r="K74" s="4"/>
    </row>
    <row r="75" spans="1:12" s="3" customFormat="1">
      <c r="A75" s="82"/>
      <c r="B75" s="416"/>
      <c r="C75" s="77"/>
      <c r="D75" s="338"/>
      <c r="E75" s="362"/>
      <c r="F75" s="237"/>
      <c r="G75" s="32"/>
      <c r="H75" s="345"/>
      <c r="I75" s="345"/>
      <c r="J75" s="352"/>
      <c r="K75" s="4"/>
    </row>
    <row r="76" spans="1:12" s="4" customFormat="1">
      <c r="A76" s="82"/>
      <c r="B76" s="416"/>
      <c r="C76" s="74"/>
      <c r="D76" s="338"/>
      <c r="E76" s="362"/>
      <c r="F76" s="237"/>
      <c r="G76" s="25"/>
      <c r="H76" s="345"/>
      <c r="I76" s="345"/>
      <c r="J76" s="38"/>
      <c r="K76" s="5"/>
      <c r="L76" s="3"/>
    </row>
    <row r="77" spans="1:12">
      <c r="A77" s="82"/>
      <c r="B77" s="416"/>
      <c r="C77" s="74"/>
      <c r="D77" s="338"/>
      <c r="E77" s="362"/>
      <c r="F77" s="237"/>
      <c r="G77" s="25"/>
      <c r="H77" s="345"/>
      <c r="I77" s="345"/>
      <c r="J77" s="38"/>
      <c r="K77" s="5"/>
    </row>
    <row r="78" spans="1:12">
      <c r="A78" s="82"/>
      <c r="B78" s="416"/>
      <c r="C78" s="77"/>
      <c r="D78" s="338"/>
      <c r="E78" s="362"/>
      <c r="F78" s="237"/>
      <c r="G78" s="25"/>
      <c r="H78" s="345"/>
      <c r="I78" s="345"/>
      <c r="J78" s="38"/>
      <c r="K78" s="5"/>
    </row>
    <row r="79" spans="1:12">
      <c r="A79" s="82"/>
      <c r="B79" s="416"/>
      <c r="C79" s="77"/>
      <c r="D79" s="338"/>
      <c r="E79" s="362"/>
      <c r="F79" s="237"/>
      <c r="G79" s="25"/>
      <c r="H79" s="345"/>
      <c r="I79" s="345"/>
      <c r="J79" s="38"/>
      <c r="K79" s="5"/>
    </row>
    <row r="80" spans="1:12">
      <c r="A80" s="80"/>
      <c r="B80" s="80"/>
      <c r="C80" s="77"/>
      <c r="D80" s="338"/>
      <c r="E80" s="362"/>
      <c r="F80" s="237"/>
      <c r="G80" s="25"/>
      <c r="H80" s="345"/>
      <c r="I80" s="345"/>
      <c r="J80" s="38"/>
      <c r="K80" s="5"/>
    </row>
    <row r="81" spans="1:11">
      <c r="A81" s="80"/>
      <c r="B81" s="80"/>
      <c r="C81" s="77"/>
      <c r="D81" s="338"/>
      <c r="E81" s="362"/>
      <c r="F81" s="237"/>
      <c r="G81" s="25"/>
      <c r="H81" s="345"/>
      <c r="I81" s="345"/>
      <c r="J81" s="38"/>
      <c r="K81" s="5"/>
    </row>
    <row r="82" spans="1:11">
      <c r="A82" s="80"/>
      <c r="B82" s="80"/>
      <c r="C82" s="77"/>
      <c r="D82" s="338"/>
      <c r="E82" s="362"/>
      <c r="F82" s="237"/>
      <c r="G82" s="25"/>
      <c r="H82" s="345"/>
      <c r="I82" s="345"/>
      <c r="J82" s="38"/>
      <c r="K82" s="5"/>
    </row>
    <row r="83" spans="1:11">
      <c r="A83" s="80"/>
      <c r="B83" s="80"/>
      <c r="C83" s="77"/>
      <c r="D83" s="338"/>
      <c r="E83" s="362"/>
      <c r="F83" s="237"/>
      <c r="G83" s="25"/>
      <c r="H83" s="345"/>
      <c r="I83" s="345"/>
      <c r="J83" s="38"/>
      <c r="K83" s="5"/>
    </row>
    <row r="84" spans="1:11">
      <c r="A84" s="80"/>
      <c r="B84" s="80"/>
      <c r="C84" s="77"/>
      <c r="D84" s="338"/>
      <c r="E84" s="362"/>
      <c r="F84" s="237"/>
      <c r="G84" s="25"/>
      <c r="H84" s="345"/>
      <c r="I84" s="345"/>
      <c r="J84" s="38"/>
      <c r="K84" s="5"/>
    </row>
    <row r="85" spans="1:11">
      <c r="A85" s="80"/>
      <c r="B85" s="80"/>
      <c r="C85" s="77"/>
      <c r="D85" s="338"/>
      <c r="E85" s="362"/>
      <c r="F85" s="237"/>
      <c r="G85" s="25"/>
      <c r="H85" s="345"/>
      <c r="I85" s="345"/>
      <c r="J85" s="38"/>
      <c r="K85" s="5"/>
    </row>
    <row r="86" spans="1:11">
      <c r="A86" s="80"/>
      <c r="B86" s="80"/>
      <c r="C86" s="77"/>
      <c r="D86" s="338"/>
      <c r="E86" s="362"/>
      <c r="F86" s="237"/>
      <c r="G86" s="25"/>
      <c r="H86" s="345"/>
      <c r="I86" s="345"/>
      <c r="J86" s="38"/>
      <c r="K86" s="5"/>
    </row>
    <row r="87" spans="1:11">
      <c r="A87" s="80"/>
      <c r="B87" s="80"/>
      <c r="C87" s="77"/>
      <c r="D87" s="338"/>
      <c r="E87" s="362"/>
      <c r="F87" s="237"/>
      <c r="G87" s="25"/>
      <c r="H87" s="345"/>
      <c r="I87" s="345"/>
      <c r="J87" s="38"/>
      <c r="K87" s="5"/>
    </row>
    <row r="88" spans="1:11">
      <c r="A88" s="80"/>
      <c r="B88" s="80"/>
      <c r="C88" s="77"/>
      <c r="D88" s="338"/>
      <c r="E88" s="362"/>
      <c r="F88" s="237"/>
      <c r="G88" s="25"/>
      <c r="H88" s="345"/>
      <c r="I88" s="345"/>
      <c r="J88" s="38"/>
      <c r="K88" s="5"/>
    </row>
    <row r="89" spans="1:11" ht="19.5" thickBot="1">
      <c r="A89" s="103"/>
      <c r="B89" s="469"/>
      <c r="C89" s="172"/>
      <c r="D89" s="339"/>
      <c r="E89" s="365"/>
      <c r="F89" s="318"/>
      <c r="G89" s="166"/>
      <c r="H89" s="347"/>
      <c r="I89" s="347"/>
      <c r="J89" s="169"/>
      <c r="K89" s="5"/>
    </row>
    <row r="90" spans="1:11" ht="19.5" thickBot="1">
      <c r="A90" s="189"/>
      <c r="B90" s="189"/>
      <c r="C90" s="431"/>
      <c r="D90" s="729"/>
      <c r="E90" s="489"/>
      <c r="F90" s="730"/>
      <c r="G90" s="731"/>
      <c r="H90" s="732"/>
      <c r="I90" s="732"/>
      <c r="J90" s="733"/>
      <c r="K90" s="5"/>
    </row>
    <row r="91" spans="1:11" ht="19.5" thickBot="1">
      <c r="A91" s="83"/>
      <c r="B91" s="190"/>
      <c r="C91" s="173"/>
      <c r="D91" s="342"/>
      <c r="E91" s="367"/>
      <c r="F91" s="321"/>
      <c r="G91" s="119"/>
      <c r="H91" s="349"/>
      <c r="I91" s="354"/>
      <c r="J91" s="120"/>
      <c r="K91" s="5"/>
    </row>
    <row r="92" spans="1:11">
      <c r="A92" s="83"/>
      <c r="B92" s="83"/>
      <c r="C92" s="109"/>
      <c r="D92" s="343"/>
      <c r="E92" s="368"/>
      <c r="F92" s="322"/>
      <c r="G92" s="110"/>
      <c r="H92" s="350"/>
      <c r="I92" s="329"/>
      <c r="J92" s="115"/>
      <c r="K92" s="5"/>
    </row>
    <row r="93" spans="1:11">
      <c r="A93" s="83"/>
      <c r="B93" s="83"/>
      <c r="C93" s="109"/>
      <c r="D93" s="343"/>
      <c r="E93" s="368"/>
      <c r="F93" s="322"/>
      <c r="G93" s="110"/>
      <c r="H93" s="350"/>
      <c r="I93" s="329"/>
      <c r="J93" s="115"/>
      <c r="K93" s="5"/>
    </row>
    <row r="94" spans="1:11">
      <c r="A94" s="83"/>
      <c r="B94" s="83"/>
      <c r="C94" s="109"/>
      <c r="D94" s="343"/>
      <c r="E94" s="368"/>
      <c r="F94" s="322"/>
      <c r="G94" s="110"/>
      <c r="H94" s="350"/>
      <c r="I94" s="329"/>
      <c r="J94" s="115"/>
      <c r="K94" s="5"/>
    </row>
    <row r="95" spans="1:11" s="67" customFormat="1" ht="19.5" thickBot="1">
      <c r="A95" s="83"/>
      <c r="B95" s="83"/>
      <c r="C95" s="104"/>
      <c r="D95" s="339"/>
      <c r="E95" s="363"/>
      <c r="F95" s="318"/>
      <c r="G95" s="42"/>
      <c r="H95" s="351"/>
      <c r="I95" s="355"/>
      <c r="J95" s="24"/>
    </row>
    <row r="96" spans="1:11" s="63" customFormat="1">
      <c r="A96" s="83"/>
      <c r="B96" s="83"/>
      <c r="C96" s="64"/>
      <c r="D96" s="344"/>
      <c r="E96" s="369"/>
      <c r="F96" s="323"/>
      <c r="G96" s="478"/>
      <c r="H96" s="129"/>
      <c r="I96" s="139"/>
      <c r="J96" s="68"/>
    </row>
    <row r="97" spans="1:10" s="63" customFormat="1">
      <c r="A97" s="83"/>
      <c r="B97" s="83"/>
      <c r="C97" s="64"/>
      <c r="D97" s="344"/>
      <c r="E97" s="369"/>
      <c r="F97" s="323"/>
      <c r="G97" s="478"/>
      <c r="H97" s="129"/>
      <c r="I97" s="129"/>
      <c r="J97" s="66"/>
    </row>
    <row r="98" spans="1:10" s="63" customFormat="1">
      <c r="A98" s="83"/>
      <c r="B98" s="83"/>
      <c r="C98" s="64"/>
      <c r="D98" s="344"/>
      <c r="E98" s="369"/>
      <c r="F98" s="323"/>
      <c r="G98" s="478"/>
      <c r="H98" s="129"/>
      <c r="I98" s="129"/>
      <c r="J98" s="66"/>
    </row>
    <row r="99" spans="1:10" s="63" customFormat="1">
      <c r="A99" s="83"/>
      <c r="B99" s="83"/>
      <c r="C99" s="64"/>
      <c r="D99" s="344"/>
      <c r="E99" s="369"/>
      <c r="F99" s="323"/>
      <c r="G99" s="478"/>
      <c r="H99" s="129"/>
      <c r="I99" s="129"/>
      <c r="J99" s="66"/>
    </row>
    <row r="100" spans="1:10">
      <c r="C100" s="64"/>
      <c r="D100" s="344"/>
      <c r="E100" s="369"/>
      <c r="F100" s="323"/>
      <c r="G100" s="478"/>
      <c r="H100" s="129"/>
      <c r="I100" s="129"/>
      <c r="J100" s="66"/>
    </row>
  </sheetData>
  <dataValidations count="5">
    <dataValidation type="list" allowBlank="1" showInputMessage="1" showErrorMessage="1" prompt="Liste choix" sqref="C100">
      <formula1>"REEBOU FAMILY,MOBILE 2016,PACK REEBOU FAMILY,MEDICIS,HORIZONT INVEST,RC ENSEIGNANT"</formula1>
    </dataValidation>
    <dataValidation type="list" allowBlank="1" showInputMessage="1" showErrorMessage="1" prompt="Liste choix" sqref="D52:D79 D44:D50">
      <formula1>"MOBILE2016,MOBILE Regio,REEBOU Family,REEBOUImmo,REEBOU Pack,REEBOU Pro,REEBOU Invest,LOGGIA,MEDICIS,RC,RC ENSEIGNANT,ZENITH60 Op100,ZENITH60 Op25,HORIZONT60Invest,HORIZONT60Protect,HORIZONT60Capi,HELIOS100Protect,HELIOS100Invest,FOCUS,NOVA,BSH"</formula1>
    </dataValidation>
    <dataValidation type="list" allowBlank="1" showInputMessage="1" showErrorMessage="1" prompt="Liste choix" sqref="D80:D89">
      <formula1>"MOBILE2016,MOBILE Regio,REEBOU Family,REEBOUImmo,REEBOU Pack,REEBOU Pro,REEBOU Invest,LOGGIA,MEDICIS,RC,RC ENSEIGNT,ZENITH60 Op100,ZENITH60 Op25,HORIZONT60Inv,HORIZONT60Prot,HORIZONT60Capi,HELIOS100Prot,HELIOS100Inv,FOCUS,NOVA,BSH,EA,TSRD"</formula1>
    </dataValidation>
    <dataValidation type="list" allowBlank="1" showInputMessage="1" showErrorMessage="1" prompt="Liste choix" sqref="D51">
      <formula1>"MOBILE2016,MOBILE Regio,REEBOU Family,REEBOUImmo,REEBOU Pack,REEBOU Pro,REEBOU Invest,LOGGIA,MEDICIS,RC,RC ENSEIGNANT,ZENITH60 Op100,ZENITH60 Op25,HORIZONT60Invest,HORIZONT60Protect,HORIZONT60Capi,HELIOS100Protect,HELIOS100Invest,FOCUS,NOVA,BSH,MOBILE CR"</formula1>
    </dataValidation>
    <dataValidation type="list" allowBlank="1" showInputMessage="1" showErrorMessage="1" prompt="CHOIX PRODUIT" sqref="D10:D29">
      <formula1>"MOBILE2016,MOBILE Regio,REEBOU Family,REEBOU Pack,REEBOU Pro,REEBOU Invest,LOGGIA,MEDICIS,RC,RC ENSEIGNANT,ZENITH60 Op100,ZENITH60 Op25,HORIZONT60Invest,HORIZONT60Protect,HORIZONT60Capi,HELIOS100Protect,HELIOS100Invest,FOCUS,NOVA,SCHWABISCHHALL"</formula1>
    </dataValidation>
  </dataValidations>
  <printOptions horizontalCentered="1" verticalCentered="1" gridLines="1"/>
  <pageMargins left="0.23622047244094491" right="0.23622047244094491" top="0.15748031496062992" bottom="0.19685039370078741" header="0.31496062992125984" footer="0.11811023622047245"/>
  <pageSetup paperSize="9" scale="85" orientation="landscape" r:id="rId1"/>
  <headerFooter>
    <oddHeader xml:space="preserve">&amp;C&amp;"-,Gras"&amp;14COMMISSION JEFF DERAPPE 1erTRIMESTRE 2018
</oddHeader>
    <oddFooter xml:space="preserve">&amp;L&amp;8&amp;Z&amp;F&amp;C&amp;7&amp;P/&amp;N&amp;RModfié le &amp;D </oddFooter>
  </headerFooter>
  <rowBreaks count="2" manualBreakCount="2">
    <brk id="46" max="9" man="1"/>
    <brk id="66" max="9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FF0000"/>
  </sheetPr>
  <dimension ref="A1:M104"/>
  <sheetViews>
    <sheetView zoomScaleNormal="100" workbookViewId="0">
      <selection activeCell="J36" sqref="J36"/>
    </sheetView>
    <sheetView workbookViewId="1"/>
    <sheetView workbookViewId="2"/>
  </sheetViews>
  <sheetFormatPr baseColWidth="10" defaultRowHeight="18.75"/>
  <cols>
    <col min="1" max="1" width="12.5703125" style="78" customWidth="1"/>
    <col min="2" max="2" width="17.42578125" style="78" customWidth="1"/>
    <col min="3" max="3" width="30.42578125" style="7" customWidth="1"/>
    <col min="4" max="4" width="21.7109375" style="336" customWidth="1"/>
    <col min="5" max="5" width="24.7109375" style="357" hidden="1" customWidth="1"/>
    <col min="6" max="6" width="3.7109375" style="212" hidden="1" customWidth="1"/>
    <col min="7" max="7" width="10.140625" style="1" hidden="1" customWidth="1"/>
    <col min="8" max="8" width="13.28515625" style="1" hidden="1" customWidth="1"/>
    <col min="9" max="9" width="13.140625" style="130" customWidth="1"/>
    <col min="10" max="10" width="12.42578125" style="127" customWidth="1"/>
    <col min="11" max="11" width="12.140625" style="2" customWidth="1"/>
    <col min="12" max="12" width="17.7109375" style="396" customWidth="1"/>
    <col min="13" max="14" width="9.28515625" customWidth="1"/>
  </cols>
  <sheetData>
    <row r="1" spans="1:12" ht="30">
      <c r="A1" s="470" t="s">
        <v>561</v>
      </c>
      <c r="C1" s="20" t="s">
        <v>189</v>
      </c>
      <c r="D1" s="338">
        <v>3</v>
      </c>
      <c r="E1" s="7"/>
      <c r="G1" s="1" t="s">
        <v>521</v>
      </c>
      <c r="H1" s="210"/>
      <c r="I1" s="1" t="s">
        <v>208</v>
      </c>
      <c r="K1" s="10">
        <v>183</v>
      </c>
    </row>
    <row r="2" spans="1:12">
      <c r="C2" s="20" t="s">
        <v>467</v>
      </c>
      <c r="D2" s="338"/>
      <c r="E2" s="357" t="s">
        <v>523</v>
      </c>
      <c r="G2" s="1">
        <f>7*8</f>
        <v>56</v>
      </c>
      <c r="H2" s="11"/>
      <c r="I2" s="357" t="s">
        <v>471</v>
      </c>
      <c r="J2" s="126"/>
      <c r="K2" s="10">
        <f>56*7.66</f>
        <v>428.96000000000004</v>
      </c>
    </row>
    <row r="3" spans="1:12">
      <c r="C3" s="20" t="s">
        <v>70</v>
      </c>
      <c r="D3" s="338" t="s">
        <v>230</v>
      </c>
      <c r="G3" s="11"/>
      <c r="H3" s="11"/>
      <c r="I3" s="126"/>
      <c r="J3" s="126"/>
      <c r="K3" s="10">
        <v>2400</v>
      </c>
    </row>
    <row r="4" spans="1:12">
      <c r="C4" s="20" t="s">
        <v>70</v>
      </c>
      <c r="D4" s="338" t="s">
        <v>231</v>
      </c>
      <c r="G4" s="11"/>
      <c r="H4" s="11"/>
      <c r="I4" s="126"/>
      <c r="J4" s="126"/>
      <c r="K4" s="10">
        <v>2400</v>
      </c>
    </row>
    <row r="5" spans="1:12">
      <c r="C5" s="20" t="s">
        <v>70</v>
      </c>
      <c r="D5" s="338" t="s">
        <v>232</v>
      </c>
      <c r="G5" s="11"/>
      <c r="H5" s="11"/>
      <c r="I5" s="126"/>
      <c r="J5" s="126"/>
      <c r="K5" s="10">
        <v>2400</v>
      </c>
    </row>
    <row r="6" spans="1:12">
      <c r="C6" s="20" t="s">
        <v>465</v>
      </c>
      <c r="D6" s="385" t="s">
        <v>522</v>
      </c>
      <c r="E6" s="7"/>
      <c r="G6" s="11"/>
      <c r="H6" s="11"/>
      <c r="I6" s="126"/>
      <c r="J6" s="126"/>
      <c r="K6" s="10"/>
    </row>
    <row r="7" spans="1:12">
      <c r="C7" s="20" t="s">
        <v>225</v>
      </c>
      <c r="D7" s="338"/>
      <c r="G7" s="11"/>
      <c r="H7" s="11"/>
      <c r="I7" s="126"/>
      <c r="J7" s="126"/>
      <c r="K7" s="117">
        <f>SUM(K1:K5)</f>
        <v>7811.96</v>
      </c>
    </row>
    <row r="8" spans="1:12" ht="19.5" thickBot="1">
      <c r="L8" s="397"/>
    </row>
    <row r="9" spans="1:12" ht="30">
      <c r="A9" s="314" t="s">
        <v>411</v>
      </c>
      <c r="B9" s="314" t="s">
        <v>412</v>
      </c>
      <c r="C9" s="315" t="s">
        <v>0</v>
      </c>
      <c r="D9" s="337" t="s">
        <v>50</v>
      </c>
      <c r="E9" s="358" t="s">
        <v>410</v>
      </c>
      <c r="F9" s="316" t="s">
        <v>423</v>
      </c>
      <c r="G9" s="16" t="s">
        <v>53</v>
      </c>
      <c r="H9" s="17" t="s">
        <v>424</v>
      </c>
      <c r="I9" s="184" t="s">
        <v>74</v>
      </c>
      <c r="J9" s="135" t="s">
        <v>1</v>
      </c>
      <c r="K9" s="19" t="s">
        <v>92</v>
      </c>
      <c r="L9" s="457">
        <v>0.5</v>
      </c>
    </row>
    <row r="10" spans="1:12" hidden="1">
      <c r="A10" s="81"/>
      <c r="B10" s="81" t="s">
        <v>426</v>
      </c>
      <c r="C10" s="326" t="s">
        <v>434</v>
      </c>
      <c r="D10" s="334" t="s">
        <v>435</v>
      </c>
      <c r="E10" s="359" t="s">
        <v>425</v>
      </c>
      <c r="F10" s="327"/>
      <c r="G10" s="22"/>
      <c r="H10" s="22"/>
      <c r="I10" s="140">
        <v>100</v>
      </c>
      <c r="J10" s="143"/>
      <c r="K10" s="330">
        <f>J10</f>
        <v>0</v>
      </c>
    </row>
    <row r="11" spans="1:12" hidden="1">
      <c r="A11" s="81"/>
      <c r="B11" s="81" t="s">
        <v>426</v>
      </c>
      <c r="C11" s="326" t="s">
        <v>434</v>
      </c>
      <c r="D11" s="334" t="s">
        <v>441</v>
      </c>
      <c r="E11" s="359" t="s">
        <v>425</v>
      </c>
      <c r="F11" s="327"/>
      <c r="G11" s="22"/>
      <c r="H11" s="22"/>
      <c r="I11" s="140">
        <v>100</v>
      </c>
      <c r="J11" s="143"/>
      <c r="K11" s="330">
        <f t="shared" ref="K11:K30" si="0">J11</f>
        <v>0</v>
      </c>
    </row>
    <row r="12" spans="1:12" hidden="1">
      <c r="A12" s="81"/>
      <c r="B12" s="81" t="s">
        <v>426</v>
      </c>
      <c r="C12" s="326" t="s">
        <v>434</v>
      </c>
      <c r="D12" s="334" t="s">
        <v>436</v>
      </c>
      <c r="E12" s="359" t="s">
        <v>425</v>
      </c>
      <c r="F12" s="327"/>
      <c r="G12" s="22"/>
      <c r="H12" s="22"/>
      <c r="I12" s="140">
        <v>100</v>
      </c>
      <c r="J12" s="143">
        <f>I12*0.12</f>
        <v>12</v>
      </c>
      <c r="K12" s="330">
        <f t="shared" si="0"/>
        <v>12</v>
      </c>
    </row>
    <row r="13" spans="1:12" hidden="1">
      <c r="A13" s="81"/>
      <c r="B13" s="81" t="s">
        <v>426</v>
      </c>
      <c r="C13" s="326" t="s">
        <v>426</v>
      </c>
      <c r="D13" s="334" t="s">
        <v>437</v>
      </c>
      <c r="E13" s="359" t="s">
        <v>425</v>
      </c>
      <c r="F13" s="327"/>
      <c r="G13" s="22"/>
      <c r="H13" s="22"/>
      <c r="I13" s="140">
        <v>100</v>
      </c>
      <c r="J13" s="143">
        <f>I13*0.15</f>
        <v>15</v>
      </c>
      <c r="K13" s="330">
        <f t="shared" si="0"/>
        <v>15</v>
      </c>
    </row>
    <row r="14" spans="1:12" hidden="1">
      <c r="A14" s="81"/>
      <c r="B14" s="81" t="s">
        <v>426</v>
      </c>
      <c r="C14" s="326" t="s">
        <v>426</v>
      </c>
      <c r="D14" s="334" t="s">
        <v>438</v>
      </c>
      <c r="E14" s="359" t="s">
        <v>425</v>
      </c>
      <c r="F14" s="327"/>
      <c r="G14" s="22"/>
      <c r="H14" s="22"/>
      <c r="I14" s="140">
        <v>100</v>
      </c>
      <c r="J14" s="143">
        <f>I14*0.12</f>
        <v>12</v>
      </c>
      <c r="K14" s="330">
        <f t="shared" si="0"/>
        <v>12</v>
      </c>
    </row>
    <row r="15" spans="1:12" hidden="1">
      <c r="A15" s="81"/>
      <c r="B15" s="81" t="s">
        <v>426</v>
      </c>
      <c r="C15" s="326" t="s">
        <v>426</v>
      </c>
      <c r="D15" s="334" t="s">
        <v>439</v>
      </c>
      <c r="E15" s="359" t="s">
        <v>425</v>
      </c>
      <c r="F15" s="327"/>
      <c r="G15" s="22"/>
      <c r="H15" s="22"/>
      <c r="I15" s="140">
        <v>100</v>
      </c>
      <c r="J15" s="143">
        <f>I15*0.12</f>
        <v>12</v>
      </c>
      <c r="K15" s="330">
        <f t="shared" si="0"/>
        <v>12</v>
      </c>
    </row>
    <row r="16" spans="1:12" hidden="1">
      <c r="A16" s="81"/>
      <c r="B16" s="81" t="s">
        <v>426</v>
      </c>
      <c r="C16" s="326" t="s">
        <v>426</v>
      </c>
      <c r="D16" s="334" t="s">
        <v>183</v>
      </c>
      <c r="E16" s="359" t="s">
        <v>425</v>
      </c>
      <c r="F16" s="327"/>
      <c r="G16" s="22"/>
      <c r="H16" s="22"/>
      <c r="I16" s="140">
        <v>100</v>
      </c>
      <c r="J16" s="143">
        <f>I16*0.12</f>
        <v>12</v>
      </c>
      <c r="K16" s="330">
        <f t="shared" si="0"/>
        <v>12</v>
      </c>
    </row>
    <row r="17" spans="1:11" hidden="1">
      <c r="A17" s="81"/>
      <c r="B17" s="81" t="s">
        <v>426</v>
      </c>
      <c r="C17" s="326" t="s">
        <v>426</v>
      </c>
      <c r="D17" s="334" t="s">
        <v>306</v>
      </c>
      <c r="E17" s="359" t="s">
        <v>425</v>
      </c>
      <c r="F17" s="327"/>
      <c r="G17" s="114"/>
      <c r="H17" s="114"/>
      <c r="I17" s="140">
        <v>100</v>
      </c>
      <c r="J17" s="329">
        <f>((I17/12)*3.5)*0.6</f>
        <v>17.5</v>
      </c>
      <c r="K17" s="330">
        <f t="shared" si="0"/>
        <v>17.5</v>
      </c>
    </row>
    <row r="18" spans="1:11" hidden="1">
      <c r="A18" s="81"/>
      <c r="B18" s="81" t="s">
        <v>426</v>
      </c>
      <c r="C18" s="326" t="s">
        <v>426</v>
      </c>
      <c r="D18" s="334" t="s">
        <v>440</v>
      </c>
      <c r="E18" s="359" t="s">
        <v>425</v>
      </c>
      <c r="F18" s="327"/>
      <c r="G18" s="114"/>
      <c r="H18" s="114"/>
      <c r="I18" s="140">
        <v>100</v>
      </c>
      <c r="J18" s="143">
        <f>I18*0.12</f>
        <v>12</v>
      </c>
      <c r="K18" s="330">
        <f t="shared" si="0"/>
        <v>12</v>
      </c>
    </row>
    <row r="19" spans="1:11" hidden="1">
      <c r="A19" s="81"/>
      <c r="B19" s="81" t="s">
        <v>426</v>
      </c>
      <c r="C19" s="326" t="s">
        <v>426</v>
      </c>
      <c r="D19" s="334" t="s">
        <v>414</v>
      </c>
      <c r="E19" s="359" t="s">
        <v>425</v>
      </c>
      <c r="F19" s="327"/>
      <c r="G19" s="114"/>
      <c r="H19" s="114"/>
      <c r="I19" s="140">
        <v>100</v>
      </c>
      <c r="J19" s="143">
        <f>I19*0.12</f>
        <v>12</v>
      </c>
      <c r="K19" s="330">
        <f t="shared" si="0"/>
        <v>12</v>
      </c>
    </row>
    <row r="20" spans="1:11" hidden="1">
      <c r="A20" s="81"/>
      <c r="B20" s="81" t="s">
        <v>426</v>
      </c>
      <c r="C20" s="326" t="s">
        <v>426</v>
      </c>
      <c r="D20" s="334" t="s">
        <v>428</v>
      </c>
      <c r="E20" s="359" t="s">
        <v>425</v>
      </c>
      <c r="F20" s="327"/>
      <c r="G20" s="114">
        <v>2050</v>
      </c>
      <c r="H20" s="114" t="e">
        <f>G20-A1</f>
        <v>#VALUE!</v>
      </c>
      <c r="I20" s="328">
        <v>1000</v>
      </c>
      <c r="J20" s="329" t="e">
        <f>(I20*H20*0.027)*0.6</f>
        <v>#VALUE!</v>
      </c>
      <c r="K20" s="330" t="e">
        <f t="shared" si="0"/>
        <v>#VALUE!</v>
      </c>
    </row>
    <row r="21" spans="1:11" hidden="1">
      <c r="A21" s="81"/>
      <c r="B21" s="81" t="s">
        <v>426</v>
      </c>
      <c r="C21" s="326" t="s">
        <v>426</v>
      </c>
      <c r="D21" s="334" t="s">
        <v>442</v>
      </c>
      <c r="E21" s="359" t="s">
        <v>425</v>
      </c>
      <c r="F21" s="327"/>
      <c r="G21" s="114">
        <v>2050</v>
      </c>
      <c r="H21" s="114" t="e">
        <f>G21-A1</f>
        <v>#VALUE!</v>
      </c>
      <c r="I21" s="328">
        <v>1000</v>
      </c>
      <c r="J21" s="329" t="e">
        <f>(I21*H21*0.018)*0.6</f>
        <v>#VALUE!</v>
      </c>
      <c r="K21" s="330" t="e">
        <f t="shared" si="0"/>
        <v>#VALUE!</v>
      </c>
    </row>
    <row r="22" spans="1:11" hidden="1">
      <c r="A22" s="81"/>
      <c r="B22" s="81" t="s">
        <v>426</v>
      </c>
      <c r="C22" s="326" t="s">
        <v>426</v>
      </c>
      <c r="D22" s="334" t="s">
        <v>427</v>
      </c>
      <c r="E22" s="359" t="s">
        <v>425</v>
      </c>
      <c r="F22" s="327"/>
      <c r="G22" s="114">
        <v>2050</v>
      </c>
      <c r="H22" s="114" t="e">
        <f>G22-A1</f>
        <v>#VALUE!</v>
      </c>
      <c r="I22" s="328">
        <v>1000</v>
      </c>
      <c r="J22" s="329" t="e">
        <f>(I22*H22*0.02)*0.6</f>
        <v>#VALUE!</v>
      </c>
      <c r="K22" s="330" t="e">
        <f t="shared" si="0"/>
        <v>#VALUE!</v>
      </c>
    </row>
    <row r="23" spans="1:11" hidden="1">
      <c r="A23" s="81"/>
      <c r="B23" s="81" t="s">
        <v>426</v>
      </c>
      <c r="C23" s="326" t="s">
        <v>426</v>
      </c>
      <c r="D23" s="334" t="s">
        <v>430</v>
      </c>
      <c r="E23" s="359" t="s">
        <v>425</v>
      </c>
      <c r="F23" s="327"/>
      <c r="G23" s="114">
        <v>2050</v>
      </c>
      <c r="H23" s="114" t="e">
        <f>G23-A1</f>
        <v>#VALUE!</v>
      </c>
      <c r="I23" s="328">
        <v>1000</v>
      </c>
      <c r="J23" s="329" t="e">
        <f t="shared" ref="J23:J24" si="1">(I23*H23*0.02)*0.6</f>
        <v>#VALUE!</v>
      </c>
      <c r="K23" s="330" t="e">
        <f t="shared" si="0"/>
        <v>#VALUE!</v>
      </c>
    </row>
    <row r="24" spans="1:11" hidden="1">
      <c r="A24" s="81"/>
      <c r="B24" s="81" t="s">
        <v>426</v>
      </c>
      <c r="C24" s="326" t="s">
        <v>426</v>
      </c>
      <c r="D24" s="334" t="s">
        <v>429</v>
      </c>
      <c r="E24" s="359" t="s">
        <v>425</v>
      </c>
      <c r="F24" s="327"/>
      <c r="G24" s="114">
        <v>2050</v>
      </c>
      <c r="H24" s="114" t="e">
        <f>G24-A1</f>
        <v>#VALUE!</v>
      </c>
      <c r="I24" s="328">
        <v>1000</v>
      </c>
      <c r="J24" s="329" t="e">
        <f t="shared" si="1"/>
        <v>#VALUE!</v>
      </c>
      <c r="K24" s="330" t="e">
        <f t="shared" si="0"/>
        <v>#VALUE!</v>
      </c>
    </row>
    <row r="25" spans="1:11" hidden="1">
      <c r="A25" s="81"/>
      <c r="B25" s="81" t="s">
        <v>426</v>
      </c>
      <c r="C25" s="326" t="s">
        <v>426</v>
      </c>
      <c r="D25" s="334" t="s">
        <v>431</v>
      </c>
      <c r="E25" s="359" t="s">
        <v>425</v>
      </c>
      <c r="F25" s="327"/>
      <c r="G25" s="114">
        <v>2050</v>
      </c>
      <c r="H25" s="114" t="e">
        <f>G25-A1</f>
        <v>#VALUE!</v>
      </c>
      <c r="I25" s="328">
        <v>1000</v>
      </c>
      <c r="J25" s="329" t="e">
        <f>(I25*H25*0.027)*0.6</f>
        <v>#VALUE!</v>
      </c>
      <c r="K25" s="330" t="e">
        <f t="shared" si="0"/>
        <v>#VALUE!</v>
      </c>
    </row>
    <row r="26" spans="1:11" hidden="1">
      <c r="A26" s="81"/>
      <c r="B26" s="81" t="s">
        <v>426</v>
      </c>
      <c r="C26" s="326" t="s">
        <v>426</v>
      </c>
      <c r="D26" s="334" t="s">
        <v>432</v>
      </c>
      <c r="E26" s="359" t="s">
        <v>425</v>
      </c>
      <c r="F26" s="327"/>
      <c r="G26" s="114">
        <v>2050</v>
      </c>
      <c r="H26" s="114" t="e">
        <f>G26-A1</f>
        <v>#VALUE!</v>
      </c>
      <c r="I26" s="328">
        <v>1000</v>
      </c>
      <c r="J26" s="329" t="e">
        <f>(I26*H26*0.026)*0.6</f>
        <v>#VALUE!</v>
      </c>
      <c r="K26" s="330" t="e">
        <f t="shared" si="0"/>
        <v>#VALUE!</v>
      </c>
    </row>
    <row r="27" spans="1:11" hidden="1">
      <c r="A27" s="81"/>
      <c r="B27" s="81" t="s">
        <v>426</v>
      </c>
      <c r="C27" s="326" t="s">
        <v>426</v>
      </c>
      <c r="D27" s="334" t="s">
        <v>433</v>
      </c>
      <c r="E27" s="359" t="s">
        <v>425</v>
      </c>
      <c r="F27" s="327"/>
      <c r="G27" s="114"/>
      <c r="H27" s="114"/>
      <c r="I27" s="328">
        <v>10000</v>
      </c>
      <c r="J27" s="329">
        <f>I27*0.075*0.6</f>
        <v>450</v>
      </c>
      <c r="K27" s="330">
        <f t="shared" si="0"/>
        <v>450</v>
      </c>
    </row>
    <row r="28" spans="1:11" hidden="1">
      <c r="A28" s="81"/>
      <c r="B28" s="81" t="s">
        <v>426</v>
      </c>
      <c r="C28" s="326" t="s">
        <v>426</v>
      </c>
      <c r="D28" s="334" t="s">
        <v>365</v>
      </c>
      <c r="E28" s="359" t="s">
        <v>425</v>
      </c>
      <c r="F28" s="327"/>
      <c r="G28" s="114">
        <v>2050</v>
      </c>
      <c r="H28" s="114" t="e">
        <f>G28-A1</f>
        <v>#VALUE!</v>
      </c>
      <c r="I28" s="328">
        <v>1000</v>
      </c>
      <c r="J28" s="329" t="e">
        <f>(I28*H28*0.025)*0.6</f>
        <v>#VALUE!</v>
      </c>
      <c r="K28" s="330" t="e">
        <f t="shared" si="0"/>
        <v>#VALUE!</v>
      </c>
    </row>
    <row r="29" spans="1:11" hidden="1">
      <c r="A29" s="81"/>
      <c r="B29" s="81" t="s">
        <v>426</v>
      </c>
      <c r="C29" s="326" t="s">
        <v>426</v>
      </c>
      <c r="D29" s="334" t="s">
        <v>443</v>
      </c>
      <c r="E29" s="359" t="s">
        <v>425</v>
      </c>
      <c r="F29" s="327"/>
      <c r="G29" s="114"/>
      <c r="H29" s="114"/>
      <c r="I29" s="328">
        <v>150000</v>
      </c>
      <c r="J29" s="143">
        <f>(I29*0.007)*0.6</f>
        <v>630</v>
      </c>
      <c r="K29" s="330">
        <f t="shared" si="0"/>
        <v>630</v>
      </c>
    </row>
    <row r="30" spans="1:11">
      <c r="A30" s="416" t="s">
        <v>531</v>
      </c>
      <c r="B30" s="416">
        <v>967212</v>
      </c>
      <c r="C30" s="71" t="s">
        <v>451</v>
      </c>
      <c r="D30" s="427" t="s">
        <v>435</v>
      </c>
      <c r="E30" s="362">
        <v>20398312</v>
      </c>
      <c r="F30" s="237"/>
      <c r="G30" s="25"/>
      <c r="H30" s="25"/>
      <c r="I30" s="143">
        <v>914.95</v>
      </c>
      <c r="J30" s="345">
        <f>800*0.05+114.95*0.065</f>
        <v>47.47175</v>
      </c>
      <c r="K30" s="24">
        <f t="shared" si="0"/>
        <v>47.47175</v>
      </c>
    </row>
    <row r="31" spans="1:11" ht="18" customHeight="1">
      <c r="A31" s="416" t="s">
        <v>531</v>
      </c>
      <c r="B31" s="416">
        <v>969675</v>
      </c>
      <c r="C31" s="71" t="s">
        <v>472</v>
      </c>
      <c r="D31" s="338" t="s">
        <v>474</v>
      </c>
      <c r="E31" s="360">
        <v>20402715</v>
      </c>
      <c r="F31" s="237"/>
      <c r="G31" s="22"/>
      <c r="H31" s="22"/>
      <c r="I31" s="458">
        <v>433.75</v>
      </c>
      <c r="J31" s="141">
        <f>I31*0.05</f>
        <v>21.6875</v>
      </c>
      <c r="K31" s="142">
        <f>J31</f>
        <v>21.6875</v>
      </c>
    </row>
    <row r="32" spans="1:11" ht="18" customHeight="1">
      <c r="A32" s="416" t="s">
        <v>531</v>
      </c>
      <c r="B32" s="416">
        <v>964321</v>
      </c>
      <c r="C32" s="71" t="s">
        <v>476</v>
      </c>
      <c r="D32" s="338" t="s">
        <v>306</v>
      </c>
      <c r="E32" s="360">
        <v>61023856</v>
      </c>
      <c r="F32" s="237"/>
      <c r="G32" s="22"/>
      <c r="H32" s="22"/>
      <c r="I32" s="140">
        <v>892.44</v>
      </c>
      <c r="J32" s="141">
        <f>(I32/12*3.5)*0.5</f>
        <v>130.14750000000001</v>
      </c>
      <c r="K32" s="142">
        <f t="shared" ref="K32:K47" si="2">J32</f>
        <v>130.14750000000001</v>
      </c>
    </row>
    <row r="33" spans="1:11" ht="18" customHeight="1">
      <c r="A33" s="416" t="s">
        <v>531</v>
      </c>
      <c r="B33" s="416">
        <v>965877</v>
      </c>
      <c r="C33" s="71" t="s">
        <v>475</v>
      </c>
      <c r="D33" s="338" t="s">
        <v>435</v>
      </c>
      <c r="E33" s="360">
        <v>20406261</v>
      </c>
      <c r="F33" s="237"/>
      <c r="G33" s="22"/>
      <c r="H33" s="22"/>
      <c r="I33" s="458">
        <v>238.07</v>
      </c>
      <c r="J33" s="141">
        <f>I33*0.05</f>
        <v>11.903500000000001</v>
      </c>
      <c r="K33" s="142">
        <f t="shared" si="2"/>
        <v>11.903500000000001</v>
      </c>
    </row>
    <row r="34" spans="1:11" ht="18" customHeight="1">
      <c r="A34" s="416" t="s">
        <v>531</v>
      </c>
      <c r="B34" s="416">
        <v>965877</v>
      </c>
      <c r="C34" s="71" t="s">
        <v>475</v>
      </c>
      <c r="D34" s="338" t="s">
        <v>435</v>
      </c>
      <c r="E34" s="360">
        <v>20406289</v>
      </c>
      <c r="F34" s="237"/>
      <c r="G34" s="22"/>
      <c r="H34" s="22"/>
      <c r="I34" s="458">
        <v>528.16</v>
      </c>
      <c r="J34" s="141">
        <f>I34*0.05</f>
        <v>26.408000000000001</v>
      </c>
      <c r="K34" s="142">
        <f t="shared" si="2"/>
        <v>26.408000000000001</v>
      </c>
    </row>
    <row r="35" spans="1:11" ht="18" customHeight="1">
      <c r="A35" s="416" t="s">
        <v>531</v>
      </c>
      <c r="B35" s="416">
        <v>965877</v>
      </c>
      <c r="C35" s="71" t="s">
        <v>475</v>
      </c>
      <c r="D35" s="338" t="s">
        <v>436</v>
      </c>
      <c r="E35" s="360">
        <v>20406294</v>
      </c>
      <c r="F35" s="237"/>
      <c r="G35" s="22"/>
      <c r="H35" s="22"/>
      <c r="I35" s="140">
        <v>197.57</v>
      </c>
      <c r="J35" s="143">
        <f>I35*0.08</f>
        <v>15.8056</v>
      </c>
      <c r="K35" s="142">
        <f t="shared" si="2"/>
        <v>15.8056</v>
      </c>
    </row>
    <row r="36" spans="1:11" ht="18" customHeight="1">
      <c r="A36" s="416" t="s">
        <v>531</v>
      </c>
      <c r="B36" s="416">
        <v>278619</v>
      </c>
      <c r="C36" s="71" t="s">
        <v>477</v>
      </c>
      <c r="D36" s="338" t="s">
        <v>427</v>
      </c>
      <c r="E36" s="360">
        <v>806159</v>
      </c>
      <c r="F36" s="237"/>
      <c r="G36" s="22">
        <v>2032</v>
      </c>
      <c r="H36" s="22"/>
      <c r="I36" s="140">
        <v>1500</v>
      </c>
      <c r="J36" s="345">
        <f>(I36*15*0.02)*0.5</f>
        <v>225</v>
      </c>
      <c r="K36" s="142">
        <f t="shared" si="2"/>
        <v>225</v>
      </c>
    </row>
    <row r="37" spans="1:11" ht="18" customHeight="1">
      <c r="A37" s="416" t="s">
        <v>531</v>
      </c>
      <c r="B37" s="416">
        <v>299582</v>
      </c>
      <c r="C37" s="71" t="s">
        <v>478</v>
      </c>
      <c r="D37" s="338" t="s">
        <v>427</v>
      </c>
      <c r="E37" s="360">
        <v>806158</v>
      </c>
      <c r="F37" s="237"/>
      <c r="G37" s="22">
        <v>2043</v>
      </c>
      <c r="H37" s="22"/>
      <c r="I37" s="140">
        <v>1500</v>
      </c>
      <c r="J37" s="345">
        <f>(I37*26*0.02)*0.5</f>
        <v>390</v>
      </c>
      <c r="K37" s="142">
        <f t="shared" si="2"/>
        <v>390</v>
      </c>
    </row>
    <row r="38" spans="1:11" ht="18" customHeight="1">
      <c r="A38" s="416" t="s">
        <v>531</v>
      </c>
      <c r="B38" s="416">
        <v>693638</v>
      </c>
      <c r="C38" s="71" t="s">
        <v>479</v>
      </c>
      <c r="D38" s="338" t="s">
        <v>436</v>
      </c>
      <c r="E38" s="360">
        <v>20404939</v>
      </c>
      <c r="F38" s="237"/>
      <c r="G38" s="22"/>
      <c r="H38" s="22"/>
      <c r="I38" s="140">
        <v>256.49</v>
      </c>
      <c r="J38" s="143">
        <f>I38*0.08</f>
        <v>20.519200000000001</v>
      </c>
      <c r="K38" s="142">
        <f t="shared" si="2"/>
        <v>20.519200000000001</v>
      </c>
    </row>
    <row r="39" spans="1:11" ht="18" customHeight="1">
      <c r="A39" s="416" t="s">
        <v>531</v>
      </c>
      <c r="B39" s="416">
        <v>273601</v>
      </c>
      <c r="C39" s="71" t="s">
        <v>480</v>
      </c>
      <c r="D39" s="338" t="s">
        <v>441</v>
      </c>
      <c r="E39" s="360">
        <v>20406326</v>
      </c>
      <c r="F39" s="237"/>
      <c r="G39" s="22"/>
      <c r="H39" s="22"/>
      <c r="I39" s="458">
        <v>658.13</v>
      </c>
      <c r="J39" s="141">
        <f>I39*0.05</f>
        <v>32.906500000000001</v>
      </c>
      <c r="K39" s="142">
        <f t="shared" si="2"/>
        <v>32.906500000000001</v>
      </c>
    </row>
    <row r="40" spans="1:11" ht="18" customHeight="1">
      <c r="A40" s="416" t="s">
        <v>531</v>
      </c>
      <c r="B40" s="416">
        <v>880049</v>
      </c>
      <c r="C40" s="71" t="s">
        <v>519</v>
      </c>
      <c r="D40" s="338" t="s">
        <v>443</v>
      </c>
      <c r="E40" s="325" t="s">
        <v>486</v>
      </c>
      <c r="F40" s="371"/>
      <c r="G40" s="22"/>
      <c r="H40" s="22"/>
      <c r="I40" s="140">
        <v>60000</v>
      </c>
      <c r="J40" s="143">
        <f>(I40*0.007)*0.5</f>
        <v>210</v>
      </c>
      <c r="K40" s="142">
        <f t="shared" si="2"/>
        <v>210</v>
      </c>
    </row>
    <row r="41" spans="1:11" ht="18" customHeight="1">
      <c r="A41" s="416" t="s">
        <v>531</v>
      </c>
      <c r="B41" s="416">
        <v>880049</v>
      </c>
      <c r="C41" s="71" t="s">
        <v>519</v>
      </c>
      <c r="D41" s="338" t="s">
        <v>443</v>
      </c>
      <c r="E41" s="360" t="s">
        <v>487</v>
      </c>
      <c r="F41" s="237"/>
      <c r="G41" s="22"/>
      <c r="H41" s="22"/>
      <c r="I41" s="140">
        <v>60000</v>
      </c>
      <c r="J41" s="143">
        <f>(I41*0.007)*0.5</f>
        <v>210</v>
      </c>
      <c r="K41" s="142">
        <f t="shared" si="2"/>
        <v>210</v>
      </c>
    </row>
    <row r="42" spans="1:11" ht="18" customHeight="1">
      <c r="A42" s="416" t="s">
        <v>531</v>
      </c>
      <c r="B42" s="416">
        <v>880049</v>
      </c>
      <c r="C42" s="71" t="s">
        <v>519</v>
      </c>
      <c r="D42" s="338" t="s">
        <v>443</v>
      </c>
      <c r="E42" s="360" t="s">
        <v>488</v>
      </c>
      <c r="F42" s="237"/>
      <c r="G42" s="22"/>
      <c r="H42" s="22"/>
      <c r="I42" s="140">
        <v>60000</v>
      </c>
      <c r="J42" s="143">
        <f>(I42*0.007)*0.5</f>
        <v>210</v>
      </c>
      <c r="K42" s="142">
        <f t="shared" si="2"/>
        <v>210</v>
      </c>
    </row>
    <row r="43" spans="1:11" ht="18" customHeight="1">
      <c r="A43" s="416" t="s">
        <v>531</v>
      </c>
      <c r="B43" s="416">
        <v>484859</v>
      </c>
      <c r="C43" s="71" t="s">
        <v>481</v>
      </c>
      <c r="D43" s="338" t="s">
        <v>427</v>
      </c>
      <c r="E43" s="360">
        <v>807016</v>
      </c>
      <c r="F43" s="237"/>
      <c r="G43" s="22">
        <v>2035</v>
      </c>
      <c r="H43" s="22"/>
      <c r="I43" s="140">
        <v>1200</v>
      </c>
      <c r="J43" s="345">
        <f>(I43*18*0.02)*0.5</f>
        <v>216</v>
      </c>
      <c r="K43" s="144">
        <f t="shared" si="2"/>
        <v>216</v>
      </c>
    </row>
    <row r="44" spans="1:11" ht="18" customHeight="1">
      <c r="A44" s="416" t="s">
        <v>531</v>
      </c>
      <c r="B44" s="416">
        <v>523424</v>
      </c>
      <c r="C44" s="71" t="s">
        <v>482</v>
      </c>
      <c r="D44" s="338" t="s">
        <v>427</v>
      </c>
      <c r="E44" s="360">
        <v>807015</v>
      </c>
      <c r="F44" s="237"/>
      <c r="G44" s="22">
        <v>2031</v>
      </c>
      <c r="H44" s="22"/>
      <c r="I44" s="140">
        <v>1104</v>
      </c>
      <c r="J44" s="345">
        <f>(I44*14*0.02)*0.5</f>
        <v>154.56</v>
      </c>
      <c r="K44" s="144">
        <f t="shared" si="2"/>
        <v>154.56</v>
      </c>
    </row>
    <row r="45" spans="1:11" ht="18" customHeight="1">
      <c r="A45" s="416" t="s">
        <v>531</v>
      </c>
      <c r="B45" s="416">
        <v>837955</v>
      </c>
      <c r="C45" s="71" t="s">
        <v>483</v>
      </c>
      <c r="D45" s="338" t="s">
        <v>436</v>
      </c>
      <c r="E45" s="360">
        <v>20406981</v>
      </c>
      <c r="F45" s="237"/>
      <c r="G45" s="22"/>
      <c r="H45" s="22"/>
      <c r="I45" s="140">
        <v>308.58999999999997</v>
      </c>
      <c r="J45" s="143">
        <f>I45*0.08</f>
        <v>24.687199999999997</v>
      </c>
      <c r="K45" s="144">
        <f t="shared" si="2"/>
        <v>24.687199999999997</v>
      </c>
    </row>
    <row r="46" spans="1:11" ht="18" customHeight="1">
      <c r="A46" s="416" t="s">
        <v>531</v>
      </c>
      <c r="B46" s="416">
        <v>729789</v>
      </c>
      <c r="C46" s="71" t="s">
        <v>484</v>
      </c>
      <c r="D46" s="338" t="s">
        <v>306</v>
      </c>
      <c r="E46" s="360">
        <v>61024785</v>
      </c>
      <c r="F46" s="237"/>
      <c r="G46" s="22"/>
      <c r="H46" s="22"/>
      <c r="I46" s="140">
        <v>688.32</v>
      </c>
      <c r="J46" s="141">
        <f>(I46/12*3.5)*0.5</f>
        <v>100.38000000000001</v>
      </c>
      <c r="K46" s="144">
        <f t="shared" si="2"/>
        <v>100.38000000000001</v>
      </c>
    </row>
    <row r="47" spans="1:11" ht="18" customHeight="1">
      <c r="A47" s="416" t="s">
        <v>531</v>
      </c>
      <c r="B47" s="416">
        <v>348319</v>
      </c>
      <c r="C47" s="71" t="s">
        <v>485</v>
      </c>
      <c r="D47" s="338" t="s">
        <v>436</v>
      </c>
      <c r="E47" s="360">
        <v>20405030</v>
      </c>
      <c r="F47" s="237"/>
      <c r="G47" s="22"/>
      <c r="H47" s="22"/>
      <c r="I47" s="140">
        <v>152.77000000000001</v>
      </c>
      <c r="J47" s="143">
        <f>I47*0.08</f>
        <v>12.2216</v>
      </c>
      <c r="K47" s="144">
        <f t="shared" si="2"/>
        <v>12.2216</v>
      </c>
    </row>
    <row r="48" spans="1:11" ht="18" customHeight="1" thickBot="1">
      <c r="A48" s="416"/>
      <c r="B48" s="416"/>
      <c r="C48" s="71"/>
      <c r="D48" s="338"/>
      <c r="E48" s="360"/>
      <c r="F48" s="237"/>
      <c r="G48" s="22"/>
      <c r="H48" s="22"/>
      <c r="I48" s="140"/>
      <c r="J48" s="141"/>
      <c r="K48" s="142"/>
    </row>
    <row r="49" spans="1:13" s="6" customFormat="1" ht="19.5" thickBot="1">
      <c r="A49" s="463" t="s">
        <v>531</v>
      </c>
      <c r="B49" s="417"/>
      <c r="C49" s="145" t="s">
        <v>296</v>
      </c>
      <c r="D49" s="339"/>
      <c r="E49" s="361"/>
      <c r="F49" s="318"/>
      <c r="G49" s="147"/>
      <c r="H49" s="147"/>
      <c r="I49" s="148"/>
      <c r="J49" s="149"/>
      <c r="K49" s="151">
        <f>SUM(K30:K47)</f>
        <v>2059.6983500000001</v>
      </c>
      <c r="L49" s="396"/>
    </row>
    <row r="50" spans="1:13">
      <c r="A50" s="416" t="s">
        <v>532</v>
      </c>
      <c r="B50" s="80">
        <v>299582</v>
      </c>
      <c r="C50" s="71" t="s">
        <v>478</v>
      </c>
      <c r="D50" s="338" t="s">
        <v>443</v>
      </c>
      <c r="E50" s="358" t="s">
        <v>489</v>
      </c>
      <c r="F50" s="316"/>
      <c r="G50" s="16"/>
      <c r="H50" s="16"/>
      <c r="I50" s="185">
        <v>110000</v>
      </c>
      <c r="J50" s="143">
        <f>(I50*0.007)*0.5</f>
        <v>385</v>
      </c>
      <c r="K50" s="19">
        <f>J50</f>
        <v>385</v>
      </c>
      <c r="L50" s="398"/>
    </row>
    <row r="51" spans="1:13">
      <c r="A51" s="416" t="s">
        <v>532</v>
      </c>
      <c r="B51" s="80">
        <v>834437</v>
      </c>
      <c r="C51" s="71" t="s">
        <v>14</v>
      </c>
      <c r="D51" s="338" t="s">
        <v>427</v>
      </c>
      <c r="E51" s="360">
        <v>807080</v>
      </c>
      <c r="F51" s="237"/>
      <c r="G51" s="22">
        <v>2049</v>
      </c>
      <c r="H51" s="22"/>
      <c r="I51" s="143">
        <v>1704</v>
      </c>
      <c r="J51" s="345">
        <f>(I51*32*0.02)*0.5</f>
        <v>545.28</v>
      </c>
      <c r="K51" s="24">
        <f t="shared" ref="K51:K69" si="3">J51</f>
        <v>545.28</v>
      </c>
      <c r="L51" s="399"/>
      <c r="M51" t="s">
        <v>510</v>
      </c>
    </row>
    <row r="52" spans="1:13" s="4" customFormat="1">
      <c r="A52" s="416" t="s">
        <v>532</v>
      </c>
      <c r="B52" s="80">
        <v>739606</v>
      </c>
      <c r="C52" s="71" t="s">
        <v>490</v>
      </c>
      <c r="D52" s="338" t="s">
        <v>427</v>
      </c>
      <c r="E52" s="360">
        <v>8077875</v>
      </c>
      <c r="F52" s="237"/>
      <c r="G52" s="22">
        <v>2043</v>
      </c>
      <c r="H52" s="22"/>
      <c r="I52" s="143">
        <v>1704</v>
      </c>
      <c r="J52" s="345">
        <f>(I52*26*0.02)*0.5</f>
        <v>443.04</v>
      </c>
      <c r="K52" s="24">
        <f t="shared" si="3"/>
        <v>443.04</v>
      </c>
      <c r="L52" s="400"/>
    </row>
    <row r="53" spans="1:13" s="4" customFormat="1">
      <c r="A53" s="416" t="s">
        <v>532</v>
      </c>
      <c r="B53" s="80">
        <v>523259</v>
      </c>
      <c r="C53" s="71" t="s">
        <v>491</v>
      </c>
      <c r="D53" s="338" t="s">
        <v>435</v>
      </c>
      <c r="E53" s="362">
        <v>20406126</v>
      </c>
      <c r="F53" s="237"/>
      <c r="G53" s="25"/>
      <c r="H53" s="25"/>
      <c r="I53" s="345">
        <v>1687.02</v>
      </c>
      <c r="J53" s="345">
        <f>800*0.05+887.02*0.065</f>
        <v>97.656300000000002</v>
      </c>
      <c r="K53" s="38">
        <f t="shared" si="3"/>
        <v>97.656300000000002</v>
      </c>
      <c r="L53" s="399"/>
    </row>
    <row r="54" spans="1:13" s="4" customFormat="1">
      <c r="A54" s="416" t="s">
        <v>532</v>
      </c>
      <c r="B54" s="80">
        <v>716291</v>
      </c>
      <c r="C54" s="71" t="s">
        <v>492</v>
      </c>
      <c r="D54" s="338" t="s">
        <v>431</v>
      </c>
      <c r="E54" s="362">
        <v>827015</v>
      </c>
      <c r="F54" s="237"/>
      <c r="G54" s="25">
        <v>2027</v>
      </c>
      <c r="H54" s="25"/>
      <c r="I54" s="345">
        <v>600</v>
      </c>
      <c r="J54" s="345">
        <f>(I54*10*0.02)*0.5</f>
        <v>60</v>
      </c>
      <c r="K54" s="38">
        <f t="shared" si="3"/>
        <v>60</v>
      </c>
      <c r="L54" s="399"/>
    </row>
    <row r="55" spans="1:13" s="4" customFormat="1">
      <c r="A55" s="416" t="s">
        <v>532</v>
      </c>
      <c r="B55" s="80">
        <v>970170</v>
      </c>
      <c r="C55" s="71" t="s">
        <v>493</v>
      </c>
      <c r="D55" s="338" t="s">
        <v>436</v>
      </c>
      <c r="E55" s="209">
        <v>20409518</v>
      </c>
      <c r="F55" s="237"/>
      <c r="G55" s="25"/>
      <c r="H55" s="25"/>
      <c r="J55" s="345"/>
      <c r="K55" s="38">
        <f t="shared" si="3"/>
        <v>0</v>
      </c>
      <c r="L55" s="396"/>
    </row>
    <row r="56" spans="1:13" s="4" customFormat="1">
      <c r="A56" s="416" t="s">
        <v>532</v>
      </c>
      <c r="B56" s="80">
        <v>945980</v>
      </c>
      <c r="C56" s="71" t="s">
        <v>501</v>
      </c>
      <c r="D56" s="338" t="s">
        <v>443</v>
      </c>
      <c r="E56" s="362" t="s">
        <v>500</v>
      </c>
      <c r="F56" s="237"/>
      <c r="G56" s="25"/>
      <c r="H56" s="25"/>
      <c r="I56" s="345">
        <v>45000</v>
      </c>
      <c r="J56" s="143">
        <f>(I56*0.007)*0.5</f>
        <v>157.5</v>
      </c>
      <c r="K56" s="24">
        <f t="shared" si="3"/>
        <v>157.5</v>
      </c>
      <c r="L56" s="400"/>
    </row>
    <row r="57" spans="1:13" s="4" customFormat="1">
      <c r="A57" s="416" t="s">
        <v>532</v>
      </c>
      <c r="B57" s="80">
        <v>787557</v>
      </c>
      <c r="C57" s="71" t="s">
        <v>494</v>
      </c>
      <c r="D57" s="338" t="s">
        <v>435</v>
      </c>
      <c r="E57" s="362">
        <v>20409995</v>
      </c>
      <c r="F57" s="237"/>
      <c r="H57" s="25"/>
      <c r="I57" s="25">
        <v>1786.72</v>
      </c>
      <c r="J57" s="345">
        <f>800*0.05+986.72*0.065</f>
        <v>104.13680000000001</v>
      </c>
      <c r="K57" s="24">
        <f t="shared" si="3"/>
        <v>104.13680000000001</v>
      </c>
      <c r="L57" s="400"/>
    </row>
    <row r="58" spans="1:13" s="4" customFormat="1">
      <c r="A58" s="416" t="s">
        <v>532</v>
      </c>
      <c r="B58" s="80">
        <v>787557</v>
      </c>
      <c r="C58" s="71" t="s">
        <v>494</v>
      </c>
      <c r="D58" s="338" t="s">
        <v>427</v>
      </c>
      <c r="E58" s="362">
        <v>822390</v>
      </c>
      <c r="F58" s="237"/>
      <c r="G58" s="25">
        <v>2043</v>
      </c>
      <c r="H58" s="25"/>
      <c r="I58" s="143">
        <v>1200</v>
      </c>
      <c r="J58" s="345">
        <f>(I58*26*0.02)*0.5</f>
        <v>312</v>
      </c>
      <c r="K58" s="24">
        <f t="shared" si="3"/>
        <v>312</v>
      </c>
      <c r="L58" s="400"/>
    </row>
    <row r="59" spans="1:13" s="4" customFormat="1">
      <c r="A59" s="416" t="s">
        <v>532</v>
      </c>
      <c r="B59" s="80">
        <v>849012</v>
      </c>
      <c r="C59" s="71" t="s">
        <v>380</v>
      </c>
      <c r="D59" s="338" t="s">
        <v>436</v>
      </c>
      <c r="E59" s="362">
        <v>20410192</v>
      </c>
      <c r="F59" s="237"/>
      <c r="G59" s="25"/>
      <c r="H59" s="25"/>
      <c r="I59" s="143">
        <v>287.08</v>
      </c>
      <c r="J59" s="143">
        <f>I59*0.08</f>
        <v>22.9664</v>
      </c>
      <c r="K59" s="24">
        <f t="shared" si="3"/>
        <v>22.9664</v>
      </c>
      <c r="L59" s="400"/>
    </row>
    <row r="60" spans="1:13" s="4" customFormat="1">
      <c r="A60" s="416" t="s">
        <v>532</v>
      </c>
      <c r="B60" s="80">
        <v>429665</v>
      </c>
      <c r="C60" s="71" t="s">
        <v>495</v>
      </c>
      <c r="D60" s="338" t="s">
        <v>427</v>
      </c>
      <c r="E60" s="362">
        <v>821974</v>
      </c>
      <c r="F60" s="237"/>
      <c r="G60" s="25">
        <v>2036</v>
      </c>
      <c r="H60" s="25"/>
      <c r="I60" s="143">
        <v>900</v>
      </c>
      <c r="J60" s="345">
        <f>(I60*19*0.02)*0.5</f>
        <v>171</v>
      </c>
      <c r="K60" s="24">
        <f t="shared" si="3"/>
        <v>171</v>
      </c>
      <c r="L60" s="400"/>
    </row>
    <row r="61" spans="1:13" s="4" customFormat="1">
      <c r="A61" s="416" t="s">
        <v>532</v>
      </c>
      <c r="B61" s="80">
        <v>848696</v>
      </c>
      <c r="C61" s="71" t="s">
        <v>520</v>
      </c>
      <c r="D61" s="338" t="s">
        <v>306</v>
      </c>
      <c r="E61" s="362">
        <v>60016299</v>
      </c>
      <c r="F61" s="237" t="s">
        <v>379</v>
      </c>
      <c r="G61" s="25"/>
      <c r="H61" s="25"/>
      <c r="I61" s="143">
        <v>731.76</v>
      </c>
      <c r="J61" s="141"/>
      <c r="K61" s="24"/>
      <c r="L61" s="400"/>
    </row>
    <row r="62" spans="1:13" s="4" customFormat="1">
      <c r="A62" s="416" t="s">
        <v>532</v>
      </c>
      <c r="B62" s="80">
        <v>971770</v>
      </c>
      <c r="C62" s="71" t="s">
        <v>496</v>
      </c>
      <c r="D62" s="338" t="s">
        <v>435</v>
      </c>
      <c r="E62" s="362">
        <v>20411305</v>
      </c>
      <c r="F62" s="237"/>
      <c r="G62" s="25"/>
      <c r="H62" s="25"/>
      <c r="I62" s="143">
        <v>980.08</v>
      </c>
      <c r="J62" s="345">
        <f>800*0.05+180.08*0.065</f>
        <v>51.705200000000005</v>
      </c>
      <c r="K62" s="24">
        <f t="shared" si="3"/>
        <v>51.705200000000005</v>
      </c>
      <c r="L62" s="400"/>
    </row>
    <row r="63" spans="1:13" s="4" customFormat="1">
      <c r="A63" s="416" t="s">
        <v>532</v>
      </c>
      <c r="B63" s="80">
        <v>411055</v>
      </c>
      <c r="C63" s="71" t="s">
        <v>320</v>
      </c>
      <c r="D63" s="338" t="s">
        <v>438</v>
      </c>
      <c r="E63" s="362">
        <v>20412802</v>
      </c>
      <c r="F63" s="237"/>
      <c r="G63" s="25"/>
      <c r="H63" s="25"/>
      <c r="I63" s="143">
        <v>514.48</v>
      </c>
      <c r="J63" s="143">
        <f>I63*0.08</f>
        <v>41.1584</v>
      </c>
      <c r="K63" s="24">
        <f t="shared" si="3"/>
        <v>41.1584</v>
      </c>
      <c r="L63" s="400"/>
    </row>
    <row r="64" spans="1:13" s="4" customFormat="1">
      <c r="A64" s="416" t="s">
        <v>532</v>
      </c>
      <c r="B64" s="80">
        <v>411056</v>
      </c>
      <c r="C64" s="71" t="s">
        <v>320</v>
      </c>
      <c r="D64" s="338" t="s">
        <v>438</v>
      </c>
      <c r="E64" s="362">
        <v>20412809</v>
      </c>
      <c r="F64" s="237"/>
      <c r="G64" s="25"/>
      <c r="H64" s="25"/>
      <c r="I64" s="143">
        <v>129.22999999999999</v>
      </c>
      <c r="J64" s="143">
        <f>I64*0.08</f>
        <v>10.3384</v>
      </c>
      <c r="K64" s="24">
        <f t="shared" si="3"/>
        <v>10.3384</v>
      </c>
      <c r="L64" s="400"/>
    </row>
    <row r="65" spans="1:13" s="4" customFormat="1">
      <c r="A65" s="416" t="s">
        <v>532</v>
      </c>
      <c r="B65" s="80">
        <v>811892</v>
      </c>
      <c r="C65" s="71" t="s">
        <v>497</v>
      </c>
      <c r="D65" s="338" t="s">
        <v>436</v>
      </c>
      <c r="E65" s="362">
        <v>20412738</v>
      </c>
      <c r="F65" s="237"/>
      <c r="G65" s="25"/>
      <c r="H65" s="25"/>
      <c r="I65" s="143">
        <v>418.98</v>
      </c>
      <c r="J65" s="143">
        <f>I65*0.08</f>
        <v>33.5184</v>
      </c>
      <c r="K65" s="24">
        <f t="shared" si="3"/>
        <v>33.5184</v>
      </c>
      <c r="L65" s="400"/>
    </row>
    <row r="66" spans="1:13" s="4" customFormat="1">
      <c r="A66" s="416" t="s">
        <v>532</v>
      </c>
      <c r="B66" s="80">
        <v>972349</v>
      </c>
      <c r="C66" s="71" t="s">
        <v>498</v>
      </c>
      <c r="D66" s="338" t="s">
        <v>435</v>
      </c>
      <c r="E66" s="362">
        <v>20412101</v>
      </c>
      <c r="F66" s="237"/>
      <c r="G66" s="25"/>
      <c r="H66" s="25"/>
      <c r="I66" s="143">
        <v>865.04</v>
      </c>
      <c r="J66" s="345">
        <f>800*0.05+65.04*0.065</f>
        <v>44.227600000000002</v>
      </c>
      <c r="K66" s="24">
        <f t="shared" si="3"/>
        <v>44.227600000000002</v>
      </c>
      <c r="L66" s="400"/>
    </row>
    <row r="67" spans="1:13" s="4" customFormat="1">
      <c r="A67" s="416" t="s">
        <v>532</v>
      </c>
      <c r="B67" s="80">
        <v>973005</v>
      </c>
      <c r="C67" s="71" t="s">
        <v>499</v>
      </c>
      <c r="D67" s="338" t="s">
        <v>435</v>
      </c>
      <c r="E67" s="362">
        <v>20412622</v>
      </c>
      <c r="F67" s="237"/>
      <c r="G67" s="25"/>
      <c r="H67" s="25"/>
      <c r="I67" s="143">
        <v>1118.02</v>
      </c>
      <c r="J67" s="345">
        <f>800*0.05+318.02*0.065</f>
        <v>60.671300000000002</v>
      </c>
      <c r="K67" s="24">
        <f t="shared" si="3"/>
        <v>60.671300000000002</v>
      </c>
      <c r="L67" s="400"/>
    </row>
    <row r="68" spans="1:13" s="4" customFormat="1">
      <c r="A68" s="416"/>
      <c r="B68" s="416"/>
      <c r="C68" s="71"/>
      <c r="D68" s="338"/>
      <c r="E68" s="362"/>
      <c r="F68" s="237"/>
      <c r="G68" s="25"/>
      <c r="H68" s="25"/>
      <c r="I68" s="143"/>
      <c r="J68" s="345"/>
      <c r="K68" s="24">
        <f t="shared" si="3"/>
        <v>0</v>
      </c>
      <c r="L68" s="400"/>
    </row>
    <row r="69" spans="1:13" s="4" customFormat="1">
      <c r="A69" s="416"/>
      <c r="B69" s="416"/>
      <c r="C69" s="71"/>
      <c r="D69" s="338"/>
      <c r="E69" s="362"/>
      <c r="F69" s="237"/>
      <c r="G69" s="25"/>
      <c r="H69" s="25"/>
      <c r="I69" s="143"/>
      <c r="J69" s="345"/>
      <c r="K69" s="24">
        <f t="shared" si="3"/>
        <v>0</v>
      </c>
      <c r="L69" s="400"/>
    </row>
    <row r="70" spans="1:13" ht="19.5" thickBot="1">
      <c r="A70" s="462" t="s">
        <v>532</v>
      </c>
      <c r="B70" s="417"/>
      <c r="C70" s="145" t="s">
        <v>281</v>
      </c>
      <c r="D70" s="339"/>
      <c r="E70" s="363"/>
      <c r="F70" s="318"/>
      <c r="G70" s="42"/>
      <c r="H70" s="42"/>
      <c r="I70" s="158"/>
      <c r="J70" s="158"/>
      <c r="K70" s="276">
        <f>SUM(K50:K69)</f>
        <v>2540.1987999999997</v>
      </c>
      <c r="L70" s="398"/>
    </row>
    <row r="71" spans="1:13">
      <c r="A71" s="418" t="s">
        <v>533</v>
      </c>
      <c r="B71" s="79">
        <v>121208</v>
      </c>
      <c r="C71" s="71" t="s">
        <v>502</v>
      </c>
      <c r="D71" s="335" t="s">
        <v>503</v>
      </c>
      <c r="E71" s="362">
        <v>10727836</v>
      </c>
      <c r="F71" s="237"/>
      <c r="G71" s="25"/>
      <c r="H71" s="25"/>
      <c r="I71" s="143">
        <v>176.63</v>
      </c>
      <c r="J71" s="143">
        <f>I71*0.08</f>
        <v>14.1304</v>
      </c>
      <c r="K71" s="24">
        <v>26.494499999999999</v>
      </c>
      <c r="L71" s="398"/>
    </row>
    <row r="72" spans="1:13" s="4" customFormat="1">
      <c r="A72" s="416" t="s">
        <v>533</v>
      </c>
      <c r="B72" s="419">
        <v>770987</v>
      </c>
      <c r="C72" s="71" t="s">
        <v>504</v>
      </c>
      <c r="D72" s="338" t="s">
        <v>427</v>
      </c>
      <c r="E72" s="360">
        <v>824583</v>
      </c>
      <c r="F72" s="319"/>
      <c r="G72" s="22">
        <v>2046</v>
      </c>
      <c r="H72" s="22"/>
      <c r="I72" s="143">
        <v>720</v>
      </c>
      <c r="J72" s="345">
        <f>(I72*29*0.02)*0.5</f>
        <v>208.8</v>
      </c>
      <c r="K72" s="24">
        <f>J72</f>
        <v>208.8</v>
      </c>
      <c r="L72" s="398"/>
    </row>
    <row r="73" spans="1:13">
      <c r="A73" s="416" t="s">
        <v>533</v>
      </c>
      <c r="B73" s="419">
        <v>845563</v>
      </c>
      <c r="C73" s="71" t="s">
        <v>506</v>
      </c>
      <c r="D73" s="338" t="s">
        <v>427</v>
      </c>
      <c r="E73" s="362">
        <v>612117</v>
      </c>
      <c r="F73" s="237"/>
      <c r="G73" s="25">
        <v>2034</v>
      </c>
      <c r="H73" s="25"/>
      <c r="I73" s="143">
        <v>1078.43</v>
      </c>
      <c r="J73" s="345">
        <f>(I73*17*0.02)*0.5</f>
        <v>183.33310000000003</v>
      </c>
      <c r="K73" s="24"/>
      <c r="L73" s="415" t="s">
        <v>530</v>
      </c>
    </row>
    <row r="74" spans="1:13">
      <c r="A74" s="416" t="s">
        <v>533</v>
      </c>
      <c r="B74" s="419">
        <v>845563</v>
      </c>
      <c r="C74" s="71" t="s">
        <v>506</v>
      </c>
      <c r="D74" s="338" t="s">
        <v>429</v>
      </c>
      <c r="E74" s="360">
        <v>424171</v>
      </c>
      <c r="F74" s="237"/>
      <c r="G74" s="22">
        <v>2034</v>
      </c>
      <c r="H74" s="22"/>
      <c r="I74" s="143">
        <v>350</v>
      </c>
      <c r="J74" s="345">
        <f>(I74*17*0.02)*0.5</f>
        <v>59.5</v>
      </c>
      <c r="K74" s="24">
        <f t="shared" ref="K74:K88" si="4">J74</f>
        <v>59.5</v>
      </c>
      <c r="L74" s="399"/>
    </row>
    <row r="75" spans="1:13" s="6" customFormat="1">
      <c r="A75" s="416" t="s">
        <v>533</v>
      </c>
      <c r="B75" s="419">
        <v>882443</v>
      </c>
      <c r="C75" s="71" t="s">
        <v>505</v>
      </c>
      <c r="D75" s="338" t="s">
        <v>427</v>
      </c>
      <c r="E75" s="364">
        <v>612118</v>
      </c>
      <c r="F75" s="237"/>
      <c r="G75" s="22">
        <v>2030</v>
      </c>
      <c r="H75" s="22"/>
      <c r="I75" s="143">
        <v>1078.43</v>
      </c>
      <c r="J75" s="345">
        <f>(I75*13*0.02)*0.5</f>
        <v>140.19589999999999</v>
      </c>
      <c r="K75" s="24">
        <f t="shared" si="4"/>
        <v>140.19589999999999</v>
      </c>
      <c r="L75" s="399"/>
    </row>
    <row r="76" spans="1:13" s="6" customFormat="1">
      <c r="A76" s="416" t="s">
        <v>533</v>
      </c>
      <c r="B76" s="419">
        <v>973272</v>
      </c>
      <c r="C76" s="71" t="s">
        <v>507</v>
      </c>
      <c r="D76" s="338" t="s">
        <v>306</v>
      </c>
      <c r="E76" s="364">
        <v>61025510</v>
      </c>
      <c r="F76" s="237"/>
      <c r="G76" s="22"/>
      <c r="H76" s="22"/>
      <c r="I76" s="143">
        <v>663.96</v>
      </c>
      <c r="J76" s="141">
        <f>(I76/12*3.5)*0.5</f>
        <v>96.827500000000015</v>
      </c>
      <c r="K76" s="24">
        <f t="shared" si="4"/>
        <v>96.827500000000015</v>
      </c>
      <c r="L76" s="399"/>
    </row>
    <row r="77" spans="1:13" s="6" customFormat="1">
      <c r="A77" s="416" t="s">
        <v>533</v>
      </c>
      <c r="B77" s="419">
        <v>259955</v>
      </c>
      <c r="C77" s="71" t="s">
        <v>508</v>
      </c>
      <c r="D77" s="338" t="s">
        <v>306</v>
      </c>
      <c r="E77" s="364">
        <v>61026528</v>
      </c>
      <c r="F77" s="237"/>
      <c r="G77" s="28"/>
      <c r="H77" s="28"/>
      <c r="I77" s="346">
        <v>723.48</v>
      </c>
      <c r="J77" s="141">
        <f>(I77/12*3.5)*0.5</f>
        <v>105.50749999999999</v>
      </c>
      <c r="K77" s="24">
        <f t="shared" si="4"/>
        <v>105.50749999999999</v>
      </c>
      <c r="L77" s="396"/>
    </row>
    <row r="78" spans="1:13" s="3" customFormat="1">
      <c r="A78" s="416" t="s">
        <v>533</v>
      </c>
      <c r="B78" s="419">
        <v>952598</v>
      </c>
      <c r="C78" s="77" t="s">
        <v>100</v>
      </c>
      <c r="D78" s="338" t="s">
        <v>427</v>
      </c>
      <c r="E78" s="362">
        <v>825436</v>
      </c>
      <c r="F78" s="237"/>
      <c r="G78" s="32">
        <v>2045</v>
      </c>
      <c r="H78" s="32"/>
      <c r="I78" s="345">
        <v>1176.48</v>
      </c>
      <c r="J78" s="345">
        <f>(I78*28*0.02)*0.5</f>
        <v>329.41440000000006</v>
      </c>
      <c r="K78" s="24">
        <f t="shared" si="4"/>
        <v>329.41440000000006</v>
      </c>
      <c r="L78" s="400"/>
    </row>
    <row r="79" spans="1:13" s="3" customFormat="1">
      <c r="A79" s="416" t="s">
        <v>533</v>
      </c>
      <c r="B79" s="419">
        <v>492356</v>
      </c>
      <c r="C79" s="77" t="s">
        <v>185</v>
      </c>
      <c r="D79" s="338" t="s">
        <v>427</v>
      </c>
      <c r="E79" s="362">
        <v>825447</v>
      </c>
      <c r="F79" s="237"/>
      <c r="G79" s="32">
        <v>2033</v>
      </c>
      <c r="H79" s="32"/>
      <c r="I79" s="345">
        <v>823.56</v>
      </c>
      <c r="J79" s="345">
        <f>(I79*16*0.02)*0.5</f>
        <v>131.7696</v>
      </c>
      <c r="K79" s="24">
        <f t="shared" si="4"/>
        <v>131.7696</v>
      </c>
      <c r="L79" s="400"/>
    </row>
    <row r="80" spans="1:13" s="4" customFormat="1">
      <c r="A80" s="416" t="s">
        <v>533</v>
      </c>
      <c r="B80" s="419">
        <v>975116</v>
      </c>
      <c r="C80" s="74" t="s">
        <v>518</v>
      </c>
      <c r="D80" s="338" t="s">
        <v>433</v>
      </c>
      <c r="E80" s="362"/>
      <c r="F80" s="237"/>
      <c r="G80" s="25"/>
      <c r="H80" s="25"/>
      <c r="I80" s="345">
        <v>6531.79</v>
      </c>
      <c r="J80" s="92">
        <f>(I80*0.075)*0.5</f>
        <v>244.94212499999998</v>
      </c>
      <c r="K80" s="24">
        <f t="shared" si="4"/>
        <v>244.94212499999998</v>
      </c>
      <c r="L80" s="398"/>
      <c r="M80" s="3"/>
    </row>
    <row r="81" spans="1:12">
      <c r="A81" s="416" t="s">
        <v>533</v>
      </c>
      <c r="B81" s="419">
        <v>971952</v>
      </c>
      <c r="C81" s="74" t="s">
        <v>509</v>
      </c>
      <c r="D81" s="338" t="s">
        <v>511</v>
      </c>
      <c r="E81" s="362">
        <v>20411444</v>
      </c>
      <c r="F81" s="237"/>
      <c r="G81" s="35"/>
      <c r="H81" s="35"/>
      <c r="I81" s="345">
        <v>678.92</v>
      </c>
      <c r="J81" s="143">
        <f>I81*0.08</f>
        <v>54.313600000000001</v>
      </c>
      <c r="K81" s="24">
        <f t="shared" si="4"/>
        <v>54.313600000000001</v>
      </c>
      <c r="L81" s="398"/>
    </row>
    <row r="82" spans="1:12">
      <c r="A82" s="416" t="s">
        <v>533</v>
      </c>
      <c r="B82" s="419">
        <v>521956</v>
      </c>
      <c r="C82" s="77" t="s">
        <v>406</v>
      </c>
      <c r="D82" s="338" t="s">
        <v>435</v>
      </c>
      <c r="E82" s="362">
        <v>20411589</v>
      </c>
      <c r="F82" s="237"/>
      <c r="G82" s="25"/>
      <c r="H82" s="25"/>
      <c r="I82" s="345">
        <v>1795.47</v>
      </c>
      <c r="J82" s="345">
        <f>800*0.05+995.47*0.065</f>
        <v>104.70555</v>
      </c>
      <c r="K82" s="24">
        <f t="shared" si="4"/>
        <v>104.70555</v>
      </c>
      <c r="L82" s="398"/>
    </row>
    <row r="83" spans="1:12">
      <c r="A83" s="416" t="s">
        <v>533</v>
      </c>
      <c r="B83" s="419">
        <v>962753</v>
      </c>
      <c r="C83" s="77" t="s">
        <v>512</v>
      </c>
      <c r="D83" s="338" t="s">
        <v>435</v>
      </c>
      <c r="E83" s="362">
        <v>20414927</v>
      </c>
      <c r="F83" s="237"/>
      <c r="G83" s="25"/>
      <c r="H83" s="25"/>
      <c r="I83" s="345">
        <v>1612.84</v>
      </c>
      <c r="J83" s="345">
        <f>800*0.05+812.84*0.065</f>
        <v>92.834599999999995</v>
      </c>
      <c r="K83" s="24">
        <f t="shared" si="4"/>
        <v>92.834599999999995</v>
      </c>
      <c r="L83" s="398"/>
    </row>
    <row r="84" spans="1:12">
      <c r="A84" s="416" t="s">
        <v>533</v>
      </c>
      <c r="B84" s="419">
        <v>976480</v>
      </c>
      <c r="C84" s="77" t="s">
        <v>513</v>
      </c>
      <c r="D84" s="338" t="s">
        <v>429</v>
      </c>
      <c r="E84" s="362">
        <v>826142</v>
      </c>
      <c r="F84" s="237"/>
      <c r="G84" s="25">
        <v>2028</v>
      </c>
      <c r="H84" s="25"/>
      <c r="I84" s="345">
        <v>3199.92</v>
      </c>
      <c r="J84" s="345">
        <f>(I84*11*0.02)*0.5</f>
        <v>351.99120000000005</v>
      </c>
      <c r="K84" s="24">
        <f t="shared" si="4"/>
        <v>351.99120000000005</v>
      </c>
      <c r="L84" s="398"/>
    </row>
    <row r="85" spans="1:12">
      <c r="A85" s="416" t="s">
        <v>533</v>
      </c>
      <c r="B85" s="419">
        <v>793853</v>
      </c>
      <c r="C85" s="77" t="s">
        <v>514</v>
      </c>
      <c r="D85" s="338" t="s">
        <v>306</v>
      </c>
      <c r="E85" s="362">
        <v>61025794</v>
      </c>
      <c r="F85" s="237"/>
      <c r="G85" s="25"/>
      <c r="H85" s="25"/>
      <c r="I85" s="345">
        <v>145.08000000000001</v>
      </c>
      <c r="J85" s="141">
        <f>(I85/12*3.5)*0.5</f>
        <v>21.157500000000002</v>
      </c>
      <c r="K85" s="24">
        <f t="shared" si="4"/>
        <v>21.157500000000002</v>
      </c>
      <c r="L85" s="398"/>
    </row>
    <row r="86" spans="1:12">
      <c r="A86" s="416" t="s">
        <v>533</v>
      </c>
      <c r="B86" s="419">
        <v>974373</v>
      </c>
      <c r="C86" s="77" t="s">
        <v>515</v>
      </c>
      <c r="D86" s="338" t="s">
        <v>436</v>
      </c>
      <c r="E86" s="362">
        <v>20414253</v>
      </c>
      <c r="F86" s="237"/>
      <c r="G86" s="25"/>
      <c r="H86" s="25"/>
      <c r="I86" s="345">
        <v>168.5</v>
      </c>
      <c r="J86" s="143">
        <f>I86*0.08</f>
        <v>13.48</v>
      </c>
      <c r="K86" s="24">
        <f t="shared" si="4"/>
        <v>13.48</v>
      </c>
      <c r="L86" s="398"/>
    </row>
    <row r="87" spans="1:12">
      <c r="A87" s="416" t="s">
        <v>533</v>
      </c>
      <c r="B87" s="419">
        <v>974377</v>
      </c>
      <c r="C87" s="77" t="s">
        <v>516</v>
      </c>
      <c r="D87" s="338" t="s">
        <v>436</v>
      </c>
      <c r="E87" s="362">
        <v>20414259</v>
      </c>
      <c r="F87" s="237"/>
      <c r="G87" s="25"/>
      <c r="H87" s="25"/>
      <c r="I87" s="345">
        <v>168.5</v>
      </c>
      <c r="J87" s="143">
        <f>I87*0.08</f>
        <v>13.48</v>
      </c>
      <c r="K87" s="24">
        <f t="shared" si="4"/>
        <v>13.48</v>
      </c>
      <c r="L87" s="398"/>
    </row>
    <row r="88" spans="1:12" ht="30">
      <c r="A88" s="416"/>
      <c r="B88" s="435">
        <v>782333</v>
      </c>
      <c r="C88" s="386" t="s">
        <v>402</v>
      </c>
      <c r="D88" s="243" t="s">
        <v>299</v>
      </c>
      <c r="E88" s="243">
        <v>806102</v>
      </c>
      <c r="F88" s="243"/>
      <c r="G88" s="243">
        <v>2033</v>
      </c>
      <c r="H88" s="22"/>
      <c r="I88" s="387">
        <v>1100</v>
      </c>
      <c r="J88" s="388">
        <v>-211.2</v>
      </c>
      <c r="K88" s="388">
        <f t="shared" si="4"/>
        <v>-211.2</v>
      </c>
      <c r="L88" s="401" t="s">
        <v>529</v>
      </c>
    </row>
    <row r="89" spans="1:12" ht="15">
      <c r="A89" s="416"/>
      <c r="B89" s="459">
        <v>524936</v>
      </c>
      <c r="C89" s="412" t="s">
        <v>390</v>
      </c>
      <c r="D89" s="240" t="s">
        <v>51</v>
      </c>
      <c r="E89" s="240">
        <v>20360252</v>
      </c>
      <c r="F89" s="243"/>
      <c r="G89" s="243"/>
      <c r="H89" s="424"/>
      <c r="I89" s="411">
        <v>1463.39</v>
      </c>
      <c r="J89" s="422">
        <f>-I89*0.12</f>
        <v>-175.60679999999999</v>
      </c>
      <c r="K89" s="388">
        <f>J89</f>
        <v>-175.60679999999999</v>
      </c>
      <c r="L89" s="401" t="s">
        <v>534</v>
      </c>
    </row>
    <row r="90" spans="1:12">
      <c r="A90" s="416"/>
      <c r="B90" s="460">
        <v>729789</v>
      </c>
      <c r="C90" s="405" t="s">
        <v>457</v>
      </c>
      <c r="D90" s="384" t="s">
        <v>432</v>
      </c>
      <c r="E90" s="406">
        <v>611756</v>
      </c>
      <c r="F90" s="237"/>
      <c r="G90" s="240">
        <v>2032</v>
      </c>
      <c r="H90" s="240"/>
      <c r="I90" s="407">
        <v>600</v>
      </c>
      <c r="J90" s="407">
        <f>-(I90*15*0.027)*0.6</f>
        <v>-145.79999999999998</v>
      </c>
      <c r="K90" s="408">
        <f t="shared" ref="K90" si="5">J90</f>
        <v>-145.79999999999998</v>
      </c>
      <c r="L90" s="401" t="s">
        <v>526</v>
      </c>
    </row>
    <row r="91" spans="1:12">
      <c r="A91" s="416"/>
      <c r="B91" s="461">
        <v>729789</v>
      </c>
      <c r="C91" s="451" t="s">
        <v>457</v>
      </c>
      <c r="D91" s="445" t="s">
        <v>432</v>
      </c>
      <c r="E91" s="452">
        <v>611756</v>
      </c>
      <c r="F91" s="453"/>
      <c r="G91" s="444">
        <v>2032</v>
      </c>
      <c r="H91" s="444"/>
      <c r="I91" s="454">
        <v>600</v>
      </c>
      <c r="J91" s="454">
        <f>(I91*15*0.03)*0.6</f>
        <v>162</v>
      </c>
      <c r="K91" s="455">
        <f>J91</f>
        <v>162</v>
      </c>
      <c r="L91" s="456" t="s">
        <v>527</v>
      </c>
    </row>
    <row r="92" spans="1:12" ht="30">
      <c r="A92" s="416"/>
      <c r="B92" s="435">
        <v>773696</v>
      </c>
      <c r="C92" s="412" t="s">
        <v>363</v>
      </c>
      <c r="D92" s="240" t="s">
        <v>252</v>
      </c>
      <c r="E92" s="240">
        <v>441443</v>
      </c>
      <c r="F92" s="240"/>
      <c r="G92" s="240">
        <v>2026</v>
      </c>
      <c r="H92" s="410"/>
      <c r="I92" s="411">
        <v>600</v>
      </c>
      <c r="J92" s="407">
        <v>-64.8</v>
      </c>
      <c r="K92" s="408">
        <f>J92</f>
        <v>-64.8</v>
      </c>
      <c r="L92" s="401" t="s">
        <v>525</v>
      </c>
    </row>
    <row r="93" spans="1:12" ht="19.5" thickBot="1">
      <c r="A93" s="462" t="s">
        <v>533</v>
      </c>
      <c r="B93" s="103"/>
      <c r="C93" s="172" t="s">
        <v>281</v>
      </c>
      <c r="D93" s="339"/>
      <c r="E93" s="365"/>
      <c r="F93" s="318"/>
      <c r="G93" s="166"/>
      <c r="H93" s="166"/>
      <c r="I93" s="347"/>
      <c r="J93" s="347"/>
      <c r="K93" s="373">
        <f>SUM(K71:K92)</f>
        <v>1560.0071750000002</v>
      </c>
      <c r="L93" s="398"/>
    </row>
    <row r="94" spans="1:12" ht="19.5" thickBot="1">
      <c r="A94" s="80"/>
      <c r="B94" s="80"/>
      <c r="C94" s="176"/>
      <c r="D94" s="341"/>
      <c r="E94" s="366"/>
      <c r="F94" s="320"/>
      <c r="G94" s="178"/>
      <c r="H94" s="331"/>
      <c r="I94" s="348"/>
      <c r="J94" s="353"/>
      <c r="K94" s="181"/>
      <c r="L94" s="398"/>
    </row>
    <row r="95" spans="1:12" ht="19.5" thickBot="1">
      <c r="A95" s="103"/>
      <c r="B95" s="103"/>
      <c r="C95" s="173" t="s">
        <v>282</v>
      </c>
      <c r="D95" s="342"/>
      <c r="E95" s="367"/>
      <c r="F95" s="321"/>
      <c r="G95" s="119"/>
      <c r="H95" s="270"/>
      <c r="I95" s="349"/>
      <c r="J95" s="354"/>
      <c r="K95" s="120">
        <f>SUM(K49,K70,K93)</f>
        <v>6159.9043249999995</v>
      </c>
      <c r="L95" s="398"/>
    </row>
    <row r="96" spans="1:12">
      <c r="A96" s="83"/>
      <c r="B96" s="83"/>
      <c r="C96" s="109"/>
      <c r="D96" s="343"/>
      <c r="E96" s="368"/>
      <c r="F96" s="322"/>
      <c r="G96" s="110"/>
      <c r="H96" s="332"/>
      <c r="I96" s="350"/>
      <c r="J96" s="329"/>
      <c r="K96" s="115"/>
      <c r="L96" s="398"/>
    </row>
    <row r="97" spans="1:12">
      <c r="A97" s="83"/>
      <c r="B97" s="83"/>
      <c r="C97" s="109" t="s">
        <v>226</v>
      </c>
      <c r="D97" s="343"/>
      <c r="E97" s="368"/>
      <c r="F97" s="322"/>
      <c r="G97" s="110"/>
      <c r="H97" s="332"/>
      <c r="I97" s="350"/>
      <c r="J97" s="329"/>
      <c r="K97" s="115">
        <f>K7</f>
        <v>7811.96</v>
      </c>
      <c r="L97" s="398"/>
    </row>
    <row r="98" spans="1:12">
      <c r="A98" s="83"/>
      <c r="B98" s="83"/>
      <c r="C98" s="109" t="s">
        <v>224</v>
      </c>
      <c r="D98" s="343"/>
      <c r="E98" s="368"/>
      <c r="F98" s="322"/>
      <c r="G98" s="110"/>
      <c r="H98" s="332"/>
      <c r="I98" s="350"/>
      <c r="J98" s="329"/>
      <c r="K98" s="115">
        <f>SUM(K95:K97)</f>
        <v>13971.864324999999</v>
      </c>
      <c r="L98" s="398"/>
    </row>
    <row r="99" spans="1:12" s="67" customFormat="1" ht="19.5" thickBot="1">
      <c r="A99" s="83"/>
      <c r="B99" s="83"/>
      <c r="C99" s="104" t="s">
        <v>227</v>
      </c>
      <c r="D99" s="339"/>
      <c r="E99" s="363"/>
      <c r="F99" s="318"/>
      <c r="G99" s="42"/>
      <c r="H99" s="333"/>
      <c r="I99" s="351"/>
      <c r="J99" s="355"/>
      <c r="K99" s="24">
        <f>K98/3</f>
        <v>4657.2881083333332</v>
      </c>
      <c r="L99" s="402"/>
    </row>
    <row r="100" spans="1:12" s="63" customFormat="1">
      <c r="A100" s="83"/>
      <c r="B100" s="83"/>
      <c r="C100" s="64"/>
      <c r="D100" s="344"/>
      <c r="E100" s="369"/>
      <c r="F100" s="323"/>
      <c r="G100" s="414"/>
      <c r="H100" s="414"/>
      <c r="I100" s="134"/>
      <c r="J100" s="139"/>
      <c r="K100" s="68"/>
      <c r="L100" s="403"/>
    </row>
    <row r="101" spans="1:12" s="63" customFormat="1">
      <c r="A101" s="83"/>
      <c r="B101" s="83"/>
      <c r="C101" s="64"/>
      <c r="D101" s="344"/>
      <c r="E101" s="369"/>
      <c r="F101" s="323"/>
      <c r="G101" s="414"/>
      <c r="H101" s="414"/>
      <c r="I101" s="134"/>
      <c r="J101" s="129"/>
      <c r="K101" s="66"/>
      <c r="L101" s="403"/>
    </row>
    <row r="102" spans="1:12" s="63" customFormat="1">
      <c r="A102" s="83"/>
      <c r="B102" s="83"/>
      <c r="C102" s="64"/>
      <c r="D102" s="344"/>
      <c r="E102" s="369"/>
      <c r="F102" s="323"/>
      <c r="G102" s="414"/>
      <c r="H102" s="414"/>
      <c r="I102" s="134"/>
      <c r="J102" s="129"/>
      <c r="K102" s="66"/>
      <c r="L102" s="403"/>
    </row>
    <row r="103" spans="1:12" s="63" customFormat="1">
      <c r="A103" s="83"/>
      <c r="B103" s="83"/>
      <c r="C103" s="64"/>
      <c r="D103" s="344"/>
      <c r="E103" s="369"/>
      <c r="F103" s="323"/>
      <c r="G103" s="414"/>
      <c r="H103" s="414"/>
      <c r="I103" s="134"/>
      <c r="J103" s="129"/>
      <c r="K103" s="66"/>
      <c r="L103" s="403"/>
    </row>
    <row r="104" spans="1:12">
      <c r="C104" s="64"/>
      <c r="D104" s="344"/>
      <c r="E104" s="369"/>
      <c r="F104" s="323"/>
      <c r="G104" s="414"/>
      <c r="H104" s="414"/>
      <c r="I104" s="134"/>
      <c r="J104" s="129"/>
      <c r="K104" s="66"/>
    </row>
  </sheetData>
  <dataValidations count="6">
    <dataValidation type="list" allowBlank="1" showInputMessage="1" showErrorMessage="1" prompt="CHOIX PRODUIT" sqref="D10:D29">
      <formula1>"MOBILE2016,MOBILE Regio,REEBOU Family,REEBOU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Liste choix" sqref="D31:D48">
      <formula1>"MOBILE2016,MOBILE2007,MOBILE Regio,REEBOU Family,REEBOU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CHOIX PRODUIT" sqref="D71 D30">
      <formula1>"MOBILE2016,MOBILE Regio,REEBOUfamily,REEBOUpack,REEBOUpro,REEBOUinvest,LOGGIA,MEDICIS,RC,RC ENSEIGN,ZENITH60op100,ZENITH60op25,HORIZONT60invest,HORIZONT60protect,HORIZONT60capi,HELIOS100protect,HELIOS60invest,HELIOS100invest,FOCUS,NOVA,BSH"</formula1>
    </dataValidation>
    <dataValidation type="list" allowBlank="1" showInputMessage="1" showErrorMessage="1" prompt="Liste choix" sqref="D90:D91">
      <formula1>"MOBILE2016,MOBILE Regio,REEBOU Family,REEBOU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Liste choix" sqref="D92 D72:D89 D50:D69">
      <formula1>"MOBILE2016,MOBILE Regio,REEBOU Family,REEBOUImmo,REEBOU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Liste choix" sqref="C104">
      <formula1>"REEBOU FAMILY,MOBILE 2016,PACK REEBOU FAMILY,MEDICIS,HORIZONT INVEST,RC ENSEIGNANT"</formula1>
    </dataValidation>
  </dataValidations>
  <printOptions horizontalCentered="1" verticalCentered="1" gridLines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 xml:space="preserve">&amp;C&amp;"-,Gras"&amp;14COMMISSION JEFF DERAPPE 4èmeTRIMESTRE 2017
</oddHeader>
    <oddFooter xml:space="preserve">&amp;L&amp;8&amp;Z&amp;F&amp;C&amp;7&amp;P/&amp;N&amp;RModfié le &amp;D </oddFooter>
  </headerFooter>
  <rowBreaks count="2" manualBreakCount="2">
    <brk id="49" max="9" man="1"/>
    <brk id="70" max="9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FF0000"/>
  </sheetPr>
  <dimension ref="A1:M103"/>
  <sheetViews>
    <sheetView zoomScaleNormal="100" workbookViewId="0">
      <selection activeCell="B35" sqref="B35"/>
    </sheetView>
    <sheetView workbookViewId="1"/>
    <sheetView workbookViewId="2"/>
  </sheetViews>
  <sheetFormatPr baseColWidth="10" defaultRowHeight="18.75"/>
  <cols>
    <col min="1" max="1" width="12.7109375" style="78" customWidth="1"/>
    <col min="2" max="2" width="17.42578125" style="78" customWidth="1"/>
    <col min="3" max="3" width="30.42578125" style="7" customWidth="1"/>
    <col min="4" max="4" width="21.7109375" style="336" customWidth="1"/>
    <col min="5" max="5" width="24.7109375" style="357" hidden="1" customWidth="1"/>
    <col min="6" max="6" width="3.7109375" style="212" hidden="1" customWidth="1"/>
    <col min="7" max="7" width="10.140625" style="1" hidden="1" customWidth="1"/>
    <col min="8" max="8" width="13.28515625" style="1" hidden="1" customWidth="1"/>
    <col min="9" max="9" width="13.140625" style="130" customWidth="1"/>
    <col min="10" max="10" width="12.42578125" style="127" customWidth="1"/>
    <col min="11" max="11" width="12.140625" style="2" customWidth="1"/>
    <col min="12" max="12" width="17.7109375" style="396" customWidth="1"/>
    <col min="13" max="14" width="9.28515625" customWidth="1"/>
  </cols>
  <sheetData>
    <row r="1" spans="1:12" ht="30">
      <c r="A1" s="470" t="s">
        <v>562</v>
      </c>
      <c r="C1" s="20" t="s">
        <v>189</v>
      </c>
      <c r="D1" s="338">
        <v>3</v>
      </c>
      <c r="E1" s="7"/>
      <c r="G1" s="1" t="s">
        <v>521</v>
      </c>
      <c r="H1" s="210"/>
      <c r="I1" s="1" t="s">
        <v>208</v>
      </c>
      <c r="K1" s="10">
        <v>183</v>
      </c>
    </row>
    <row r="2" spans="1:12">
      <c r="C2" s="20" t="s">
        <v>467</v>
      </c>
      <c r="D2" s="338"/>
      <c r="E2" s="357" t="s">
        <v>523</v>
      </c>
      <c r="G2" s="1">
        <f>7*8</f>
        <v>56</v>
      </c>
      <c r="H2" s="11"/>
      <c r="I2" s="357" t="s">
        <v>471</v>
      </c>
      <c r="J2" s="126"/>
      <c r="K2" s="10">
        <f>56*7.66</f>
        <v>428.96000000000004</v>
      </c>
    </row>
    <row r="3" spans="1:12">
      <c r="C3" s="20" t="s">
        <v>70</v>
      </c>
      <c r="D3" s="338" t="s">
        <v>230</v>
      </c>
      <c r="G3" s="11"/>
      <c r="H3" s="11"/>
      <c r="I3" s="126"/>
      <c r="J3" s="126"/>
      <c r="K3" s="10">
        <v>2400</v>
      </c>
    </row>
    <row r="4" spans="1:12">
      <c r="C4" s="20" t="s">
        <v>70</v>
      </c>
      <c r="D4" s="338" t="s">
        <v>231</v>
      </c>
      <c r="G4" s="11"/>
      <c r="H4" s="11"/>
      <c r="I4" s="126"/>
      <c r="J4" s="126"/>
      <c r="K4" s="10">
        <v>2400</v>
      </c>
    </row>
    <row r="5" spans="1:12">
      <c r="C5" s="20" t="s">
        <v>70</v>
      </c>
      <c r="D5" s="338" t="s">
        <v>232</v>
      </c>
      <c r="G5" s="11"/>
      <c r="H5" s="11"/>
      <c r="I5" s="126"/>
      <c r="J5" s="126"/>
      <c r="K5" s="10">
        <v>2400</v>
      </c>
    </row>
    <row r="6" spans="1:12">
      <c r="C6" s="20" t="s">
        <v>465</v>
      </c>
      <c r="D6" s="385" t="s">
        <v>522</v>
      </c>
      <c r="E6" s="7"/>
      <c r="G6" s="11"/>
      <c r="H6" s="11"/>
      <c r="I6" s="126"/>
      <c r="J6" s="126"/>
      <c r="K6" s="10"/>
    </row>
    <row r="7" spans="1:12">
      <c r="C7" s="20" t="s">
        <v>225</v>
      </c>
      <c r="D7" s="338"/>
      <c r="G7" s="11"/>
      <c r="H7" s="11"/>
      <c r="I7" s="126"/>
      <c r="J7" s="126"/>
      <c r="K7" s="117">
        <f>SUM(K1:K5)</f>
        <v>7811.96</v>
      </c>
    </row>
    <row r="8" spans="1:12" ht="19.5" thickBot="1">
      <c r="L8" s="397"/>
    </row>
    <row r="9" spans="1:12" ht="30">
      <c r="A9" s="314" t="s">
        <v>411</v>
      </c>
      <c r="B9" s="314" t="s">
        <v>412</v>
      </c>
      <c r="C9" s="315" t="s">
        <v>0</v>
      </c>
      <c r="D9" s="337" t="s">
        <v>50</v>
      </c>
      <c r="E9" s="358" t="s">
        <v>410</v>
      </c>
      <c r="F9" s="316" t="s">
        <v>423</v>
      </c>
      <c r="G9" s="16" t="s">
        <v>53</v>
      </c>
      <c r="H9" s="17" t="s">
        <v>424</v>
      </c>
      <c r="I9" s="184" t="s">
        <v>74</v>
      </c>
      <c r="J9" s="135" t="s">
        <v>1</v>
      </c>
      <c r="K9" s="19" t="s">
        <v>92</v>
      </c>
      <c r="L9" s="396">
        <v>0.45</v>
      </c>
    </row>
    <row r="10" spans="1:12" hidden="1">
      <c r="A10" s="81"/>
      <c r="B10" s="81" t="s">
        <v>426</v>
      </c>
      <c r="C10" s="326" t="s">
        <v>434</v>
      </c>
      <c r="D10" s="334" t="s">
        <v>435</v>
      </c>
      <c r="E10" s="359" t="s">
        <v>425</v>
      </c>
      <c r="F10" s="327"/>
      <c r="G10" s="22"/>
      <c r="H10" s="22"/>
      <c r="I10" s="140">
        <v>100</v>
      </c>
      <c r="J10" s="143"/>
      <c r="K10" s="330">
        <f>J10</f>
        <v>0</v>
      </c>
    </row>
    <row r="11" spans="1:12" hidden="1">
      <c r="A11" s="81"/>
      <c r="B11" s="81" t="s">
        <v>426</v>
      </c>
      <c r="C11" s="326" t="s">
        <v>434</v>
      </c>
      <c r="D11" s="334" t="s">
        <v>441</v>
      </c>
      <c r="E11" s="359" t="s">
        <v>425</v>
      </c>
      <c r="F11" s="327"/>
      <c r="G11" s="22"/>
      <c r="H11" s="22"/>
      <c r="I11" s="140">
        <v>100</v>
      </c>
      <c r="J11" s="143"/>
      <c r="K11" s="330">
        <f t="shared" ref="K11:K30" si="0">J11</f>
        <v>0</v>
      </c>
    </row>
    <row r="12" spans="1:12" hidden="1">
      <c r="A12" s="81"/>
      <c r="B12" s="81" t="s">
        <v>426</v>
      </c>
      <c r="C12" s="326" t="s">
        <v>434</v>
      </c>
      <c r="D12" s="334" t="s">
        <v>436</v>
      </c>
      <c r="E12" s="359" t="s">
        <v>425</v>
      </c>
      <c r="F12" s="327"/>
      <c r="G12" s="22"/>
      <c r="H12" s="22"/>
      <c r="I12" s="140">
        <v>100</v>
      </c>
      <c r="J12" s="143">
        <f>I12*0.12</f>
        <v>12</v>
      </c>
      <c r="K12" s="330">
        <f t="shared" si="0"/>
        <v>12</v>
      </c>
    </row>
    <row r="13" spans="1:12" hidden="1">
      <c r="A13" s="81"/>
      <c r="B13" s="81" t="s">
        <v>426</v>
      </c>
      <c r="C13" s="326" t="s">
        <v>426</v>
      </c>
      <c r="D13" s="334" t="s">
        <v>437</v>
      </c>
      <c r="E13" s="359" t="s">
        <v>425</v>
      </c>
      <c r="F13" s="327"/>
      <c r="G13" s="22"/>
      <c r="H13" s="22"/>
      <c r="I13" s="140">
        <v>100</v>
      </c>
      <c r="J13" s="143">
        <f>I13*0.15</f>
        <v>15</v>
      </c>
      <c r="K13" s="330">
        <f t="shared" si="0"/>
        <v>15</v>
      </c>
    </row>
    <row r="14" spans="1:12" hidden="1">
      <c r="A14" s="81"/>
      <c r="B14" s="81" t="s">
        <v>426</v>
      </c>
      <c r="C14" s="326" t="s">
        <v>426</v>
      </c>
      <c r="D14" s="334" t="s">
        <v>438</v>
      </c>
      <c r="E14" s="359" t="s">
        <v>425</v>
      </c>
      <c r="F14" s="327"/>
      <c r="G14" s="22"/>
      <c r="H14" s="22"/>
      <c r="I14" s="140">
        <v>100</v>
      </c>
      <c r="J14" s="143">
        <f>I14*0.12</f>
        <v>12</v>
      </c>
      <c r="K14" s="330">
        <f t="shared" si="0"/>
        <v>12</v>
      </c>
    </row>
    <row r="15" spans="1:12" hidden="1">
      <c r="A15" s="81"/>
      <c r="B15" s="81" t="s">
        <v>426</v>
      </c>
      <c r="C15" s="326" t="s">
        <v>426</v>
      </c>
      <c r="D15" s="334" t="s">
        <v>439</v>
      </c>
      <c r="E15" s="359" t="s">
        <v>425</v>
      </c>
      <c r="F15" s="327"/>
      <c r="G15" s="22"/>
      <c r="H15" s="22"/>
      <c r="I15" s="140">
        <v>100</v>
      </c>
      <c r="J15" s="143">
        <f>I15*0.12</f>
        <v>12</v>
      </c>
      <c r="K15" s="330">
        <f t="shared" si="0"/>
        <v>12</v>
      </c>
    </row>
    <row r="16" spans="1:12" hidden="1">
      <c r="A16" s="81"/>
      <c r="B16" s="81" t="s">
        <v>426</v>
      </c>
      <c r="C16" s="326" t="s">
        <v>426</v>
      </c>
      <c r="D16" s="334" t="s">
        <v>183</v>
      </c>
      <c r="E16" s="359" t="s">
        <v>425</v>
      </c>
      <c r="F16" s="327"/>
      <c r="G16" s="22"/>
      <c r="H16" s="22"/>
      <c r="I16" s="140">
        <v>100</v>
      </c>
      <c r="J16" s="143">
        <f>I16*0.12</f>
        <v>12</v>
      </c>
      <c r="K16" s="330">
        <f t="shared" si="0"/>
        <v>12</v>
      </c>
    </row>
    <row r="17" spans="1:11" hidden="1">
      <c r="A17" s="81"/>
      <c r="B17" s="81" t="s">
        <v>426</v>
      </c>
      <c r="C17" s="326" t="s">
        <v>426</v>
      </c>
      <c r="D17" s="334" t="s">
        <v>306</v>
      </c>
      <c r="E17" s="359" t="s">
        <v>425</v>
      </c>
      <c r="F17" s="327"/>
      <c r="G17" s="114"/>
      <c r="H17" s="114"/>
      <c r="I17" s="140">
        <v>100</v>
      </c>
      <c r="J17" s="329">
        <f>((I17/12)*3.5)*0.6</f>
        <v>17.5</v>
      </c>
      <c r="K17" s="330">
        <f t="shared" si="0"/>
        <v>17.5</v>
      </c>
    </row>
    <row r="18" spans="1:11" hidden="1">
      <c r="A18" s="81"/>
      <c r="B18" s="81" t="s">
        <v>426</v>
      </c>
      <c r="C18" s="326" t="s">
        <v>426</v>
      </c>
      <c r="D18" s="334" t="s">
        <v>440</v>
      </c>
      <c r="E18" s="359" t="s">
        <v>425</v>
      </c>
      <c r="F18" s="327"/>
      <c r="G18" s="114"/>
      <c r="H18" s="114"/>
      <c r="I18" s="140">
        <v>100</v>
      </c>
      <c r="J18" s="143">
        <f>I18*0.12</f>
        <v>12</v>
      </c>
      <c r="K18" s="330">
        <f t="shared" si="0"/>
        <v>12</v>
      </c>
    </row>
    <row r="19" spans="1:11" hidden="1">
      <c r="A19" s="81"/>
      <c r="B19" s="81" t="s">
        <v>426</v>
      </c>
      <c r="C19" s="326" t="s">
        <v>426</v>
      </c>
      <c r="D19" s="334" t="s">
        <v>414</v>
      </c>
      <c r="E19" s="359" t="s">
        <v>425</v>
      </c>
      <c r="F19" s="327"/>
      <c r="G19" s="114"/>
      <c r="H19" s="114"/>
      <c r="I19" s="140">
        <v>100</v>
      </c>
      <c r="J19" s="143">
        <f>I19*0.12</f>
        <v>12</v>
      </c>
      <c r="K19" s="330">
        <f t="shared" si="0"/>
        <v>12</v>
      </c>
    </row>
    <row r="20" spans="1:11" hidden="1">
      <c r="A20" s="81"/>
      <c r="B20" s="81" t="s">
        <v>426</v>
      </c>
      <c r="C20" s="326" t="s">
        <v>426</v>
      </c>
      <c r="D20" s="334" t="s">
        <v>428</v>
      </c>
      <c r="E20" s="359" t="s">
        <v>425</v>
      </c>
      <c r="F20" s="327"/>
      <c r="G20" s="114">
        <v>2050</v>
      </c>
      <c r="H20" s="114" t="e">
        <f>G20-A1</f>
        <v>#VALUE!</v>
      </c>
      <c r="I20" s="328">
        <v>1000</v>
      </c>
      <c r="J20" s="329" t="e">
        <f>(I20*H20*0.027)*0.6</f>
        <v>#VALUE!</v>
      </c>
      <c r="K20" s="330" t="e">
        <f t="shared" si="0"/>
        <v>#VALUE!</v>
      </c>
    </row>
    <row r="21" spans="1:11" hidden="1">
      <c r="A21" s="81"/>
      <c r="B21" s="81" t="s">
        <v>426</v>
      </c>
      <c r="C21" s="326" t="s">
        <v>426</v>
      </c>
      <c r="D21" s="334" t="s">
        <v>442</v>
      </c>
      <c r="E21" s="359" t="s">
        <v>425</v>
      </c>
      <c r="F21" s="327"/>
      <c r="G21" s="114">
        <v>2050</v>
      </c>
      <c r="H21" s="114" t="e">
        <f>G21-A1</f>
        <v>#VALUE!</v>
      </c>
      <c r="I21" s="328">
        <v>1000</v>
      </c>
      <c r="J21" s="329" t="e">
        <f>(I21*H21*0.018)*0.6</f>
        <v>#VALUE!</v>
      </c>
      <c r="K21" s="330" t="e">
        <f t="shared" si="0"/>
        <v>#VALUE!</v>
      </c>
    </row>
    <row r="22" spans="1:11" hidden="1">
      <c r="A22" s="81"/>
      <c r="B22" s="81" t="s">
        <v>426</v>
      </c>
      <c r="C22" s="326" t="s">
        <v>426</v>
      </c>
      <c r="D22" s="334" t="s">
        <v>427</v>
      </c>
      <c r="E22" s="359" t="s">
        <v>425</v>
      </c>
      <c r="F22" s="327"/>
      <c r="G22" s="114">
        <v>2050</v>
      </c>
      <c r="H22" s="114" t="e">
        <f>G22-A1</f>
        <v>#VALUE!</v>
      </c>
      <c r="I22" s="328">
        <v>1000</v>
      </c>
      <c r="J22" s="329" t="e">
        <f>(I22*H22*0.02)*0.6</f>
        <v>#VALUE!</v>
      </c>
      <c r="K22" s="330" t="e">
        <f t="shared" si="0"/>
        <v>#VALUE!</v>
      </c>
    </row>
    <row r="23" spans="1:11" hidden="1">
      <c r="A23" s="81"/>
      <c r="B23" s="81" t="s">
        <v>426</v>
      </c>
      <c r="C23" s="326" t="s">
        <v>426</v>
      </c>
      <c r="D23" s="334" t="s">
        <v>430</v>
      </c>
      <c r="E23" s="359" t="s">
        <v>425</v>
      </c>
      <c r="F23" s="327"/>
      <c r="G23" s="114">
        <v>2050</v>
      </c>
      <c r="H23" s="114" t="e">
        <f>G23-A1</f>
        <v>#VALUE!</v>
      </c>
      <c r="I23" s="328">
        <v>1000</v>
      </c>
      <c r="J23" s="329" t="e">
        <f t="shared" ref="J23:J24" si="1">(I23*H23*0.02)*0.6</f>
        <v>#VALUE!</v>
      </c>
      <c r="K23" s="330" t="e">
        <f t="shared" si="0"/>
        <v>#VALUE!</v>
      </c>
    </row>
    <row r="24" spans="1:11" hidden="1">
      <c r="A24" s="81"/>
      <c r="B24" s="81" t="s">
        <v>426</v>
      </c>
      <c r="C24" s="326" t="s">
        <v>426</v>
      </c>
      <c r="D24" s="334" t="s">
        <v>429</v>
      </c>
      <c r="E24" s="359" t="s">
        <v>425</v>
      </c>
      <c r="F24" s="327"/>
      <c r="G24" s="114">
        <v>2050</v>
      </c>
      <c r="H24" s="114" t="e">
        <f>G24-A1</f>
        <v>#VALUE!</v>
      </c>
      <c r="I24" s="328">
        <v>1000</v>
      </c>
      <c r="J24" s="329" t="e">
        <f t="shared" si="1"/>
        <v>#VALUE!</v>
      </c>
      <c r="K24" s="330" t="e">
        <f t="shared" si="0"/>
        <v>#VALUE!</v>
      </c>
    </row>
    <row r="25" spans="1:11" hidden="1">
      <c r="A25" s="81"/>
      <c r="B25" s="81" t="s">
        <v>426</v>
      </c>
      <c r="C25" s="326" t="s">
        <v>426</v>
      </c>
      <c r="D25" s="334" t="s">
        <v>431</v>
      </c>
      <c r="E25" s="359" t="s">
        <v>425</v>
      </c>
      <c r="F25" s="327"/>
      <c r="G25" s="114">
        <v>2050</v>
      </c>
      <c r="H25" s="114" t="e">
        <f>G25-A1</f>
        <v>#VALUE!</v>
      </c>
      <c r="I25" s="328">
        <v>1000</v>
      </c>
      <c r="J25" s="329" t="e">
        <f>(I25*H25*0.027)*0.6</f>
        <v>#VALUE!</v>
      </c>
      <c r="K25" s="330" t="e">
        <f t="shared" si="0"/>
        <v>#VALUE!</v>
      </c>
    </row>
    <row r="26" spans="1:11" hidden="1">
      <c r="A26" s="81"/>
      <c r="B26" s="81" t="s">
        <v>426</v>
      </c>
      <c r="C26" s="326" t="s">
        <v>426</v>
      </c>
      <c r="D26" s="334" t="s">
        <v>432</v>
      </c>
      <c r="E26" s="359" t="s">
        <v>425</v>
      </c>
      <c r="F26" s="327"/>
      <c r="G26" s="114">
        <v>2050</v>
      </c>
      <c r="H26" s="114" t="e">
        <f>G26-A1</f>
        <v>#VALUE!</v>
      </c>
      <c r="I26" s="328">
        <v>1000</v>
      </c>
      <c r="J26" s="329" t="e">
        <f>(I26*H26*0.026)*0.6</f>
        <v>#VALUE!</v>
      </c>
      <c r="K26" s="330" t="e">
        <f t="shared" si="0"/>
        <v>#VALUE!</v>
      </c>
    </row>
    <row r="27" spans="1:11" hidden="1">
      <c r="A27" s="81"/>
      <c r="B27" s="81" t="s">
        <v>426</v>
      </c>
      <c r="C27" s="326" t="s">
        <v>426</v>
      </c>
      <c r="D27" s="334" t="s">
        <v>433</v>
      </c>
      <c r="E27" s="359" t="s">
        <v>425</v>
      </c>
      <c r="F27" s="327"/>
      <c r="G27" s="114"/>
      <c r="H27" s="114"/>
      <c r="I27" s="328">
        <v>10000</v>
      </c>
      <c r="J27" s="329">
        <f>I27*0.075*0.6</f>
        <v>450</v>
      </c>
      <c r="K27" s="330">
        <f t="shared" si="0"/>
        <v>450</v>
      </c>
    </row>
    <row r="28" spans="1:11" hidden="1">
      <c r="A28" s="81"/>
      <c r="B28" s="81" t="s">
        <v>426</v>
      </c>
      <c r="C28" s="326" t="s">
        <v>426</v>
      </c>
      <c r="D28" s="334" t="s">
        <v>365</v>
      </c>
      <c r="E28" s="359" t="s">
        <v>425</v>
      </c>
      <c r="F28" s="327"/>
      <c r="G28" s="114">
        <v>2050</v>
      </c>
      <c r="H28" s="114" t="e">
        <f>G28-A1</f>
        <v>#VALUE!</v>
      </c>
      <c r="I28" s="328">
        <v>1000</v>
      </c>
      <c r="J28" s="329" t="e">
        <f>(I28*H28*0.025)*0.6</f>
        <v>#VALUE!</v>
      </c>
      <c r="K28" s="330" t="e">
        <f t="shared" si="0"/>
        <v>#VALUE!</v>
      </c>
    </row>
    <row r="29" spans="1:11" hidden="1">
      <c r="A29" s="81"/>
      <c r="B29" s="81" t="s">
        <v>426</v>
      </c>
      <c r="C29" s="326" t="s">
        <v>426</v>
      </c>
      <c r="D29" s="334" t="s">
        <v>443</v>
      </c>
      <c r="E29" s="359" t="s">
        <v>425</v>
      </c>
      <c r="F29" s="327"/>
      <c r="G29" s="114"/>
      <c r="H29" s="114"/>
      <c r="I29" s="328">
        <v>150000</v>
      </c>
      <c r="J29" s="143">
        <f>(I29*0.007)*0.6</f>
        <v>630</v>
      </c>
      <c r="K29" s="330">
        <f t="shared" si="0"/>
        <v>630</v>
      </c>
    </row>
    <row r="30" spans="1:11">
      <c r="A30" s="416" t="s">
        <v>531</v>
      </c>
      <c r="B30" s="416">
        <v>967212</v>
      </c>
      <c r="C30" s="71" t="s">
        <v>451</v>
      </c>
      <c r="D30" s="427" t="s">
        <v>435</v>
      </c>
      <c r="E30" s="362">
        <v>20398312</v>
      </c>
      <c r="F30" s="237"/>
      <c r="G30" s="25"/>
      <c r="H30" s="25"/>
      <c r="I30" s="143">
        <v>914.95</v>
      </c>
      <c r="J30" s="345">
        <f>800*0.05+114.95*0.065</f>
        <v>47.47175</v>
      </c>
      <c r="K30" s="24">
        <f t="shared" si="0"/>
        <v>47.47175</v>
      </c>
    </row>
    <row r="31" spans="1:11" ht="18" customHeight="1">
      <c r="A31" s="416" t="s">
        <v>531</v>
      </c>
      <c r="B31" s="416">
        <v>969675</v>
      </c>
      <c r="C31" s="71" t="s">
        <v>472</v>
      </c>
      <c r="D31" s="338" t="s">
        <v>474</v>
      </c>
      <c r="E31" s="360">
        <v>20402715</v>
      </c>
      <c r="F31" s="237"/>
      <c r="G31" s="22"/>
      <c r="H31" s="22"/>
      <c r="I31" s="458">
        <v>433.75</v>
      </c>
      <c r="J31" s="143">
        <f>I31*0.05</f>
        <v>21.6875</v>
      </c>
      <c r="K31" s="142">
        <f>J31</f>
        <v>21.6875</v>
      </c>
    </row>
    <row r="32" spans="1:11" ht="18" customHeight="1">
      <c r="A32" s="416" t="s">
        <v>531</v>
      </c>
      <c r="B32" s="416">
        <v>964321</v>
      </c>
      <c r="C32" s="71" t="s">
        <v>476</v>
      </c>
      <c r="D32" s="338" t="s">
        <v>306</v>
      </c>
      <c r="E32" s="360">
        <v>61023856</v>
      </c>
      <c r="F32" s="237"/>
      <c r="G32" s="22"/>
      <c r="H32" s="22"/>
      <c r="I32" s="140">
        <v>892.44</v>
      </c>
      <c r="J32" s="141">
        <f>(I32/12*3.5)*L9</f>
        <v>117.13275000000002</v>
      </c>
      <c r="K32" s="142">
        <f t="shared" ref="K32:K47" si="2">J32</f>
        <v>117.13275000000002</v>
      </c>
    </row>
    <row r="33" spans="1:11" ht="18" customHeight="1">
      <c r="A33" s="416" t="s">
        <v>531</v>
      </c>
      <c r="B33" s="416">
        <v>965877</v>
      </c>
      <c r="C33" s="71" t="s">
        <v>475</v>
      </c>
      <c r="D33" s="338" t="s">
        <v>435</v>
      </c>
      <c r="E33" s="360">
        <v>20406261</v>
      </c>
      <c r="F33" s="237"/>
      <c r="G33" s="22"/>
      <c r="H33" s="22"/>
      <c r="I33" s="458">
        <v>238.07</v>
      </c>
      <c r="J33" s="141">
        <f>I33*0.05</f>
        <v>11.903500000000001</v>
      </c>
      <c r="K33" s="142">
        <f t="shared" si="2"/>
        <v>11.903500000000001</v>
      </c>
    </row>
    <row r="34" spans="1:11" ht="18" customHeight="1">
      <c r="A34" s="416" t="s">
        <v>531</v>
      </c>
      <c r="B34" s="416">
        <v>965877</v>
      </c>
      <c r="C34" s="71" t="s">
        <v>475</v>
      </c>
      <c r="D34" s="338" t="s">
        <v>435</v>
      </c>
      <c r="E34" s="360">
        <v>20406289</v>
      </c>
      <c r="F34" s="237"/>
      <c r="G34" s="22"/>
      <c r="H34" s="22"/>
      <c r="I34" s="458">
        <v>528.16</v>
      </c>
      <c r="J34" s="141">
        <f>I34*0.05</f>
        <v>26.408000000000001</v>
      </c>
      <c r="K34" s="142">
        <f t="shared" si="2"/>
        <v>26.408000000000001</v>
      </c>
    </row>
    <row r="35" spans="1:11" ht="18" customHeight="1">
      <c r="A35" s="416" t="s">
        <v>531</v>
      </c>
      <c r="B35" s="416">
        <v>965877</v>
      </c>
      <c r="C35" s="71" t="s">
        <v>475</v>
      </c>
      <c r="D35" s="338" t="s">
        <v>436</v>
      </c>
      <c r="E35" s="360">
        <v>20406294</v>
      </c>
      <c r="F35" s="237"/>
      <c r="G35" s="22"/>
      <c r="H35" s="22"/>
      <c r="I35" s="140">
        <v>197.57</v>
      </c>
      <c r="J35" s="143">
        <f>I35*0.08</f>
        <v>15.8056</v>
      </c>
      <c r="K35" s="142">
        <f t="shared" si="2"/>
        <v>15.8056</v>
      </c>
    </row>
    <row r="36" spans="1:11" ht="18" customHeight="1">
      <c r="A36" s="416" t="s">
        <v>531</v>
      </c>
      <c r="B36" s="416">
        <v>278619</v>
      </c>
      <c r="C36" s="71" t="s">
        <v>477</v>
      </c>
      <c r="D36" s="338" t="s">
        <v>427</v>
      </c>
      <c r="E36" s="360">
        <v>806159</v>
      </c>
      <c r="F36" s="237"/>
      <c r="G36" s="22">
        <v>2032</v>
      </c>
      <c r="H36" s="22"/>
      <c r="I36" s="140">
        <v>1500</v>
      </c>
      <c r="J36" s="345">
        <f>(I36*15*0.02)*L9</f>
        <v>202.5</v>
      </c>
      <c r="K36" s="142">
        <f t="shared" si="2"/>
        <v>202.5</v>
      </c>
    </row>
    <row r="37" spans="1:11" ht="18" customHeight="1">
      <c r="A37" s="416" t="s">
        <v>531</v>
      </c>
      <c r="B37" s="416">
        <v>299582</v>
      </c>
      <c r="C37" s="71" t="s">
        <v>478</v>
      </c>
      <c r="D37" s="338" t="s">
        <v>427</v>
      </c>
      <c r="E37" s="360">
        <v>806158</v>
      </c>
      <c r="F37" s="237"/>
      <c r="G37" s="22">
        <v>2043</v>
      </c>
      <c r="H37" s="22"/>
      <c r="I37" s="140">
        <v>1500</v>
      </c>
      <c r="J37" s="345">
        <f>(I37*26*0.02)*L9</f>
        <v>351</v>
      </c>
      <c r="K37" s="142">
        <f t="shared" si="2"/>
        <v>351</v>
      </c>
    </row>
    <row r="38" spans="1:11" ht="18" customHeight="1">
      <c r="A38" s="416" t="s">
        <v>531</v>
      </c>
      <c r="B38" s="416">
        <v>693638</v>
      </c>
      <c r="C38" s="71" t="s">
        <v>479</v>
      </c>
      <c r="D38" s="338" t="s">
        <v>436</v>
      </c>
      <c r="E38" s="360">
        <v>20404939</v>
      </c>
      <c r="F38" s="237"/>
      <c r="G38" s="22"/>
      <c r="H38" s="22"/>
      <c r="I38" s="140">
        <v>256.49</v>
      </c>
      <c r="J38" s="143">
        <f>I38*0.08</f>
        <v>20.519200000000001</v>
      </c>
      <c r="K38" s="142">
        <f t="shared" si="2"/>
        <v>20.519200000000001</v>
      </c>
    </row>
    <row r="39" spans="1:11" ht="18" customHeight="1">
      <c r="A39" s="416" t="s">
        <v>531</v>
      </c>
      <c r="B39" s="416">
        <v>273601</v>
      </c>
      <c r="C39" s="71" t="s">
        <v>480</v>
      </c>
      <c r="D39" s="338" t="s">
        <v>441</v>
      </c>
      <c r="E39" s="360">
        <v>20406326</v>
      </c>
      <c r="F39" s="237"/>
      <c r="G39" s="22"/>
      <c r="H39" s="22"/>
      <c r="I39" s="458">
        <v>658.13</v>
      </c>
      <c r="J39" s="141">
        <f>I39*0.05</f>
        <v>32.906500000000001</v>
      </c>
      <c r="K39" s="142">
        <f t="shared" si="2"/>
        <v>32.906500000000001</v>
      </c>
    </row>
    <row r="40" spans="1:11" ht="18" customHeight="1">
      <c r="A40" s="416" t="s">
        <v>531</v>
      </c>
      <c r="B40" s="416">
        <v>880049</v>
      </c>
      <c r="C40" s="71" t="s">
        <v>519</v>
      </c>
      <c r="D40" s="338" t="s">
        <v>443</v>
      </c>
      <c r="E40" s="325" t="s">
        <v>486</v>
      </c>
      <c r="F40" s="371"/>
      <c r="G40" s="22"/>
      <c r="H40" s="22"/>
      <c r="I40" s="140">
        <v>60000</v>
      </c>
      <c r="J40" s="143">
        <f>(I40*0.007)*L9</f>
        <v>189</v>
      </c>
      <c r="K40" s="142">
        <f t="shared" si="2"/>
        <v>189</v>
      </c>
    </row>
    <row r="41" spans="1:11" ht="18" customHeight="1">
      <c r="A41" s="416" t="s">
        <v>531</v>
      </c>
      <c r="B41" s="416">
        <v>880049</v>
      </c>
      <c r="C41" s="71" t="s">
        <v>519</v>
      </c>
      <c r="D41" s="338" t="s">
        <v>443</v>
      </c>
      <c r="E41" s="360" t="s">
        <v>487</v>
      </c>
      <c r="F41" s="237"/>
      <c r="G41" s="22"/>
      <c r="H41" s="22"/>
      <c r="I41" s="140">
        <v>60000</v>
      </c>
      <c r="J41" s="143">
        <f>(I41*0.007)*L9</f>
        <v>189</v>
      </c>
      <c r="K41" s="142">
        <f t="shared" si="2"/>
        <v>189</v>
      </c>
    </row>
    <row r="42" spans="1:11" ht="18" customHeight="1">
      <c r="A42" s="416" t="s">
        <v>531</v>
      </c>
      <c r="B42" s="416">
        <v>880049</v>
      </c>
      <c r="C42" s="71" t="s">
        <v>519</v>
      </c>
      <c r="D42" s="338" t="s">
        <v>443</v>
      </c>
      <c r="E42" s="360" t="s">
        <v>488</v>
      </c>
      <c r="F42" s="237"/>
      <c r="G42" s="22"/>
      <c r="H42" s="22"/>
      <c r="I42" s="140">
        <v>60000</v>
      </c>
      <c r="J42" s="143">
        <f>(I42*0.007)*L9</f>
        <v>189</v>
      </c>
      <c r="K42" s="142">
        <f t="shared" si="2"/>
        <v>189</v>
      </c>
    </row>
    <row r="43" spans="1:11" ht="18" customHeight="1">
      <c r="A43" s="416" t="s">
        <v>531</v>
      </c>
      <c r="B43" s="416">
        <v>484859</v>
      </c>
      <c r="C43" s="71" t="s">
        <v>481</v>
      </c>
      <c r="D43" s="338" t="s">
        <v>427</v>
      </c>
      <c r="E43" s="360">
        <v>807016</v>
      </c>
      <c r="F43" s="237"/>
      <c r="G43" s="22">
        <v>2035</v>
      </c>
      <c r="H43" s="22"/>
      <c r="I43" s="140">
        <v>1200</v>
      </c>
      <c r="J43" s="345">
        <f>(I43*18*0.02)*L9</f>
        <v>194.4</v>
      </c>
      <c r="K43" s="144">
        <f t="shared" si="2"/>
        <v>194.4</v>
      </c>
    </row>
    <row r="44" spans="1:11" ht="18" customHeight="1">
      <c r="A44" s="416" t="s">
        <v>531</v>
      </c>
      <c r="B44" s="416">
        <v>523424</v>
      </c>
      <c r="C44" s="71" t="s">
        <v>482</v>
      </c>
      <c r="D44" s="338" t="s">
        <v>427</v>
      </c>
      <c r="E44" s="360">
        <v>807015</v>
      </c>
      <c r="F44" s="237"/>
      <c r="G44" s="22">
        <v>2031</v>
      </c>
      <c r="H44" s="22"/>
      <c r="I44" s="140">
        <v>1104</v>
      </c>
      <c r="J44" s="345">
        <f>(I44*14*0.02)*L9</f>
        <v>139.10400000000001</v>
      </c>
      <c r="K44" s="144">
        <f t="shared" si="2"/>
        <v>139.10400000000001</v>
      </c>
    </row>
    <row r="45" spans="1:11" ht="18" customHeight="1">
      <c r="A45" s="416" t="s">
        <v>531</v>
      </c>
      <c r="B45" s="416">
        <v>837955</v>
      </c>
      <c r="C45" s="71" t="s">
        <v>483</v>
      </c>
      <c r="D45" s="338" t="s">
        <v>436</v>
      </c>
      <c r="E45" s="360">
        <v>20406981</v>
      </c>
      <c r="F45" s="237"/>
      <c r="G45" s="22"/>
      <c r="H45" s="22"/>
      <c r="I45" s="140">
        <v>308.58999999999997</v>
      </c>
      <c r="J45" s="143">
        <f>I45*0.08</f>
        <v>24.687199999999997</v>
      </c>
      <c r="K45" s="144">
        <f t="shared" si="2"/>
        <v>24.687199999999997</v>
      </c>
    </row>
    <row r="46" spans="1:11" ht="18" customHeight="1">
      <c r="A46" s="416" t="s">
        <v>531</v>
      </c>
      <c r="B46" s="416">
        <v>729789</v>
      </c>
      <c r="C46" s="71" t="s">
        <v>484</v>
      </c>
      <c r="D46" s="338" t="s">
        <v>306</v>
      </c>
      <c r="E46" s="360">
        <v>61024785</v>
      </c>
      <c r="F46" s="237"/>
      <c r="G46" s="22"/>
      <c r="H46" s="22"/>
      <c r="I46" s="140">
        <v>688.32</v>
      </c>
      <c r="J46" s="141">
        <f>(I46/12*3.5)*L9</f>
        <v>90.342000000000013</v>
      </c>
      <c r="K46" s="144">
        <f t="shared" si="2"/>
        <v>90.342000000000013</v>
      </c>
    </row>
    <row r="47" spans="1:11" ht="18" customHeight="1">
      <c r="A47" s="416" t="s">
        <v>531</v>
      </c>
      <c r="B47" s="416">
        <v>348319</v>
      </c>
      <c r="C47" s="71" t="s">
        <v>485</v>
      </c>
      <c r="D47" s="338" t="s">
        <v>436</v>
      </c>
      <c r="E47" s="360">
        <v>20405030</v>
      </c>
      <c r="F47" s="237"/>
      <c r="G47" s="22"/>
      <c r="H47" s="22"/>
      <c r="I47" s="140">
        <v>152.77000000000001</v>
      </c>
      <c r="J47" s="143">
        <f>I47*0.08</f>
        <v>12.2216</v>
      </c>
      <c r="K47" s="144">
        <f t="shared" si="2"/>
        <v>12.2216</v>
      </c>
    </row>
    <row r="48" spans="1:11" ht="18" customHeight="1" thickBot="1">
      <c r="A48" s="416"/>
      <c r="B48" s="416"/>
      <c r="C48" s="71"/>
      <c r="D48" s="338"/>
      <c r="E48" s="360"/>
      <c r="F48" s="237"/>
      <c r="G48" s="22"/>
      <c r="H48" s="22"/>
      <c r="I48" s="140"/>
      <c r="J48" s="141"/>
      <c r="K48" s="142"/>
    </row>
    <row r="49" spans="1:13" s="6" customFormat="1" ht="19.5" thickBot="1">
      <c r="A49" s="464" t="s">
        <v>531</v>
      </c>
      <c r="B49" s="417"/>
      <c r="C49" s="145" t="s">
        <v>296</v>
      </c>
      <c r="D49" s="339"/>
      <c r="E49" s="361"/>
      <c r="F49" s="318"/>
      <c r="G49" s="147"/>
      <c r="H49" s="147"/>
      <c r="I49" s="148"/>
      <c r="J49" s="149"/>
      <c r="K49" s="151">
        <f>SUM(K30,K31:K48)</f>
        <v>1875.0896000000005</v>
      </c>
      <c r="L49" s="396"/>
    </row>
    <row r="50" spans="1:13">
      <c r="A50" s="419" t="s">
        <v>532</v>
      </c>
      <c r="B50" s="420">
        <v>299582</v>
      </c>
      <c r="C50" s="71" t="s">
        <v>478</v>
      </c>
      <c r="D50" s="338" t="s">
        <v>443</v>
      </c>
      <c r="E50" s="358" t="s">
        <v>489</v>
      </c>
      <c r="F50" s="316"/>
      <c r="G50" s="16"/>
      <c r="H50" s="16"/>
      <c r="I50" s="185">
        <v>110000</v>
      </c>
      <c r="J50" s="143">
        <f>(I50*0.007)*L50</f>
        <v>346.5</v>
      </c>
      <c r="K50" s="19">
        <f>J50</f>
        <v>346.5</v>
      </c>
      <c r="L50" s="396">
        <v>0.45</v>
      </c>
    </row>
    <row r="51" spans="1:13">
      <c r="A51" s="419" t="s">
        <v>532</v>
      </c>
      <c r="B51" s="416">
        <v>834437</v>
      </c>
      <c r="C51" s="71" t="s">
        <v>14</v>
      </c>
      <c r="D51" s="338" t="s">
        <v>427</v>
      </c>
      <c r="E51" s="360">
        <v>807080</v>
      </c>
      <c r="F51" s="237"/>
      <c r="G51" s="22">
        <v>2049</v>
      </c>
      <c r="H51" s="22"/>
      <c r="I51" s="143">
        <v>1704</v>
      </c>
      <c r="J51" s="345">
        <f>(I51*32*0.02)*L50</f>
        <v>490.75200000000001</v>
      </c>
      <c r="K51" s="24">
        <f t="shared" ref="K51:K68" si="3">J51</f>
        <v>490.75200000000001</v>
      </c>
      <c r="L51" s="399"/>
      <c r="M51" t="s">
        <v>510</v>
      </c>
    </row>
    <row r="52" spans="1:13" s="4" customFormat="1">
      <c r="A52" s="419" t="s">
        <v>532</v>
      </c>
      <c r="B52" s="416">
        <v>739606</v>
      </c>
      <c r="C52" s="71" t="s">
        <v>490</v>
      </c>
      <c r="D52" s="338" t="s">
        <v>427</v>
      </c>
      <c r="E52" s="360">
        <v>8077875</v>
      </c>
      <c r="F52" s="237"/>
      <c r="G52" s="22">
        <v>2043</v>
      </c>
      <c r="H52" s="22"/>
      <c r="I52" s="143">
        <v>1704</v>
      </c>
      <c r="J52" s="345">
        <f>(I52*26*0.02)*L50</f>
        <v>398.73600000000005</v>
      </c>
      <c r="K52" s="24">
        <f t="shared" si="3"/>
        <v>398.73600000000005</v>
      </c>
      <c r="L52" s="400"/>
    </row>
    <row r="53" spans="1:13" s="4" customFormat="1">
      <c r="A53" s="419" t="s">
        <v>532</v>
      </c>
      <c r="B53" s="416">
        <v>523259</v>
      </c>
      <c r="C53" s="71" t="s">
        <v>491</v>
      </c>
      <c r="D53" s="338" t="s">
        <v>435</v>
      </c>
      <c r="E53" s="362">
        <v>20406126</v>
      </c>
      <c r="F53" s="237"/>
      <c r="G53" s="25"/>
      <c r="H53" s="25"/>
      <c r="I53" s="345">
        <v>1687.02</v>
      </c>
      <c r="J53" s="345">
        <f>800*0.05+887.02*0.065</f>
        <v>97.656300000000002</v>
      </c>
      <c r="K53" s="38">
        <f t="shared" si="3"/>
        <v>97.656300000000002</v>
      </c>
      <c r="L53" s="399"/>
    </row>
    <row r="54" spans="1:13" s="4" customFormat="1">
      <c r="A54" s="419" t="s">
        <v>532</v>
      </c>
      <c r="B54" s="416">
        <v>716291</v>
      </c>
      <c r="C54" s="71" t="s">
        <v>492</v>
      </c>
      <c r="D54" s="338" t="s">
        <v>431</v>
      </c>
      <c r="E54" s="362">
        <v>827015</v>
      </c>
      <c r="F54" s="237"/>
      <c r="G54" s="25">
        <v>2027</v>
      </c>
      <c r="H54" s="25"/>
      <c r="I54" s="345">
        <v>600</v>
      </c>
      <c r="J54" s="345">
        <f>(I54*10*0.02)*L50</f>
        <v>54</v>
      </c>
      <c r="K54" s="38">
        <f t="shared" si="3"/>
        <v>54</v>
      </c>
      <c r="L54" s="399"/>
    </row>
    <row r="55" spans="1:13" s="4" customFormat="1">
      <c r="A55" s="419" t="s">
        <v>532</v>
      </c>
      <c r="B55" s="416">
        <v>970170</v>
      </c>
      <c r="C55" s="71" t="s">
        <v>493</v>
      </c>
      <c r="D55" s="338" t="s">
        <v>436</v>
      </c>
      <c r="E55" s="209">
        <v>20409518</v>
      </c>
      <c r="F55" s="237"/>
      <c r="G55" s="25"/>
      <c r="H55" s="25"/>
      <c r="J55" s="345"/>
      <c r="K55" s="38">
        <f t="shared" si="3"/>
        <v>0</v>
      </c>
      <c r="L55" s="396"/>
    </row>
    <row r="56" spans="1:13" s="4" customFormat="1">
      <c r="A56" s="419" t="s">
        <v>532</v>
      </c>
      <c r="B56" s="416">
        <v>945980</v>
      </c>
      <c r="C56" s="71" t="s">
        <v>501</v>
      </c>
      <c r="D56" s="338" t="s">
        <v>443</v>
      </c>
      <c r="E56" s="362" t="s">
        <v>500</v>
      </c>
      <c r="F56" s="237"/>
      <c r="G56" s="25"/>
      <c r="H56" s="25"/>
      <c r="I56" s="345">
        <v>45000</v>
      </c>
      <c r="J56" s="143">
        <f>(I56*0.007)*L50</f>
        <v>141.75</v>
      </c>
      <c r="K56" s="24">
        <f t="shared" si="3"/>
        <v>141.75</v>
      </c>
      <c r="L56" s="400"/>
    </row>
    <row r="57" spans="1:13" s="4" customFormat="1">
      <c r="A57" s="419" t="s">
        <v>532</v>
      </c>
      <c r="B57" s="416">
        <v>787557</v>
      </c>
      <c r="C57" s="71" t="s">
        <v>494</v>
      </c>
      <c r="D57" s="338" t="s">
        <v>435</v>
      </c>
      <c r="E57" s="362">
        <v>20409995</v>
      </c>
      <c r="F57" s="237"/>
      <c r="H57" s="25"/>
      <c r="I57" s="25">
        <v>1786.72</v>
      </c>
      <c r="J57" s="345">
        <f>800*0.05+986.72*0.065</f>
        <v>104.13680000000001</v>
      </c>
      <c r="K57" s="24">
        <f t="shared" si="3"/>
        <v>104.13680000000001</v>
      </c>
      <c r="L57" s="400"/>
    </row>
    <row r="58" spans="1:13" s="4" customFormat="1">
      <c r="A58" s="419" t="s">
        <v>532</v>
      </c>
      <c r="B58" s="416">
        <v>787557</v>
      </c>
      <c r="C58" s="71" t="s">
        <v>494</v>
      </c>
      <c r="D58" s="338" t="s">
        <v>427</v>
      </c>
      <c r="E58" s="362">
        <v>822390</v>
      </c>
      <c r="F58" s="237"/>
      <c r="G58" s="25">
        <v>2043</v>
      </c>
      <c r="H58" s="25"/>
      <c r="I58" s="143">
        <v>1200</v>
      </c>
      <c r="J58" s="345">
        <f>(I58*26*0.02)*L50</f>
        <v>280.8</v>
      </c>
      <c r="K58" s="24">
        <f t="shared" si="3"/>
        <v>280.8</v>
      </c>
      <c r="L58" s="400"/>
    </row>
    <row r="59" spans="1:13" s="4" customFormat="1">
      <c r="A59" s="419" t="s">
        <v>532</v>
      </c>
      <c r="B59" s="416">
        <v>849012</v>
      </c>
      <c r="C59" s="71" t="s">
        <v>380</v>
      </c>
      <c r="D59" s="338" t="s">
        <v>436</v>
      </c>
      <c r="E59" s="362">
        <v>20410192</v>
      </c>
      <c r="F59" s="237"/>
      <c r="G59" s="25"/>
      <c r="H59" s="25"/>
      <c r="I59" s="143">
        <v>287.08</v>
      </c>
      <c r="J59" s="143">
        <f>I59*0.08</f>
        <v>22.9664</v>
      </c>
      <c r="K59" s="24">
        <f t="shared" si="3"/>
        <v>22.9664</v>
      </c>
      <c r="L59" s="400"/>
    </row>
    <row r="60" spans="1:13" s="4" customFormat="1">
      <c r="A60" s="419" t="s">
        <v>532</v>
      </c>
      <c r="B60" s="416">
        <v>429665</v>
      </c>
      <c r="C60" s="71" t="s">
        <v>495</v>
      </c>
      <c r="D60" s="338" t="s">
        <v>427</v>
      </c>
      <c r="E60" s="362">
        <v>821974</v>
      </c>
      <c r="F60" s="237"/>
      <c r="G60" s="25">
        <v>2036</v>
      </c>
      <c r="H60" s="25"/>
      <c r="I60" s="143">
        <v>900</v>
      </c>
      <c r="J60" s="345">
        <f>(I60*19*0.02)*L50</f>
        <v>153.9</v>
      </c>
      <c r="K60" s="24">
        <f t="shared" si="3"/>
        <v>153.9</v>
      </c>
      <c r="L60" s="400"/>
    </row>
    <row r="61" spans="1:13" s="4" customFormat="1">
      <c r="A61" s="419" t="s">
        <v>532</v>
      </c>
      <c r="B61" s="416">
        <v>971770</v>
      </c>
      <c r="C61" s="71" t="s">
        <v>496</v>
      </c>
      <c r="D61" s="338" t="s">
        <v>435</v>
      </c>
      <c r="E61" s="362">
        <v>20411305</v>
      </c>
      <c r="F61" s="237"/>
      <c r="G61" s="25"/>
      <c r="H61" s="25"/>
      <c r="I61" s="143">
        <v>980.08</v>
      </c>
      <c r="J61" s="345">
        <f>800*0.05+180.08*0.065</f>
        <v>51.705200000000005</v>
      </c>
      <c r="K61" s="24">
        <f t="shared" si="3"/>
        <v>51.705200000000005</v>
      </c>
      <c r="L61" s="400"/>
    </row>
    <row r="62" spans="1:13" s="4" customFormat="1">
      <c r="A62" s="419" t="s">
        <v>532</v>
      </c>
      <c r="B62" s="416">
        <v>411055</v>
      </c>
      <c r="C62" s="71" t="s">
        <v>320</v>
      </c>
      <c r="D62" s="338" t="s">
        <v>438</v>
      </c>
      <c r="E62" s="362">
        <v>20412802</v>
      </c>
      <c r="F62" s="237"/>
      <c r="G62" s="25"/>
      <c r="H62" s="25"/>
      <c r="I62" s="143">
        <v>514.48</v>
      </c>
      <c r="J62" s="143">
        <f>I62*0.08</f>
        <v>41.1584</v>
      </c>
      <c r="K62" s="24">
        <f t="shared" si="3"/>
        <v>41.1584</v>
      </c>
      <c r="L62" s="400"/>
    </row>
    <row r="63" spans="1:13" s="4" customFormat="1">
      <c r="A63" s="419" t="s">
        <v>532</v>
      </c>
      <c r="B63" s="416">
        <v>411056</v>
      </c>
      <c r="C63" s="71" t="s">
        <v>320</v>
      </c>
      <c r="D63" s="338" t="s">
        <v>438</v>
      </c>
      <c r="E63" s="362">
        <v>20412809</v>
      </c>
      <c r="F63" s="237"/>
      <c r="G63" s="25"/>
      <c r="H63" s="25"/>
      <c r="I63" s="143">
        <v>129.22999999999999</v>
      </c>
      <c r="J63" s="143">
        <f>I63*0.08</f>
        <v>10.3384</v>
      </c>
      <c r="K63" s="24">
        <f t="shared" si="3"/>
        <v>10.3384</v>
      </c>
      <c r="L63" s="400"/>
    </row>
    <row r="64" spans="1:13" s="4" customFormat="1">
      <c r="A64" s="419" t="s">
        <v>532</v>
      </c>
      <c r="B64" s="416">
        <v>811892</v>
      </c>
      <c r="C64" s="71" t="s">
        <v>497</v>
      </c>
      <c r="D64" s="338" t="s">
        <v>436</v>
      </c>
      <c r="E64" s="362">
        <v>20412738</v>
      </c>
      <c r="F64" s="237"/>
      <c r="G64" s="25"/>
      <c r="H64" s="25"/>
      <c r="I64" s="143">
        <v>418.98</v>
      </c>
      <c r="J64" s="143">
        <f>I64*0.08</f>
        <v>33.5184</v>
      </c>
      <c r="K64" s="24">
        <f t="shared" si="3"/>
        <v>33.5184</v>
      </c>
      <c r="L64" s="400"/>
    </row>
    <row r="65" spans="1:13" s="4" customFormat="1">
      <c r="A65" s="419" t="s">
        <v>532</v>
      </c>
      <c r="B65" s="416">
        <v>972349</v>
      </c>
      <c r="C65" s="71" t="s">
        <v>498</v>
      </c>
      <c r="D65" s="338" t="s">
        <v>435</v>
      </c>
      <c r="E65" s="362">
        <v>20412101</v>
      </c>
      <c r="F65" s="237"/>
      <c r="G65" s="25"/>
      <c r="H65" s="25"/>
      <c r="I65" s="143">
        <v>865.04</v>
      </c>
      <c r="J65" s="345">
        <f>800*0.05+65.04*0.065</f>
        <v>44.227600000000002</v>
      </c>
      <c r="K65" s="24">
        <f t="shared" si="3"/>
        <v>44.227600000000002</v>
      </c>
      <c r="L65" s="400"/>
    </row>
    <row r="66" spans="1:13" s="4" customFormat="1">
      <c r="A66" s="419" t="s">
        <v>532</v>
      </c>
      <c r="B66" s="416">
        <v>973005</v>
      </c>
      <c r="C66" s="71" t="s">
        <v>499</v>
      </c>
      <c r="D66" s="338" t="s">
        <v>435</v>
      </c>
      <c r="E66" s="362">
        <v>20412622</v>
      </c>
      <c r="F66" s="237"/>
      <c r="G66" s="25"/>
      <c r="H66" s="25"/>
      <c r="I66" s="143">
        <v>1118.02</v>
      </c>
      <c r="J66" s="345">
        <f>800*0.05+318.02*0.065</f>
        <v>60.671300000000002</v>
      </c>
      <c r="K66" s="24">
        <f t="shared" si="3"/>
        <v>60.671300000000002</v>
      </c>
      <c r="L66" s="400"/>
    </row>
    <row r="67" spans="1:13" s="4" customFormat="1">
      <c r="A67" s="419"/>
      <c r="B67" s="416"/>
      <c r="C67" s="71"/>
      <c r="D67" s="338"/>
      <c r="E67" s="362"/>
      <c r="F67" s="237"/>
      <c r="G67" s="25"/>
      <c r="H67" s="25"/>
      <c r="I67" s="143"/>
      <c r="J67" s="345"/>
      <c r="K67" s="24">
        <f t="shared" si="3"/>
        <v>0</v>
      </c>
      <c r="L67" s="400"/>
    </row>
    <row r="68" spans="1:13" s="4" customFormat="1">
      <c r="A68" s="419"/>
      <c r="B68" s="416"/>
      <c r="C68" s="71"/>
      <c r="D68" s="338"/>
      <c r="E68" s="362"/>
      <c r="F68" s="237"/>
      <c r="G68" s="25"/>
      <c r="H68" s="25"/>
      <c r="I68" s="143"/>
      <c r="J68" s="345"/>
      <c r="K68" s="24">
        <f t="shared" si="3"/>
        <v>0</v>
      </c>
      <c r="L68" s="400"/>
    </row>
    <row r="69" spans="1:13" ht="19.5" thickBot="1">
      <c r="A69" s="462" t="s">
        <v>532</v>
      </c>
      <c r="B69" s="417"/>
      <c r="C69" s="145" t="s">
        <v>281</v>
      </c>
      <c r="D69" s="339"/>
      <c r="E69" s="363"/>
      <c r="F69" s="318"/>
      <c r="G69" s="42"/>
      <c r="H69" s="42"/>
      <c r="I69" s="158"/>
      <c r="J69" s="158"/>
      <c r="K69" s="276">
        <f>SUM(K50:K68)</f>
        <v>2332.8168000000001</v>
      </c>
      <c r="L69" s="398"/>
    </row>
    <row r="70" spans="1:13">
      <c r="A70" s="420" t="s">
        <v>533</v>
      </c>
      <c r="B70" s="466">
        <v>121208</v>
      </c>
      <c r="C70" s="71" t="s">
        <v>502</v>
      </c>
      <c r="D70" s="335" t="s">
        <v>503</v>
      </c>
      <c r="E70" s="362">
        <v>10727836</v>
      </c>
      <c r="F70" s="237"/>
      <c r="G70" s="25"/>
      <c r="H70" s="25"/>
      <c r="I70" s="143">
        <v>176.63</v>
      </c>
      <c r="J70" s="143">
        <f>I70*0.08</f>
        <v>14.1304</v>
      </c>
      <c r="K70" s="24">
        <v>26.494499999999999</v>
      </c>
      <c r="L70" s="396">
        <v>0.45</v>
      </c>
    </row>
    <row r="71" spans="1:13" s="4" customFormat="1">
      <c r="A71" s="416" t="s">
        <v>533</v>
      </c>
      <c r="B71" s="467">
        <v>770987</v>
      </c>
      <c r="C71" s="71" t="s">
        <v>504</v>
      </c>
      <c r="D71" s="338" t="s">
        <v>427</v>
      </c>
      <c r="E71" s="360">
        <v>824583</v>
      </c>
      <c r="F71" s="319"/>
      <c r="G71" s="22">
        <v>2046</v>
      </c>
      <c r="H71" s="22"/>
      <c r="I71" s="143">
        <v>720</v>
      </c>
      <c r="J71" s="345">
        <f>(I71*29*0.02)*L70</f>
        <v>187.92000000000002</v>
      </c>
      <c r="K71" s="24">
        <f>J71</f>
        <v>187.92000000000002</v>
      </c>
      <c r="L71" s="398"/>
    </row>
    <row r="72" spans="1:13">
      <c r="A72" s="416" t="s">
        <v>533</v>
      </c>
      <c r="B72" s="467">
        <v>845563</v>
      </c>
      <c r="C72" s="71" t="s">
        <v>506</v>
      </c>
      <c r="D72" s="338" t="s">
        <v>427</v>
      </c>
      <c r="E72" s="362">
        <v>612117</v>
      </c>
      <c r="F72" s="237" t="s">
        <v>555</v>
      </c>
      <c r="G72" s="25">
        <v>2034</v>
      </c>
      <c r="H72" s="25"/>
      <c r="I72" s="143">
        <v>1078.43</v>
      </c>
      <c r="J72" s="345">
        <f>(I72*17*0.02)*L70</f>
        <v>164.99979000000002</v>
      </c>
      <c r="K72" s="24"/>
      <c r="L72" s="415"/>
    </row>
    <row r="73" spans="1:13">
      <c r="A73" s="416" t="s">
        <v>533</v>
      </c>
      <c r="B73" s="467">
        <v>845563</v>
      </c>
      <c r="C73" s="71" t="s">
        <v>506</v>
      </c>
      <c r="D73" s="338" t="s">
        <v>429</v>
      </c>
      <c r="E73" s="360">
        <v>424171</v>
      </c>
      <c r="F73" s="237"/>
      <c r="G73" s="22">
        <v>2034</v>
      </c>
      <c r="H73" s="22"/>
      <c r="I73" s="143">
        <v>350</v>
      </c>
      <c r="J73" s="345">
        <f>(I73*17*0.02)*L70</f>
        <v>53.550000000000004</v>
      </c>
      <c r="K73" s="24">
        <f t="shared" ref="K73:K87" si="4">J73</f>
        <v>53.550000000000004</v>
      </c>
      <c r="L73" s="399"/>
    </row>
    <row r="74" spans="1:13" s="6" customFormat="1">
      <c r="A74" s="416" t="s">
        <v>533</v>
      </c>
      <c r="B74" s="467">
        <v>882443</v>
      </c>
      <c r="C74" s="71" t="s">
        <v>505</v>
      </c>
      <c r="D74" s="338" t="s">
        <v>427</v>
      </c>
      <c r="E74" s="364">
        <v>612118</v>
      </c>
      <c r="F74" s="237"/>
      <c r="G74" s="22">
        <v>2030</v>
      </c>
      <c r="H74" s="22"/>
      <c r="I74" s="143">
        <v>1078.43</v>
      </c>
      <c r="J74" s="345">
        <f>(I74*13*0.02)*L70</f>
        <v>126.17631</v>
      </c>
      <c r="K74" s="24">
        <f t="shared" si="4"/>
        <v>126.17631</v>
      </c>
      <c r="L74" s="399"/>
    </row>
    <row r="75" spans="1:13" s="6" customFormat="1">
      <c r="A75" s="416" t="s">
        <v>533</v>
      </c>
      <c r="B75" s="467">
        <v>973272</v>
      </c>
      <c r="C75" s="71" t="s">
        <v>507</v>
      </c>
      <c r="D75" s="338" t="s">
        <v>306</v>
      </c>
      <c r="E75" s="364">
        <v>61025510</v>
      </c>
      <c r="F75" s="237"/>
      <c r="G75" s="22"/>
      <c r="H75" s="22"/>
      <c r="I75" s="143">
        <v>663.96</v>
      </c>
      <c r="J75" s="141">
        <f>(I75/12*3.5)*L70</f>
        <v>87.144750000000016</v>
      </c>
      <c r="K75" s="24">
        <f t="shared" si="4"/>
        <v>87.144750000000016</v>
      </c>
      <c r="L75" s="399"/>
    </row>
    <row r="76" spans="1:13" s="6" customFormat="1">
      <c r="A76" s="416" t="s">
        <v>533</v>
      </c>
      <c r="B76" s="467">
        <v>259955</v>
      </c>
      <c r="C76" s="71" t="s">
        <v>508</v>
      </c>
      <c r="D76" s="338" t="s">
        <v>306</v>
      </c>
      <c r="E76" s="364">
        <v>61026528</v>
      </c>
      <c r="F76" s="237"/>
      <c r="G76" s="28"/>
      <c r="H76" s="28"/>
      <c r="I76" s="346">
        <v>723.48</v>
      </c>
      <c r="J76" s="141">
        <f>(I76/12*3.5)*L70</f>
        <v>94.95675</v>
      </c>
      <c r="K76" s="24">
        <f t="shared" si="4"/>
        <v>94.95675</v>
      </c>
      <c r="L76" s="396"/>
    </row>
    <row r="77" spans="1:13" s="3" customFormat="1">
      <c r="A77" s="416" t="s">
        <v>533</v>
      </c>
      <c r="B77" s="467">
        <v>952598</v>
      </c>
      <c r="C77" s="77" t="s">
        <v>100</v>
      </c>
      <c r="D77" s="338" t="s">
        <v>427</v>
      </c>
      <c r="E77" s="362">
        <v>825436</v>
      </c>
      <c r="F77" s="237"/>
      <c r="G77" s="32">
        <v>2045</v>
      </c>
      <c r="H77" s="32"/>
      <c r="I77" s="345">
        <v>1176.48</v>
      </c>
      <c r="J77" s="345">
        <f>(I77*28*0.02)*L70</f>
        <v>296.47296000000006</v>
      </c>
      <c r="K77" s="24">
        <f t="shared" si="4"/>
        <v>296.47296000000006</v>
      </c>
      <c r="L77" s="400"/>
    </row>
    <row r="78" spans="1:13" s="3" customFormat="1">
      <c r="A78" s="416" t="s">
        <v>533</v>
      </c>
      <c r="B78" s="467">
        <v>492356</v>
      </c>
      <c r="C78" s="77" t="s">
        <v>185</v>
      </c>
      <c r="D78" s="338" t="s">
        <v>427</v>
      </c>
      <c r="E78" s="362">
        <v>825447</v>
      </c>
      <c r="F78" s="237"/>
      <c r="G78" s="32">
        <v>2033</v>
      </c>
      <c r="H78" s="32"/>
      <c r="I78" s="345">
        <v>823.56</v>
      </c>
      <c r="J78" s="345">
        <f>(I78*16*0.02)*L70</f>
        <v>118.59264</v>
      </c>
      <c r="K78" s="24">
        <f t="shared" si="4"/>
        <v>118.59264</v>
      </c>
      <c r="L78" s="400"/>
    </row>
    <row r="79" spans="1:13" s="4" customFormat="1">
      <c r="A79" s="416" t="s">
        <v>533</v>
      </c>
      <c r="B79" s="467">
        <v>975116</v>
      </c>
      <c r="C79" s="74" t="s">
        <v>518</v>
      </c>
      <c r="D79" s="338" t="s">
        <v>433</v>
      </c>
      <c r="E79" s="362"/>
      <c r="F79" s="237"/>
      <c r="G79" s="25"/>
      <c r="H79" s="25"/>
      <c r="I79" s="345">
        <v>6531.79</v>
      </c>
      <c r="J79" s="92">
        <f>(I79*0.075)*L70</f>
        <v>220.44791249999997</v>
      </c>
      <c r="K79" s="24">
        <f t="shared" si="4"/>
        <v>220.44791249999997</v>
      </c>
      <c r="L79" s="398"/>
      <c r="M79" s="3"/>
    </row>
    <row r="80" spans="1:13">
      <c r="A80" s="416" t="s">
        <v>533</v>
      </c>
      <c r="B80" s="467">
        <v>971952</v>
      </c>
      <c r="C80" s="74" t="s">
        <v>509</v>
      </c>
      <c r="D80" s="338" t="s">
        <v>511</v>
      </c>
      <c r="E80" s="362">
        <v>20411444</v>
      </c>
      <c r="F80" s="237"/>
      <c r="G80" s="35"/>
      <c r="H80" s="35"/>
      <c r="I80" s="345">
        <v>678.92</v>
      </c>
      <c r="J80" s="143">
        <f>I80*0.08</f>
        <v>54.313600000000001</v>
      </c>
      <c r="K80" s="24">
        <f t="shared" si="4"/>
        <v>54.313600000000001</v>
      </c>
      <c r="L80" s="398"/>
    </row>
    <row r="81" spans="1:12">
      <c r="A81" s="416" t="s">
        <v>533</v>
      </c>
      <c r="B81" s="467">
        <v>521956</v>
      </c>
      <c r="C81" s="77" t="s">
        <v>406</v>
      </c>
      <c r="D81" s="338" t="s">
        <v>435</v>
      </c>
      <c r="E81" s="362">
        <v>20411589</v>
      </c>
      <c r="F81" s="237"/>
      <c r="G81" s="25"/>
      <c r="H81" s="25"/>
      <c r="I81" s="345">
        <v>1795.47</v>
      </c>
      <c r="J81" s="345">
        <f>800*0.05+995.47*0.065</f>
        <v>104.70555</v>
      </c>
      <c r="K81" s="24">
        <f t="shared" si="4"/>
        <v>104.70555</v>
      </c>
      <c r="L81" s="398"/>
    </row>
    <row r="82" spans="1:12">
      <c r="A82" s="416" t="s">
        <v>533</v>
      </c>
      <c r="B82" s="467">
        <v>962753</v>
      </c>
      <c r="C82" s="77" t="s">
        <v>512</v>
      </c>
      <c r="D82" s="338" t="s">
        <v>435</v>
      </c>
      <c r="E82" s="362">
        <v>20414927</v>
      </c>
      <c r="F82" s="237"/>
      <c r="G82" s="25"/>
      <c r="H82" s="25"/>
      <c r="I82" s="345">
        <v>1612.84</v>
      </c>
      <c r="J82" s="345">
        <f>800*0.05+812.84*0.065</f>
        <v>92.834599999999995</v>
      </c>
      <c r="K82" s="24">
        <f t="shared" si="4"/>
        <v>92.834599999999995</v>
      </c>
      <c r="L82" s="398"/>
    </row>
    <row r="83" spans="1:12">
      <c r="A83" s="416" t="s">
        <v>533</v>
      </c>
      <c r="B83" s="467">
        <v>976480</v>
      </c>
      <c r="C83" s="77" t="s">
        <v>513</v>
      </c>
      <c r="D83" s="338" t="s">
        <v>429</v>
      </c>
      <c r="E83" s="362">
        <v>826142</v>
      </c>
      <c r="F83" s="237"/>
      <c r="G83" s="25">
        <v>2028</v>
      </c>
      <c r="H83" s="25"/>
      <c r="I83" s="345">
        <v>3199.92</v>
      </c>
      <c r="J83" s="345">
        <f>(I83*11*0.02)*L70</f>
        <v>316.79208000000006</v>
      </c>
      <c r="K83" s="24">
        <f t="shared" si="4"/>
        <v>316.79208000000006</v>
      </c>
      <c r="L83" s="398"/>
    </row>
    <row r="84" spans="1:12">
      <c r="A84" s="416" t="s">
        <v>533</v>
      </c>
      <c r="B84" s="467">
        <v>793853</v>
      </c>
      <c r="C84" s="77" t="s">
        <v>514</v>
      </c>
      <c r="D84" s="338" t="s">
        <v>306</v>
      </c>
      <c r="E84" s="362">
        <v>61025794</v>
      </c>
      <c r="F84" s="237"/>
      <c r="G84" s="25"/>
      <c r="H84" s="25"/>
      <c r="I84" s="345">
        <v>145.08000000000001</v>
      </c>
      <c r="J84" s="141">
        <f>(I84/12*3.5)*L70</f>
        <v>19.041750000000004</v>
      </c>
      <c r="K84" s="24">
        <f t="shared" si="4"/>
        <v>19.041750000000004</v>
      </c>
      <c r="L84" s="398"/>
    </row>
    <row r="85" spans="1:12">
      <c r="A85" s="416" t="s">
        <v>533</v>
      </c>
      <c r="B85" s="467">
        <v>974373</v>
      </c>
      <c r="C85" s="77" t="s">
        <v>515</v>
      </c>
      <c r="D85" s="338" t="s">
        <v>436</v>
      </c>
      <c r="E85" s="362">
        <v>20414253</v>
      </c>
      <c r="F85" s="237"/>
      <c r="G85" s="25"/>
      <c r="H85" s="25"/>
      <c r="I85" s="345">
        <v>168.5</v>
      </c>
      <c r="J85" s="143">
        <f>I85*0.08</f>
        <v>13.48</v>
      </c>
      <c r="K85" s="24">
        <f t="shared" si="4"/>
        <v>13.48</v>
      </c>
      <c r="L85" s="398"/>
    </row>
    <row r="86" spans="1:12">
      <c r="A86" s="416" t="s">
        <v>533</v>
      </c>
      <c r="B86" s="467">
        <v>974377</v>
      </c>
      <c r="C86" s="77" t="s">
        <v>516</v>
      </c>
      <c r="D86" s="338" t="s">
        <v>436</v>
      </c>
      <c r="E86" s="362">
        <v>20414259</v>
      </c>
      <c r="F86" s="237"/>
      <c r="G86" s="25"/>
      <c r="H86" s="25"/>
      <c r="I86" s="345">
        <v>168.5</v>
      </c>
      <c r="J86" s="143">
        <f>I86*0.08</f>
        <v>13.48</v>
      </c>
      <c r="K86" s="24">
        <f t="shared" si="4"/>
        <v>13.48</v>
      </c>
      <c r="L86" s="398"/>
    </row>
    <row r="87" spans="1:12" ht="30">
      <c r="A87" s="416"/>
      <c r="B87" s="468">
        <v>782333</v>
      </c>
      <c r="C87" s="386" t="s">
        <v>402</v>
      </c>
      <c r="D87" s="243" t="s">
        <v>299</v>
      </c>
      <c r="E87" s="243">
        <v>806102</v>
      </c>
      <c r="F87" s="243"/>
      <c r="G87" s="243">
        <v>2033</v>
      </c>
      <c r="H87" s="22"/>
      <c r="I87" s="387">
        <v>1100</v>
      </c>
      <c r="J87" s="388">
        <v>-211.2</v>
      </c>
      <c r="K87" s="388">
        <f t="shared" si="4"/>
        <v>-211.2</v>
      </c>
      <c r="L87" s="401" t="s">
        <v>529</v>
      </c>
    </row>
    <row r="88" spans="1:12" ht="15">
      <c r="A88" s="416"/>
      <c r="B88" s="468">
        <v>524936</v>
      </c>
      <c r="C88" s="412" t="s">
        <v>390</v>
      </c>
      <c r="D88" s="240" t="s">
        <v>51</v>
      </c>
      <c r="E88" s="240">
        <v>20360252</v>
      </c>
      <c r="F88" s="243"/>
      <c r="G88" s="243"/>
      <c r="H88" s="424"/>
      <c r="I88" s="411">
        <v>1463.39</v>
      </c>
      <c r="J88" s="422">
        <f>-I88*0.12</f>
        <v>-175.60679999999999</v>
      </c>
      <c r="K88" s="388">
        <f>J88</f>
        <v>-175.60679999999999</v>
      </c>
      <c r="L88" s="401" t="s">
        <v>534</v>
      </c>
    </row>
    <row r="89" spans="1:12">
      <c r="A89" s="416"/>
      <c r="B89" s="468">
        <v>729789</v>
      </c>
      <c r="C89" s="412" t="s">
        <v>457</v>
      </c>
      <c r="D89" s="384" t="s">
        <v>432</v>
      </c>
      <c r="E89" s="406">
        <v>611756</v>
      </c>
      <c r="F89" s="237"/>
      <c r="G89" s="240">
        <v>2032</v>
      </c>
      <c r="H89" s="240"/>
      <c r="I89" s="407">
        <v>600</v>
      </c>
      <c r="J89" s="407">
        <f>-(I89*15*0.027)*0.6</f>
        <v>-145.79999999999998</v>
      </c>
      <c r="K89" s="408">
        <f t="shared" ref="K89" si="5">J89</f>
        <v>-145.79999999999998</v>
      </c>
      <c r="L89" s="401" t="s">
        <v>526</v>
      </c>
    </row>
    <row r="90" spans="1:12">
      <c r="A90" s="416"/>
      <c r="B90" s="468">
        <v>729789</v>
      </c>
      <c r="C90" s="412" t="s">
        <v>457</v>
      </c>
      <c r="D90" s="384" t="s">
        <v>432</v>
      </c>
      <c r="E90" s="406">
        <v>611756</v>
      </c>
      <c r="F90" s="237"/>
      <c r="G90" s="240">
        <v>2032</v>
      </c>
      <c r="H90" s="240"/>
      <c r="I90" s="407">
        <v>600</v>
      </c>
      <c r="J90" s="407">
        <f>(I90*15*0.03)*0.6</f>
        <v>162</v>
      </c>
      <c r="K90" s="409">
        <f>J90</f>
        <v>162</v>
      </c>
      <c r="L90" s="401" t="s">
        <v>527</v>
      </c>
    </row>
    <row r="91" spans="1:12" ht="30">
      <c r="A91" s="416"/>
      <c r="B91" s="468">
        <v>773696</v>
      </c>
      <c r="C91" s="412" t="s">
        <v>363</v>
      </c>
      <c r="D91" s="240" t="s">
        <v>252</v>
      </c>
      <c r="E91" s="240">
        <v>441443</v>
      </c>
      <c r="F91" s="240"/>
      <c r="G91" s="240">
        <v>2026</v>
      </c>
      <c r="H91" s="410"/>
      <c r="I91" s="411">
        <v>600</v>
      </c>
      <c r="J91" s="407">
        <v>-64.8</v>
      </c>
      <c r="K91" s="408">
        <f>J91</f>
        <v>-64.8</v>
      </c>
      <c r="L91" s="401" t="s">
        <v>525</v>
      </c>
    </row>
    <row r="92" spans="1:12" ht="19.5" thickBot="1">
      <c r="A92" s="462" t="s">
        <v>533</v>
      </c>
      <c r="B92" s="465"/>
      <c r="C92" s="172" t="s">
        <v>281</v>
      </c>
      <c r="D92" s="339"/>
      <c r="E92" s="365"/>
      <c r="F92" s="318"/>
      <c r="G92" s="166"/>
      <c r="H92" s="166"/>
      <c r="I92" s="347"/>
      <c r="J92" s="347"/>
      <c r="K92" s="373">
        <f>SUM(K70:K91)</f>
        <v>1390.9966024999999</v>
      </c>
      <c r="L92" s="398"/>
    </row>
    <row r="93" spans="1:12" ht="19.5" thickBot="1">
      <c r="A93" s="83"/>
      <c r="B93" s="190"/>
      <c r="C93" s="176"/>
      <c r="D93" s="341"/>
      <c r="E93" s="366"/>
      <c r="F93" s="320"/>
      <c r="G93" s="178"/>
      <c r="H93" s="331"/>
      <c r="I93" s="348"/>
      <c r="J93" s="353"/>
      <c r="K93" s="181"/>
      <c r="L93" s="398"/>
    </row>
    <row r="94" spans="1:12" ht="19.5" thickBot="1">
      <c r="A94" s="83"/>
      <c r="B94" s="190"/>
      <c r="C94" s="173" t="s">
        <v>282</v>
      </c>
      <c r="D94" s="342"/>
      <c r="E94" s="367"/>
      <c r="F94" s="321"/>
      <c r="G94" s="119"/>
      <c r="H94" s="270"/>
      <c r="I94" s="349"/>
      <c r="J94" s="354"/>
      <c r="K94" s="120">
        <f>SUM(K49,K69,K92)</f>
        <v>5598.9030025000011</v>
      </c>
      <c r="L94" s="398"/>
    </row>
    <row r="95" spans="1:12">
      <c r="A95" s="83"/>
      <c r="B95" s="83"/>
      <c r="C95" s="109"/>
      <c r="D95" s="343"/>
      <c r="E95" s="368"/>
      <c r="F95" s="322"/>
      <c r="G95" s="110"/>
      <c r="H95" s="332"/>
      <c r="I95" s="350"/>
      <c r="J95" s="329"/>
      <c r="K95" s="115"/>
      <c r="L95" s="398"/>
    </row>
    <row r="96" spans="1:12">
      <c r="A96" s="83"/>
      <c r="B96" s="83"/>
      <c r="C96" s="109" t="s">
        <v>226</v>
      </c>
      <c r="D96" s="343"/>
      <c r="E96" s="368"/>
      <c r="F96" s="322"/>
      <c r="G96" s="110"/>
      <c r="H96" s="332"/>
      <c r="I96" s="350"/>
      <c r="J96" s="329"/>
      <c r="K96" s="115">
        <f>K7</f>
        <v>7811.96</v>
      </c>
      <c r="L96" s="398"/>
    </row>
    <row r="97" spans="1:12">
      <c r="A97" s="83"/>
      <c r="B97" s="83"/>
      <c r="C97" s="109" t="s">
        <v>224</v>
      </c>
      <c r="D97" s="343"/>
      <c r="E97" s="368"/>
      <c r="F97" s="322"/>
      <c r="G97" s="110"/>
      <c r="H97" s="332"/>
      <c r="I97" s="350"/>
      <c r="J97" s="329"/>
      <c r="K97" s="115">
        <f>SUM(K94:K96)</f>
        <v>13410.863002500002</v>
      </c>
      <c r="L97" s="398"/>
    </row>
    <row r="98" spans="1:12" s="67" customFormat="1" ht="19.5" thickBot="1">
      <c r="A98" s="83"/>
      <c r="B98" s="83"/>
      <c r="C98" s="104" t="s">
        <v>227</v>
      </c>
      <c r="D98" s="339"/>
      <c r="E98" s="363"/>
      <c r="F98" s="318"/>
      <c r="G98" s="42"/>
      <c r="H98" s="333"/>
      <c r="I98" s="351"/>
      <c r="J98" s="355"/>
      <c r="K98" s="24">
        <f>K97/3</f>
        <v>4470.2876675000007</v>
      </c>
      <c r="L98" s="402"/>
    </row>
    <row r="99" spans="1:12" s="63" customFormat="1">
      <c r="A99" s="83"/>
      <c r="B99" s="83"/>
      <c r="C99" s="64"/>
      <c r="D99" s="344"/>
      <c r="E99" s="369"/>
      <c r="F99" s="323"/>
      <c r="G99" s="433"/>
      <c r="H99" s="433"/>
      <c r="I99" s="134"/>
      <c r="J99" s="139"/>
      <c r="K99" s="68"/>
      <c r="L99" s="403"/>
    </row>
    <row r="100" spans="1:12" s="63" customFormat="1">
      <c r="A100" s="83"/>
      <c r="B100" s="83"/>
      <c r="C100" s="64"/>
      <c r="D100" s="344"/>
      <c r="E100" s="369"/>
      <c r="F100" s="323"/>
      <c r="G100" s="433"/>
      <c r="H100" s="433"/>
      <c r="I100" s="134"/>
      <c r="J100" s="129"/>
      <c r="K100" s="66"/>
      <c r="L100" s="403"/>
    </row>
    <row r="101" spans="1:12" s="63" customFormat="1">
      <c r="A101" s="83"/>
      <c r="B101" s="83"/>
      <c r="C101" s="64"/>
      <c r="D101" s="344"/>
      <c r="E101" s="369"/>
      <c r="F101" s="323"/>
      <c r="G101" s="433"/>
      <c r="H101" s="433"/>
      <c r="I101" s="134"/>
      <c r="J101" s="129"/>
      <c r="K101" s="66"/>
      <c r="L101" s="403"/>
    </row>
    <row r="102" spans="1:12" s="63" customFormat="1">
      <c r="A102" s="83"/>
      <c r="B102" s="83"/>
      <c r="C102" s="64"/>
      <c r="D102" s="344"/>
      <c r="E102" s="369"/>
      <c r="F102" s="323"/>
      <c r="G102" s="433"/>
      <c r="H102" s="433"/>
      <c r="I102" s="134"/>
      <c r="J102" s="129"/>
      <c r="K102" s="66"/>
      <c r="L102" s="403"/>
    </row>
    <row r="103" spans="1:12">
      <c r="C103" s="64"/>
      <c r="D103" s="344"/>
      <c r="E103" s="369"/>
      <c r="F103" s="323"/>
      <c r="G103" s="433"/>
      <c r="H103" s="433"/>
      <c r="I103" s="134"/>
      <c r="J103" s="129"/>
      <c r="K103" s="66"/>
    </row>
  </sheetData>
  <dataValidations count="6">
    <dataValidation type="list" allowBlank="1" showInputMessage="1" showErrorMessage="1" prompt="Liste choix" sqref="C103">
      <formula1>"REEBOU FAMILY,MOBILE 2016,PACK REEBOU FAMILY,MEDICIS,HORIZONT INVEST,RC ENSEIGNANT"</formula1>
    </dataValidation>
    <dataValidation type="list" allowBlank="1" showInputMessage="1" showErrorMessage="1" prompt="Liste choix" sqref="D91 D71:D88 D50:D68">
      <formula1>"MOBILE2016,MOBILE Regio,REEBOU Family,REEBOUImmo,REEBOU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Liste choix" sqref="D89:D90">
      <formula1>"MOBILE2016,MOBILE Regio,REEBOU Family,REEBOU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CHOIX PRODUIT" sqref="D70 D30">
      <formula1>"MOBILE2016,MOBILE Regio,REEBOUfamily,REEBOUpack,REEBOUpro,REEBOUinvest,LOGGIA,MEDICIS,RC,RC ENSEIGN,ZENITH60op100,ZENITH60op25,HORIZONT60invest,HORIZONT60protect,HORIZONT60capi,HELIOS100protect,HELIOS60invest,HELIOS100invest,FOCUS,NOVA,BSH"</formula1>
    </dataValidation>
    <dataValidation type="list" allowBlank="1" showInputMessage="1" showErrorMessage="1" prompt="Liste choix" sqref="D31:D48">
      <formula1>"MOBILE2016,MOBILE2007,MOBILE Regio,REEBOU Family,REEBOU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prompt="CHOIX PRODUIT" sqref="D10:D29">
      <formula1>"MOBILE2016,MOBILE Regio,REEBOU Family,REEBOU Pack,REEBOU Pro,REEBOU Invest,LOGGIA,MEDICIS,RC,RC ENSEIGNANT,ZENITH60 Op100,ZENITH60 Op25,HORIZONT60Invest,HORIZONT60Protect,HORIZONT60Capi,HELIOS100Protect,HELIOS100Invest,FOCUS,NOVA,SCHWABISCHHALL"</formula1>
    </dataValidation>
  </dataValidations>
  <printOptions horizontalCentered="1" verticalCentered="1" gridLines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 xml:space="preserve">&amp;C&amp;"-,Gras"&amp;14COMMISSION JEFF DERAPPE 4èmeTRIMESTRE 2017
</oddHeader>
    <oddFooter xml:space="preserve">&amp;L&amp;8&amp;Z&amp;F&amp;C&amp;7&amp;P/&amp;N&amp;RModfié le &amp;D </oddFooter>
  </headerFooter>
  <rowBreaks count="2" manualBreakCount="2">
    <brk id="49" max="9" man="1"/>
    <brk id="69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31</vt:i4>
      </vt:variant>
    </vt:vector>
  </HeadingPairs>
  <TitlesOfParts>
    <vt:vector size="48" baseType="lpstr">
      <vt:lpstr>2e trim 2016</vt:lpstr>
      <vt:lpstr>3ème trim 2016</vt:lpstr>
      <vt:lpstr>4ème trim 2016</vt:lpstr>
      <vt:lpstr>1er trim 2017</vt:lpstr>
      <vt:lpstr>2eme trim 2017 </vt:lpstr>
      <vt:lpstr>3eme trim 2017  </vt:lpstr>
      <vt:lpstr>4eme trim 2017  </vt:lpstr>
      <vt:lpstr>1er Trimestre 2018</vt:lpstr>
      <vt:lpstr>2ème Trim.2018</vt:lpstr>
      <vt:lpstr>Récapitulatif</vt:lpstr>
      <vt:lpstr>MODEL</vt:lpstr>
      <vt:lpstr>bareme com</vt:lpstr>
      <vt:lpstr>méth.Calcul (2)</vt:lpstr>
      <vt:lpstr>méth.Calcul</vt:lpstr>
      <vt:lpstr>Program.</vt:lpstr>
      <vt:lpstr>Simulation 4e 2017</vt:lpstr>
      <vt:lpstr>simul.4e 2017 (2)</vt:lpstr>
      <vt:lpstr>'simul.4e 2017 (2)'!A</vt:lpstr>
      <vt:lpstr>'Simulation 4e 2017'!A</vt:lpstr>
      <vt:lpstr>A</vt:lpstr>
      <vt:lpstr>'1er trim 2017'!Impression_des_titres</vt:lpstr>
      <vt:lpstr>'1er Trimestre 2018'!Impression_des_titres</vt:lpstr>
      <vt:lpstr>'2e trim 2016'!Impression_des_titres</vt:lpstr>
      <vt:lpstr>'2eme trim 2017 '!Impression_des_titres</vt:lpstr>
      <vt:lpstr>'2ème Trim.2018'!Impression_des_titres</vt:lpstr>
      <vt:lpstr>'3ème trim 2016'!Impression_des_titres</vt:lpstr>
      <vt:lpstr>'3eme trim 2017  '!Impression_des_titres</vt:lpstr>
      <vt:lpstr>'4ème trim 2016'!Impression_des_titres</vt:lpstr>
      <vt:lpstr>'4eme trim 2017  '!Impression_des_titres</vt:lpstr>
      <vt:lpstr>MODEL!Impression_des_titres</vt:lpstr>
      <vt:lpstr>Program.!Impression_des_titres</vt:lpstr>
      <vt:lpstr>Récapitulatif!Impression_des_titres</vt:lpstr>
      <vt:lpstr>'simul.4e 2017 (2)'!Impression_des_titres</vt:lpstr>
      <vt:lpstr>'Simulation 4e 2017'!Impression_des_titres</vt:lpstr>
      <vt:lpstr>'1er trim 2017'!Zone_d_impression</vt:lpstr>
      <vt:lpstr>'1er Trimestre 2018'!Zone_d_impression</vt:lpstr>
      <vt:lpstr>'2e trim 2016'!Zone_d_impression</vt:lpstr>
      <vt:lpstr>'2eme trim 2017 '!Zone_d_impression</vt:lpstr>
      <vt:lpstr>'2ème Trim.2018'!Zone_d_impression</vt:lpstr>
      <vt:lpstr>'3ème trim 2016'!Zone_d_impression</vt:lpstr>
      <vt:lpstr>'3eme trim 2017  '!Zone_d_impression</vt:lpstr>
      <vt:lpstr>'4ème trim 2016'!Zone_d_impression</vt:lpstr>
      <vt:lpstr>'4eme trim 2017  '!Zone_d_impression</vt:lpstr>
      <vt:lpstr>MODEL!Zone_d_impression</vt:lpstr>
      <vt:lpstr>Program.!Zone_d_impression</vt:lpstr>
      <vt:lpstr>Récapitulatif!Zone_d_impression</vt:lpstr>
      <vt:lpstr>'simul.4e 2017 (2)'!Zone_d_impression</vt:lpstr>
      <vt:lpstr>'Simulation 4e 2017'!Zone_d_impression</vt:lpstr>
    </vt:vector>
  </TitlesOfParts>
  <Company>Foyer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Administrateur;Fabienne BARTHELEMY</dc:creator>
  <cp:lastModifiedBy>Administrateur</cp:lastModifiedBy>
  <cp:lastPrinted>2018-04-24T12:10:06Z</cp:lastPrinted>
  <dcterms:created xsi:type="dcterms:W3CDTF">2016-06-22T13:44:03Z</dcterms:created>
  <dcterms:modified xsi:type="dcterms:W3CDTF">2018-05-16T12:00:44Z</dcterms:modified>
</cp:coreProperties>
</file>