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2075"/>
  </bookViews>
  <sheets>
    <sheet name="Calculus" sheetId="1" r:id="rId1"/>
  </sheets>
  <externalReferences>
    <externalReference r:id="rId2"/>
  </externalReferences>
  <definedNames>
    <definedName name="Description">[1]lists!$A$26:$A$31</definedName>
  </definedNames>
  <calcPr calcId="145621"/>
</workbook>
</file>

<file path=xl/calcChain.xml><?xml version="1.0" encoding="utf-8"?>
<calcChain xmlns="http://schemas.openxmlformats.org/spreadsheetml/2006/main">
  <c r="I75" i="1" l="1"/>
  <c r="H75" i="1"/>
  <c r="G75" i="1"/>
  <c r="F75" i="1"/>
  <c r="E75" i="1"/>
  <c r="D75" i="1"/>
  <c r="D56" i="1"/>
  <c r="Q42" i="1"/>
  <c r="P33" i="1"/>
  <c r="C6" i="1"/>
  <c r="C4" i="1"/>
  <c r="E5" i="1" s="1"/>
  <c r="F54" i="1"/>
  <c r="H54" i="1"/>
  <c r="C7" i="1"/>
  <c r="C5" i="1" l="1"/>
  <c r="C8" i="1" s="1"/>
  <c r="E8" i="1" s="1"/>
  <c r="D59" i="1"/>
  <c r="D46" i="1"/>
  <c r="D47" i="1" s="1"/>
  <c r="D57" i="1"/>
  <c r="E56" i="1" s="1"/>
  <c r="C9" i="1"/>
  <c r="I12" i="1" s="1"/>
  <c r="C56" i="1"/>
  <c r="C46" i="1" s="1"/>
  <c r="D62" i="1" l="1"/>
  <c r="E47" i="1"/>
  <c r="D49" i="1"/>
  <c r="S21" i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E59" i="1"/>
  <c r="E57" i="1"/>
  <c r="D50" i="1"/>
  <c r="D51" i="1" s="1"/>
  <c r="D48" i="1"/>
  <c r="E46" i="1"/>
  <c r="D63" i="1"/>
  <c r="C51" i="1"/>
  <c r="J18" i="1" s="1"/>
  <c r="C48" i="1"/>
  <c r="S20" i="1"/>
  <c r="S19" i="1"/>
  <c r="S18" i="1"/>
  <c r="H18" i="1"/>
  <c r="E79" i="1" l="1"/>
  <c r="E63" i="1"/>
  <c r="E50" i="1"/>
  <c r="K18" i="1"/>
  <c r="P18" i="1" s="1"/>
  <c r="R18" i="1"/>
  <c r="H19" i="1" s="1"/>
  <c r="I18" i="1"/>
  <c r="T18" i="1" s="1"/>
  <c r="F47" i="1"/>
  <c r="E62" i="1"/>
  <c r="E49" i="1"/>
  <c r="E48" i="1"/>
  <c r="D79" i="1"/>
  <c r="D78" i="1"/>
  <c r="D77" i="1" s="1"/>
  <c r="E78" i="1"/>
  <c r="E77" i="1" s="1"/>
  <c r="E51" i="1" l="1"/>
  <c r="R19" i="1"/>
  <c r="H20" i="1" s="1"/>
  <c r="I19" i="1"/>
  <c r="T19" i="1" s="1"/>
  <c r="F63" i="1"/>
  <c r="F46" i="1"/>
  <c r="F48" i="1" s="1"/>
  <c r="F50" i="1"/>
  <c r="O18" i="1"/>
  <c r="W18" i="1"/>
  <c r="R20" i="1" l="1"/>
  <c r="H21" i="1" s="1"/>
  <c r="I20" i="1"/>
  <c r="T20" i="1" s="1"/>
  <c r="F49" i="1"/>
  <c r="F51" i="1" s="1"/>
  <c r="G47" i="1"/>
  <c r="F62" i="1"/>
  <c r="F56" i="1"/>
  <c r="I21" i="1" l="1"/>
  <c r="T21" i="1" s="1"/>
  <c r="R21" i="1"/>
  <c r="H22" i="1" s="1"/>
  <c r="F59" i="1"/>
  <c r="F57" i="1"/>
  <c r="G63" i="1"/>
  <c r="G50" i="1"/>
  <c r="G46" i="1"/>
  <c r="G48" i="1" s="1"/>
  <c r="G49" i="1" l="1"/>
  <c r="G51" i="1" s="1"/>
  <c r="H47" i="1"/>
  <c r="G62" i="1"/>
  <c r="G56" i="1"/>
  <c r="R22" i="1"/>
  <c r="H23" i="1" s="1"/>
  <c r="I22" i="1"/>
  <c r="T22" i="1" s="1"/>
  <c r="H50" i="1" l="1"/>
  <c r="H63" i="1"/>
  <c r="H46" i="1"/>
  <c r="H48" i="1" s="1"/>
  <c r="R23" i="1"/>
  <c r="H24" i="1" s="1"/>
  <c r="I23" i="1"/>
  <c r="T23" i="1" s="1"/>
  <c r="G57" i="1"/>
  <c r="G59" i="1"/>
  <c r="G78" i="1" s="1"/>
  <c r="G77" i="1" s="1"/>
  <c r="F78" i="1" l="1"/>
  <c r="F77" i="1" s="1"/>
  <c r="F79" i="1"/>
  <c r="H62" i="1"/>
  <c r="H56" i="1"/>
  <c r="H49" i="1"/>
  <c r="H51" i="1" s="1"/>
  <c r="I47" i="1"/>
  <c r="G79" i="1"/>
  <c r="R24" i="1"/>
  <c r="H25" i="1" s="1"/>
  <c r="I24" i="1"/>
  <c r="T24" i="1" s="1"/>
  <c r="R25" i="1" l="1"/>
  <c r="H26" i="1" s="1"/>
  <c r="I25" i="1"/>
  <c r="T25" i="1" s="1"/>
  <c r="H57" i="1"/>
  <c r="H59" i="1"/>
  <c r="I50" i="1"/>
  <c r="I63" i="1"/>
  <c r="I46" i="1"/>
  <c r="I48" i="1" s="1"/>
  <c r="I49" i="1" l="1"/>
  <c r="I51" i="1" s="1"/>
  <c r="I62" i="1"/>
  <c r="I56" i="1"/>
  <c r="R26" i="1"/>
  <c r="H27" i="1" s="1"/>
  <c r="I26" i="1"/>
  <c r="T26" i="1" s="1"/>
  <c r="I59" i="1" l="1"/>
  <c r="I57" i="1"/>
  <c r="R27" i="1"/>
  <c r="H28" i="1" s="1"/>
  <c r="I27" i="1"/>
  <c r="T27" i="1" s="1"/>
  <c r="I79" i="1" l="1"/>
  <c r="R28" i="1"/>
  <c r="H29" i="1" s="1"/>
  <c r="I28" i="1"/>
  <c r="T28" i="1" s="1"/>
  <c r="H78" i="1"/>
  <c r="H77" i="1" s="1"/>
  <c r="H79" i="1"/>
  <c r="I78" i="1"/>
  <c r="I77" i="1" s="1"/>
  <c r="R29" i="1" l="1"/>
  <c r="H30" i="1" s="1"/>
  <c r="I29" i="1"/>
  <c r="T29" i="1" s="1"/>
  <c r="R30" i="1" l="1"/>
  <c r="H31" i="1" s="1"/>
  <c r="I30" i="1"/>
  <c r="T30" i="1" s="1"/>
  <c r="R31" i="1" l="1"/>
  <c r="H32" i="1" s="1"/>
  <c r="I31" i="1"/>
  <c r="T31" i="1" s="1"/>
  <c r="R32" i="1" l="1"/>
  <c r="H33" i="1" s="1"/>
  <c r="I32" i="1"/>
  <c r="T32" i="1" s="1"/>
  <c r="R33" i="1" l="1"/>
  <c r="H34" i="1" s="1"/>
  <c r="I33" i="1"/>
  <c r="T33" i="1" s="1"/>
  <c r="R34" i="1" l="1"/>
  <c r="H35" i="1" s="1"/>
  <c r="I34" i="1"/>
  <c r="T34" i="1" s="1"/>
  <c r="R35" i="1" l="1"/>
  <c r="H36" i="1" s="1"/>
  <c r="I35" i="1"/>
  <c r="T35" i="1" s="1"/>
  <c r="R36" i="1" l="1"/>
  <c r="H37" i="1" s="1"/>
  <c r="I36" i="1"/>
  <c r="T36" i="1" s="1"/>
  <c r="I37" i="1" l="1"/>
  <c r="T37" i="1" s="1"/>
  <c r="R37" i="1"/>
  <c r="H38" i="1" s="1"/>
  <c r="R38" i="1" l="1"/>
  <c r="H39" i="1" s="1"/>
  <c r="I38" i="1"/>
  <c r="T38" i="1" s="1"/>
  <c r="I39" i="1" l="1"/>
  <c r="T39" i="1" s="1"/>
  <c r="R39" i="1"/>
  <c r="H40" i="1" s="1"/>
  <c r="R40" i="1" l="1"/>
  <c r="H41" i="1" s="1"/>
  <c r="I40" i="1"/>
  <c r="T40" i="1" s="1"/>
  <c r="R41" i="1" l="1"/>
  <c r="H42" i="1" s="1"/>
  <c r="I41" i="1"/>
  <c r="T41" i="1" s="1"/>
  <c r="R42" i="1" l="1"/>
  <c r="I42" i="1"/>
  <c r="T42" i="1" s="1"/>
  <c r="O19" i="1" l="1"/>
  <c r="W25" i="1"/>
  <c r="W22" i="1"/>
  <c r="O30" i="1"/>
  <c r="T10" i="1"/>
  <c r="T11" i="1"/>
  <c r="O31" i="1"/>
  <c r="O35" i="1"/>
  <c r="O28" i="1"/>
  <c r="W33" i="1"/>
  <c r="O41" i="1"/>
  <c r="O24" i="1"/>
  <c r="V42" i="1"/>
  <c r="O20" i="1"/>
  <c r="W23" i="1"/>
  <c r="W21" i="1"/>
  <c r="W41" i="1"/>
  <c r="P41" i="1"/>
  <c r="W29" i="1"/>
  <c r="P19" i="1"/>
  <c r="W19" i="1"/>
  <c r="W20" i="1"/>
  <c r="P20" i="1"/>
  <c r="W39" i="1"/>
  <c r="W32" i="1"/>
  <c r="W28" i="1"/>
  <c r="P28" i="1"/>
  <c r="K22" i="1"/>
  <c r="P25" i="1"/>
  <c r="O25" i="1"/>
  <c r="P23" i="1"/>
  <c r="O23" i="1"/>
  <c r="P21" i="1"/>
  <c r="O21" i="1"/>
  <c r="K20" i="1"/>
  <c r="O26" i="1"/>
  <c r="W37" i="1"/>
  <c r="W26" i="1"/>
  <c r="K26" i="1"/>
  <c r="P26" i="1"/>
  <c r="O36" i="1"/>
  <c r="K27" i="1"/>
  <c r="W27" i="1"/>
  <c r="W24" i="1"/>
  <c r="K24" i="1"/>
  <c r="P24" i="1"/>
  <c r="W34" i="1"/>
  <c r="O33" i="1"/>
  <c r="K33" i="1"/>
  <c r="P36" i="1"/>
  <c r="K36" i="1"/>
  <c r="W36" i="1"/>
  <c r="P31" i="1"/>
  <c r="W31" i="1"/>
  <c r="K37" i="1"/>
  <c r="P37" i="1"/>
  <c r="O37" i="1"/>
  <c r="P35" i="1"/>
  <c r="W35" i="1"/>
  <c r="K39" i="1"/>
  <c r="P39" i="1"/>
  <c r="O39" i="1"/>
  <c r="O42" i="1"/>
  <c r="P34" i="1"/>
  <c r="O34" i="1"/>
  <c r="O38" i="1"/>
  <c r="K29" i="1"/>
  <c r="P29" i="1"/>
  <c r="O29" i="1"/>
  <c r="K32" i="1"/>
  <c r="P32" i="1"/>
  <c r="O32" i="1"/>
  <c r="K19" i="1"/>
  <c r="K25" i="1"/>
  <c r="O40" i="1"/>
  <c r="W30" i="1"/>
  <c r="K23" i="1"/>
  <c r="K21" i="1"/>
  <c r="K41" i="1"/>
  <c r="K34" i="1"/>
  <c r="P40" i="1"/>
  <c r="K40" i="1"/>
  <c r="W40" i="1"/>
  <c r="K31" i="1"/>
  <c r="W38" i="1"/>
  <c r="K38" i="1"/>
  <c r="P38" i="1"/>
  <c r="P27" i="1"/>
  <c r="O27" i="1"/>
  <c r="P42" i="1"/>
  <c r="V41" i="1"/>
  <c r="J42" i="1"/>
  <c r="K42" i="1"/>
  <c r="W42" i="1"/>
  <c r="K28" i="1"/>
  <c r="K35" i="1"/>
  <c r="V37" i="1"/>
  <c r="J38" i="1"/>
  <c r="V38" i="1"/>
  <c r="J39" i="1"/>
  <c r="V39" i="1"/>
  <c r="J40" i="1"/>
  <c r="V40" i="1"/>
  <c r="J41" i="1"/>
  <c r="V32" i="1"/>
  <c r="J33" i="1"/>
  <c r="V33" i="1"/>
  <c r="J34" i="1"/>
  <c r="V34" i="1"/>
  <c r="J35" i="1"/>
  <c r="V35" i="1"/>
  <c r="J36" i="1"/>
  <c r="V36" i="1"/>
  <c r="J37" i="1"/>
  <c r="P22" i="1"/>
  <c r="O22" i="1"/>
  <c r="K30" i="1"/>
  <c r="P30" i="1"/>
  <c r="V18" i="1"/>
  <c r="J19" i="1"/>
  <c r="V19" i="1"/>
  <c r="J20" i="1"/>
  <c r="V20" i="1"/>
  <c r="J21" i="1"/>
  <c r="V21" i="1"/>
  <c r="J22" i="1"/>
  <c r="V22" i="1"/>
  <c r="J23" i="1"/>
  <c r="V23" i="1"/>
  <c r="J24" i="1"/>
  <c r="V24" i="1"/>
  <c r="J25" i="1"/>
  <c r="V25" i="1"/>
  <c r="J26" i="1"/>
  <c r="V26" i="1"/>
  <c r="J27" i="1"/>
  <c r="V27" i="1"/>
  <c r="J28" i="1"/>
  <c r="V28" i="1"/>
  <c r="J29" i="1"/>
  <c r="V29" i="1"/>
  <c r="J30" i="1"/>
  <c r="V30" i="1"/>
  <c r="J31" i="1"/>
  <c r="V31" i="1"/>
  <c r="J32" i="1"/>
</calcChain>
</file>

<file path=xl/sharedStrings.xml><?xml version="1.0" encoding="utf-8"?>
<sst xmlns="http://schemas.openxmlformats.org/spreadsheetml/2006/main" count="87" uniqueCount="28">
  <si>
    <t>BB1</t>
  </si>
  <si>
    <t>solution</t>
  </si>
  <si>
    <t>1A*2A</t>
  </si>
  <si>
    <t>BB2</t>
  </si>
  <si>
    <t>1B*2B</t>
  </si>
  <si>
    <t>BB3</t>
  </si>
  <si>
    <t>1C*2C</t>
  </si>
  <si>
    <t>1mL-Ultrafiltration plate</t>
  </si>
  <si>
    <t>JumboSep (200mL)</t>
  </si>
  <si>
    <t>Load</t>
  </si>
  <si>
    <t>Solution</t>
  </si>
  <si>
    <t>Twintech-250uL</t>
  </si>
  <si>
    <t>Individuel</t>
  </si>
  <si>
    <t>Deprotect</t>
  </si>
  <si>
    <t>Purify</t>
  </si>
  <si>
    <t>Ultrafiltration_plate</t>
  </si>
  <si>
    <t>Ligate</t>
  </si>
  <si>
    <t>1A,2A</t>
  </si>
  <si>
    <t>Deepwell-2000uL</t>
  </si>
  <si>
    <t>NAP_and_Prec</t>
  </si>
  <si>
    <t>NAP100</t>
  </si>
  <si>
    <t>Pool</t>
  </si>
  <si>
    <t>1B,2B</t>
  </si>
  <si>
    <t>1C,2C</t>
  </si>
  <si>
    <t>Prec_after_JumboSep</t>
  </si>
  <si>
    <t>Falcon 220mL</t>
  </si>
  <si>
    <t>Prepcell</t>
  </si>
  <si>
    <t>Ultrafiltration_single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</si>
</sst>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00"/>
    <numFmt numFmtId="169" formatCode="0.00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color theme="5"/>
      <name val="Arial"/>
      <family val="2"/>
    </font>
    <font>
      <sz val="11"/>
      <name val="Calibri"/>
      <family val="2"/>
      <scheme val="minor"/>
    </font>
    <font>
      <sz val="11"/>
      <color theme="5"/>
      <name val="Calibri"/>
      <family val="2"/>
      <scheme val="minor"/>
    </font>
    <font>
      <sz val="10"/>
      <color rgb="FFC00000"/>
      <name val="Arial"/>
      <family val="2"/>
    </font>
    <font>
      <sz val="10"/>
      <color rgb="FF0070C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Arial"/>
      <family val="2"/>
    </font>
    <font>
      <sz val="11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rgb="FFC0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24" fillId="0" borderId="0"/>
    <xf numFmtId="0" fontId="24" fillId="0" borderId="0"/>
  </cellStyleXfs>
  <cellXfs count="269">
    <xf numFmtId="0" fontId="0" fillId="0" borderId="0" xfId="0"/>
    <xf numFmtId="0" fontId="4" fillId="0" borderId="0" xfId="0" applyFont="1"/>
    <xf numFmtId="15" fontId="0" fillId="0" borderId="0" xfId="0" applyNumberFormat="1"/>
    <xf numFmtId="0" fontId="6" fillId="2" borderId="1" xfId="1" applyFont="1" applyFill="1" applyBorder="1"/>
    <xf numFmtId="0" fontId="7" fillId="3" borderId="2" xfId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5" xfId="0" applyFill="1" applyBorder="1"/>
    <xf numFmtId="0" fontId="0" fillId="4" borderId="3" xfId="0" applyFill="1" applyBorder="1"/>
    <xf numFmtId="0" fontId="5" fillId="2" borderId="6" xfId="1" applyFill="1" applyBorder="1"/>
    <xf numFmtId="11" fontId="5" fillId="4" borderId="0" xfId="1" applyNumberFormat="1" applyFont="1" applyFill="1" applyBorder="1" applyAlignment="1">
      <alignment horizontal="center"/>
    </xf>
    <xf numFmtId="0" fontId="0" fillId="4" borderId="5" xfId="0" applyFont="1" applyFill="1" applyBorder="1" applyAlignment="1">
      <alignment horizontal="center"/>
    </xf>
    <xf numFmtId="11" fontId="8" fillId="4" borderId="4" xfId="0" applyNumberFormat="1" applyFont="1" applyFill="1" applyBorder="1" applyAlignment="1">
      <alignment horizontal="center"/>
    </xf>
    <xf numFmtId="11" fontId="9" fillId="0" borderId="0" xfId="0" applyNumberFormat="1" applyFont="1" applyFill="1"/>
    <xf numFmtId="0" fontId="0" fillId="4" borderId="7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" fontId="5" fillId="4" borderId="0" xfId="1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164" fontId="0" fillId="4" borderId="8" xfId="0" applyNumberForma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10" fillId="3" borderId="9" xfId="0" applyFont="1" applyFill="1" applyBorder="1" applyAlignment="1">
      <alignment horizontal="center"/>
    </xf>
    <xf numFmtId="0" fontId="10" fillId="3" borderId="10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5" fillId="4" borderId="0" xfId="1" applyFill="1" applyBorder="1" applyAlignment="1">
      <alignment horizontal="center"/>
    </xf>
    <xf numFmtId="164" fontId="10" fillId="3" borderId="8" xfId="0" applyNumberFormat="1" applyFont="1" applyFill="1" applyBorder="1" applyAlignment="1">
      <alignment horizontal="center"/>
    </xf>
    <xf numFmtId="1" fontId="10" fillId="0" borderId="0" xfId="0" applyNumberFormat="1" applyFont="1" applyFill="1" applyAlignment="1">
      <alignment horizontal="center"/>
    </xf>
    <xf numFmtId="0" fontId="0" fillId="5" borderId="6" xfId="0" applyFill="1" applyBorder="1"/>
    <xf numFmtId="2" fontId="10" fillId="4" borderId="0" xfId="0" applyNumberFormat="1" applyFont="1" applyFill="1" applyBorder="1" applyAlignment="1">
      <alignment horizontal="center"/>
    </xf>
    <xf numFmtId="1" fontId="10" fillId="3" borderId="8" xfId="0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10" fillId="3" borderId="12" xfId="0" applyFont="1" applyFill="1" applyBorder="1" applyAlignment="1">
      <alignment horizontal="center"/>
    </xf>
    <xf numFmtId="0" fontId="10" fillId="3" borderId="13" xfId="0" applyFont="1" applyFill="1" applyBorder="1" applyAlignment="1">
      <alignment horizontal="center"/>
    </xf>
    <xf numFmtId="0" fontId="0" fillId="5" borderId="14" xfId="0" applyFill="1" applyBorder="1"/>
    <xf numFmtId="1" fontId="0" fillId="4" borderId="15" xfId="0" applyNumberFormat="1" applyFill="1" applyBorder="1" applyAlignment="1">
      <alignment horizontal="center"/>
    </xf>
    <xf numFmtId="0" fontId="0" fillId="4" borderId="11" xfId="0" applyFill="1" applyBorder="1"/>
    <xf numFmtId="0" fontId="0" fillId="4" borderId="16" xfId="0" applyFill="1" applyBorder="1"/>
    <xf numFmtId="0" fontId="0" fillId="0" borderId="0" xfId="0" applyFill="1"/>
    <xf numFmtId="0" fontId="11" fillId="0" borderId="0" xfId="0" applyFont="1" applyFill="1" applyAlignment="1">
      <alignment horizontal="center"/>
    </xf>
    <xf numFmtId="0" fontId="11" fillId="0" borderId="0" xfId="0" applyFont="1" applyFill="1"/>
    <xf numFmtId="0" fontId="0" fillId="0" borderId="0" xfId="0" applyFill="1" applyBorder="1"/>
    <xf numFmtId="0" fontId="3" fillId="4" borderId="5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0" fillId="0" borderId="0" xfId="0" applyFill="1" applyAlignment="1"/>
    <xf numFmtId="0" fontId="0" fillId="0" borderId="0" xfId="0" applyBorder="1"/>
    <xf numFmtId="0" fontId="12" fillId="4" borderId="17" xfId="0" applyFont="1" applyFill="1" applyBorder="1" applyAlignment="1">
      <alignment horizontal="center"/>
    </xf>
    <xf numFmtId="0" fontId="12" fillId="4" borderId="18" xfId="0" applyFont="1" applyFill="1" applyBorder="1" applyAlignment="1">
      <alignment horizontal="center"/>
    </xf>
    <xf numFmtId="0" fontId="12" fillId="0" borderId="0" xfId="0" applyFont="1" applyFill="1" applyBorder="1" applyAlignment="1"/>
    <xf numFmtId="0" fontId="13" fillId="0" borderId="0" xfId="0" applyFont="1" applyFill="1" applyBorder="1" applyAlignment="1">
      <alignment horizontal="center"/>
    </xf>
    <xf numFmtId="0" fontId="5" fillId="4" borderId="11" xfId="1" applyFill="1" applyBorder="1"/>
    <xf numFmtId="164" fontId="13" fillId="3" borderId="12" xfId="0" applyNumberFormat="1" applyFont="1" applyFill="1" applyBorder="1" applyAlignment="1">
      <alignment horizontal="center"/>
    </xf>
    <xf numFmtId="1" fontId="10" fillId="3" borderId="10" xfId="0" applyNumberFormat="1" applyFont="1" applyFill="1" applyBorder="1" applyAlignment="1">
      <alignment horizontal="center"/>
    </xf>
    <xf numFmtId="0" fontId="0" fillId="4" borderId="7" xfId="0" applyFont="1" applyFill="1" applyBorder="1" applyAlignment="1"/>
    <xf numFmtId="165" fontId="0" fillId="4" borderId="8" xfId="0" applyNumberFormat="1" applyFill="1" applyBorder="1" applyAlignment="1">
      <alignment horizontal="center"/>
    </xf>
    <xf numFmtId="0" fontId="5" fillId="0" borderId="0" xfId="1" applyFill="1" applyAlignment="1">
      <alignment horizontal="center"/>
    </xf>
    <xf numFmtId="0" fontId="0" fillId="0" borderId="4" xfId="0" applyBorder="1"/>
    <xf numFmtId="11" fontId="0" fillId="4" borderId="8" xfId="0" applyNumberFormat="1" applyFill="1" applyBorder="1"/>
    <xf numFmtId="0" fontId="3" fillId="0" borderId="0" xfId="0" applyFont="1" applyFill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0" fillId="0" borderId="8" xfId="0" applyFill="1" applyBorder="1"/>
    <xf numFmtId="0" fontId="0" fillId="4" borderId="15" xfId="0" applyFill="1" applyBorder="1" applyAlignment="1">
      <alignment horizontal="center"/>
    </xf>
    <xf numFmtId="0" fontId="0" fillId="4" borderId="16" xfId="0" applyNumberFormat="1" applyFill="1" applyBorder="1"/>
    <xf numFmtId="0" fontId="0" fillId="0" borderId="0" xfId="0" applyNumberFormat="1" applyFill="1"/>
    <xf numFmtId="0" fontId="3" fillId="4" borderId="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12" fillId="4" borderId="5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5" fillId="4" borderId="5" xfId="0" applyFont="1" applyFill="1" applyBorder="1" applyAlignment="1"/>
    <xf numFmtId="0" fontId="12" fillId="4" borderId="5" xfId="0" applyFont="1" applyFill="1" applyBorder="1" applyAlignment="1">
      <alignment horizontal="center"/>
    </xf>
    <xf numFmtId="0" fontId="12" fillId="4" borderId="5" xfId="0" applyFont="1" applyFill="1" applyBorder="1" applyAlignment="1"/>
    <xf numFmtId="0" fontId="12" fillId="4" borderId="3" xfId="0" applyFont="1" applyFill="1" applyBorder="1" applyAlignment="1"/>
    <xf numFmtId="0" fontId="12" fillId="4" borderId="4" xfId="0" applyFont="1" applyFill="1" applyBorder="1" applyAlignment="1"/>
    <xf numFmtId="0" fontId="1" fillId="4" borderId="15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6" fillId="4" borderId="15" xfId="0" applyFont="1" applyFill="1" applyBorder="1" applyAlignment="1">
      <alignment horizontal="center"/>
    </xf>
    <xf numFmtId="0" fontId="16" fillId="4" borderId="8" xfId="0" applyFont="1" applyFill="1" applyBorder="1" applyAlignment="1">
      <alignment horizontal="center"/>
    </xf>
    <xf numFmtId="0" fontId="16" fillId="4" borderId="11" xfId="0" applyFont="1" applyFill="1" applyBorder="1" applyAlignment="1">
      <alignment horizontal="center"/>
    </xf>
    <xf numFmtId="0" fontId="16" fillId="4" borderId="16" xfId="0" applyFont="1" applyFill="1" applyBorder="1" applyAlignment="1">
      <alignment horizontal="center"/>
    </xf>
    <xf numFmtId="0" fontId="16" fillId="4" borderId="7" xfId="0" applyFont="1" applyFill="1" applyBorder="1" applyAlignment="1">
      <alignment horizontal="center" wrapText="1"/>
    </xf>
    <xf numFmtId="0" fontId="12" fillId="4" borderId="11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8" fillId="3" borderId="28" xfId="0" applyFont="1" applyFill="1" applyBorder="1" applyAlignment="1">
      <alignment horizontal="center"/>
    </xf>
    <xf numFmtId="0" fontId="2" fillId="3" borderId="29" xfId="0" applyFont="1" applyFill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" fontId="8" fillId="4" borderId="23" xfId="0" applyNumberFormat="1" applyFont="1" applyFill="1" applyBorder="1" applyAlignment="1">
      <alignment horizontal="center"/>
    </xf>
    <xf numFmtId="1" fontId="0" fillId="0" borderId="21" xfId="0" applyNumberFormat="1" applyBorder="1" applyAlignment="1">
      <alignment horizontal="center"/>
    </xf>
    <xf numFmtId="1" fontId="17" fillId="0" borderId="19" xfId="0" applyNumberFormat="1" applyFont="1" applyBorder="1" applyAlignment="1">
      <alignment horizontal="center"/>
    </xf>
    <xf numFmtId="1" fontId="14" fillId="3" borderId="30" xfId="0" applyNumberFormat="1" applyFont="1" applyFill="1" applyBorder="1" applyAlignment="1">
      <alignment horizontal="center"/>
    </xf>
    <xf numFmtId="1" fontId="17" fillId="0" borderId="2" xfId="0" applyNumberFormat="1" applyFont="1" applyBorder="1" applyAlignment="1">
      <alignment horizontal="center"/>
    </xf>
    <xf numFmtId="1" fontId="0" fillId="0" borderId="29" xfId="0" applyNumberFormat="1" applyFont="1" applyBorder="1" applyAlignment="1">
      <alignment horizontal="center"/>
    </xf>
    <xf numFmtId="0" fontId="0" fillId="0" borderId="22" xfId="0" applyBorder="1" applyAlignment="1">
      <alignment horizontal="center"/>
    </xf>
    <xf numFmtId="1" fontId="0" fillId="0" borderId="32" xfId="0" applyNumberFormat="1" applyBorder="1" applyAlignment="1">
      <alignment horizontal="center"/>
    </xf>
    <xf numFmtId="1" fontId="18" fillId="0" borderId="33" xfId="0" applyNumberFormat="1" applyFont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0" fontId="0" fillId="0" borderId="33" xfId="0" applyNumberFormat="1" applyBorder="1" applyAlignment="1">
      <alignment horizontal="center"/>
    </xf>
    <xf numFmtId="1" fontId="0" fillId="0" borderId="35" xfId="0" applyNumberFormat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2" fillId="3" borderId="37" xfId="0" applyFont="1" applyFill="1" applyBorder="1" applyAlignment="1">
      <alignment horizontal="center"/>
    </xf>
    <xf numFmtId="1" fontId="0" fillId="0" borderId="36" xfId="0" applyNumberForma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" fontId="14" fillId="3" borderId="38" xfId="0" applyNumberFormat="1" applyFont="1" applyFill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17" fillId="0" borderId="39" xfId="0" applyNumberFormat="1" applyFont="1" applyBorder="1" applyAlignment="1">
      <alignment horizontal="center"/>
    </xf>
    <xf numFmtId="1" fontId="14" fillId="3" borderId="40" xfId="0" applyNumberFormat="1" applyFont="1" applyFill="1" applyBorder="1" applyAlignment="1">
      <alignment horizontal="center"/>
    </xf>
    <xf numFmtId="1" fontId="17" fillId="0" borderId="31" xfId="0" applyNumberFormat="1" applyFont="1" applyBorder="1" applyAlignment="1">
      <alignment horizontal="center"/>
    </xf>
    <xf numFmtId="1" fontId="0" fillId="0" borderId="37" xfId="0" applyNumberFormat="1" applyFont="1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39" xfId="0" applyNumberFormat="1" applyBorder="1" applyAlignment="1">
      <alignment horizontal="center"/>
    </xf>
    <xf numFmtId="1" fontId="18" fillId="0" borderId="9" xfId="0" applyNumberFormat="1" applyFont="1" applyBorder="1" applyAlignment="1">
      <alignment horizontal="center"/>
    </xf>
    <xf numFmtId="164" fontId="0" fillId="0" borderId="41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1" fontId="14" fillId="3" borderId="41" xfId="0" applyNumberFormat="1" applyFont="1" applyFill="1" applyBorder="1" applyAlignment="1">
      <alignment horizontal="center"/>
    </xf>
    <xf numFmtId="1" fontId="10" fillId="3" borderId="40" xfId="0" applyNumberFormat="1" applyFont="1" applyFill="1" applyBorder="1" applyAlignment="1">
      <alignment horizontal="center"/>
    </xf>
    <xf numFmtId="1" fontId="10" fillId="3" borderId="41" xfId="0" applyNumberFormat="1" applyFont="1" applyFill="1" applyBorder="1" applyAlignment="1">
      <alignment horizontal="center"/>
    </xf>
    <xf numFmtId="1" fontId="0" fillId="0" borderId="41" xfId="0" applyNumberFormat="1" applyBorder="1" applyAlignment="1">
      <alignment horizontal="center"/>
    </xf>
    <xf numFmtId="0" fontId="10" fillId="3" borderId="37" xfId="0" applyFont="1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43" xfId="0" applyFill="1" applyBorder="1" applyAlignment="1">
      <alignment horizontal="center"/>
    </xf>
    <xf numFmtId="0" fontId="0" fillId="3" borderId="43" xfId="0" applyFill="1" applyBorder="1"/>
    <xf numFmtId="0" fontId="10" fillId="3" borderId="6" xfId="0" applyFont="1" applyFill="1" applyBorder="1" applyAlignment="1">
      <alignment horizontal="center"/>
    </xf>
    <xf numFmtId="0" fontId="0" fillId="3" borderId="44" xfId="0" applyFill="1" applyBorder="1"/>
    <xf numFmtId="0" fontId="10" fillId="3" borderId="45" xfId="0" applyFont="1" applyFill="1" applyBorder="1" applyAlignment="1">
      <alignment horizontal="center"/>
    </xf>
    <xf numFmtId="1" fontId="0" fillId="0" borderId="46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" fontId="14" fillId="3" borderId="47" xfId="0" applyNumberFormat="1" applyFont="1" applyFill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17" fillId="0" borderId="48" xfId="0" applyNumberFormat="1" applyFont="1" applyBorder="1" applyAlignment="1">
      <alignment horizontal="center"/>
    </xf>
    <xf numFmtId="1" fontId="14" fillId="3" borderId="49" xfId="0" applyNumberFormat="1" applyFont="1" applyFill="1" applyBorder="1" applyAlignment="1">
      <alignment horizontal="center"/>
    </xf>
    <xf numFmtId="1" fontId="17" fillId="0" borderId="16" xfId="0" applyNumberFormat="1" applyFont="1" applyBorder="1" applyAlignment="1">
      <alignment horizontal="center"/>
    </xf>
    <xf numFmtId="1" fontId="0" fillId="0" borderId="45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1" fontId="0" fillId="0" borderId="48" xfId="0" applyNumberFormat="1" applyBorder="1" applyAlignment="1">
      <alignment horizontal="center"/>
    </xf>
    <xf numFmtId="1" fontId="18" fillId="0" borderId="12" xfId="0" applyNumberFormat="1" applyFont="1" applyBorder="1" applyAlignment="1">
      <alignment horizontal="center"/>
    </xf>
    <xf numFmtId="1" fontId="0" fillId="0" borderId="49" xfId="0" applyNumberForma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0" fontId="0" fillId="4" borderId="1" xfId="0" applyFill="1" applyBorder="1" applyAlignment="1"/>
    <xf numFmtId="0" fontId="19" fillId="4" borderId="5" xfId="0" applyFont="1" applyFill="1" applyBorder="1" applyAlignment="1">
      <alignment horizontal="center"/>
    </xf>
    <xf numFmtId="0" fontId="19" fillId="4" borderId="3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/>
    </xf>
    <xf numFmtId="0" fontId="19" fillId="4" borderId="8" xfId="0" applyFont="1" applyFill="1" applyBorder="1" applyAlignment="1">
      <alignment horizontal="center"/>
    </xf>
    <xf numFmtId="0" fontId="0" fillId="0" borderId="0" xfId="0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4" borderId="7" xfId="0" applyFill="1" applyBorder="1" applyAlignment="1"/>
    <xf numFmtId="0" fontId="20" fillId="4" borderId="22" xfId="0" applyFont="1" applyFill="1" applyBorder="1" applyAlignment="1">
      <alignment horizontal="center"/>
    </xf>
    <xf numFmtId="0" fontId="20" fillId="4" borderId="23" xfId="0" applyFont="1" applyFill="1" applyBorder="1" applyAlignment="1">
      <alignment horizontal="center"/>
    </xf>
    <xf numFmtId="0" fontId="20" fillId="4" borderId="2" xfId="0" applyFont="1" applyFill="1" applyBorder="1" applyAlignment="1">
      <alignment horizontal="center"/>
    </xf>
    <xf numFmtId="0" fontId="3" fillId="4" borderId="39" xfId="0" applyFont="1" applyFill="1" applyBorder="1" applyAlignment="1">
      <alignment horizontal="center"/>
    </xf>
    <xf numFmtId="0" fontId="21" fillId="4" borderId="9" xfId="0" applyFont="1" applyFill="1" applyBorder="1" applyAlignment="1">
      <alignment horizontal="center"/>
    </xf>
    <xf numFmtId="0" fontId="21" fillId="4" borderId="10" xfId="0" applyFont="1" applyFill="1" applyBorder="1" applyAlignment="1">
      <alignment horizontal="center"/>
    </xf>
    <xf numFmtId="1" fontId="5" fillId="4" borderId="9" xfId="0" applyNumberFormat="1" applyFont="1" applyFill="1" applyBorder="1" applyAlignment="1">
      <alignment horizontal="center"/>
    </xf>
    <xf numFmtId="1" fontId="6" fillId="4" borderId="9" xfId="0" applyNumberFormat="1" applyFont="1" applyFill="1" applyBorder="1" applyAlignment="1">
      <alignment horizontal="center"/>
    </xf>
    <xf numFmtId="1" fontId="5" fillId="4" borderId="10" xfId="0" applyNumberFormat="1" applyFont="1" applyFill="1" applyBorder="1" applyAlignment="1">
      <alignment horizontal="center"/>
    </xf>
    <xf numFmtId="1" fontId="11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3" fillId="4" borderId="24" xfId="0" applyFont="1" applyFill="1" applyBorder="1" applyAlignment="1">
      <alignment horizontal="center"/>
    </xf>
    <xf numFmtId="1" fontId="5" fillId="4" borderId="25" xfId="0" applyNumberFormat="1" applyFont="1" applyFill="1" applyBorder="1" applyAlignment="1">
      <alignment horizontal="center"/>
    </xf>
    <xf numFmtId="1" fontId="5" fillId="4" borderId="26" xfId="0" applyNumberFormat="1" applyFont="1" applyFill="1" applyBorder="1" applyAlignment="1">
      <alignment horizontal="center"/>
    </xf>
    <xf numFmtId="0" fontId="21" fillId="4" borderId="39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164" fontId="5" fillId="4" borderId="9" xfId="0" applyNumberFormat="1" applyFont="1" applyFill="1" applyBorder="1" applyAlignment="1">
      <alignment horizontal="center"/>
    </xf>
    <xf numFmtId="169" fontId="13" fillId="7" borderId="9" xfId="0" applyNumberFormat="1" applyFont="1" applyFill="1" applyBorder="1" applyAlignment="1">
      <alignment horizontal="center"/>
    </xf>
    <xf numFmtId="164" fontId="5" fillId="4" borderId="10" xfId="0" applyNumberFormat="1" applyFont="1" applyFill="1" applyBorder="1" applyAlignment="1">
      <alignment horizontal="center"/>
    </xf>
    <xf numFmtId="0" fontId="10" fillId="6" borderId="9" xfId="0" applyFont="1" applyFill="1" applyBorder="1" applyAlignment="1">
      <alignment horizontal="center"/>
    </xf>
    <xf numFmtId="169" fontId="5" fillId="4" borderId="9" xfId="0" applyNumberFormat="1" applyFont="1" applyFill="1" applyBorder="1" applyAlignment="1">
      <alignment horizontal="center"/>
    </xf>
    <xf numFmtId="2" fontId="5" fillId="4" borderId="9" xfId="0" applyNumberFormat="1" applyFont="1" applyFill="1" applyBorder="1" applyAlignment="1">
      <alignment horizontal="center"/>
    </xf>
    <xf numFmtId="1" fontId="2" fillId="0" borderId="0" xfId="0" applyNumberFormat="1" applyFont="1" applyFill="1" applyAlignment="1">
      <alignment horizontal="center"/>
    </xf>
    <xf numFmtId="169" fontId="21" fillId="4" borderId="9" xfId="0" applyNumberFormat="1" applyFont="1" applyFill="1" applyBorder="1" applyAlignment="1">
      <alignment horizontal="center"/>
    </xf>
    <xf numFmtId="2" fontId="21" fillId="4" borderId="9" xfId="0" applyNumberFormat="1" applyFont="1" applyFill="1" applyBorder="1" applyAlignment="1">
      <alignment horizontal="center"/>
    </xf>
    <xf numFmtId="0" fontId="15" fillId="4" borderId="39" xfId="0" applyFont="1" applyFill="1" applyBorder="1" applyAlignment="1">
      <alignment horizontal="center"/>
    </xf>
    <xf numFmtId="0" fontId="21" fillId="4" borderId="46" xfId="0" applyFont="1" applyFill="1" applyBorder="1" applyAlignment="1">
      <alignment horizontal="center"/>
    </xf>
    <xf numFmtId="0" fontId="21" fillId="4" borderId="49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13" xfId="0" applyFont="1" applyFill="1" applyBorder="1" applyAlignment="1">
      <alignment horizontal="center"/>
    </xf>
    <xf numFmtId="0" fontId="0" fillId="4" borderId="6" xfId="0" applyFill="1" applyBorder="1" applyAlignment="1"/>
    <xf numFmtId="0" fontId="20" fillId="4" borderId="17" xfId="0" applyFont="1" applyFill="1" applyBorder="1" applyAlignment="1">
      <alignment horizontal="center"/>
    </xf>
    <xf numFmtId="0" fontId="20" fillId="4" borderId="50" xfId="0" applyFont="1" applyFill="1" applyBorder="1" applyAlignment="1">
      <alignment horizontal="center"/>
    </xf>
    <xf numFmtId="0" fontId="20" fillId="4" borderId="18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left"/>
    </xf>
    <xf numFmtId="0" fontId="3" fillId="4" borderId="19" xfId="0" applyFont="1" applyFill="1" applyBorder="1" applyAlignment="1">
      <alignment horizontal="center" vertical="center"/>
    </xf>
    <xf numFmtId="0" fontId="21" fillId="4" borderId="20" xfId="0" applyFont="1" applyFill="1" applyBorder="1" applyAlignment="1">
      <alignment horizontal="center" vertical="center"/>
    </xf>
    <xf numFmtId="0" fontId="21" fillId="4" borderId="21" xfId="0" applyFont="1" applyFill="1" applyBorder="1" applyAlignment="1">
      <alignment horizontal="center" vertical="center"/>
    </xf>
    <xf numFmtId="0" fontId="14" fillId="0" borderId="0" xfId="0" applyFont="1" applyFill="1"/>
    <xf numFmtId="0" fontId="3" fillId="4" borderId="39" xfId="0" applyFont="1" applyFill="1" applyBorder="1" applyAlignment="1">
      <alignment horizontal="center" vertical="center"/>
    </xf>
    <xf numFmtId="1" fontId="5" fillId="4" borderId="9" xfId="0" applyNumberFormat="1" applyFont="1" applyFill="1" applyBorder="1" applyAlignment="1">
      <alignment horizontal="center" vertical="center"/>
    </xf>
    <xf numFmtId="164" fontId="5" fillId="4" borderId="9" xfId="0" applyNumberFormat="1" applyFont="1" applyFill="1" applyBorder="1" applyAlignment="1">
      <alignment horizontal="center" vertical="center"/>
    </xf>
    <xf numFmtId="164" fontId="5" fillId="4" borderId="10" xfId="0" applyNumberFormat="1" applyFont="1" applyFill="1" applyBorder="1" applyAlignment="1">
      <alignment horizontal="center" vertical="center"/>
    </xf>
    <xf numFmtId="0" fontId="3" fillId="4" borderId="48" xfId="0" applyFont="1" applyFill="1" applyBorder="1" applyAlignment="1">
      <alignment horizontal="center" vertical="center"/>
    </xf>
    <xf numFmtId="1" fontId="5" fillId="4" borderId="12" xfId="0" applyNumberFormat="1" applyFont="1" applyFill="1" applyBorder="1" applyAlignment="1">
      <alignment horizontal="center" vertical="center"/>
    </xf>
    <xf numFmtId="164" fontId="5" fillId="4" borderId="12" xfId="0" applyNumberFormat="1" applyFont="1" applyFill="1" applyBorder="1" applyAlignment="1">
      <alignment horizontal="center" vertical="center"/>
    </xf>
    <xf numFmtId="164" fontId="5" fillId="4" borderId="13" xfId="0" applyNumberFormat="1" applyFont="1" applyFill="1" applyBorder="1" applyAlignment="1">
      <alignment horizontal="center" vertical="center"/>
    </xf>
    <xf numFmtId="0" fontId="23" fillId="0" borderId="0" xfId="0" applyFont="1" applyFill="1" applyBorder="1"/>
    <xf numFmtId="0" fontId="0" fillId="4" borderId="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top" wrapText="1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top" wrapText="1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1" fontId="0" fillId="6" borderId="20" xfId="0" applyNumberFormat="1" applyFill="1" applyBorder="1" applyAlignment="1">
      <alignment horizontal="center" vertical="center"/>
    </xf>
    <xf numFmtId="1" fontId="0" fillId="6" borderId="21" xfId="0" applyNumberFormat="1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1" fontId="0" fillId="4" borderId="9" xfId="0" applyNumberFormat="1" applyFill="1" applyBorder="1" applyAlignment="1">
      <alignment horizontal="center" vertical="center"/>
    </xf>
    <xf numFmtId="1" fontId="0" fillId="4" borderId="10" xfId="0" applyNumberForma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left" vertical="center"/>
    </xf>
    <xf numFmtId="164" fontId="0" fillId="4" borderId="9" xfId="0" applyNumberFormat="1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0" fontId="0" fillId="4" borderId="52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left" vertical="center"/>
    </xf>
    <xf numFmtId="164" fontId="0" fillId="4" borderId="25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0" fontId="0" fillId="4" borderId="53" xfId="0" applyFont="1" applyFill="1" applyBorder="1" applyAlignment="1">
      <alignment horizontal="center" vertical="center" wrapText="1"/>
    </xf>
    <xf numFmtId="0" fontId="0" fillId="4" borderId="51" xfId="0" applyFill="1" applyBorder="1" applyAlignment="1">
      <alignment horizontal="left"/>
    </xf>
    <xf numFmtId="0" fontId="0" fillId="4" borderId="30" xfId="0" applyFill="1" applyBorder="1" applyAlignment="1">
      <alignment horizontal="left"/>
    </xf>
    <xf numFmtId="1" fontId="0" fillId="4" borderId="20" xfId="0" applyNumberFormat="1" applyFill="1" applyBorder="1" applyAlignment="1">
      <alignment horizontal="center"/>
    </xf>
    <xf numFmtId="1" fontId="0" fillId="4" borderId="21" xfId="0" applyNumberFormat="1" applyFill="1" applyBorder="1" applyAlignment="1">
      <alignment horizontal="center"/>
    </xf>
    <xf numFmtId="0" fontId="0" fillId="4" borderId="54" xfId="0" applyFont="1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1" fontId="0" fillId="4" borderId="10" xfId="0" applyNumberFormat="1" applyFill="1" applyBorder="1" applyAlignment="1">
      <alignment horizontal="center"/>
    </xf>
    <xf numFmtId="0" fontId="0" fillId="4" borderId="43" xfId="0" applyFont="1" applyFill="1" applyBorder="1" applyAlignment="1">
      <alignment horizontal="center"/>
    </xf>
    <xf numFmtId="0" fontId="0" fillId="4" borderId="41" xfId="0" applyFont="1" applyFill="1" applyBorder="1" applyAlignment="1">
      <alignment horizontal="center"/>
    </xf>
    <xf numFmtId="0" fontId="0" fillId="4" borderId="52" xfId="0" applyFont="1" applyFill="1" applyBorder="1" applyAlignment="1">
      <alignment horizontal="center" vertical="center" wrapText="1"/>
    </xf>
    <xf numFmtId="0" fontId="0" fillId="4" borderId="55" xfId="0" applyFont="1" applyFill="1" applyBorder="1" applyAlignment="1">
      <alignment horizontal="center"/>
    </xf>
    <xf numFmtId="0" fontId="0" fillId="4" borderId="49" xfId="0" applyFont="1" applyFill="1" applyBorder="1" applyAlignment="1">
      <alignment horizontal="center"/>
    </xf>
    <xf numFmtId="1" fontId="0" fillId="4" borderId="12" xfId="0" applyNumberFormat="1" applyFill="1" applyBorder="1" applyAlignment="1">
      <alignment horizontal="center"/>
    </xf>
    <xf numFmtId="1" fontId="0" fillId="4" borderId="13" xfId="0" applyNumberFormat="1" applyFill="1" applyBorder="1" applyAlignment="1">
      <alignment horizontal="center"/>
    </xf>
    <xf numFmtId="1" fontId="0" fillId="0" borderId="56" xfId="0" applyNumberFormat="1" applyFont="1" applyBorder="1" applyAlignment="1">
      <alignment horizontal="center"/>
    </xf>
    <xf numFmtId="1" fontId="0" fillId="0" borderId="14" xfId="0" applyNumberFormat="1" applyFont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Normal 3 2" xfId="3"/>
  </cellStyles>
  <dxfs count="2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b val="0"/>
        <i val="0"/>
        <color theme="1"/>
      </font>
    </dxf>
    <dxf>
      <font>
        <b val="0"/>
        <i val="0"/>
        <color theme="1"/>
      </font>
    </dxf>
    <dxf>
      <font>
        <color theme="1"/>
      </font>
    </dxf>
    <dxf>
      <font>
        <color theme="1"/>
      </font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auto="1"/>
      </font>
    </dxf>
    <dxf>
      <font>
        <color auto="1"/>
      </font>
    </dxf>
    <dxf>
      <font>
        <color theme="0"/>
      </font>
      <fill>
        <patternFill patternType="none">
          <bgColor auto="1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Stuff\Projects\DNA%20encoded%20library\Library%20synthesis\Dipeptide%20Library%202\New_Calculus_template_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us"/>
      <sheetName val="lists"/>
      <sheetName val="Consumables"/>
      <sheetName val="Sheet8"/>
    </sheetNames>
    <sheetDataSet>
      <sheetData sheetId="0"/>
      <sheetData sheetId="1">
        <row r="26">
          <cell r="A26" t="str">
            <v>Load</v>
          </cell>
        </row>
        <row r="27">
          <cell r="A27" t="str">
            <v>Ligate</v>
          </cell>
        </row>
        <row r="28">
          <cell r="A28" t="str">
            <v>Purify</v>
          </cell>
        </row>
        <row r="29">
          <cell r="A29" t="str">
            <v>SEC</v>
          </cell>
        </row>
        <row r="30">
          <cell r="A30" t="str">
            <v>Deprotect</v>
          </cell>
        </row>
        <row r="31">
          <cell r="A31" t="str">
            <v>OBA</v>
          </cell>
        </row>
        <row r="39">
          <cell r="A39" t="str">
            <v>Solution</v>
          </cell>
          <cell r="B39">
            <v>1</v>
          </cell>
        </row>
        <row r="40">
          <cell r="A40" t="str">
            <v>DEAE</v>
          </cell>
          <cell r="B40">
            <v>1</v>
          </cell>
        </row>
        <row r="41">
          <cell r="A41" t="str">
            <v>NAP_and_Prec</v>
          </cell>
          <cell r="B41">
            <v>0.9</v>
          </cell>
        </row>
        <row r="42">
          <cell r="A42" t="str">
            <v>P6</v>
          </cell>
          <cell r="B42">
            <v>0.6</v>
          </cell>
        </row>
        <row r="43">
          <cell r="A43" t="str">
            <v>Prec_after_chemistry</v>
          </cell>
          <cell r="B43">
            <v>0.9</v>
          </cell>
        </row>
        <row r="44">
          <cell r="A44" t="str">
            <v>Prec_after_ligation1</v>
          </cell>
          <cell r="B44">
            <v>0.9</v>
          </cell>
        </row>
        <row r="45">
          <cell r="A45" t="str">
            <v>Prec_after_ligation2</v>
          </cell>
          <cell r="B45">
            <v>0.9</v>
          </cell>
        </row>
        <row r="46">
          <cell r="A46" t="str">
            <v>Prec_after_ligation3</v>
          </cell>
          <cell r="B46">
            <v>0.9</v>
          </cell>
        </row>
        <row r="47">
          <cell r="A47" t="str">
            <v>Prec_after_JumboSep</v>
          </cell>
          <cell r="B47">
            <v>0.9</v>
          </cell>
        </row>
        <row r="48">
          <cell r="A48" t="str">
            <v>Prepcell</v>
          </cell>
          <cell r="B48">
            <v>0.1</v>
          </cell>
        </row>
        <row r="49">
          <cell r="A49" t="str">
            <v>Ultrafiltration_single</v>
          </cell>
          <cell r="B49">
            <v>0.9</v>
          </cell>
        </row>
        <row r="50">
          <cell r="A50" t="str">
            <v>Ultrafiltration_plate</v>
          </cell>
          <cell r="B50">
            <v>0.9</v>
          </cell>
        </row>
        <row r="51">
          <cell r="A51" t="str">
            <v>SEC</v>
          </cell>
          <cell r="B51">
            <v>0.9</v>
          </cell>
        </row>
        <row r="52">
          <cell r="A52" t="str">
            <v>OBA</v>
          </cell>
          <cell r="B52">
            <v>0.7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BZ91"/>
  <sheetViews>
    <sheetView showGridLines="0" tabSelected="1" zoomScale="70" zoomScaleNormal="70" workbookViewId="0">
      <selection activeCell="O18" sqref="O18"/>
    </sheetView>
  </sheetViews>
  <sheetFormatPr defaultRowHeight="15" x14ac:dyDescent="0.25"/>
  <cols>
    <col min="1" max="1" width="12.85546875" customWidth="1"/>
    <col min="2" max="2" width="24.85546875" customWidth="1"/>
    <col min="3" max="3" width="22" customWidth="1"/>
    <col min="4" max="4" width="20.140625" bestFit="1" customWidth="1"/>
    <col min="5" max="5" width="20.28515625" customWidth="1"/>
    <col min="6" max="6" width="15.85546875" customWidth="1"/>
    <col min="7" max="7" width="16.7109375" customWidth="1"/>
    <col min="8" max="8" width="14.5703125" bestFit="1" customWidth="1"/>
    <col min="9" max="10" width="16" bestFit="1" customWidth="1"/>
    <col min="11" max="11" width="12.85546875" bestFit="1" customWidth="1"/>
    <col min="12" max="12" width="20.5703125" customWidth="1"/>
    <col min="13" max="13" width="12.42578125" bestFit="1" customWidth="1"/>
    <col min="14" max="14" width="11.5703125" customWidth="1"/>
    <col min="15" max="15" width="11.28515625" customWidth="1"/>
    <col min="16" max="16" width="12.85546875" customWidth="1"/>
    <col min="17" max="17" width="20.42578125" style="155" bestFit="1" customWidth="1"/>
    <col min="18" max="18" width="18" style="155" customWidth="1"/>
    <col min="19" max="19" width="18.7109375" customWidth="1"/>
    <col min="20" max="20" width="19.42578125" customWidth="1"/>
    <col min="21" max="21" width="20.140625" bestFit="1" customWidth="1"/>
    <col min="22" max="22" width="20.140625" customWidth="1"/>
    <col min="23" max="23" width="19.140625" customWidth="1"/>
  </cols>
  <sheetData>
    <row r="1" spans="1:78" ht="25.5" customHeight="1" x14ac:dyDescent="0.4">
      <c r="B1" s="1"/>
      <c r="D1" s="2"/>
      <c r="Q1"/>
      <c r="R1"/>
    </row>
    <row r="2" spans="1:78" ht="15.75" thickBot="1" x14ac:dyDescent="0.3">
      <c r="Q2"/>
      <c r="R2"/>
    </row>
    <row r="3" spans="1:78" ht="15.75" thickBot="1" x14ac:dyDescent="0.3">
      <c r="B3" s="3"/>
      <c r="C3" s="4"/>
      <c r="D3" s="5"/>
      <c r="E3" s="6"/>
      <c r="F3" s="7"/>
      <c r="G3" s="8"/>
      <c r="H3" s="9"/>
      <c r="I3" s="9"/>
      <c r="J3" s="6"/>
      <c r="K3" s="7"/>
      <c r="Q3"/>
      <c r="R3"/>
    </row>
    <row r="4" spans="1:78" x14ac:dyDescent="0.25">
      <c r="B4" s="10"/>
      <c r="C4" s="11">
        <f>H5*H6*H7*H8</f>
        <v>691200000</v>
      </c>
      <c r="D4" s="12"/>
      <c r="E4" s="13">
        <v>1000000</v>
      </c>
      <c r="F4" s="14"/>
      <c r="G4" s="15"/>
      <c r="H4" s="16"/>
      <c r="I4" s="17"/>
      <c r="J4" s="18"/>
      <c r="K4" s="7"/>
      <c r="Q4"/>
      <c r="R4"/>
    </row>
    <row r="5" spans="1:78" x14ac:dyDescent="0.25">
      <c r="B5" s="10"/>
      <c r="C5" s="19">
        <f>D56*H5</f>
        <v>12480</v>
      </c>
      <c r="D5" s="20"/>
      <c r="E5" s="21">
        <f>C4*E4/600000000000</f>
        <v>1152</v>
      </c>
      <c r="F5" s="22"/>
      <c r="G5" s="20"/>
      <c r="H5" s="23">
        <v>480</v>
      </c>
      <c r="I5" s="23" t="s">
        <v>1</v>
      </c>
      <c r="J5" s="24" t="s">
        <v>2</v>
      </c>
      <c r="K5" s="25"/>
      <c r="Q5"/>
      <c r="R5"/>
    </row>
    <row r="6" spans="1:78" x14ac:dyDescent="0.25">
      <c r="B6" s="10"/>
      <c r="C6" s="26">
        <f>SUM(C71:I71)</f>
        <v>179</v>
      </c>
      <c r="D6" s="20"/>
      <c r="E6" s="27">
        <v>1152</v>
      </c>
      <c r="F6" s="28"/>
      <c r="G6" s="20"/>
      <c r="H6" s="23">
        <v>480</v>
      </c>
      <c r="I6" s="23" t="s">
        <v>1</v>
      </c>
      <c r="J6" s="24" t="s">
        <v>4</v>
      </c>
      <c r="K6" s="25"/>
      <c r="Q6"/>
      <c r="R6"/>
    </row>
    <row r="7" spans="1:78" x14ac:dyDescent="0.25">
      <c r="B7" s="29"/>
      <c r="C7" s="30">
        <f ca="1">PRODUCT(INDIRECT("Q"&amp;LOOKUP("1A,2A",D18:D42,ROW(D18:D42))):Q42)*100</f>
        <v>5.3144100000000023</v>
      </c>
      <c r="D7" s="20"/>
      <c r="E7" s="31">
        <v>500</v>
      </c>
      <c r="F7" s="28"/>
      <c r="G7" s="20"/>
      <c r="H7" s="23">
        <v>3000</v>
      </c>
      <c r="I7" s="23" t="s">
        <v>1</v>
      </c>
      <c r="J7" s="24" t="s">
        <v>6</v>
      </c>
      <c r="K7" s="25"/>
      <c r="Q7"/>
      <c r="R7"/>
    </row>
    <row r="8" spans="1:78" ht="15.75" thickBot="1" x14ac:dyDescent="0.3">
      <c r="B8" s="29"/>
      <c r="C8" s="32">
        <f ca="1">C5*C7/100</f>
        <v>663.23836800000038</v>
      </c>
      <c r="D8" s="20"/>
      <c r="E8" s="33">
        <f ca="1">C8*1000/E6</f>
        <v>575.72775000000036</v>
      </c>
      <c r="G8" s="34"/>
      <c r="H8" s="35">
        <v>1</v>
      </c>
      <c r="I8" s="35"/>
      <c r="J8" s="36"/>
      <c r="K8" s="25"/>
      <c r="Q8"/>
      <c r="R8"/>
    </row>
    <row r="9" spans="1:78" ht="15.75" thickBot="1" x14ac:dyDescent="0.3">
      <c r="B9" s="37"/>
      <c r="C9" s="38">
        <f ca="1">((E6*E7/1000)/C7)*100</f>
        <v>10838.456197395379</v>
      </c>
      <c r="D9" s="39"/>
      <c r="E9" s="40"/>
      <c r="F9" s="41"/>
      <c r="G9" s="41"/>
      <c r="H9" s="7"/>
      <c r="I9" s="42"/>
      <c r="J9" s="43"/>
      <c r="K9" s="43"/>
      <c r="Q9"/>
      <c r="R9"/>
    </row>
    <row r="10" spans="1:78" ht="15.75" thickBot="1" x14ac:dyDescent="0.3">
      <c r="B10" s="41"/>
      <c r="C10" s="22"/>
      <c r="D10" s="41"/>
      <c r="E10" s="41"/>
      <c r="F10" s="41"/>
      <c r="G10" s="44"/>
      <c r="K10" s="43"/>
      <c r="Q10"/>
      <c r="R10"/>
      <c r="T10" t="e">
        <f ca="1">IF(ROW($P18)&lt;LOOKUP("PrepCell",$P$18:$P$42,ROW($P$18:$P$42)),"SUPER","ERROR")</f>
        <v>#N/A</v>
      </c>
    </row>
    <row r="11" spans="1:78" ht="15.75" thickBot="1" x14ac:dyDescent="0.3">
      <c r="B11" s="45"/>
      <c r="C11" s="5"/>
      <c r="D11" s="5"/>
      <c r="E11" s="46"/>
      <c r="F11" s="47"/>
      <c r="G11" s="48"/>
      <c r="H11" s="49"/>
      <c r="I11" s="50"/>
      <c r="J11" s="51"/>
      <c r="K11" s="52"/>
      <c r="Q11"/>
      <c r="R11"/>
      <c r="T11">
        <f ca="1">IF(ROW($P18)&lt;LOOKUP("PrepCell",$P$18:$P$42,ROW($P$18:$P$42)),"SUPER","ERROR")</f>
        <v>0</v>
      </c>
    </row>
    <row r="12" spans="1:78" ht="15.75" thickBot="1" x14ac:dyDescent="0.3">
      <c r="B12" s="53"/>
      <c r="C12" s="54"/>
      <c r="D12" s="17"/>
      <c r="E12" s="55"/>
      <c r="F12" s="41"/>
      <c r="G12" s="41"/>
      <c r="H12" s="56"/>
      <c r="I12" s="57">
        <f ca="1">C9/H5</f>
        <v>22.58011707790704</v>
      </c>
      <c r="K12" s="43"/>
      <c r="Q12"/>
      <c r="R12"/>
    </row>
    <row r="13" spans="1:78" ht="15.75" thickBot="1" x14ac:dyDescent="0.3">
      <c r="C13" s="59"/>
      <c r="D13" s="17"/>
      <c r="E13" s="60"/>
      <c r="F13" s="61"/>
      <c r="G13" s="41"/>
      <c r="H13" s="39"/>
      <c r="I13" s="62">
        <v>26</v>
      </c>
      <c r="K13" s="43"/>
      <c r="Q13"/>
      <c r="R13"/>
    </row>
    <row r="14" spans="1:78" ht="15.75" thickBot="1" x14ac:dyDescent="0.3">
      <c r="B14" s="44"/>
      <c r="C14" s="63"/>
      <c r="D14" s="64"/>
      <c r="E14" s="65"/>
      <c r="F14" s="61"/>
      <c r="G14" s="41"/>
      <c r="H14" s="7"/>
      <c r="I14" s="42"/>
      <c r="J14" s="43"/>
      <c r="K14" s="43"/>
      <c r="L14" s="43"/>
      <c r="M14" s="43"/>
      <c r="N14" s="41"/>
      <c r="O14" s="41"/>
      <c r="P14" s="41"/>
      <c r="Q14" s="47"/>
      <c r="R14" s="47"/>
      <c r="S14" s="41"/>
      <c r="T14" s="41"/>
      <c r="U14" s="41"/>
      <c r="V14" s="41"/>
      <c r="W14" s="58"/>
    </row>
    <row r="15" spans="1:78" s="41" customFormat="1" ht="15.75" thickBot="1" x14ac:dyDescent="0.3">
      <c r="E15" s="66"/>
      <c r="F15" s="61"/>
      <c r="H15" s="7"/>
      <c r="I15" s="42"/>
      <c r="J15" s="43"/>
      <c r="K15" s="43"/>
      <c r="L15" s="43"/>
      <c r="M15" s="43"/>
      <c r="Q15" s="47"/>
      <c r="R15" s="47"/>
      <c r="W15" s="58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 x14ac:dyDescent="0.25">
      <c r="A16" s="67"/>
      <c r="B16" s="68"/>
      <c r="C16" s="68"/>
      <c r="D16" s="68"/>
      <c r="E16" s="68"/>
      <c r="F16" s="69"/>
      <c r="G16" s="8"/>
      <c r="H16" s="70"/>
      <c r="I16" s="71"/>
      <c r="J16" s="71"/>
      <c r="K16" s="72"/>
      <c r="L16" s="70"/>
      <c r="M16" s="71"/>
      <c r="N16" s="72"/>
      <c r="O16" s="73"/>
      <c r="P16" s="73"/>
      <c r="Q16" s="74"/>
      <c r="R16" s="75"/>
      <c r="S16" s="76"/>
      <c r="T16" s="76"/>
      <c r="U16" s="76"/>
      <c r="V16" s="76"/>
      <c r="W16" s="77"/>
    </row>
    <row r="17" spans="1:23" ht="55.5" customHeight="1" thickBot="1" x14ac:dyDescent="0.3">
      <c r="A17" s="34"/>
      <c r="B17" s="78"/>
      <c r="C17" s="78"/>
      <c r="D17" s="78"/>
      <c r="E17" s="78"/>
      <c r="F17" s="79"/>
      <c r="G17" s="80"/>
      <c r="H17" s="80"/>
      <c r="I17" s="81"/>
      <c r="J17" s="82"/>
      <c r="K17" s="83"/>
      <c r="L17" s="84"/>
      <c r="M17" s="82"/>
      <c r="N17" s="85"/>
      <c r="O17" s="86"/>
      <c r="P17" s="86"/>
      <c r="Q17" s="87"/>
      <c r="R17" s="88"/>
      <c r="S17" s="89"/>
      <c r="T17" s="89"/>
      <c r="U17" s="89"/>
      <c r="V17" s="90"/>
      <c r="W17" s="91"/>
    </row>
    <row r="18" spans="1:23" x14ac:dyDescent="0.25">
      <c r="A18" s="92">
        <v>1</v>
      </c>
      <c r="B18" s="93" t="s">
        <v>9</v>
      </c>
      <c r="C18" s="94" t="s">
        <v>10</v>
      </c>
      <c r="D18" s="93" t="s">
        <v>0</v>
      </c>
      <c r="E18" s="93" t="s">
        <v>11</v>
      </c>
      <c r="F18" s="93" t="s">
        <v>12</v>
      </c>
      <c r="G18" s="95">
        <v>480</v>
      </c>
      <c r="H18" s="96">
        <f>C46</f>
        <v>37440</v>
      </c>
      <c r="I18" s="97">
        <f>H18/G18</f>
        <v>78</v>
      </c>
      <c r="J18" s="98">
        <f>C51</f>
        <v>247104</v>
      </c>
      <c r="K18" s="99">
        <f>J18/G18</f>
        <v>514.79999999999995</v>
      </c>
      <c r="L18" s="100"/>
      <c r="M18" s="101"/>
      <c r="N18" s="102"/>
      <c r="O18" s="103">
        <f t="shared" ref="O18:O42" si="0">IF(P18="NAP100",ROUNDUP(J18/10000,0),IF(P18="NAP25",ROUNDUP(J18/2500,0),IF(P18="NAP10",ROUNDUP(J18/1000,0),IF(P18="1mL plates",ROUNDUP(K18/1000,0)*ROUNDUP(G18/96,0),IF(P18="350uL plates",ROUNDUP(K18/350,0)*ROUNDUP(K18/96,0),IF(P18="JumboSep",ROUNDUP(J18/60000,0),IF(P18="MacroSep",J18/20000,IF(P18="MicroSep",J18/5000,IF(P18="PrepCell",2*ROUNDUP(J18/250000,0),"FALSE")))))))))</f>
        <v>49.4208</v>
      </c>
      <c r="P18" s="103" t="str">
        <f t="shared" ref="P18:P42" si="1">IF(COUNTIF(C18,"*NAP*")=1,IF(J18&lt;500,"NAP5",IF(J18&lt;1000,"NAP10",IF(J18&lt;2500,"NAP25","NAP100"))),IF(COUNTIF(C18,"PrepCell")=1,"PrepCell",IF(AND(C18="Ultrafiltration_plate",(K18/300)&gt;1),"1mL plates",IF(AND(C18="Ultrafiltration_plate",(K18/300)&lt;1),"350uL plates",IF(AND(C18="Ultrafiltration_single",(J18/1000)&gt;60),"JumboSep",IF(AND(C18="Ultrafiltration_single",(J18/1000)&gt;20,(J18/1000)&lt;60),"MacroSep","MicroSep"))))))</f>
        <v>MicroSep</v>
      </c>
      <c r="Q18" s="104">
        <v>1</v>
      </c>
      <c r="R18" s="105">
        <f t="shared" ref="R18:R42" si="2">H18*Q18</f>
        <v>37440</v>
      </c>
      <c r="S18" s="106">
        <f>IF(ROW($B18)&lt;LOOKUP("1A,2A",$D$18:$D$42,ROW($D$18:$D$42)), $C$46,IF(ROW(B18)=LOOKUP("1A,2A",$D$18:$D$42,ROW($D$18:$D$42)), $D$46,IF(ROW(B18)&gt;LOOKUP("1A,2A",$D$18:$D$42,ROW($D$18:$D$42)), $S17*$Q18,"ERROR")))</f>
        <v>37440</v>
      </c>
      <c r="T18" s="107">
        <f t="shared" ref="T18:T42" si="3">I18*Q18</f>
        <v>78</v>
      </c>
      <c r="U18" s="107"/>
      <c r="V18" s="108">
        <f ca="1">IF(ROW($P18)&lt;LOOKUP("PrepCell",$P$18:$P$42,ROW($P$18:$P$42)),$J18*$Q18,IF(ROW($P18)&gt;=LOOKUP("PrepCell",$P$18:$P$42,ROW($P$18:$P$42)),$S$18*$C$6*0.33,"ERROR"))</f>
        <v>0</v>
      </c>
      <c r="W18" s="109">
        <f t="shared" ref="W18:W42" si="4">K18*Q18</f>
        <v>514.79999999999995</v>
      </c>
    </row>
    <row r="19" spans="1:23" x14ac:dyDescent="0.25">
      <c r="A19" s="110">
        <v>2</v>
      </c>
      <c r="B19" s="93" t="s">
        <v>13</v>
      </c>
      <c r="C19" s="94" t="s">
        <v>10</v>
      </c>
      <c r="D19" s="93"/>
      <c r="E19" s="93" t="s">
        <v>11</v>
      </c>
      <c r="F19" s="93" t="s">
        <v>12</v>
      </c>
      <c r="G19" s="111">
        <v>480</v>
      </c>
      <c r="H19" s="112">
        <f t="shared" ref="H19:H42" si="5">R18</f>
        <v>37440</v>
      </c>
      <c r="I19" s="113">
        <f t="shared" ref="I19:I42" si="6">H19/G19</f>
        <v>78</v>
      </c>
      <c r="J19" s="114" t="e">
        <f ca="1">IF(D19="1A,2A",V18+$D$51+$E$51,IF(D19="1B,2B",V18+$F$51+$G$51,IF(D19="1C,2C",V18+$H$51+$I$51,V18)))</f>
        <v>#N/A</v>
      </c>
      <c r="K19" s="115" t="e">
        <f t="shared" ref="K19:K42" ca="1" si="7">J19/G19</f>
        <v>#N/A</v>
      </c>
      <c r="L19" s="116"/>
      <c r="M19" s="117"/>
      <c r="N19" s="118"/>
      <c r="O19" s="119" t="str">
        <f t="shared" ca="1" si="0"/>
        <v>FALSE</v>
      </c>
      <c r="P19" s="267" t="e">
        <f t="shared" ca="1" si="1"/>
        <v>#VALUE!</v>
      </c>
      <c r="Q19" s="120">
        <v>1</v>
      </c>
      <c r="R19" s="121">
        <f t="shared" si="2"/>
        <v>37440</v>
      </c>
      <c r="S19" s="122">
        <f>IF(ROW($B19)&lt;LOOKUP("1A,2A",$D$18:$D$42,ROW($D$18:$D$42)), $C$46,IF(ROW(B19)=LOOKUP("1A,2A",$D$18:$D$42,ROW($D$18:$D$42)), $D$46,IF(ROW(B19)&gt;LOOKUP("1A,2A",$D$18:$D$42,ROW($D$18:$D$42)), $S18*$Q19,"ERROR")))</f>
        <v>37440</v>
      </c>
      <c r="T19" s="123">
        <f t="shared" si="3"/>
        <v>78</v>
      </c>
      <c r="U19" s="123"/>
      <c r="V19" s="124" t="e">
        <f t="shared" ref="V19:V43" ca="1" si="8">J19*Q19</f>
        <v>#N/A</v>
      </c>
      <c r="W19" s="115" t="e">
        <f t="shared" ca="1" si="4"/>
        <v>#N/A</v>
      </c>
    </row>
    <row r="20" spans="1:23" x14ac:dyDescent="0.25">
      <c r="A20" s="110">
        <v>3</v>
      </c>
      <c r="B20" s="93" t="s">
        <v>14</v>
      </c>
      <c r="C20" s="94" t="s">
        <v>15</v>
      </c>
      <c r="D20" s="93"/>
      <c r="E20" s="93" t="s">
        <v>7</v>
      </c>
      <c r="F20" s="93" t="s">
        <v>12</v>
      </c>
      <c r="G20" s="125">
        <v>480</v>
      </c>
      <c r="H20" s="112">
        <f t="shared" si="5"/>
        <v>37440</v>
      </c>
      <c r="I20" s="113">
        <f t="shared" si="6"/>
        <v>78</v>
      </c>
      <c r="J20" s="114" t="e">
        <f ca="1">IF(D20="1A,2A",V19+$D$51+$E$51,IF(D20="1B,2B",V19+$F$51+$G$51,IF(D20="1C,2C",V19+$H$51+$I$51,V19)))</f>
        <v>#N/A</v>
      </c>
      <c r="K20" s="115" t="e">
        <f t="shared" ca="1" si="7"/>
        <v>#N/A</v>
      </c>
      <c r="L20" s="116"/>
      <c r="M20" s="126"/>
      <c r="N20" s="118"/>
      <c r="O20" s="119" t="str">
        <f t="shared" ca="1" si="0"/>
        <v>FALSE</v>
      </c>
      <c r="P20" s="267" t="e">
        <f t="shared" ca="1" si="1"/>
        <v>#VALUE!</v>
      </c>
      <c r="Q20" s="120">
        <v>0.9</v>
      </c>
      <c r="R20" s="121">
        <f t="shared" si="2"/>
        <v>33696</v>
      </c>
      <c r="S20" s="122">
        <f>IF(ROW($B20)&lt;LOOKUP("1A,2A",$D$18:$D$42,ROW($D$18:$D$42)), $C$46,IF(ROW(B20)=LOOKUP("1A,2A",$D$18:$D$42,ROW($D$18:$D$42)), $D$46,IF(ROW(B20)&gt;LOOKUP("1A,2A",$D$18:$D$42,ROW($D$18:$D$42)), $S19*$Q20,"ERROR")))</f>
        <v>37440</v>
      </c>
      <c r="T20" s="123">
        <f t="shared" si="3"/>
        <v>70.2</v>
      </c>
      <c r="U20" s="123"/>
      <c r="V20" s="124" t="e">
        <f t="shared" ca="1" si="8"/>
        <v>#N/A</v>
      </c>
      <c r="W20" s="115" t="e">
        <f t="shared" ca="1" si="4"/>
        <v>#N/A</v>
      </c>
    </row>
    <row r="21" spans="1:23" x14ac:dyDescent="0.25">
      <c r="A21" s="110">
        <v>4</v>
      </c>
      <c r="B21" s="93" t="s">
        <v>16</v>
      </c>
      <c r="C21" s="94" t="s">
        <v>10</v>
      </c>
      <c r="D21" s="93" t="s">
        <v>17</v>
      </c>
      <c r="E21" s="93" t="s">
        <v>18</v>
      </c>
      <c r="F21" s="93" t="s">
        <v>12</v>
      </c>
      <c r="G21" s="111">
        <v>480</v>
      </c>
      <c r="H21" s="112">
        <f t="shared" si="5"/>
        <v>33696</v>
      </c>
      <c r="I21" s="113">
        <f t="shared" si="6"/>
        <v>70.2</v>
      </c>
      <c r="J21" s="114" t="e">
        <f ca="1">IF(D21="1A,2A",V20+$D$51+$E$51,IF(D21="1B,2B",V20+$F$51+$G$51,IF(D21="1C,2C",V20+$H$51+$I$51,V20)))</f>
        <v>#N/A</v>
      </c>
      <c r="K21" s="115" t="e">
        <f t="shared" ca="1" si="7"/>
        <v>#N/A</v>
      </c>
      <c r="L21" s="116"/>
      <c r="M21" s="127"/>
      <c r="N21" s="118"/>
      <c r="O21" s="119" t="str">
        <f t="shared" ca="1" si="0"/>
        <v>FALSE</v>
      </c>
      <c r="P21" s="267" t="e">
        <f t="shared" ca="1" si="1"/>
        <v>#VALUE!</v>
      </c>
      <c r="Q21" s="120">
        <v>1</v>
      </c>
      <c r="R21" s="121">
        <f t="shared" si="2"/>
        <v>33696</v>
      </c>
      <c r="S21" s="122">
        <f>IF(ROW($B21)&lt;LOOKUP("1A,2A",$D$18:$D$42,ROW($D$18:$D$42)), $C$46,IF(ROW(B21)=LOOKUP("1A,2A",$D$18:$D$42,ROW($D$18:$D$42)), $D$46,IF(ROW(B21)&gt;LOOKUP("1A,2A",$D$18:$D$42,ROW($D$18:$D$42)), $S20*$Q21,"ERROR")))</f>
        <v>12480</v>
      </c>
      <c r="T21" s="123">
        <f t="shared" si="3"/>
        <v>70.2</v>
      </c>
      <c r="U21" s="123"/>
      <c r="V21" s="124" t="e">
        <f t="shared" ca="1" si="8"/>
        <v>#N/A</v>
      </c>
      <c r="W21" s="115" t="e">
        <f t="shared" ca="1" si="4"/>
        <v>#N/A</v>
      </c>
    </row>
    <row r="22" spans="1:23" x14ac:dyDescent="0.25">
      <c r="A22" s="110">
        <v>5</v>
      </c>
      <c r="B22" s="93" t="s">
        <v>14</v>
      </c>
      <c r="C22" s="94" t="s">
        <v>19</v>
      </c>
      <c r="D22" s="93"/>
      <c r="E22" s="93" t="s">
        <v>20</v>
      </c>
      <c r="F22" s="93" t="s">
        <v>21</v>
      </c>
      <c r="G22" s="125">
        <v>1</v>
      </c>
      <c r="H22" s="112">
        <f t="shared" si="5"/>
        <v>33696</v>
      </c>
      <c r="I22" s="113">
        <f t="shared" si="6"/>
        <v>33696</v>
      </c>
      <c r="J22" s="114" t="e">
        <f ca="1">IF(D22="1A,2A",V21+$D$51+$E$51,IF(D22="1B,2B",V21+$F$51+$G$51,IF(D22="1C,2C",V21+$H$51+$I$51,V21)))</f>
        <v>#N/A</v>
      </c>
      <c r="K22" s="115" t="e">
        <f t="shared" ca="1" si="7"/>
        <v>#N/A</v>
      </c>
      <c r="L22" s="116"/>
      <c r="M22" s="128"/>
      <c r="N22" s="118"/>
      <c r="O22" s="119" t="str">
        <f t="shared" ca="1" si="0"/>
        <v>FALSE</v>
      </c>
      <c r="P22" s="267" t="e">
        <f t="shared" ca="1" si="1"/>
        <v>#VALUE!</v>
      </c>
      <c r="Q22" s="120">
        <v>0.9</v>
      </c>
      <c r="R22" s="121">
        <f t="shared" si="2"/>
        <v>30326.400000000001</v>
      </c>
      <c r="S22" s="122">
        <f>IF(ROW($B22)&lt;LOOKUP("1A,2A",$D$18:$D$42,ROW($D$18:$D$42)), $C$46,IF(ROW(B22)=LOOKUP("1A,2A",$D$18:$D$42,ROW($D$18:$D$42)), $D$46,IF(ROW(B22)&gt;LOOKUP("1A,2A",$D$18:$D$42,ROW($D$18:$D$42)), $S21*$Q22,"ERROR")))</f>
        <v>11232</v>
      </c>
      <c r="T22" s="123">
        <f t="shared" si="3"/>
        <v>30326.400000000001</v>
      </c>
      <c r="U22" s="123"/>
      <c r="V22" s="124" t="e">
        <f t="shared" ca="1" si="8"/>
        <v>#N/A</v>
      </c>
      <c r="W22" s="115" t="e">
        <f t="shared" ca="1" si="4"/>
        <v>#N/A</v>
      </c>
    </row>
    <row r="23" spans="1:23" x14ac:dyDescent="0.25">
      <c r="A23" s="110">
        <v>6</v>
      </c>
      <c r="B23" s="93" t="s">
        <v>9</v>
      </c>
      <c r="C23" s="94" t="s">
        <v>10</v>
      </c>
      <c r="D23" s="93" t="s">
        <v>3</v>
      </c>
      <c r="E23" s="93" t="s">
        <v>11</v>
      </c>
      <c r="F23" s="93" t="s">
        <v>12</v>
      </c>
      <c r="G23" s="111">
        <v>480</v>
      </c>
      <c r="H23" s="112">
        <f t="shared" si="5"/>
        <v>30326.400000000001</v>
      </c>
      <c r="I23" s="113">
        <f t="shared" si="6"/>
        <v>63.18</v>
      </c>
      <c r="J23" s="114" t="e">
        <f ca="1">IF(D23="1A,2A",V22+$D$51+$E$51,IF(D23="1B,2B",V22+$F$51+$G$51,IF(D23="1C,2C",V22+$H$51+$I$51,V22)))</f>
        <v>#N/A</v>
      </c>
      <c r="K23" s="115" t="e">
        <f t="shared" ca="1" si="7"/>
        <v>#N/A</v>
      </c>
      <c r="L23" s="116"/>
      <c r="M23" s="117"/>
      <c r="N23" s="118"/>
      <c r="O23" s="119" t="str">
        <f t="shared" ca="1" si="0"/>
        <v>FALSE</v>
      </c>
      <c r="P23" s="267" t="e">
        <f t="shared" ca="1" si="1"/>
        <v>#VALUE!</v>
      </c>
      <c r="Q23" s="120">
        <v>1</v>
      </c>
      <c r="R23" s="121">
        <f t="shared" si="2"/>
        <v>30326.400000000001</v>
      </c>
      <c r="S23" s="122">
        <f>IF(ROW($B23)&lt;LOOKUP("1A,2A",$D$18:$D$42,ROW($D$18:$D$42)), $C$46,IF(ROW(B23)=LOOKUP("1A,2A",$D$18:$D$42,ROW($D$18:$D$42)), $D$46,IF(ROW(B23)&gt;LOOKUP("1A,2A",$D$18:$D$42,ROW($D$18:$D$42)), $S22*$Q23,"ERROR")))</f>
        <v>11232</v>
      </c>
      <c r="T23" s="123">
        <f t="shared" si="3"/>
        <v>63.18</v>
      </c>
      <c r="U23" s="123"/>
      <c r="V23" s="124" t="e">
        <f t="shared" ca="1" si="8"/>
        <v>#N/A</v>
      </c>
      <c r="W23" s="115" t="e">
        <f t="shared" ca="1" si="4"/>
        <v>#N/A</v>
      </c>
    </row>
    <row r="24" spans="1:23" x14ac:dyDescent="0.25">
      <c r="A24" s="110">
        <v>7</v>
      </c>
      <c r="B24" s="93" t="s">
        <v>13</v>
      </c>
      <c r="C24" s="94" t="s">
        <v>10</v>
      </c>
      <c r="D24" s="93"/>
      <c r="E24" s="93" t="s">
        <v>11</v>
      </c>
      <c r="F24" s="93" t="s">
        <v>12</v>
      </c>
      <c r="G24" s="111">
        <v>480</v>
      </c>
      <c r="H24" s="112">
        <f t="shared" si="5"/>
        <v>30326.400000000001</v>
      </c>
      <c r="I24" s="113">
        <f t="shared" si="6"/>
        <v>63.18</v>
      </c>
      <c r="J24" s="114" t="e">
        <f ca="1">IF(D24="1A,2A",V23+$D$51+$E$51,IF(D24="1B,2B",V23+$F$51+$G$51,IF(D24="1C,2C",V23+$H$51+$I$51,V23)))</f>
        <v>#N/A</v>
      </c>
      <c r="K24" s="115" t="e">
        <f t="shared" ca="1" si="7"/>
        <v>#N/A</v>
      </c>
      <c r="L24" s="116"/>
      <c r="M24" s="126"/>
      <c r="N24" s="118"/>
      <c r="O24" s="119" t="str">
        <f t="shared" ca="1" si="0"/>
        <v>FALSE</v>
      </c>
      <c r="P24" s="267" t="e">
        <f t="shared" ca="1" si="1"/>
        <v>#VALUE!</v>
      </c>
      <c r="Q24" s="120">
        <v>1</v>
      </c>
      <c r="R24" s="121">
        <f t="shared" si="2"/>
        <v>30326.400000000001</v>
      </c>
      <c r="S24" s="122">
        <f>IF(ROW($B24)&lt;LOOKUP("1A,2A",$D$18:$D$42,ROW($D$18:$D$42)), $C$46,IF(ROW(B24)=LOOKUP("1A,2A",$D$18:$D$42,ROW($D$18:$D$42)), $D$46,IF(ROW(B24)&gt;LOOKUP("1A,2A",$D$18:$D$42,ROW($D$18:$D$42)), $S23*$Q24,"ERROR")))</f>
        <v>11232</v>
      </c>
      <c r="T24" s="123">
        <f t="shared" si="3"/>
        <v>63.18</v>
      </c>
      <c r="U24" s="123"/>
      <c r="V24" s="124" t="e">
        <f t="shared" ca="1" si="8"/>
        <v>#N/A</v>
      </c>
      <c r="W24" s="115" t="e">
        <f t="shared" ca="1" si="4"/>
        <v>#N/A</v>
      </c>
    </row>
    <row r="25" spans="1:23" x14ac:dyDescent="0.25">
      <c r="A25" s="110">
        <v>8</v>
      </c>
      <c r="B25" s="93" t="s">
        <v>14</v>
      </c>
      <c r="C25" s="94" t="s">
        <v>15</v>
      </c>
      <c r="D25" s="93"/>
      <c r="E25" s="93" t="s">
        <v>7</v>
      </c>
      <c r="F25" s="93" t="s">
        <v>12</v>
      </c>
      <c r="G25" s="111">
        <v>480</v>
      </c>
      <c r="H25" s="112">
        <f t="shared" si="5"/>
        <v>30326.400000000001</v>
      </c>
      <c r="I25" s="113">
        <f t="shared" si="6"/>
        <v>63.18</v>
      </c>
      <c r="J25" s="114" t="e">
        <f ca="1">IF(D25="1A,2A",V24+$D$51+$E$51,IF(D25="1B,2B",V24+$F$51+$G$51,IF(D25="1C,2C",V24+$H$51+$I$51,V24)))</f>
        <v>#N/A</v>
      </c>
      <c r="K25" s="115" t="e">
        <f t="shared" ca="1" si="7"/>
        <v>#N/A</v>
      </c>
      <c r="L25" s="116"/>
      <c r="M25" s="126"/>
      <c r="N25" s="118"/>
      <c r="O25" s="119" t="str">
        <f t="shared" ca="1" si="0"/>
        <v>FALSE</v>
      </c>
      <c r="P25" s="267" t="e">
        <f t="shared" ca="1" si="1"/>
        <v>#VALUE!</v>
      </c>
      <c r="Q25" s="120">
        <v>0.9</v>
      </c>
      <c r="R25" s="121">
        <f t="shared" si="2"/>
        <v>27293.760000000002</v>
      </c>
      <c r="S25" s="122">
        <f>IF(ROW($B25)&lt;LOOKUP("1A,2A",$D$18:$D$42,ROW($D$18:$D$42)), $C$46,IF(ROW(B25)=LOOKUP("1A,2A",$D$18:$D$42,ROW($D$18:$D$42)), $D$46,IF(ROW(B25)&gt;LOOKUP("1A,2A",$D$18:$D$42,ROW($D$18:$D$42)), $S24*$Q25,"ERROR")))</f>
        <v>10108.800000000001</v>
      </c>
      <c r="T25" s="129">
        <f t="shared" si="3"/>
        <v>56.862000000000002</v>
      </c>
      <c r="U25" s="129"/>
      <c r="V25" s="124" t="e">
        <f t="shared" ca="1" si="8"/>
        <v>#N/A</v>
      </c>
      <c r="W25" s="115" t="e">
        <f t="shared" ca="1" si="4"/>
        <v>#N/A</v>
      </c>
    </row>
    <row r="26" spans="1:23" x14ac:dyDescent="0.25">
      <c r="A26" s="110">
        <v>9</v>
      </c>
      <c r="B26" s="93" t="s">
        <v>16</v>
      </c>
      <c r="C26" s="94" t="s">
        <v>10</v>
      </c>
      <c r="D26" s="93" t="s">
        <v>22</v>
      </c>
      <c r="E26" s="93" t="s">
        <v>18</v>
      </c>
      <c r="F26" s="93" t="s">
        <v>12</v>
      </c>
      <c r="G26" s="111">
        <v>480</v>
      </c>
      <c r="H26" s="112">
        <f t="shared" si="5"/>
        <v>27293.760000000002</v>
      </c>
      <c r="I26" s="113">
        <f t="shared" si="6"/>
        <v>56.862000000000002</v>
      </c>
      <c r="J26" s="114" t="e">
        <f ca="1">IF(D26="1A,2A",V25+$D$51+$E$51,IF(D26="1B,2B",V25+$F$51+$G$51,IF(D26="1C,2C",V25+$H$51+$I$51,V25)))</f>
        <v>#N/A</v>
      </c>
      <c r="K26" s="115" t="e">
        <f t="shared" ca="1" si="7"/>
        <v>#N/A</v>
      </c>
      <c r="L26" s="116"/>
      <c r="M26" s="126"/>
      <c r="N26" s="118"/>
      <c r="O26" s="119" t="str">
        <f t="shared" ca="1" si="0"/>
        <v>FALSE</v>
      </c>
      <c r="P26" s="267" t="e">
        <f t="shared" ca="1" si="1"/>
        <v>#VALUE!</v>
      </c>
      <c r="Q26" s="120">
        <v>1</v>
      </c>
      <c r="R26" s="121">
        <f t="shared" si="2"/>
        <v>27293.760000000002</v>
      </c>
      <c r="S26" s="122">
        <f>IF(ROW($B26)&lt;LOOKUP("1A,2A",$D$18:$D$42,ROW($D$18:$D$42)), $C$46,IF(ROW(B26)=LOOKUP("1A,2A",$D$18:$D$42,ROW($D$18:$D$42)), $D$46,IF(ROW(B26)&gt;LOOKUP("1A,2A",$D$18:$D$42,ROW($D$18:$D$42)), $S25*$Q26,"ERROR")))</f>
        <v>10108.800000000001</v>
      </c>
      <c r="T26" s="129">
        <f t="shared" si="3"/>
        <v>56.862000000000002</v>
      </c>
      <c r="U26" s="129"/>
      <c r="V26" s="124" t="e">
        <f t="shared" ca="1" si="8"/>
        <v>#N/A</v>
      </c>
      <c r="W26" s="115" t="e">
        <f t="shared" ca="1" si="4"/>
        <v>#N/A</v>
      </c>
    </row>
    <row r="27" spans="1:23" x14ac:dyDescent="0.25">
      <c r="A27" s="110">
        <v>10</v>
      </c>
      <c r="B27" s="93" t="s">
        <v>14</v>
      </c>
      <c r="C27" s="94" t="s">
        <v>19</v>
      </c>
      <c r="D27" s="93"/>
      <c r="E27" s="93" t="s">
        <v>20</v>
      </c>
      <c r="F27" s="93" t="s">
        <v>21</v>
      </c>
      <c r="G27" s="111">
        <v>1</v>
      </c>
      <c r="H27" s="112">
        <f t="shared" si="5"/>
        <v>27293.760000000002</v>
      </c>
      <c r="I27" s="113">
        <f t="shared" si="6"/>
        <v>27293.760000000002</v>
      </c>
      <c r="J27" s="114" t="e">
        <f ca="1">IF(D27="1A,2A",V26+$D$51+$E$51,IF(D27="1B,2B",V26+$F$51+$G$51,IF(D27="1C,2C",V26+$H$51+$I$51,V26)))</f>
        <v>#N/A</v>
      </c>
      <c r="K27" s="115" t="e">
        <f t="shared" ca="1" si="7"/>
        <v>#N/A</v>
      </c>
      <c r="L27" s="116"/>
      <c r="M27" s="126"/>
      <c r="N27" s="118"/>
      <c r="O27" s="119" t="str">
        <f t="shared" ca="1" si="0"/>
        <v>FALSE</v>
      </c>
      <c r="P27" s="267" t="e">
        <f t="shared" ca="1" si="1"/>
        <v>#VALUE!</v>
      </c>
      <c r="Q27" s="120">
        <v>0.9</v>
      </c>
      <c r="R27" s="121">
        <f t="shared" si="2"/>
        <v>24564.384000000002</v>
      </c>
      <c r="S27" s="122">
        <f>IF(ROW($B27)&lt;LOOKUP("1A,2A",$D$18:$D$42,ROW($D$18:$D$42)), $C$46,IF(ROW(B27)=LOOKUP("1A,2A",$D$18:$D$42,ROW($D$18:$D$42)), $D$46,IF(ROW(B27)&gt;LOOKUP("1A,2A",$D$18:$D$42,ROW($D$18:$D$42)), $S26*$Q27,"ERROR")))</f>
        <v>9097.9200000000019</v>
      </c>
      <c r="T27" s="129">
        <f t="shared" si="3"/>
        <v>24564.384000000002</v>
      </c>
      <c r="U27" s="129"/>
      <c r="V27" s="124" t="e">
        <f t="shared" ca="1" si="8"/>
        <v>#N/A</v>
      </c>
      <c r="W27" s="115" t="e">
        <f t="shared" ca="1" si="4"/>
        <v>#N/A</v>
      </c>
    </row>
    <row r="28" spans="1:23" x14ac:dyDescent="0.25">
      <c r="A28" s="110">
        <v>11</v>
      </c>
      <c r="B28" s="93" t="s">
        <v>9</v>
      </c>
      <c r="C28" s="94" t="s">
        <v>10</v>
      </c>
      <c r="D28" s="93" t="s">
        <v>5</v>
      </c>
      <c r="E28" s="93" t="s">
        <v>11</v>
      </c>
      <c r="F28" s="93" t="s">
        <v>12</v>
      </c>
      <c r="G28" s="111">
        <v>3000</v>
      </c>
      <c r="H28" s="112">
        <f t="shared" si="5"/>
        <v>24564.384000000002</v>
      </c>
      <c r="I28" s="113">
        <f t="shared" si="6"/>
        <v>8.1881280000000007</v>
      </c>
      <c r="J28" s="114" t="e">
        <f ca="1">IF(D28="1A,2A",V27+$D$51+$E$51,IF(D28="1B,2B",V27+$F$51+$G$51,IF(D28="1C,2C",V27+$H$51+$I$51,V27)))</f>
        <v>#N/A</v>
      </c>
      <c r="K28" s="115" t="e">
        <f t="shared" ca="1" si="7"/>
        <v>#N/A</v>
      </c>
      <c r="L28" s="116"/>
      <c r="M28" s="126"/>
      <c r="N28" s="118"/>
      <c r="O28" s="119" t="str">
        <f t="shared" ca="1" si="0"/>
        <v>FALSE</v>
      </c>
      <c r="P28" s="267" t="e">
        <f t="shared" ca="1" si="1"/>
        <v>#VALUE!</v>
      </c>
      <c r="Q28" s="120">
        <v>1</v>
      </c>
      <c r="R28" s="121">
        <f t="shared" si="2"/>
        <v>24564.384000000002</v>
      </c>
      <c r="S28" s="122">
        <f>IF(ROW($B28)&lt;LOOKUP("1A,2A",$D$18:$D$42,ROW($D$18:$D$42)), $C$46,IF(ROW(B28)=LOOKUP("1A,2A",$D$18:$D$42,ROW($D$18:$D$42)), $D$46,IF(ROW(B28)&gt;LOOKUP("1A,2A",$D$18:$D$42,ROW($D$18:$D$42)), $S27*$Q28,"ERROR")))</f>
        <v>9097.9200000000019</v>
      </c>
      <c r="T28" s="129">
        <f t="shared" si="3"/>
        <v>8.1881280000000007</v>
      </c>
      <c r="U28" s="129"/>
      <c r="V28" s="124" t="e">
        <f t="shared" ca="1" si="8"/>
        <v>#N/A</v>
      </c>
      <c r="W28" s="115" t="e">
        <f t="shared" ca="1" si="4"/>
        <v>#N/A</v>
      </c>
    </row>
    <row r="29" spans="1:23" x14ac:dyDescent="0.25">
      <c r="A29" s="110">
        <v>12</v>
      </c>
      <c r="B29" s="93" t="s">
        <v>13</v>
      </c>
      <c r="C29" s="94" t="s">
        <v>10</v>
      </c>
      <c r="D29" s="93"/>
      <c r="E29" s="93" t="s">
        <v>11</v>
      </c>
      <c r="F29" s="93" t="s">
        <v>12</v>
      </c>
      <c r="G29" s="111">
        <v>3000</v>
      </c>
      <c r="H29" s="112">
        <f t="shared" si="5"/>
        <v>24564.384000000002</v>
      </c>
      <c r="I29" s="113">
        <f t="shared" si="6"/>
        <v>8.1881280000000007</v>
      </c>
      <c r="J29" s="114" t="e">
        <f ca="1">IF(D29="1A,2A",V28+$D$51+$E$51,IF(D29="1B,2B",V28+$F$51+$G$51,IF(D29="1C,2C",V28+$H$51+$I$51,V28)))</f>
        <v>#N/A</v>
      </c>
      <c r="K29" s="115" t="e">
        <f t="shared" ca="1" si="7"/>
        <v>#N/A</v>
      </c>
      <c r="L29" s="116"/>
      <c r="M29" s="126"/>
      <c r="N29" s="118"/>
      <c r="O29" s="119" t="str">
        <f t="shared" ca="1" si="0"/>
        <v>FALSE</v>
      </c>
      <c r="P29" s="267" t="e">
        <f t="shared" ca="1" si="1"/>
        <v>#VALUE!</v>
      </c>
      <c r="Q29" s="120">
        <v>1</v>
      </c>
      <c r="R29" s="121">
        <f t="shared" si="2"/>
        <v>24564.384000000002</v>
      </c>
      <c r="S29" s="122">
        <f>IF(ROW($B29)&lt;LOOKUP("1A,2A",$D$18:$D$42,ROW($D$18:$D$42)), $C$46,IF(ROW(B29)=LOOKUP("1A,2A",$D$18:$D$42,ROW($D$18:$D$42)), $D$46,IF(ROW(B29)&gt;LOOKUP("1A,2A",$D$18:$D$42,ROW($D$18:$D$42)), $S28*$Q29,"ERROR")))</f>
        <v>9097.9200000000019</v>
      </c>
      <c r="T29" s="129">
        <f t="shared" si="3"/>
        <v>8.1881280000000007</v>
      </c>
      <c r="U29" s="129"/>
      <c r="V29" s="124" t="e">
        <f t="shared" ca="1" si="8"/>
        <v>#N/A</v>
      </c>
      <c r="W29" s="115" t="e">
        <f t="shared" ca="1" si="4"/>
        <v>#N/A</v>
      </c>
    </row>
    <row r="30" spans="1:23" x14ac:dyDescent="0.25">
      <c r="A30" s="110">
        <v>13</v>
      </c>
      <c r="B30" s="93" t="s">
        <v>14</v>
      </c>
      <c r="C30" s="94" t="s">
        <v>15</v>
      </c>
      <c r="D30" s="93"/>
      <c r="E30" s="93" t="s">
        <v>7</v>
      </c>
      <c r="F30" s="93" t="s">
        <v>12</v>
      </c>
      <c r="G30" s="111">
        <v>3000</v>
      </c>
      <c r="H30" s="112">
        <f t="shared" si="5"/>
        <v>24564.384000000002</v>
      </c>
      <c r="I30" s="113">
        <f t="shared" si="6"/>
        <v>8.1881280000000007</v>
      </c>
      <c r="J30" s="114" t="e">
        <f ca="1">IF(D30="1A,2A",V29+$D$51+$E$51,IF(D30="1B,2B",V29+$F$51+$G$51,IF(D30="1C,2C",V29+$H$51+$I$51,V29)))</f>
        <v>#N/A</v>
      </c>
      <c r="K30" s="115" t="e">
        <f t="shared" ca="1" si="7"/>
        <v>#N/A</v>
      </c>
      <c r="L30" s="116"/>
      <c r="M30" s="126"/>
      <c r="N30" s="118"/>
      <c r="O30" s="119" t="str">
        <f t="shared" ca="1" si="0"/>
        <v>FALSE</v>
      </c>
      <c r="P30" s="267" t="e">
        <f t="shared" ca="1" si="1"/>
        <v>#VALUE!</v>
      </c>
      <c r="Q30" s="120">
        <v>0.9</v>
      </c>
      <c r="R30" s="121">
        <f t="shared" si="2"/>
        <v>22107.945600000003</v>
      </c>
      <c r="S30" s="122">
        <f>IF(ROW($B30)&lt;LOOKUP("1A,2A",$D$18:$D$42,ROW($D$18:$D$42)), $C$46,IF(ROW(B30)=LOOKUP("1A,2A",$D$18:$D$42,ROW($D$18:$D$42)), $D$46,IF(ROW(B30)&gt;LOOKUP("1A,2A",$D$18:$D$42,ROW($D$18:$D$42)), $S29*$Q30,"ERROR")))</f>
        <v>8188.1280000000015</v>
      </c>
      <c r="T30" s="129">
        <f t="shared" si="3"/>
        <v>7.3693152000000008</v>
      </c>
      <c r="U30" s="129"/>
      <c r="V30" s="124" t="e">
        <f t="shared" ca="1" si="8"/>
        <v>#N/A</v>
      </c>
      <c r="W30" s="115" t="e">
        <f t="shared" ca="1" si="4"/>
        <v>#N/A</v>
      </c>
    </row>
    <row r="31" spans="1:23" x14ac:dyDescent="0.25">
      <c r="A31" s="110">
        <v>14</v>
      </c>
      <c r="B31" s="93" t="s">
        <v>16</v>
      </c>
      <c r="C31" s="94" t="s">
        <v>10</v>
      </c>
      <c r="D31" s="93" t="s">
        <v>23</v>
      </c>
      <c r="E31" s="93" t="s">
        <v>18</v>
      </c>
      <c r="F31" s="93" t="s">
        <v>12</v>
      </c>
      <c r="G31" s="111">
        <v>3000</v>
      </c>
      <c r="H31" s="112">
        <f t="shared" si="5"/>
        <v>22107.945600000003</v>
      </c>
      <c r="I31" s="113">
        <f t="shared" si="6"/>
        <v>7.3693152000000008</v>
      </c>
      <c r="J31" s="114" t="e">
        <f ca="1">IF(D31="1A,2A",V30+$D$51+$E$51,IF(D31="1B,2B",V30+$F$51+$G$51,IF(D31="1C,2C",V30+$H$51+$I$51,V30)))</f>
        <v>#N/A</v>
      </c>
      <c r="K31" s="115" t="e">
        <f t="shared" ca="1" si="7"/>
        <v>#N/A</v>
      </c>
      <c r="L31" s="116"/>
      <c r="M31" s="126"/>
      <c r="N31" s="118"/>
      <c r="O31" s="119" t="str">
        <f t="shared" ca="1" si="0"/>
        <v>FALSE</v>
      </c>
      <c r="P31" s="267" t="e">
        <f t="shared" ca="1" si="1"/>
        <v>#VALUE!</v>
      </c>
      <c r="Q31" s="120">
        <v>1</v>
      </c>
      <c r="R31" s="121">
        <f t="shared" si="2"/>
        <v>22107.945600000003</v>
      </c>
      <c r="S31" s="122">
        <f>IF(ROW($B31)&lt;LOOKUP("1A,2A",$D$18:$D$42,ROW($D$18:$D$42)), $C$46,IF(ROW(B31)=LOOKUP("1A,2A",$D$18:$D$42,ROW($D$18:$D$42)), $D$46,IF(ROW(B31)&gt;LOOKUP("1A,2A",$D$18:$D$42,ROW($D$18:$D$42)), $S30*$Q31,"ERROR")))</f>
        <v>8188.1280000000015</v>
      </c>
      <c r="T31" s="129">
        <f t="shared" si="3"/>
        <v>7.3693152000000008</v>
      </c>
      <c r="U31" s="129"/>
      <c r="V31" s="124" t="e">
        <f t="shared" ca="1" si="8"/>
        <v>#N/A</v>
      </c>
      <c r="W31" s="115" t="e">
        <f t="shared" ca="1" si="4"/>
        <v>#N/A</v>
      </c>
    </row>
    <row r="32" spans="1:23" x14ac:dyDescent="0.25">
      <c r="A32" s="110">
        <v>15</v>
      </c>
      <c r="B32" s="93" t="s">
        <v>14</v>
      </c>
      <c r="C32" s="94" t="s">
        <v>24</v>
      </c>
      <c r="D32" s="93"/>
      <c r="E32" s="93" t="s">
        <v>25</v>
      </c>
      <c r="F32" s="93" t="s">
        <v>21</v>
      </c>
      <c r="G32" s="130">
        <v>1</v>
      </c>
      <c r="H32" s="112">
        <f t="shared" si="5"/>
        <v>22107.945600000003</v>
      </c>
      <c r="I32" s="113">
        <f t="shared" si="6"/>
        <v>22107.945600000003</v>
      </c>
      <c r="J32" s="114" t="e">
        <f ca="1">IF(D32="1A,2A",V31+$D$51+$E$51,IF(D32="1B,2B",V31+$F$51+$G$51,IF(D32="1C,2C",V31+$H$51+$I$51,V31)))</f>
        <v>#N/A</v>
      </c>
      <c r="K32" s="115" t="e">
        <f t="shared" ca="1" si="7"/>
        <v>#N/A</v>
      </c>
      <c r="L32" s="116"/>
      <c r="M32" s="126"/>
      <c r="N32" s="118"/>
      <c r="O32" s="119" t="str">
        <f t="shared" ca="1" si="0"/>
        <v>FALSE</v>
      </c>
      <c r="P32" s="267" t="e">
        <f t="shared" ca="1" si="1"/>
        <v>#VALUE!</v>
      </c>
      <c r="Q32" s="120">
        <v>0.9</v>
      </c>
      <c r="R32" s="121">
        <f t="shared" si="2"/>
        <v>19897.151040000004</v>
      </c>
      <c r="S32" s="122">
        <f>IF(ROW($B32)&lt;LOOKUP("1A,2A",$D$18:$D$42,ROW($D$18:$D$42)), $C$46,IF(ROW(B32)=LOOKUP("1A,2A",$D$18:$D$42,ROW($D$18:$D$42)), $D$46,IF(ROW(B32)&gt;LOOKUP("1A,2A",$D$18:$D$42,ROW($D$18:$D$42)), $S31*$Q32,"ERROR")))</f>
        <v>7369.3152000000018</v>
      </c>
      <c r="T32" s="129">
        <f t="shared" si="3"/>
        <v>19897.151040000004</v>
      </c>
      <c r="U32" s="129"/>
      <c r="V32" s="124" t="e">
        <f t="shared" ca="1" si="8"/>
        <v>#N/A</v>
      </c>
      <c r="W32" s="115" t="e">
        <f t="shared" ca="1" si="4"/>
        <v>#N/A</v>
      </c>
    </row>
    <row r="33" spans="1:23" x14ac:dyDescent="0.25">
      <c r="A33" s="131">
        <v>18</v>
      </c>
      <c r="B33" s="93" t="s">
        <v>14</v>
      </c>
      <c r="C33" s="94" t="s">
        <v>26</v>
      </c>
      <c r="D33" s="93"/>
      <c r="E33" s="93"/>
      <c r="F33" s="93" t="s">
        <v>21</v>
      </c>
      <c r="G33" s="130">
        <v>1</v>
      </c>
      <c r="H33" s="112">
        <f t="shared" si="5"/>
        <v>19897.151040000004</v>
      </c>
      <c r="I33" s="113">
        <f t="shared" si="6"/>
        <v>19897.151040000004</v>
      </c>
      <c r="J33" s="114" t="e">
        <f ca="1">IF(D33="1A,2A",V32+$D$51+$E$51,IF(D33="1B,2B",V32+$F$51+$G$51,IF(D33="1C,2C",V32+$H$51+$I$51,V32)))</f>
        <v>#N/A</v>
      </c>
      <c r="K33" s="115" t="e">
        <f t="shared" ca="1" si="7"/>
        <v>#N/A</v>
      </c>
      <c r="L33" s="116"/>
      <c r="M33" s="126"/>
      <c r="N33" s="118"/>
      <c r="O33" s="119" t="e">
        <f t="shared" ca="1" si="0"/>
        <v>#N/A</v>
      </c>
      <c r="P33" s="267" t="str">
        <f t="shared" si="1"/>
        <v>PrepCell</v>
      </c>
      <c r="Q33" s="120">
        <v>0.1</v>
      </c>
      <c r="R33" s="121">
        <f t="shared" si="2"/>
        <v>1989.7151040000006</v>
      </c>
      <c r="S33" s="122">
        <f>IF(ROW($B33)&lt;LOOKUP("1A,2A",$D$18:$D$42,ROW($D$18:$D$42)), $C$46,IF(ROW(B33)=LOOKUP("1A,2A",$D$18:$D$42,ROW($D$18:$D$42)), $D$46,IF(ROW(B33)&gt;LOOKUP("1A,2A",$D$18:$D$42,ROW($D$18:$D$42)), $S32*$Q33,"ERROR")))</f>
        <v>736.93152000000021</v>
      </c>
      <c r="T33" s="129">
        <f t="shared" si="3"/>
        <v>1989.7151040000006</v>
      </c>
      <c r="U33" s="129"/>
      <c r="V33" s="124" t="e">
        <f t="shared" ca="1" si="8"/>
        <v>#N/A</v>
      </c>
      <c r="W33" s="115" t="e">
        <f t="shared" ca="1" si="4"/>
        <v>#N/A</v>
      </c>
    </row>
    <row r="34" spans="1:23" x14ac:dyDescent="0.25">
      <c r="A34" s="132">
        <v>19</v>
      </c>
      <c r="B34" s="93" t="s">
        <v>14</v>
      </c>
      <c r="C34" s="94" t="s">
        <v>27</v>
      </c>
      <c r="D34" s="93"/>
      <c r="E34" s="93" t="s">
        <v>8</v>
      </c>
      <c r="F34" s="93" t="s">
        <v>21</v>
      </c>
      <c r="G34" s="130">
        <v>1</v>
      </c>
      <c r="H34" s="112">
        <f t="shared" si="5"/>
        <v>1989.7151040000006</v>
      </c>
      <c r="I34" s="113">
        <f t="shared" si="6"/>
        <v>1989.7151040000006</v>
      </c>
      <c r="J34" s="114" t="e">
        <f ca="1">IF(D34="1A,2A",V33+$D$51+$E$51,IF(D34="1B,2B",V33+$F$51+$G$51,IF(D34="1C,2C",V33+$H$51+$I$51,V33)))</f>
        <v>#N/A</v>
      </c>
      <c r="K34" s="115" t="e">
        <f t="shared" ca="1" si="7"/>
        <v>#N/A</v>
      </c>
      <c r="L34" s="116"/>
      <c r="M34" s="126"/>
      <c r="N34" s="118"/>
      <c r="O34" s="119" t="e">
        <f t="shared" ca="1" si="0"/>
        <v>#N/A</v>
      </c>
      <c r="P34" s="267" t="e">
        <f t="shared" ca="1" si="1"/>
        <v>#N/A</v>
      </c>
      <c r="Q34" s="120">
        <v>0.9</v>
      </c>
      <c r="R34" s="121">
        <f t="shared" si="2"/>
        <v>1790.7435936000006</v>
      </c>
      <c r="S34" s="122">
        <f>IF(ROW($B34)&lt;LOOKUP("1A,2A",$D$18:$D$42,ROW($D$18:$D$42)), $C$46,IF(ROW(B34)=LOOKUP("1A,2A",$D$18:$D$42,ROW($D$18:$D$42)), $D$46,IF(ROW(B34)&gt;LOOKUP("1A,2A",$D$18:$D$42,ROW($D$18:$D$42)), $S33*$Q34,"ERROR")))</f>
        <v>663.23836800000015</v>
      </c>
      <c r="T34" s="129">
        <f t="shared" si="3"/>
        <v>1790.7435936000006</v>
      </c>
      <c r="U34" s="129"/>
      <c r="V34" s="124" t="e">
        <f t="shared" ca="1" si="8"/>
        <v>#N/A</v>
      </c>
      <c r="W34" s="115" t="e">
        <f t="shared" ca="1" si="4"/>
        <v>#N/A</v>
      </c>
    </row>
    <row r="35" spans="1:23" x14ac:dyDescent="0.25">
      <c r="A35" s="132"/>
      <c r="B35" s="93"/>
      <c r="C35" s="94"/>
      <c r="D35" s="93"/>
      <c r="E35" s="93"/>
      <c r="F35" s="93" t="s">
        <v>21</v>
      </c>
      <c r="G35" s="130">
        <v>1</v>
      </c>
      <c r="H35" s="112">
        <f t="shared" si="5"/>
        <v>1790.7435936000006</v>
      </c>
      <c r="I35" s="113">
        <f t="shared" si="6"/>
        <v>1790.7435936000006</v>
      </c>
      <c r="J35" s="114" t="e">
        <f ca="1">IF(D35="1A,2A",V34+$D$51+$E$51,IF(D35="1B,2B",V34+$F$51+$G$51,IF(D35="1C,2C",V34+$H$51+$I$51,V34)))</f>
        <v>#N/A</v>
      </c>
      <c r="K35" s="115" t="e">
        <f t="shared" ca="1" si="7"/>
        <v>#N/A</v>
      </c>
      <c r="L35" s="116"/>
      <c r="M35" s="126"/>
      <c r="N35" s="118"/>
      <c r="O35" s="119" t="e">
        <f t="shared" ca="1" si="0"/>
        <v>#N/A</v>
      </c>
      <c r="P35" s="267" t="e">
        <f t="shared" ca="1" si="1"/>
        <v>#N/A</v>
      </c>
      <c r="Q35" s="120">
        <v>1</v>
      </c>
      <c r="R35" s="121">
        <f t="shared" si="2"/>
        <v>1790.7435936000006</v>
      </c>
      <c r="S35" s="122">
        <f>IF(ROW($B35)&lt;LOOKUP("1A,2A",$D$18:$D$42,ROW($D$18:$D$42)), $C$46,IF(ROW(B35)=LOOKUP("1A,2A",$D$18:$D$42,ROW($D$18:$D$42)), $D$46,IF(ROW(B35)&gt;LOOKUP("1A,2A",$D$18:$D$42,ROW($D$18:$D$42)), $S34*$Q35,"ERROR")))</f>
        <v>663.23836800000015</v>
      </c>
      <c r="T35" s="129">
        <f t="shared" si="3"/>
        <v>1790.7435936000006</v>
      </c>
      <c r="U35" s="129"/>
      <c r="V35" s="124" t="e">
        <f t="shared" ca="1" si="8"/>
        <v>#N/A</v>
      </c>
      <c r="W35" s="115" t="e">
        <f t="shared" ca="1" si="4"/>
        <v>#N/A</v>
      </c>
    </row>
    <row r="36" spans="1:23" x14ac:dyDescent="0.25">
      <c r="A36" s="132"/>
      <c r="B36" s="93"/>
      <c r="C36" s="94"/>
      <c r="D36" s="93"/>
      <c r="E36" s="93"/>
      <c r="F36" s="93" t="s">
        <v>21</v>
      </c>
      <c r="G36" s="130">
        <v>1</v>
      </c>
      <c r="H36" s="112">
        <f t="shared" si="5"/>
        <v>1790.7435936000006</v>
      </c>
      <c r="I36" s="113">
        <f t="shared" si="6"/>
        <v>1790.7435936000006</v>
      </c>
      <c r="J36" s="114" t="e">
        <f ca="1">IF(D36="1A,2A",V35+$D$51+$E$51,IF(D36="1B,2B",V35+$F$51+$G$51,IF(D36="1C,2C",V35+$H$51+$I$51,V35)))</f>
        <v>#N/A</v>
      </c>
      <c r="K36" s="115" t="e">
        <f t="shared" ca="1" si="7"/>
        <v>#N/A</v>
      </c>
      <c r="L36" s="116"/>
      <c r="M36" s="126"/>
      <c r="N36" s="118"/>
      <c r="O36" s="119" t="e">
        <f t="shared" ca="1" si="0"/>
        <v>#N/A</v>
      </c>
      <c r="P36" s="267" t="e">
        <f t="shared" ca="1" si="1"/>
        <v>#N/A</v>
      </c>
      <c r="Q36" s="120">
        <v>1</v>
      </c>
      <c r="R36" s="121">
        <f t="shared" si="2"/>
        <v>1790.7435936000006</v>
      </c>
      <c r="S36" s="122">
        <f>IF(ROW($B36)&lt;LOOKUP("1A,2A",$D$18:$D$42,ROW($D$18:$D$42)), $C$46,IF(ROW(B36)=LOOKUP("1A,2A",$D$18:$D$42,ROW($D$18:$D$42)), $D$46,IF(ROW(B36)&gt;LOOKUP("1A,2A",$D$18:$D$42,ROW($D$18:$D$42)), $S35*$Q36,"ERROR")))</f>
        <v>663.23836800000015</v>
      </c>
      <c r="T36" s="129">
        <f t="shared" si="3"/>
        <v>1790.7435936000006</v>
      </c>
      <c r="U36" s="129"/>
      <c r="V36" s="124" t="e">
        <f t="shared" ca="1" si="8"/>
        <v>#N/A</v>
      </c>
      <c r="W36" s="115" t="e">
        <f t="shared" ca="1" si="4"/>
        <v>#N/A</v>
      </c>
    </row>
    <row r="37" spans="1:23" x14ac:dyDescent="0.25">
      <c r="A37" s="132"/>
      <c r="B37" s="93"/>
      <c r="C37" s="94"/>
      <c r="D37" s="93"/>
      <c r="E37" s="93"/>
      <c r="F37" s="93" t="s">
        <v>21</v>
      </c>
      <c r="G37" s="130">
        <v>1</v>
      </c>
      <c r="H37" s="112">
        <f t="shared" si="5"/>
        <v>1790.7435936000006</v>
      </c>
      <c r="I37" s="113">
        <f t="shared" si="6"/>
        <v>1790.7435936000006</v>
      </c>
      <c r="J37" s="114" t="e">
        <f ca="1">IF(D37="1A,2A",V36+$D$51+$E$51,IF(D37="1B,2B",V36+$F$51+$G$51,IF(D37="1C,2C",V36+$H$51+$I$51,V36)))</f>
        <v>#N/A</v>
      </c>
      <c r="K37" s="115" t="e">
        <f t="shared" ca="1" si="7"/>
        <v>#N/A</v>
      </c>
      <c r="L37" s="116"/>
      <c r="M37" s="126"/>
      <c r="N37" s="118"/>
      <c r="O37" s="119" t="e">
        <f t="shared" ca="1" si="0"/>
        <v>#N/A</v>
      </c>
      <c r="P37" s="267" t="e">
        <f t="shared" ca="1" si="1"/>
        <v>#N/A</v>
      </c>
      <c r="Q37" s="120">
        <v>1</v>
      </c>
      <c r="R37" s="121">
        <f t="shared" si="2"/>
        <v>1790.7435936000006</v>
      </c>
      <c r="S37" s="122">
        <f>IF(ROW($B37)&lt;LOOKUP("1A,2A",$D$18:$D$42,ROW($D$18:$D$42)), $C$46,IF(ROW(B37)=LOOKUP("1A,2A",$D$18:$D$42,ROW($D$18:$D$42)), $D$46,IF(ROW(B37)&gt;LOOKUP("1A,2A",$D$18:$D$42,ROW($D$18:$D$42)), $S36*$Q37,"ERROR")))</f>
        <v>663.23836800000015</v>
      </c>
      <c r="T37" s="129">
        <f t="shared" si="3"/>
        <v>1790.7435936000006</v>
      </c>
      <c r="U37" s="129"/>
      <c r="V37" s="124" t="e">
        <f t="shared" ca="1" si="8"/>
        <v>#N/A</v>
      </c>
      <c r="W37" s="115" t="e">
        <f t="shared" ca="1" si="4"/>
        <v>#N/A</v>
      </c>
    </row>
    <row r="38" spans="1:23" x14ac:dyDescent="0.25">
      <c r="A38" s="132"/>
      <c r="B38" s="93"/>
      <c r="C38" s="94"/>
      <c r="D38" s="93"/>
      <c r="E38" s="93"/>
      <c r="F38" s="93" t="s">
        <v>21</v>
      </c>
      <c r="G38" s="130">
        <v>1</v>
      </c>
      <c r="H38" s="112">
        <f t="shared" si="5"/>
        <v>1790.7435936000006</v>
      </c>
      <c r="I38" s="113">
        <f t="shared" si="6"/>
        <v>1790.7435936000006</v>
      </c>
      <c r="J38" s="114" t="e">
        <f ca="1">IF(D38="1A,2A",V37+$D$51+$E$51,IF(D38="1B,2B",V37+$F$51+$G$51,IF(D38="1C,2C",V37+$H$51+$I$51,V37)))</f>
        <v>#N/A</v>
      </c>
      <c r="K38" s="115" t="e">
        <f t="shared" ca="1" si="7"/>
        <v>#N/A</v>
      </c>
      <c r="L38" s="116"/>
      <c r="M38" s="126"/>
      <c r="N38" s="118"/>
      <c r="O38" s="119" t="e">
        <f t="shared" ca="1" si="0"/>
        <v>#N/A</v>
      </c>
      <c r="P38" s="267" t="e">
        <f t="shared" ca="1" si="1"/>
        <v>#N/A</v>
      </c>
      <c r="Q38" s="120">
        <v>1</v>
      </c>
      <c r="R38" s="121">
        <f t="shared" si="2"/>
        <v>1790.7435936000006</v>
      </c>
      <c r="S38" s="122">
        <f>IF(ROW($B38)&lt;LOOKUP("1A,2A",$D$18:$D$42,ROW($D$18:$D$42)), $C$46,IF(ROW(B38)=LOOKUP("1A,2A",$D$18:$D$42,ROW($D$18:$D$42)), $D$46,IF(ROW(B38)&gt;LOOKUP("1A,2A",$D$18:$D$42,ROW($D$18:$D$42)), $S37*$Q38,"ERROR")))</f>
        <v>663.23836800000015</v>
      </c>
      <c r="T38" s="129">
        <f t="shared" si="3"/>
        <v>1790.7435936000006</v>
      </c>
      <c r="U38" s="129"/>
      <c r="V38" s="124" t="e">
        <f t="shared" ca="1" si="8"/>
        <v>#N/A</v>
      </c>
      <c r="W38" s="115" t="e">
        <f t="shared" ca="1" si="4"/>
        <v>#N/A</v>
      </c>
    </row>
    <row r="39" spans="1:23" x14ac:dyDescent="0.25">
      <c r="A39" s="133"/>
      <c r="B39" s="93"/>
      <c r="C39" s="94"/>
      <c r="D39" s="93"/>
      <c r="E39" s="93"/>
      <c r="F39" s="93" t="s">
        <v>21</v>
      </c>
      <c r="G39" s="130">
        <v>1</v>
      </c>
      <c r="H39" s="112">
        <f t="shared" si="5"/>
        <v>1790.7435936000006</v>
      </c>
      <c r="I39" s="113">
        <f t="shared" si="6"/>
        <v>1790.7435936000006</v>
      </c>
      <c r="J39" s="114" t="e">
        <f ca="1">IF(D39="1A,2A",V38+$D$51+$E$51,IF(D39="1B,2B",V38+$F$51+$G$51,IF(D39="1C,2C",V38+$H$51+$I$51,V38)))</f>
        <v>#N/A</v>
      </c>
      <c r="K39" s="115" t="e">
        <f t="shared" ca="1" si="7"/>
        <v>#N/A</v>
      </c>
      <c r="L39" s="116"/>
      <c r="M39" s="126"/>
      <c r="N39" s="118"/>
      <c r="O39" s="119" t="e">
        <f t="shared" ca="1" si="0"/>
        <v>#N/A</v>
      </c>
      <c r="P39" s="267" t="e">
        <f t="shared" ca="1" si="1"/>
        <v>#N/A</v>
      </c>
      <c r="Q39" s="120">
        <v>1</v>
      </c>
      <c r="R39" s="121">
        <f t="shared" si="2"/>
        <v>1790.7435936000006</v>
      </c>
      <c r="S39" s="122">
        <f>IF(ROW($B39)&lt;LOOKUP("1A,2A",$D$18:$D$42,ROW($D$18:$D$42)), $C$46,IF(ROW(B39)=LOOKUP("1A,2A",$D$18:$D$42,ROW($D$18:$D$42)), $D$46,IF(ROW(B39)&gt;LOOKUP("1A,2A",$D$18:$D$42,ROW($D$18:$D$42)), $S38*$Q39,"ERROR")))</f>
        <v>663.23836800000015</v>
      </c>
      <c r="T39" s="129">
        <f t="shared" si="3"/>
        <v>1790.7435936000006</v>
      </c>
      <c r="U39" s="129"/>
      <c r="V39" s="124" t="e">
        <f t="shared" ca="1" si="8"/>
        <v>#N/A</v>
      </c>
      <c r="W39" s="115" t="e">
        <f t="shared" ca="1" si="4"/>
        <v>#N/A</v>
      </c>
    </row>
    <row r="40" spans="1:23" x14ac:dyDescent="0.25">
      <c r="A40" s="133"/>
      <c r="B40" s="93"/>
      <c r="C40" s="94"/>
      <c r="D40" s="93"/>
      <c r="E40" s="93"/>
      <c r="F40" s="93" t="s">
        <v>21</v>
      </c>
      <c r="G40" s="134">
        <v>1</v>
      </c>
      <c r="H40" s="112">
        <f t="shared" si="5"/>
        <v>1790.7435936000006</v>
      </c>
      <c r="I40" s="113">
        <f t="shared" si="6"/>
        <v>1790.7435936000006</v>
      </c>
      <c r="J40" s="114" t="e">
        <f ca="1">IF(D40="1A,2A",V39+$D$51+$E$51,IF(D40="1B,2B",V39+$F$51+$G$51,IF(D40="1C,2C",V39+$H$51+$I$51,V39)))</f>
        <v>#N/A</v>
      </c>
      <c r="K40" s="115" t="e">
        <f t="shared" ca="1" si="7"/>
        <v>#N/A</v>
      </c>
      <c r="L40" s="116"/>
      <c r="M40" s="126"/>
      <c r="N40" s="118"/>
      <c r="O40" s="119" t="e">
        <f t="shared" ca="1" si="0"/>
        <v>#N/A</v>
      </c>
      <c r="P40" s="267" t="e">
        <f t="shared" ca="1" si="1"/>
        <v>#N/A</v>
      </c>
      <c r="Q40" s="120">
        <v>1</v>
      </c>
      <c r="R40" s="121">
        <f t="shared" si="2"/>
        <v>1790.7435936000006</v>
      </c>
      <c r="S40" s="122">
        <f>IF(ROW($B40)&lt;LOOKUP("1A,2A",$D$18:$D$42,ROW($D$18:$D$42)), $C$46,IF(ROW(B40)=LOOKUP("1A,2A",$D$18:$D$42,ROW($D$18:$D$42)), $D$46,IF(ROW(B40)&gt;LOOKUP("1A,2A",$D$18:$D$42,ROW($D$18:$D$42)), $S39*$Q40,"ERROR")))</f>
        <v>663.23836800000015</v>
      </c>
      <c r="T40" s="129">
        <f t="shared" si="3"/>
        <v>1790.7435936000006</v>
      </c>
      <c r="U40" s="129"/>
      <c r="V40" s="124" t="e">
        <f t="shared" ca="1" si="8"/>
        <v>#N/A</v>
      </c>
      <c r="W40" s="115" t="e">
        <f t="shared" ca="1" si="4"/>
        <v>#N/A</v>
      </c>
    </row>
    <row r="41" spans="1:23" x14ac:dyDescent="0.25">
      <c r="A41" s="133"/>
      <c r="B41" s="93"/>
      <c r="C41" s="94"/>
      <c r="D41" s="93"/>
      <c r="E41" s="93"/>
      <c r="F41" s="93" t="s">
        <v>21</v>
      </c>
      <c r="G41" s="130">
        <v>1</v>
      </c>
      <c r="H41" s="112">
        <f t="shared" si="5"/>
        <v>1790.7435936000006</v>
      </c>
      <c r="I41" s="113">
        <f t="shared" si="6"/>
        <v>1790.7435936000006</v>
      </c>
      <c r="J41" s="114" t="e">
        <f ca="1">IF(D41="1A,2A",V40+$D$51+$E$51,IF(D41="1B,2B",V40+$F$51+$G$51,IF(D41="1C,2C",V40+$H$51+$I$51,V40)))</f>
        <v>#N/A</v>
      </c>
      <c r="K41" s="115" t="e">
        <f t="shared" ca="1" si="7"/>
        <v>#N/A</v>
      </c>
      <c r="L41" s="116"/>
      <c r="M41" s="126"/>
      <c r="N41" s="118"/>
      <c r="O41" s="119" t="e">
        <f t="shared" ca="1" si="0"/>
        <v>#N/A</v>
      </c>
      <c r="P41" s="267" t="e">
        <f t="shared" ca="1" si="1"/>
        <v>#N/A</v>
      </c>
      <c r="Q41" s="120">
        <v>1</v>
      </c>
      <c r="R41" s="121">
        <f t="shared" si="2"/>
        <v>1790.7435936000006</v>
      </c>
      <c r="S41" s="122">
        <f>IF(ROW($B41)&lt;LOOKUP("1A,2A",$D$18:$D$42,ROW($D$18:$D$42)), $C$46,IF(ROW(B41)=LOOKUP("1A,2A",$D$18:$D$42,ROW($D$18:$D$42)), $D$46,IF(ROW(B41)&gt;LOOKUP("1A,2A",$D$18:$D$42,ROW($D$18:$D$42)), $S40*$Q41,"ERROR")))</f>
        <v>663.23836800000015</v>
      </c>
      <c r="T41" s="129">
        <f t="shared" si="3"/>
        <v>1790.7435936000006</v>
      </c>
      <c r="U41" s="129"/>
      <c r="V41" s="124" t="e">
        <f t="shared" ca="1" si="8"/>
        <v>#N/A</v>
      </c>
      <c r="W41" s="115" t="e">
        <f t="shared" ca="1" si="4"/>
        <v>#N/A</v>
      </c>
    </row>
    <row r="42" spans="1:23" ht="15.75" thickBot="1" x14ac:dyDescent="0.3">
      <c r="A42" s="135"/>
      <c r="B42" s="93"/>
      <c r="C42" s="94"/>
      <c r="D42" s="93"/>
      <c r="E42" s="93"/>
      <c r="F42" s="93" t="s">
        <v>21</v>
      </c>
      <c r="G42" s="136">
        <v>1</v>
      </c>
      <c r="H42" s="137">
        <f t="shared" si="5"/>
        <v>1790.7435936000006</v>
      </c>
      <c r="I42" s="138">
        <f t="shared" si="6"/>
        <v>1790.7435936000006</v>
      </c>
      <c r="J42" s="139" t="e">
        <f ca="1">IF(D42="1A,2A",V41+$D$51+$E$51,IF(D42="1B,2B",V41+$F$51+$G$51,IF(D42="1C,2C",V41+$H$51+$I$51,V41)))</f>
        <v>#N/A</v>
      </c>
      <c r="K42" s="140" t="e">
        <f t="shared" ca="1" si="7"/>
        <v>#N/A</v>
      </c>
      <c r="L42" s="141"/>
      <c r="M42" s="142"/>
      <c r="N42" s="143"/>
      <c r="O42" s="144" t="e">
        <f t="shared" ca="1" si="0"/>
        <v>#N/A</v>
      </c>
      <c r="P42" s="268" t="e">
        <f t="shared" ca="1" si="1"/>
        <v>#N/A</v>
      </c>
      <c r="Q42" s="145">
        <f>IF(ISBLANK(C42),1,VLOOKUP(C42,[1]lists!$A$39:$B$53,2,0))</f>
        <v>1</v>
      </c>
      <c r="R42" s="146">
        <f t="shared" si="2"/>
        <v>1790.7435936000006</v>
      </c>
      <c r="S42" s="147">
        <f>IF(ROW($B42)&lt;LOOKUP("1A,2A",$D$18:$D$42,ROW($D$18:$D$42)), $C$46,IF(ROW(B42)=LOOKUP("1A,2A",$D$18:$D$42,ROW($D$18:$D$42)), $D$46,IF(ROW(B42)&gt;LOOKUP("1A,2A",$D$18:$D$42,ROW($D$18:$D$42)), $S41*$Q42,"ERROR")))</f>
        <v>663.23836800000015</v>
      </c>
      <c r="T42" s="148">
        <f t="shared" si="3"/>
        <v>1790.7435936000006</v>
      </c>
      <c r="U42" s="148"/>
      <c r="V42" s="149" t="e">
        <f t="shared" ca="1" si="8"/>
        <v>#N/A</v>
      </c>
      <c r="W42" s="140" t="e">
        <f t="shared" ca="1" si="4"/>
        <v>#N/A</v>
      </c>
    </row>
    <row r="43" spans="1:23" ht="16.5" thickBot="1" x14ac:dyDescent="0.3">
      <c r="A43" s="150"/>
      <c r="B43" s="151"/>
      <c r="C43" s="152"/>
      <c r="D43" s="152"/>
      <c r="E43" s="152"/>
      <c r="F43" s="152"/>
      <c r="G43" s="152"/>
      <c r="H43" s="153"/>
      <c r="I43" s="154"/>
      <c r="T43" s="156"/>
      <c r="U43" s="156"/>
      <c r="V43" s="156"/>
    </row>
    <row r="44" spans="1:23" ht="15.75" x14ac:dyDescent="0.25">
      <c r="A44" s="158"/>
      <c r="B44" s="159"/>
      <c r="C44" s="160"/>
      <c r="D44" s="160"/>
      <c r="E44" s="160"/>
      <c r="F44" s="160"/>
      <c r="G44" s="160"/>
      <c r="H44" s="160"/>
      <c r="I44" s="161"/>
      <c r="Q44"/>
      <c r="R44"/>
    </row>
    <row r="45" spans="1:23" x14ac:dyDescent="0.25">
      <c r="A45" s="158"/>
      <c r="B45" s="162"/>
      <c r="C45" s="163"/>
      <c r="D45" s="163"/>
      <c r="E45" s="163"/>
      <c r="F45" s="163"/>
      <c r="G45" s="163"/>
      <c r="H45" s="163"/>
      <c r="I45" s="164"/>
      <c r="K45" s="7"/>
      <c r="Q45"/>
      <c r="R45"/>
    </row>
    <row r="46" spans="1:23" x14ac:dyDescent="0.25">
      <c r="A46" s="158"/>
      <c r="B46" s="162"/>
      <c r="C46" s="165">
        <f>C56*H5</f>
        <v>37440</v>
      </c>
      <c r="D46" s="166">
        <f>D56*H5</f>
        <v>12480</v>
      </c>
      <c r="E46" s="165">
        <f>D47*E55</f>
        <v>18720</v>
      </c>
      <c r="F46" s="165">
        <f ca="1">F47*F75</f>
        <v>22744.799999999999</v>
      </c>
      <c r="G46" s="165">
        <f ca="1">G47*G75</f>
        <v>34117.199999999997</v>
      </c>
      <c r="H46" s="165">
        <f ca="1">H47*H75</f>
        <v>41452.398000000001</v>
      </c>
      <c r="I46" s="167">
        <f ca="1">I47*I75</f>
        <v>62178.597000000002</v>
      </c>
      <c r="K46" s="168"/>
      <c r="Q46"/>
      <c r="R46"/>
    </row>
    <row r="47" spans="1:23" x14ac:dyDescent="0.25">
      <c r="A47" s="158"/>
      <c r="B47" s="162"/>
      <c r="C47" s="165"/>
      <c r="D47" s="165">
        <f>D46*D75</f>
        <v>15600</v>
      </c>
      <c r="E47" s="165">
        <f>D46*E54*E55</f>
        <v>14976</v>
      </c>
      <c r="F47" s="165">
        <f ca="1">E46*F54*F55</f>
        <v>18195.84</v>
      </c>
      <c r="G47" s="165">
        <f ca="1">F46*G54*G55</f>
        <v>27293.759999999998</v>
      </c>
      <c r="H47" s="165">
        <f ca="1">G46*H54*H55</f>
        <v>33161.918400000002</v>
      </c>
      <c r="I47" s="167">
        <f ca="1">H46*I54*I55</f>
        <v>49742.8776</v>
      </c>
      <c r="K47" s="169"/>
      <c r="Q47"/>
      <c r="R47"/>
    </row>
    <row r="48" spans="1:23" x14ac:dyDescent="0.25">
      <c r="A48" s="158"/>
      <c r="B48" s="162"/>
      <c r="C48" s="165">
        <f t="shared" ref="C48:I48" si="9">C47+C46</f>
        <v>37440</v>
      </c>
      <c r="D48" s="165">
        <f t="shared" si="9"/>
        <v>28080</v>
      </c>
      <c r="E48" s="165">
        <f t="shared" si="9"/>
        <v>33696</v>
      </c>
      <c r="F48" s="165">
        <f t="shared" ca="1" si="9"/>
        <v>40940.639999999999</v>
      </c>
      <c r="G48" s="165">
        <f t="shared" ca="1" si="9"/>
        <v>61410.959999999992</v>
      </c>
      <c r="H48" s="165">
        <f t="shared" ca="1" si="9"/>
        <v>74614.316400000011</v>
      </c>
      <c r="I48" s="167">
        <f t="shared" ca="1" si="9"/>
        <v>111921.4746</v>
      </c>
      <c r="K48" s="169"/>
      <c r="Q48"/>
      <c r="R48"/>
    </row>
    <row r="49" spans="1:18" x14ac:dyDescent="0.25">
      <c r="A49" s="158"/>
      <c r="B49" s="162"/>
      <c r="C49" s="165"/>
      <c r="D49" s="165">
        <f>D46*D71*0.33</f>
        <v>177091.20000000001</v>
      </c>
      <c r="E49" s="165">
        <f t="shared" ref="E49:I50" si="10">E46*E71*0.33</f>
        <v>111196.8</v>
      </c>
      <c r="F49" s="165">
        <f t="shared" ca="1" si="10"/>
        <v>180138.81599999999</v>
      </c>
      <c r="G49" s="165">
        <f t="shared" ca="1" si="10"/>
        <v>202656.16800000001</v>
      </c>
      <c r="H49" s="165">
        <f t="shared" ca="1" si="10"/>
        <v>246227.24412000002</v>
      </c>
      <c r="I49" s="167">
        <f t="shared" ca="1" si="10"/>
        <v>779719.60638000013</v>
      </c>
      <c r="K49" s="169"/>
      <c r="Q49"/>
      <c r="R49"/>
    </row>
    <row r="50" spans="1:18" x14ac:dyDescent="0.25">
      <c r="A50" s="158"/>
      <c r="B50" s="162"/>
      <c r="C50" s="165"/>
      <c r="D50" s="165">
        <f>D47*D72*0.33</f>
        <v>262548</v>
      </c>
      <c r="E50" s="165">
        <f t="shared" si="10"/>
        <v>88957.440000000002</v>
      </c>
      <c r="F50" s="165">
        <f t="shared" ca="1" si="10"/>
        <v>144111.0528</v>
      </c>
      <c r="G50" s="165">
        <f t="shared" ca="1" si="10"/>
        <v>162124.9344</v>
      </c>
      <c r="H50" s="165">
        <f t="shared" ca="1" si="10"/>
        <v>196981.79529600003</v>
      </c>
      <c r="I50" s="167">
        <f t="shared" ca="1" si="10"/>
        <v>295472.69294400001</v>
      </c>
      <c r="K50" s="169"/>
      <c r="Q50"/>
      <c r="R50"/>
    </row>
    <row r="51" spans="1:18" ht="15.75" thickBot="1" x14ac:dyDescent="0.3">
      <c r="A51" s="158"/>
      <c r="B51" s="170"/>
      <c r="C51" s="171">
        <f>C46*C71*0.33</f>
        <v>247104</v>
      </c>
      <c r="D51" s="171">
        <f t="shared" ref="D51:I51" si="11">D50+D49</f>
        <v>439639.2</v>
      </c>
      <c r="E51" s="171">
        <f t="shared" si="11"/>
        <v>200154.23999999999</v>
      </c>
      <c r="F51" s="171">
        <f t="shared" ca="1" si="11"/>
        <v>324249.8688</v>
      </c>
      <c r="G51" s="171">
        <f t="shared" ca="1" si="11"/>
        <v>364781.10239999997</v>
      </c>
      <c r="H51" s="171">
        <f t="shared" ca="1" si="11"/>
        <v>443209.03941600001</v>
      </c>
      <c r="I51" s="172">
        <f t="shared" ca="1" si="11"/>
        <v>1075192.2993240003</v>
      </c>
      <c r="K51" s="169"/>
      <c r="Q51"/>
      <c r="R51"/>
    </row>
    <row r="52" spans="1:18" ht="15.75" x14ac:dyDescent="0.25">
      <c r="A52" s="158"/>
      <c r="B52" s="159"/>
      <c r="C52" s="160"/>
      <c r="D52" s="160"/>
      <c r="E52" s="160"/>
      <c r="F52" s="160"/>
      <c r="G52" s="160"/>
      <c r="H52" s="160"/>
      <c r="I52" s="161"/>
      <c r="K52" s="22"/>
      <c r="Q52"/>
      <c r="R52"/>
    </row>
    <row r="53" spans="1:18" x14ac:dyDescent="0.25">
      <c r="A53" s="158"/>
      <c r="B53" s="173"/>
      <c r="C53" s="163"/>
      <c r="D53" s="163"/>
      <c r="E53" s="163"/>
      <c r="F53" s="163"/>
      <c r="G53" s="163"/>
      <c r="H53" s="163"/>
      <c r="I53" s="164"/>
      <c r="K53" s="22"/>
      <c r="Q53"/>
      <c r="R53"/>
    </row>
    <row r="54" spans="1:18" x14ac:dyDescent="0.25">
      <c r="A54" s="158"/>
      <c r="B54" s="162"/>
      <c r="C54" s="174">
        <v>1</v>
      </c>
      <c r="D54" s="175"/>
      <c r="E54" s="176">
        <v>1</v>
      </c>
      <c r="F54" s="177">
        <f ca="1">PRODUCT(INDIRECT("Q"&amp;LOOKUP("1A,2A",Calculus!D$18:D$42,ROW(Calculus!$D$18:$D$42))):INDIRECT("Q"&amp;LOOKUP("1B,2B",Calculus!D$18:D$42,ROW(Calculus!$D$18:$D$42))))</f>
        <v>0.81</v>
      </c>
      <c r="G54" s="176">
        <v>1</v>
      </c>
      <c r="H54" s="177">
        <f ca="1">PRODUCT(INDIRECT("Q"&amp;LOOKUP("1B,2B",Calculus!D$18:D$42,ROW(Calculus!$D$18:$D$42))):INDIRECT("Q"&amp;LOOKUP("1C,2C",Calculus!D$18:D$42,ROW(Calculus!$D$18:$D$42))))</f>
        <v>0.81</v>
      </c>
      <c r="I54" s="178">
        <v>1</v>
      </c>
      <c r="K54" s="22"/>
      <c r="Q54"/>
      <c r="R54"/>
    </row>
    <row r="55" spans="1:18" x14ac:dyDescent="0.25">
      <c r="A55" s="158"/>
      <c r="B55" s="162"/>
      <c r="C55" s="179">
        <v>3</v>
      </c>
      <c r="D55" s="163"/>
      <c r="E55" s="163">
        <v>1.2</v>
      </c>
      <c r="F55" s="163">
        <v>1.2</v>
      </c>
      <c r="G55" s="163">
        <v>1.2</v>
      </c>
      <c r="H55" s="163">
        <v>1.2</v>
      </c>
      <c r="I55" s="164">
        <v>1.2</v>
      </c>
      <c r="K55" s="168"/>
      <c r="Q55"/>
      <c r="R55"/>
    </row>
    <row r="56" spans="1:18" x14ac:dyDescent="0.25">
      <c r="A56" s="158"/>
      <c r="B56" s="162"/>
      <c r="C56" s="180">
        <f>D56*C55/C54</f>
        <v>78</v>
      </c>
      <c r="D56" s="181">
        <f>I13</f>
        <v>26</v>
      </c>
      <c r="E56" s="176">
        <f>D57*E55</f>
        <v>39</v>
      </c>
      <c r="F56" s="176">
        <f ca="1">F46/H6</f>
        <v>47.384999999999998</v>
      </c>
      <c r="G56" s="176">
        <f ca="1">G46/H6</f>
        <v>71.077500000000001</v>
      </c>
      <c r="H56" s="176">
        <f ca="1">H46/H7</f>
        <v>13.817466</v>
      </c>
      <c r="I56" s="178">
        <f ca="1">I46/H7</f>
        <v>20.726199000000001</v>
      </c>
      <c r="K56" s="182"/>
      <c r="Q56"/>
      <c r="R56"/>
    </row>
    <row r="57" spans="1:18" x14ac:dyDescent="0.25">
      <c r="A57" s="158"/>
      <c r="B57" s="162"/>
      <c r="C57" s="183"/>
      <c r="D57" s="184">
        <f>D56*D75</f>
        <v>32.5</v>
      </c>
      <c r="E57" s="176">
        <f>E56/E75</f>
        <v>31.2</v>
      </c>
      <c r="F57" s="176">
        <f ca="1">F56/F75</f>
        <v>37.908000000000001</v>
      </c>
      <c r="G57" s="176">
        <f ca="1">G56/G75</f>
        <v>56.862000000000002</v>
      </c>
      <c r="H57" s="176">
        <f ca="1">H56/H75</f>
        <v>11.0539728</v>
      </c>
      <c r="I57" s="178">
        <f ca="1">I56/I75</f>
        <v>16.580959200000002</v>
      </c>
      <c r="K57" s="22"/>
      <c r="Q57"/>
      <c r="R57"/>
    </row>
    <row r="58" spans="1:18" x14ac:dyDescent="0.25">
      <c r="A58" s="158"/>
      <c r="B58" s="185"/>
      <c r="C58" s="163"/>
      <c r="D58" s="163"/>
      <c r="E58" s="163"/>
      <c r="F58" s="163"/>
      <c r="G58" s="163"/>
      <c r="H58" s="163"/>
      <c r="I58" s="164"/>
      <c r="Q58"/>
      <c r="R58"/>
    </row>
    <row r="59" spans="1:18" ht="15.75" thickBot="1" x14ac:dyDescent="0.3">
      <c r="A59" s="158"/>
      <c r="B59" s="186"/>
      <c r="C59" s="187"/>
      <c r="D59" s="188">
        <f>ROUNDUP(D56/3,0)</f>
        <v>9</v>
      </c>
      <c r="E59" s="188">
        <f>ROUNDUP(E56/3,0)</f>
        <v>13</v>
      </c>
      <c r="F59" s="188">
        <f ca="1">ROUNDUP(F56/3,0)</f>
        <v>16</v>
      </c>
      <c r="G59" s="188">
        <f ca="1">ROUNDUP(G56/3,0)</f>
        <v>24</v>
      </c>
      <c r="H59" s="188">
        <f ca="1">ROUNDUP(H56/3,0)</f>
        <v>5</v>
      </c>
      <c r="I59" s="189">
        <f ca="1">ROUNDUP(I56/3,0)</f>
        <v>7</v>
      </c>
      <c r="Q59"/>
      <c r="R59"/>
    </row>
    <row r="60" spans="1:18" ht="16.5" thickBot="1" x14ac:dyDescent="0.3">
      <c r="A60" s="190"/>
      <c r="B60" s="191"/>
      <c r="C60" s="192"/>
      <c r="D60" s="192"/>
      <c r="E60" s="192"/>
      <c r="F60" s="192"/>
      <c r="G60" s="192"/>
      <c r="H60" s="192"/>
      <c r="I60" s="193"/>
      <c r="K60" s="194"/>
      <c r="Q60"/>
      <c r="R60"/>
    </row>
    <row r="61" spans="1:18" x14ac:dyDescent="0.25">
      <c r="A61" s="158"/>
      <c r="B61" s="195"/>
      <c r="C61" s="196"/>
      <c r="D61" s="196"/>
      <c r="E61" s="196"/>
      <c r="F61" s="196"/>
      <c r="G61" s="196"/>
      <c r="H61" s="196"/>
      <c r="I61" s="197"/>
      <c r="K61" s="198"/>
      <c r="Q61"/>
      <c r="R61"/>
    </row>
    <row r="62" spans="1:18" x14ac:dyDescent="0.25">
      <c r="A62" s="158"/>
      <c r="B62" s="199"/>
      <c r="C62" s="200"/>
      <c r="D62" s="201">
        <f>D46/D$76</f>
        <v>2496</v>
      </c>
      <c r="E62" s="201">
        <f>E46/E$76</f>
        <v>195</v>
      </c>
      <c r="F62" s="201">
        <f t="shared" ref="F62:I63" ca="1" si="12">F46/F$76</f>
        <v>236.92499999999998</v>
      </c>
      <c r="G62" s="201">
        <f t="shared" ca="1" si="12"/>
        <v>6823.44</v>
      </c>
      <c r="H62" s="201">
        <f t="shared" ca="1" si="12"/>
        <v>215.89790625000001</v>
      </c>
      <c r="I62" s="202">
        <f t="shared" ca="1" si="12"/>
        <v>2826.2998636363636</v>
      </c>
      <c r="K62" s="41"/>
      <c r="Q62"/>
      <c r="R62"/>
    </row>
    <row r="63" spans="1:18" ht="15.75" thickBot="1" x14ac:dyDescent="0.3">
      <c r="A63" s="158"/>
      <c r="B63" s="203"/>
      <c r="C63" s="204"/>
      <c r="D63" s="205">
        <f>D47/D$76</f>
        <v>3120</v>
      </c>
      <c r="E63" s="205">
        <f>E47/E$76</f>
        <v>156</v>
      </c>
      <c r="F63" s="205">
        <f t="shared" ca="1" si="12"/>
        <v>189.54</v>
      </c>
      <c r="G63" s="205">
        <f t="shared" ca="1" si="12"/>
        <v>5458.7519999999995</v>
      </c>
      <c r="H63" s="205">
        <f t="shared" ca="1" si="12"/>
        <v>172.71832500000002</v>
      </c>
      <c r="I63" s="206">
        <f t="shared" ca="1" si="12"/>
        <v>2261.0398909090909</v>
      </c>
      <c r="K63" s="207"/>
      <c r="Q63"/>
      <c r="R63"/>
    </row>
    <row r="64" spans="1:18" x14ac:dyDescent="0.25">
      <c r="A64" s="43"/>
      <c r="K64" s="198"/>
      <c r="Q64"/>
      <c r="R64"/>
    </row>
    <row r="65" spans="1:18" ht="15.75" thickBot="1" x14ac:dyDescent="0.3">
      <c r="A65" s="43"/>
      <c r="Q65"/>
      <c r="R65"/>
    </row>
    <row r="66" spans="1:18" x14ac:dyDescent="0.25">
      <c r="C66" s="208"/>
      <c r="D66" s="209"/>
      <c r="E66" s="210"/>
      <c r="Q66"/>
      <c r="R66"/>
    </row>
    <row r="67" spans="1:18" ht="15.75" thickBot="1" x14ac:dyDescent="0.3">
      <c r="C67" s="211"/>
      <c r="D67" s="212"/>
      <c r="E67" s="213"/>
      <c r="Q67"/>
      <c r="R67"/>
    </row>
    <row r="68" spans="1:18" x14ac:dyDescent="0.25">
      <c r="Q68"/>
      <c r="R68"/>
    </row>
    <row r="69" spans="1:18" ht="15.75" thickBot="1" x14ac:dyDescent="0.3">
      <c r="Q69"/>
      <c r="R69"/>
    </row>
    <row r="70" spans="1:18" ht="45" customHeight="1" x14ac:dyDescent="0.25">
      <c r="A70" s="214"/>
      <c r="B70" s="215"/>
      <c r="C70" s="216"/>
      <c r="D70" s="216"/>
      <c r="E70" s="216"/>
      <c r="F70" s="216"/>
      <c r="G70" s="216"/>
      <c r="H70" s="216"/>
      <c r="I70" s="217"/>
      <c r="J70" s="218"/>
      <c r="Q70"/>
      <c r="R70"/>
    </row>
    <row r="71" spans="1:18" x14ac:dyDescent="0.25">
      <c r="A71" s="219"/>
      <c r="B71" s="220"/>
      <c r="C71" s="220">
        <v>20</v>
      </c>
      <c r="D71" s="220">
        <v>43</v>
      </c>
      <c r="E71" s="220">
        <v>18</v>
      </c>
      <c r="F71" s="220">
        <v>24</v>
      </c>
      <c r="G71" s="220">
        <v>18</v>
      </c>
      <c r="H71" s="220">
        <v>18</v>
      </c>
      <c r="I71" s="221">
        <v>38</v>
      </c>
      <c r="J71" s="222"/>
    </row>
    <row r="72" spans="1:18" x14ac:dyDescent="0.25">
      <c r="A72" s="223"/>
      <c r="B72" s="220"/>
      <c r="C72" s="220"/>
      <c r="D72" s="220">
        <v>51</v>
      </c>
      <c r="E72" s="220">
        <v>18</v>
      </c>
      <c r="F72" s="220">
        <v>24</v>
      </c>
      <c r="G72" s="220">
        <v>18</v>
      </c>
      <c r="H72" s="220">
        <v>18</v>
      </c>
      <c r="I72" s="221">
        <v>18</v>
      </c>
      <c r="J72" s="222"/>
    </row>
    <row r="73" spans="1:18" ht="16.5" customHeight="1" x14ac:dyDescent="0.25">
      <c r="A73" s="224"/>
      <c r="B73" s="220"/>
      <c r="C73" s="220"/>
      <c r="D73" s="225">
        <v>300</v>
      </c>
      <c r="E73" s="225">
        <v>375</v>
      </c>
      <c r="F73" s="225">
        <v>375</v>
      </c>
      <c r="G73" s="225">
        <v>375</v>
      </c>
      <c r="H73" s="225">
        <v>375</v>
      </c>
      <c r="I73" s="226">
        <v>375</v>
      </c>
      <c r="J73" s="222"/>
    </row>
    <row r="74" spans="1:18" x14ac:dyDescent="0.25">
      <c r="A74" s="227"/>
      <c r="B74" s="220"/>
      <c r="C74" s="220"/>
      <c r="D74" s="225">
        <v>375</v>
      </c>
      <c r="E74" s="225">
        <v>300</v>
      </c>
      <c r="F74" s="225">
        <v>300</v>
      </c>
      <c r="G74" s="225">
        <v>300</v>
      </c>
      <c r="H74" s="225">
        <v>300</v>
      </c>
      <c r="I74" s="226">
        <v>300</v>
      </c>
      <c r="J74" s="222"/>
    </row>
    <row r="75" spans="1:18" ht="15.75" customHeight="1" thickBot="1" x14ac:dyDescent="0.3">
      <c r="A75" s="228"/>
      <c r="B75" s="229"/>
      <c r="C75" s="229"/>
      <c r="D75" s="229">
        <f>D74/D73</f>
        <v>1.25</v>
      </c>
      <c r="E75" s="229">
        <f>E73/E74</f>
        <v>1.25</v>
      </c>
      <c r="F75" s="229">
        <f>F73/F74</f>
        <v>1.25</v>
      </c>
      <c r="G75" s="229">
        <f>G73/G74</f>
        <v>1.25</v>
      </c>
      <c r="H75" s="229">
        <f>H73/H74</f>
        <v>1.25</v>
      </c>
      <c r="I75" s="230">
        <f>I73/I74</f>
        <v>1.25</v>
      </c>
      <c r="J75" s="231"/>
    </row>
    <row r="76" spans="1:18" ht="16.5" customHeight="1" x14ac:dyDescent="0.25">
      <c r="A76" s="232"/>
      <c r="B76" s="233"/>
      <c r="C76" s="234"/>
      <c r="D76" s="235">
        <v>5</v>
      </c>
      <c r="E76" s="235">
        <v>96</v>
      </c>
      <c r="F76" s="235">
        <v>96</v>
      </c>
      <c r="G76" s="235">
        <v>5</v>
      </c>
      <c r="H76" s="235">
        <v>192</v>
      </c>
      <c r="I76" s="236">
        <v>22</v>
      </c>
      <c r="J76" s="218"/>
      <c r="K76" s="157"/>
    </row>
    <row r="77" spans="1:18" x14ac:dyDescent="0.25">
      <c r="A77" s="237"/>
      <c r="B77" s="238"/>
      <c r="C77" s="239"/>
      <c r="D77" s="240">
        <f>IF(D$78=D$73,D$56/D$78*1000, 20*MAX($D$59:$E$59))</f>
        <v>260</v>
      </c>
      <c r="E77" s="240">
        <f>IF(E$78=E$73,E$56/E$78*1000, 20*MAX($D$59:$E$59))</f>
        <v>260</v>
      </c>
      <c r="F77" s="240">
        <f ca="1">IF(F$78=F$73,F$56/F$78*1000, 20*MAX($F$59:$G$59))</f>
        <v>480</v>
      </c>
      <c r="G77" s="240">
        <f ca="1">IF(G$78=G$73,G$56/G$78*1000, 20*MAX($F$59:$G$59))</f>
        <v>480</v>
      </c>
      <c r="H77" s="240">
        <f ca="1">IF(H$78=H$73,H$56/H$78*1000, 20*MAX($H$59:$I$59))</f>
        <v>140</v>
      </c>
      <c r="I77" s="241">
        <f ca="1">IF(I$78=I$73,I$56/I$78*1000, 20*MAX($H$59:$I$59))</f>
        <v>140</v>
      </c>
      <c r="J77" s="222"/>
      <c r="K77" s="157"/>
    </row>
    <row r="78" spans="1:18" ht="15" customHeight="1" x14ac:dyDescent="0.25">
      <c r="A78" s="242"/>
      <c r="B78" s="220"/>
      <c r="C78" s="243"/>
      <c r="D78" s="244">
        <f>IF(D56*1000/(20*MAX($D$59:$E$59))&lt;D73, D56*1000/(20*MAX($D$59:$E$59)), D73)</f>
        <v>100</v>
      </c>
      <c r="E78" s="244">
        <f>IF(E56*1000/(20*MAX($D$59:$E$59))&lt;E73, E56*1000/(20*MAX($D$59:$E$59)), E73)</f>
        <v>150</v>
      </c>
      <c r="F78" s="244">
        <f ca="1">IF(F56*1000/(20*MAX($F$59:$G$59))&lt;F73, F56*1000/(20*MAX($F$59:$G$59)), F73)</f>
        <v>98.71875</v>
      </c>
      <c r="G78" s="244">
        <f ca="1">IF(G56*1000/(20*MAX($F$59:$G$59))&lt;G73, G56*1000/(20*MAX($F$59:$G$59)), G73)</f>
        <v>148.078125</v>
      </c>
      <c r="H78" s="244">
        <f ca="1">IF(H56*1000/(20*MAX($H$59:$I$59))&lt;H73, H56*1000/(20*MAX($H$59:$I$59)), H73)</f>
        <v>98.696185714285718</v>
      </c>
      <c r="I78" s="245">
        <f ca="1">IF(I56*1000/(20*MAX($H$59:$I$59))&lt;I73, I56*1000/(20*MAX($H$59:$I$59)), I73)</f>
        <v>148.04427857142858</v>
      </c>
      <c r="J78" s="222"/>
      <c r="K78" s="157"/>
    </row>
    <row r="79" spans="1:18" ht="15.75" thickBot="1" x14ac:dyDescent="0.3">
      <c r="A79" s="246"/>
      <c r="B79" s="229"/>
      <c r="C79" s="247"/>
      <c r="D79" s="248">
        <f>IF(D57*1000/(20*MAX($D$59:$E$59))&lt;D74, D57*1000/(20*MAX($D$59:$E$59)), D74)</f>
        <v>125</v>
      </c>
      <c r="E79" s="248">
        <f>IF(E57*1000/(20*MAX($D$59:$E$59))&lt;E74, E57*1000/(20*MAX($D$59:$E$59)), E74)</f>
        <v>120</v>
      </c>
      <c r="F79" s="248">
        <f ca="1">IF(F57*1000/(20*MAX($F$59:$G$59))&lt;F74, F57*1000/(20*MAX($F$59:$G$59)), F74)</f>
        <v>78.974999999999994</v>
      </c>
      <c r="G79" s="248">
        <f ca="1">IF(G57*1000/(20*MAX($F$59:$G$59))&lt;G74, G57*1000/(20*MAX($F$59:$G$59)), G74)</f>
        <v>118.46250000000001</v>
      </c>
      <c r="H79" s="248">
        <f ca="1">IF(H57*1000/(20*MAX($H$59:$I$59))&lt;H74, H57*1000/(20*MAX($H$59:$I$59)), H74)</f>
        <v>78.956948571428569</v>
      </c>
      <c r="I79" s="249">
        <f ca="1">IF(I57*1000/(20*MAX($H$59:$I$59))&lt;I74, I57*1000/(20*MAX($H$59:$I$59)), I74)</f>
        <v>118.43542285714287</v>
      </c>
      <c r="J79" s="231"/>
      <c r="K79" s="157"/>
    </row>
    <row r="80" spans="1:18" ht="15" customHeight="1" x14ac:dyDescent="0.25">
      <c r="A80" s="250"/>
      <c r="B80" s="251"/>
      <c r="C80" s="252"/>
      <c r="D80" s="253"/>
      <c r="E80" s="253"/>
      <c r="F80" s="253"/>
      <c r="G80" s="253"/>
      <c r="H80" s="253"/>
      <c r="I80" s="254"/>
      <c r="K80" s="157"/>
    </row>
    <row r="81" spans="1:12" ht="15" customHeight="1" x14ac:dyDescent="0.25">
      <c r="A81" s="255"/>
      <c r="B81" s="256"/>
      <c r="C81" s="257"/>
      <c r="D81" s="258"/>
      <c r="E81" s="258"/>
      <c r="F81" s="258"/>
      <c r="G81" s="258"/>
      <c r="H81" s="258"/>
      <c r="I81" s="259"/>
    </row>
    <row r="82" spans="1:12" x14ac:dyDescent="0.25">
      <c r="A82" s="255"/>
      <c r="B82" s="260"/>
      <c r="C82" s="261"/>
      <c r="D82" s="258"/>
      <c r="E82" s="258"/>
      <c r="F82" s="258"/>
      <c r="G82" s="258"/>
      <c r="H82" s="258"/>
      <c r="I82" s="259"/>
      <c r="K82" s="157"/>
    </row>
    <row r="83" spans="1:12" ht="15" customHeight="1" x14ac:dyDescent="0.25">
      <c r="A83" s="255"/>
      <c r="B83" s="260"/>
      <c r="C83" s="261"/>
      <c r="D83" s="258"/>
      <c r="E83" s="258"/>
      <c r="F83" s="258"/>
      <c r="G83" s="258"/>
      <c r="H83" s="258"/>
      <c r="I83" s="259"/>
    </row>
    <row r="84" spans="1:12" ht="15.75" thickBot="1" x14ac:dyDescent="0.3">
      <c r="A84" s="262"/>
      <c r="B84" s="263"/>
      <c r="C84" s="264"/>
      <c r="D84" s="265"/>
      <c r="E84" s="265"/>
      <c r="F84" s="265"/>
      <c r="G84" s="265"/>
      <c r="H84" s="265"/>
      <c r="I84" s="266"/>
    </row>
    <row r="85" spans="1:12" x14ac:dyDescent="0.25">
      <c r="A85" s="43"/>
    </row>
    <row r="86" spans="1:12" x14ac:dyDescent="0.25">
      <c r="A86" s="43"/>
    </row>
    <row r="91" spans="1:12" x14ac:dyDescent="0.25">
      <c r="L91" s="58"/>
    </row>
  </sheetData>
  <mergeCells count="25">
    <mergeCell ref="A80:A84"/>
    <mergeCell ref="B80:C80"/>
    <mergeCell ref="B81:C81"/>
    <mergeCell ref="B82:C82"/>
    <mergeCell ref="B83:C83"/>
    <mergeCell ref="B84:C84"/>
    <mergeCell ref="J70:J75"/>
    <mergeCell ref="A71:A72"/>
    <mergeCell ref="A73:A74"/>
    <mergeCell ref="B76:C76"/>
    <mergeCell ref="J76:J79"/>
    <mergeCell ref="B77:C77"/>
    <mergeCell ref="A78:A79"/>
    <mergeCell ref="C66:D66"/>
    <mergeCell ref="E66:E67"/>
    <mergeCell ref="C67:D67"/>
    <mergeCell ref="B43:I43"/>
    <mergeCell ref="B44:I44"/>
    <mergeCell ref="B52:I52"/>
    <mergeCell ref="B59:C59"/>
    <mergeCell ref="B60:I60"/>
    <mergeCell ref="H11:I11"/>
    <mergeCell ref="A16:F16"/>
    <mergeCell ref="H16:K16"/>
    <mergeCell ref="L16:N16"/>
  </mergeCells>
  <conditionalFormatting sqref="C58">
    <cfRule type="expression" dxfId="23" priority="32">
      <formula>$C$58="YES"</formula>
    </cfRule>
  </conditionalFormatting>
  <conditionalFormatting sqref="D58">
    <cfRule type="expression" dxfId="22" priority="31">
      <formula>$D$58="YES"</formula>
    </cfRule>
  </conditionalFormatting>
  <conditionalFormatting sqref="E58">
    <cfRule type="expression" dxfId="21" priority="30">
      <formula>$E$58="YES"</formula>
    </cfRule>
  </conditionalFormatting>
  <conditionalFormatting sqref="F58">
    <cfRule type="expression" dxfId="20" priority="29">
      <formula>$F$58="YES"</formula>
    </cfRule>
  </conditionalFormatting>
  <conditionalFormatting sqref="K57">
    <cfRule type="cellIs" dxfId="19" priority="28" operator="greaterThan">
      <formula>0</formula>
    </cfRule>
  </conditionalFormatting>
  <conditionalFormatting sqref="O18:O42">
    <cfRule type="expression" dxfId="18" priority="27" stopIfTrue="1">
      <formula>NOT(OR(COUNTIF(C18,"*NAP*")=1,COUNTIF(C18,"PrepCell")=1,COUNTIF(C18,"*Ultrafiltration*")=1))</formula>
    </cfRule>
  </conditionalFormatting>
  <conditionalFormatting sqref="I18:I42">
    <cfRule type="containsText" dxfId="17" priority="23" operator="containsText" text="NA">
      <formula>NOT(ISERROR(SEARCH("NA",I18)))</formula>
    </cfRule>
    <cfRule type="cellIs" dxfId="16" priority="24" operator="lessThanOrEqual">
      <formula>10</formula>
    </cfRule>
    <cfRule type="cellIs" dxfId="15" priority="25" operator="between">
      <formula>10</formula>
      <formula>20</formula>
    </cfRule>
    <cfRule type="cellIs" dxfId="14" priority="26" operator="greaterThanOrEqual">
      <formula>20</formula>
    </cfRule>
  </conditionalFormatting>
  <conditionalFormatting sqref="I18:I42 K18:K42 W18:W42 T18:U42">
    <cfRule type="expression" dxfId="13" priority="22" stopIfTrue="1">
      <formula>$F18="Pool"</formula>
    </cfRule>
  </conditionalFormatting>
  <conditionalFormatting sqref="L18:L42">
    <cfRule type="expression" dxfId="12" priority="20">
      <formula>C18="DEAE+TEAB"</formula>
    </cfRule>
    <cfRule type="expression" dxfId="11" priority="21">
      <formula>C18="DEAE+NaCl"</formula>
    </cfRule>
  </conditionalFormatting>
  <conditionalFormatting sqref="N18:N42">
    <cfRule type="expression" dxfId="10" priority="18">
      <formula>C18="DEAE+TEAB"</formula>
    </cfRule>
    <cfRule type="expression" dxfId="9" priority="19">
      <formula>C18="DEAE+NaCl"</formula>
    </cfRule>
  </conditionalFormatting>
  <conditionalFormatting sqref="P18:P42">
    <cfRule type="expression" dxfId="8" priority="17" stopIfTrue="1">
      <formula>NOT(OR(COUNTIF(C18,"*NAP*")=1,COUNTIF(C18,"PrepCell")=1,COUNTIF(C18,"*Ultrafiltration*")=1))</formula>
    </cfRule>
  </conditionalFormatting>
  <conditionalFormatting sqref="G58">
    <cfRule type="expression" dxfId="7" priority="16">
      <formula>$G$58="YES"</formula>
    </cfRule>
  </conditionalFormatting>
  <conditionalFormatting sqref="H58">
    <cfRule type="expression" dxfId="6" priority="15">
      <formula>$H$58="YES"</formula>
    </cfRule>
  </conditionalFormatting>
  <conditionalFormatting sqref="I58">
    <cfRule type="expression" dxfId="5" priority="14">
      <formula>$I$58="YES"</formula>
    </cfRule>
  </conditionalFormatting>
  <conditionalFormatting sqref="L91">
    <cfRule type="expression" dxfId="4" priority="4" stopIfTrue="1">
      <formula>#REF!="YES"</formula>
    </cfRule>
    <cfRule type="expression" dxfId="3" priority="5">
      <formula>#REF!="NO"</formula>
    </cfRule>
  </conditionalFormatting>
  <conditionalFormatting sqref="D77:I77">
    <cfRule type="expression" dxfId="2" priority="3">
      <formula>D78=D73</formula>
    </cfRule>
  </conditionalFormatting>
  <conditionalFormatting sqref="D78:I78">
    <cfRule type="expression" dxfId="1" priority="2">
      <formula>D78=D73</formula>
    </cfRule>
  </conditionalFormatting>
  <conditionalFormatting sqref="D79:I79">
    <cfRule type="expression" dxfId="0" priority="1">
      <formula>D78=D73</formula>
    </cfRule>
  </conditionalFormatting>
  <dataValidations count="5">
    <dataValidation type="list" allowBlank="1" showInputMessage="1" showErrorMessage="1" sqref="G15">
      <formula1>Precipitation</formula1>
    </dataValidation>
    <dataValidation type="list" allowBlank="1" showInputMessage="1" showErrorMessage="1" sqref="E18:E42">
      <formula1>INDIRECT(C18)</formula1>
    </dataValidation>
    <dataValidation type="list" allowBlank="1" showInputMessage="1" showErrorMessage="1" sqref="B18:B42">
      <formula1>Description</formula1>
    </dataValidation>
    <dataValidation type="list" allowBlank="1" showInputMessage="1" showErrorMessage="1" sqref="C18:C42">
      <formula1>INDIRECT(B18)</formula1>
    </dataValidation>
    <dataValidation type="list" allowBlank="1" showInputMessage="1" showErrorMessage="1" sqref="I5:J8">
      <formula1>#REF!</formula1>
    </dataValidation>
  </dataValidations>
  <pageMargins left="0.7" right="0.7" top="0.75" bottom="0.75" header="0.3" footer="0.3"/>
  <pageSetup paperSize="8" scale="51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[1]lists!#REF!</xm:f>
          </x14:formula1>
          <xm:sqref>F18:F42</xm:sqref>
        </x14:dataValidation>
        <x14:dataValidation type="list" allowBlank="1" showInputMessage="1" showErrorMessage="1">
          <x14:formula1>
            <xm:f>[1]lists!#REF!</xm:f>
          </x14:formula1>
          <xm:sqref>D18:D42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Calculus</vt:lpstr>
    </vt:vector>
  </TitlesOfParts>
  <Company>Novartis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Freslon, Christophe</dc:creator>
  <cp:lastModifiedBy>Freslon, Christophe</cp:lastModifiedBy>
  <dcterms:created xsi:type="dcterms:W3CDTF">2017-02-28T08:59:33Z</dcterms:created>
  <dcterms:modified xsi:type="dcterms:W3CDTF">2017-02-28T09:58:39Z</dcterms:modified>
</cp:coreProperties>
</file>