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amaal\Desktop\"/>
    </mc:Choice>
  </mc:AlternateContent>
  <bookViews>
    <workbookView xWindow="0" yWindow="0" windowWidth="20490" windowHeight="7755"/>
  </bookViews>
  <sheets>
    <sheet name="Points mesurés" sheetId="1" r:id="rId1"/>
    <sheet name="Clacul intermédiaire " sheetId="2" r:id="rId2"/>
    <sheet name="Validation des résultats" sheetId="5" r:id="rId3"/>
    <sheet name="Feuille de résultats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2" l="1"/>
  <c r="H17" i="2"/>
  <c r="E18" i="2"/>
  <c r="E19" i="2"/>
  <c r="H19" i="2"/>
  <c r="E20" i="2"/>
  <c r="H20" i="2"/>
  <c r="E21" i="2"/>
  <c r="H21" i="2"/>
  <c r="E22" i="2"/>
  <c r="E23" i="2"/>
  <c r="H23" i="2"/>
  <c r="E24" i="2"/>
  <c r="H24" i="2"/>
  <c r="E25" i="2"/>
  <c r="H25" i="2"/>
  <c r="E26" i="2"/>
  <c r="E27" i="2"/>
  <c r="H27" i="2"/>
  <c r="E28" i="2"/>
  <c r="H28" i="2"/>
  <c r="E29" i="2"/>
  <c r="H29" i="2"/>
  <c r="E30" i="2"/>
  <c r="E31" i="2"/>
  <c r="H31" i="2" s="1"/>
  <c r="E32" i="2"/>
  <c r="H32" i="2"/>
  <c r="E16" i="2"/>
  <c r="H16" i="2"/>
  <c r="E66" i="2"/>
  <c r="H66" i="2"/>
  <c r="I66" i="2"/>
  <c r="W66" i="2"/>
  <c r="E67" i="2"/>
  <c r="H67" i="2" s="1"/>
  <c r="I67" i="2"/>
  <c r="W67" i="2"/>
  <c r="E68" i="2"/>
  <c r="I68" i="2"/>
  <c r="E69" i="2"/>
  <c r="H69" i="2"/>
  <c r="I69" i="2"/>
  <c r="W69" i="2"/>
  <c r="E70" i="2"/>
  <c r="H70" i="2"/>
  <c r="I70" i="2"/>
  <c r="W70" i="2"/>
  <c r="E71" i="2"/>
  <c r="H71" i="2" s="1"/>
  <c r="I71" i="2"/>
  <c r="W71" i="2"/>
  <c r="E72" i="2"/>
  <c r="I72" i="2"/>
  <c r="E73" i="2"/>
  <c r="H73" i="2"/>
  <c r="I73" i="2"/>
  <c r="W73" i="2"/>
  <c r="E74" i="2"/>
  <c r="H74" i="2" s="1"/>
  <c r="I74" i="2"/>
  <c r="W74" i="2"/>
  <c r="E75" i="2"/>
  <c r="H75" i="2" s="1"/>
  <c r="I75" i="2"/>
  <c r="W75" i="2"/>
  <c r="E76" i="2"/>
  <c r="I76" i="2"/>
  <c r="E77" i="2"/>
  <c r="H77" i="2"/>
  <c r="I77" i="2"/>
  <c r="W77" i="2"/>
  <c r="E78" i="2"/>
  <c r="H78" i="2"/>
  <c r="I78" i="2"/>
  <c r="W78" i="2"/>
  <c r="E79" i="2"/>
  <c r="H79" i="2" s="1"/>
  <c r="I79" i="2"/>
  <c r="W79" i="2"/>
  <c r="E80" i="2"/>
  <c r="I80" i="2"/>
  <c r="E81" i="2"/>
  <c r="H81" i="2"/>
  <c r="I81" i="2"/>
  <c r="W81" i="2"/>
  <c r="E82" i="2"/>
  <c r="H82" i="2"/>
  <c r="I82" i="2"/>
  <c r="W82" i="2"/>
  <c r="G19" i="5"/>
  <c r="G9" i="5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6" i="1"/>
  <c r="I7" i="1"/>
  <c r="I8" i="1"/>
  <c r="I9" i="1"/>
  <c r="I10" i="1"/>
  <c r="I11" i="1"/>
  <c r="I12" i="1"/>
  <c r="I13" i="1"/>
  <c r="I14" i="1"/>
  <c r="I15" i="1"/>
  <c r="I16" i="1"/>
  <c r="I17" i="1"/>
  <c r="I18" i="1"/>
  <c r="I6" i="1"/>
  <c r="G8" i="5"/>
  <c r="J3" i="5" s="1"/>
  <c r="E59" i="2"/>
  <c r="E60" i="2"/>
  <c r="E61" i="2"/>
  <c r="E62" i="2"/>
  <c r="E63" i="2"/>
  <c r="E64" i="2"/>
  <c r="E65" i="2"/>
  <c r="E58" i="2"/>
  <c r="E8" i="2"/>
  <c r="E9" i="2"/>
  <c r="E10" i="2"/>
  <c r="E11" i="2"/>
  <c r="E12" i="2"/>
  <c r="E13" i="2"/>
  <c r="E14" i="2"/>
  <c r="E15" i="2"/>
  <c r="M25" i="5"/>
  <c r="G25" i="5"/>
  <c r="M19" i="5"/>
  <c r="M13" i="5"/>
  <c r="M3" i="5"/>
  <c r="J15" i="5"/>
  <c r="J19" i="5" s="1"/>
  <c r="J13" i="5"/>
  <c r="M9" i="5"/>
  <c r="J5" i="5"/>
  <c r="J9" i="5" s="1"/>
  <c r="I58" i="2"/>
  <c r="I59" i="2"/>
  <c r="I60" i="2"/>
  <c r="I61" i="2"/>
  <c r="I62" i="2"/>
  <c r="I63" i="2"/>
  <c r="I64" i="2"/>
  <c r="I65" i="2"/>
  <c r="E83" i="2"/>
  <c r="H65" i="2"/>
  <c r="H64" i="2"/>
  <c r="H63" i="2"/>
  <c r="H62" i="2"/>
  <c r="H61" i="2"/>
  <c r="H60" i="2"/>
  <c r="H59" i="2"/>
  <c r="H58" i="2"/>
  <c r="H26" i="2" l="1"/>
  <c r="H22" i="2"/>
  <c r="H18" i="2"/>
  <c r="H30" i="2"/>
  <c r="H80" i="2"/>
  <c r="H76" i="2"/>
  <c r="H72" i="2"/>
  <c r="H68" i="2"/>
  <c r="H83" i="2" s="1"/>
  <c r="W80" i="2"/>
  <c r="W76" i="2"/>
  <c r="W72" i="2"/>
  <c r="W68" i="2"/>
  <c r="P15" i="5"/>
  <c r="P5" i="5"/>
  <c r="W65" i="2"/>
  <c r="E33" i="2"/>
  <c r="H15" i="2"/>
  <c r="H14" i="2"/>
  <c r="H13" i="2"/>
  <c r="H12" i="2"/>
  <c r="H11" i="2"/>
  <c r="H10" i="2"/>
  <c r="H9" i="2"/>
  <c r="H8" i="2"/>
  <c r="E6" i="1"/>
  <c r="D6" i="1"/>
  <c r="C3" i="1"/>
  <c r="C7" i="1" s="1"/>
  <c r="H6" i="1" l="1"/>
  <c r="D8" i="2" s="1"/>
  <c r="G8" i="2" s="1"/>
  <c r="D58" i="2"/>
  <c r="G6" i="1"/>
  <c r="C8" i="2" s="1"/>
  <c r="F8" i="2" s="1"/>
  <c r="I8" i="2" s="1"/>
  <c r="W8" i="2" s="1"/>
  <c r="C58" i="2"/>
  <c r="W64" i="2"/>
  <c r="W62" i="2"/>
  <c r="W61" i="2"/>
  <c r="W63" i="2"/>
  <c r="W59" i="2"/>
  <c r="W60" i="2"/>
  <c r="H33" i="2"/>
  <c r="E7" i="1"/>
  <c r="C8" i="1"/>
  <c r="D7" i="1"/>
  <c r="H7" i="1" l="1"/>
  <c r="D9" i="2" s="1"/>
  <c r="G9" i="2" s="1"/>
  <c r="D59" i="2"/>
  <c r="G7" i="1"/>
  <c r="C59" i="2"/>
  <c r="F59" i="2" s="1"/>
  <c r="J59" i="2" s="1"/>
  <c r="Z59" i="2" s="1"/>
  <c r="G58" i="2"/>
  <c r="F58" i="2"/>
  <c r="I83" i="2"/>
  <c r="W58" i="2"/>
  <c r="K58" i="2"/>
  <c r="J58" i="2"/>
  <c r="C9" i="2"/>
  <c r="F9" i="2" s="1"/>
  <c r="J8" i="2"/>
  <c r="L8" i="2" s="1"/>
  <c r="K8" i="2"/>
  <c r="N8" i="2" s="1"/>
  <c r="E8" i="1"/>
  <c r="C9" i="1"/>
  <c r="D8" i="1"/>
  <c r="L59" i="2" l="1"/>
  <c r="P59" i="2"/>
  <c r="Y59" i="2" s="1"/>
  <c r="G59" i="2"/>
  <c r="K59" i="2"/>
  <c r="V59" i="2" s="1"/>
  <c r="G8" i="1"/>
  <c r="C10" i="2" s="1"/>
  <c r="C60" i="2"/>
  <c r="H8" i="1"/>
  <c r="D10" i="2" s="1"/>
  <c r="D60" i="2"/>
  <c r="I9" i="2"/>
  <c r="K9" i="2" s="1"/>
  <c r="N9" i="2" s="1"/>
  <c r="N58" i="2"/>
  <c r="M58" i="2"/>
  <c r="Z58" i="2"/>
  <c r="AA58" i="2"/>
  <c r="V58" i="2"/>
  <c r="L58" i="2"/>
  <c r="P58" i="2"/>
  <c r="S58" i="2"/>
  <c r="Z8" i="2"/>
  <c r="G10" i="2"/>
  <c r="F10" i="2"/>
  <c r="AA8" i="2"/>
  <c r="S8" i="2"/>
  <c r="M8" i="2"/>
  <c r="O8" i="2" s="1"/>
  <c r="P8" i="2"/>
  <c r="Y8" i="2" s="1"/>
  <c r="V8" i="2"/>
  <c r="R8" i="2"/>
  <c r="X8" i="2"/>
  <c r="Q8" i="2"/>
  <c r="T8" i="2"/>
  <c r="C10" i="1"/>
  <c r="D9" i="1"/>
  <c r="E9" i="1"/>
  <c r="W9" i="2" l="1"/>
  <c r="AA9" i="2" s="1"/>
  <c r="J9" i="2"/>
  <c r="P9" i="2" s="1"/>
  <c r="Y9" i="2" s="1"/>
  <c r="S59" i="2"/>
  <c r="F60" i="2"/>
  <c r="H9" i="1"/>
  <c r="D11" i="2" s="1"/>
  <c r="G11" i="2" s="1"/>
  <c r="D61" i="2"/>
  <c r="G60" i="2"/>
  <c r="K60" i="2"/>
  <c r="N59" i="2"/>
  <c r="M59" i="2"/>
  <c r="AA59" i="2"/>
  <c r="G9" i="1"/>
  <c r="C11" i="2" s="1"/>
  <c r="F11" i="2" s="1"/>
  <c r="C61" i="2"/>
  <c r="I10" i="2"/>
  <c r="J10" i="2" s="1"/>
  <c r="L10" i="2" s="1"/>
  <c r="Q59" i="2"/>
  <c r="T59" i="2"/>
  <c r="Q58" i="2"/>
  <c r="T58" i="2"/>
  <c r="R58" i="2"/>
  <c r="X58" i="2"/>
  <c r="Y58" i="2"/>
  <c r="O58" i="2"/>
  <c r="U58" i="2"/>
  <c r="Z9" i="2"/>
  <c r="M9" i="2"/>
  <c r="O9" i="2" s="1"/>
  <c r="L9" i="2"/>
  <c r="Q9" i="2" s="1"/>
  <c r="U8" i="2"/>
  <c r="X9" i="2"/>
  <c r="E10" i="1"/>
  <c r="C11" i="1"/>
  <c r="D10" i="1"/>
  <c r="R9" i="2" l="1"/>
  <c r="V9" i="2"/>
  <c r="S9" i="2"/>
  <c r="W10" i="2"/>
  <c r="Z10" i="2" s="1"/>
  <c r="K10" i="2"/>
  <c r="M10" i="2" s="1"/>
  <c r="U10" i="2" s="1"/>
  <c r="U9" i="2"/>
  <c r="AA60" i="2"/>
  <c r="N60" i="2"/>
  <c r="M60" i="2"/>
  <c r="G61" i="2"/>
  <c r="K61" i="2"/>
  <c r="J60" i="2"/>
  <c r="O59" i="2"/>
  <c r="U59" i="2"/>
  <c r="H10" i="1"/>
  <c r="D12" i="2" s="1"/>
  <c r="G12" i="2" s="1"/>
  <c r="D62" i="2"/>
  <c r="G10" i="1"/>
  <c r="C12" i="2" s="1"/>
  <c r="F12" i="2" s="1"/>
  <c r="C62" i="2"/>
  <c r="F61" i="2"/>
  <c r="J61" i="2"/>
  <c r="R59" i="2"/>
  <c r="X59" i="2"/>
  <c r="T9" i="2"/>
  <c r="N10" i="2"/>
  <c r="X10" i="2" s="1"/>
  <c r="S10" i="2"/>
  <c r="I11" i="2"/>
  <c r="W11" i="2" s="1"/>
  <c r="P10" i="2"/>
  <c r="Q10" i="2"/>
  <c r="T10" i="2"/>
  <c r="E11" i="1"/>
  <c r="C12" i="1"/>
  <c r="D11" i="1"/>
  <c r="AA10" i="2" l="1"/>
  <c r="Y10" i="2"/>
  <c r="O10" i="2"/>
  <c r="V10" i="2"/>
  <c r="K11" i="2"/>
  <c r="M11" i="2" s="1"/>
  <c r="U11" i="2" s="1"/>
  <c r="R10" i="2"/>
  <c r="G11" i="1"/>
  <c r="C13" i="2" s="1"/>
  <c r="F13" i="2" s="1"/>
  <c r="C63" i="2"/>
  <c r="N61" i="2"/>
  <c r="M61" i="2"/>
  <c r="AA61" i="2"/>
  <c r="L61" i="2"/>
  <c r="P61" i="2"/>
  <c r="Y61" i="2" s="1"/>
  <c r="S61" i="2"/>
  <c r="Z61" i="2"/>
  <c r="V61" i="2"/>
  <c r="F62" i="2"/>
  <c r="J62" i="2"/>
  <c r="R60" i="2"/>
  <c r="X60" i="2"/>
  <c r="H11" i="1"/>
  <c r="D13" i="2" s="1"/>
  <c r="G13" i="2" s="1"/>
  <c r="D63" i="2"/>
  <c r="L60" i="2"/>
  <c r="P60" i="2"/>
  <c r="Z60" i="2"/>
  <c r="V60" i="2"/>
  <c r="S60" i="2"/>
  <c r="J11" i="2"/>
  <c r="Z11" i="2" s="1"/>
  <c r="G62" i="2"/>
  <c r="K62" i="2"/>
  <c r="U60" i="2"/>
  <c r="O60" i="2"/>
  <c r="N11" i="2"/>
  <c r="I12" i="2"/>
  <c r="E12" i="1"/>
  <c r="C13" i="1"/>
  <c r="D12" i="1"/>
  <c r="AA11" i="2" l="1"/>
  <c r="O11" i="2"/>
  <c r="S11" i="2"/>
  <c r="L11" i="2"/>
  <c r="Q11" i="2" s="1"/>
  <c r="P11" i="2"/>
  <c r="Y11" i="2" s="1"/>
  <c r="R11" i="2"/>
  <c r="X11" i="2"/>
  <c r="V11" i="2"/>
  <c r="Y60" i="2"/>
  <c r="T60" i="2"/>
  <c r="Q60" i="2"/>
  <c r="Q61" i="2"/>
  <c r="T61" i="2"/>
  <c r="F63" i="2"/>
  <c r="J63" i="2"/>
  <c r="G12" i="1"/>
  <c r="C14" i="2" s="1"/>
  <c r="F14" i="2" s="1"/>
  <c r="C64" i="2"/>
  <c r="R61" i="2"/>
  <c r="X61" i="2"/>
  <c r="H12" i="1"/>
  <c r="D14" i="2" s="1"/>
  <c r="G14" i="2" s="1"/>
  <c r="D64" i="2"/>
  <c r="G63" i="2"/>
  <c r="K63" i="2"/>
  <c r="M62" i="2"/>
  <c r="AA62" i="2"/>
  <c r="N62" i="2"/>
  <c r="Z62" i="2"/>
  <c r="L62" i="2"/>
  <c r="S62" i="2"/>
  <c r="P62" i="2"/>
  <c r="Y62" i="2" s="1"/>
  <c r="V62" i="2"/>
  <c r="O61" i="2"/>
  <c r="U61" i="2"/>
  <c r="J12" i="2"/>
  <c r="P12" i="2" s="1"/>
  <c r="W12" i="2"/>
  <c r="K12" i="2"/>
  <c r="I13" i="2"/>
  <c r="W13" i="2" s="1"/>
  <c r="C14" i="1"/>
  <c r="D13" i="1"/>
  <c r="C65" i="2" s="1"/>
  <c r="E13" i="1"/>
  <c r="T11" i="2" l="1"/>
  <c r="Q62" i="2"/>
  <c r="T62" i="2"/>
  <c r="F65" i="2"/>
  <c r="J65" i="2"/>
  <c r="H13" i="1"/>
  <c r="D15" i="2" s="1"/>
  <c r="D65" i="2"/>
  <c r="U62" i="2"/>
  <c r="O62" i="2"/>
  <c r="G64" i="2"/>
  <c r="K64" i="2"/>
  <c r="V63" i="2"/>
  <c r="S63" i="2"/>
  <c r="P63" i="2"/>
  <c r="Y63" i="2" s="1"/>
  <c r="Z63" i="2"/>
  <c r="L63" i="2"/>
  <c r="R62" i="2"/>
  <c r="X62" i="2"/>
  <c r="Z12" i="2"/>
  <c r="Y12" i="2"/>
  <c r="N63" i="2"/>
  <c r="AA63" i="2"/>
  <c r="M63" i="2"/>
  <c r="F64" i="2"/>
  <c r="J64" i="2"/>
  <c r="V12" i="2"/>
  <c r="L12" i="2"/>
  <c r="AA12" i="2"/>
  <c r="G13" i="1"/>
  <c r="C15" i="2" s="1"/>
  <c r="F15" i="2" s="1"/>
  <c r="M12" i="2"/>
  <c r="S12" i="2"/>
  <c r="N12" i="2"/>
  <c r="I14" i="2"/>
  <c r="W14" i="2" s="1"/>
  <c r="G15" i="2"/>
  <c r="K13" i="2"/>
  <c r="J13" i="2"/>
  <c r="E14" i="1"/>
  <c r="D66" i="2" s="1"/>
  <c r="C15" i="1"/>
  <c r="D14" i="1"/>
  <c r="C66" i="2" s="1"/>
  <c r="J66" i="2" l="1"/>
  <c r="F66" i="2"/>
  <c r="G66" i="2"/>
  <c r="K66" i="2"/>
  <c r="Q63" i="2"/>
  <c r="T63" i="2"/>
  <c r="G14" i="1"/>
  <c r="C16" i="2" s="1"/>
  <c r="F16" i="2" s="1"/>
  <c r="R63" i="2"/>
  <c r="X63" i="2"/>
  <c r="G65" i="2"/>
  <c r="K65" i="2"/>
  <c r="V65" i="2" s="1"/>
  <c r="Z65" i="2"/>
  <c r="P65" i="2"/>
  <c r="Y65" i="2" s="1"/>
  <c r="L65" i="2"/>
  <c r="U63" i="2"/>
  <c r="O63" i="2"/>
  <c r="V64" i="2"/>
  <c r="Z64" i="2"/>
  <c r="L64" i="2"/>
  <c r="S64" i="2"/>
  <c r="P64" i="2"/>
  <c r="Y64" i="2" s="1"/>
  <c r="M64" i="2"/>
  <c r="AA64" i="2"/>
  <c r="N64" i="2"/>
  <c r="Q12" i="2"/>
  <c r="T12" i="2"/>
  <c r="I15" i="2"/>
  <c r="W15" i="2" s="1"/>
  <c r="H14" i="1"/>
  <c r="D16" i="2" s="1"/>
  <c r="X12" i="2"/>
  <c r="R12" i="2"/>
  <c r="U12" i="2"/>
  <c r="O12" i="2"/>
  <c r="K14" i="2"/>
  <c r="N14" i="2" s="1"/>
  <c r="J14" i="2"/>
  <c r="Z14" i="2" s="1"/>
  <c r="Z13" i="2"/>
  <c r="AA13" i="2"/>
  <c r="N13" i="2"/>
  <c r="M13" i="2"/>
  <c r="V13" i="2"/>
  <c r="L13" i="2"/>
  <c r="P13" i="2"/>
  <c r="S13" i="2"/>
  <c r="E15" i="1"/>
  <c r="D67" i="2" s="1"/>
  <c r="C16" i="1"/>
  <c r="D15" i="1"/>
  <c r="C67" i="2" s="1"/>
  <c r="G16" i="2" l="1"/>
  <c r="I16" i="2" s="1"/>
  <c r="J67" i="2"/>
  <c r="F67" i="2"/>
  <c r="M66" i="2"/>
  <c r="AA66" i="2"/>
  <c r="N66" i="2"/>
  <c r="G67" i="2"/>
  <c r="K67" i="2"/>
  <c r="L66" i="2"/>
  <c r="S66" i="2"/>
  <c r="V66" i="2"/>
  <c r="P66" i="2"/>
  <c r="Y66" i="2" s="1"/>
  <c r="Z66" i="2"/>
  <c r="S65" i="2"/>
  <c r="P14" i="2"/>
  <c r="Y14" i="2" s="1"/>
  <c r="U64" i="2"/>
  <c r="O64" i="2"/>
  <c r="Q65" i="2"/>
  <c r="T65" i="2"/>
  <c r="N65" i="2"/>
  <c r="M65" i="2"/>
  <c r="AA65" i="2"/>
  <c r="Q64" i="2"/>
  <c r="T64" i="2"/>
  <c r="R64" i="2"/>
  <c r="X64" i="2"/>
  <c r="K15" i="2"/>
  <c r="J15" i="2"/>
  <c r="Z15" i="2" s="1"/>
  <c r="G15" i="1"/>
  <c r="C17" i="2" s="1"/>
  <c r="H15" i="1"/>
  <c r="D17" i="2" s="1"/>
  <c r="L14" i="2"/>
  <c r="Q14" i="2" s="1"/>
  <c r="M14" i="2"/>
  <c r="U14" i="2" s="1"/>
  <c r="AA14" i="2"/>
  <c r="S14" i="2"/>
  <c r="V14" i="2"/>
  <c r="U13" i="2"/>
  <c r="O13" i="2"/>
  <c r="R14" i="2"/>
  <c r="X14" i="2"/>
  <c r="T14" i="2"/>
  <c r="R13" i="2"/>
  <c r="X13" i="2"/>
  <c r="Y13" i="2"/>
  <c r="Q13" i="2"/>
  <c r="T13" i="2"/>
  <c r="E16" i="1"/>
  <c r="D68" i="2" s="1"/>
  <c r="C17" i="1"/>
  <c r="D16" i="1"/>
  <c r="C68" i="2" s="1"/>
  <c r="J16" i="2" l="1"/>
  <c r="W16" i="2"/>
  <c r="K16" i="2"/>
  <c r="F17" i="2"/>
  <c r="G17" i="2"/>
  <c r="G68" i="2"/>
  <c r="K68" i="2"/>
  <c r="R66" i="2"/>
  <c r="X66" i="2"/>
  <c r="T66" i="2"/>
  <c r="Q66" i="2"/>
  <c r="F68" i="2"/>
  <c r="J68" i="2"/>
  <c r="M67" i="2"/>
  <c r="N67" i="2"/>
  <c r="AA67" i="2"/>
  <c r="U66" i="2"/>
  <c r="O66" i="2"/>
  <c r="L67" i="2"/>
  <c r="Z67" i="2"/>
  <c r="V67" i="2"/>
  <c r="S67" i="2"/>
  <c r="P67" i="2"/>
  <c r="Y67" i="2" s="1"/>
  <c r="O14" i="2"/>
  <c r="S15" i="2"/>
  <c r="AA15" i="2"/>
  <c r="M15" i="2"/>
  <c r="U15" i="2" s="1"/>
  <c r="V15" i="2"/>
  <c r="N15" i="2"/>
  <c r="R15" i="2" s="1"/>
  <c r="P15" i="2"/>
  <c r="Y15" i="2" s="1"/>
  <c r="L15" i="2"/>
  <c r="Q15" i="2" s="1"/>
  <c r="R65" i="2"/>
  <c r="X65" i="2"/>
  <c r="U65" i="2"/>
  <c r="O65" i="2"/>
  <c r="H16" i="1"/>
  <c r="D18" i="2" s="1"/>
  <c r="G16" i="1"/>
  <c r="C18" i="2" s="1"/>
  <c r="O15" i="2"/>
  <c r="C18" i="1"/>
  <c r="D17" i="1"/>
  <c r="C69" i="2" s="1"/>
  <c r="E17" i="1"/>
  <c r="D69" i="2" s="1"/>
  <c r="I17" i="2" l="1"/>
  <c r="W17" i="2" s="1"/>
  <c r="F18" i="2"/>
  <c r="S16" i="2"/>
  <c r="M16" i="2"/>
  <c r="N16" i="2"/>
  <c r="R16" i="2" s="1"/>
  <c r="G18" i="2"/>
  <c r="Z16" i="2"/>
  <c r="AA16" i="2"/>
  <c r="X16" i="2"/>
  <c r="J17" i="2"/>
  <c r="L16" i="2"/>
  <c r="P16" i="2"/>
  <c r="Y16" i="2" s="1"/>
  <c r="V16" i="2"/>
  <c r="G69" i="2"/>
  <c r="K69" i="2"/>
  <c r="Q67" i="2"/>
  <c r="T67" i="2"/>
  <c r="R67" i="2"/>
  <c r="X67" i="2"/>
  <c r="L68" i="2"/>
  <c r="P68" i="2"/>
  <c r="Y68" i="2" s="1"/>
  <c r="V68" i="2"/>
  <c r="Z68" i="2"/>
  <c r="S68" i="2"/>
  <c r="M68" i="2"/>
  <c r="N68" i="2"/>
  <c r="AA68" i="2"/>
  <c r="F69" i="2"/>
  <c r="J69" i="2"/>
  <c r="O67" i="2"/>
  <c r="U67" i="2"/>
  <c r="T15" i="2"/>
  <c r="X15" i="2"/>
  <c r="G17" i="1"/>
  <c r="C19" i="2" s="1"/>
  <c r="H17" i="1"/>
  <c r="D19" i="2" s="1"/>
  <c r="E18" i="1"/>
  <c r="D70" i="2" s="1"/>
  <c r="C19" i="1"/>
  <c r="D18" i="1"/>
  <c r="C70" i="2" s="1"/>
  <c r="K17" i="2" l="1"/>
  <c r="I18" i="2"/>
  <c r="W18" i="2" s="1"/>
  <c r="G19" i="2"/>
  <c r="F19" i="2"/>
  <c r="V17" i="2"/>
  <c r="S17" i="2"/>
  <c r="L17" i="2"/>
  <c r="P17" i="2"/>
  <c r="Y17" i="2" s="1"/>
  <c r="K18" i="2"/>
  <c r="AA18" i="2" s="1"/>
  <c r="M17" i="2"/>
  <c r="N17" i="2"/>
  <c r="AA17" i="2"/>
  <c r="T16" i="2"/>
  <c r="Q16" i="2"/>
  <c r="U16" i="2"/>
  <c r="O16" i="2"/>
  <c r="J18" i="2"/>
  <c r="Z18" i="2" s="1"/>
  <c r="Z17" i="2"/>
  <c r="K70" i="2"/>
  <c r="G70" i="2"/>
  <c r="Z69" i="2"/>
  <c r="L69" i="2"/>
  <c r="P69" i="2"/>
  <c r="Y69" i="2" s="1"/>
  <c r="V69" i="2"/>
  <c r="S69" i="2"/>
  <c r="Q68" i="2"/>
  <c r="T68" i="2"/>
  <c r="O68" i="2"/>
  <c r="U68" i="2"/>
  <c r="F70" i="2"/>
  <c r="J70" i="2"/>
  <c r="AA69" i="2"/>
  <c r="M69" i="2"/>
  <c r="N69" i="2"/>
  <c r="R68" i="2"/>
  <c r="X68" i="2"/>
  <c r="G18" i="1"/>
  <c r="C20" i="2" s="1"/>
  <c r="H18" i="1"/>
  <c r="D20" i="2" s="1"/>
  <c r="E19" i="1"/>
  <c r="D71" i="2" s="1"/>
  <c r="C20" i="1"/>
  <c r="D19" i="1"/>
  <c r="C71" i="2" s="1"/>
  <c r="R17" i="2" l="1"/>
  <c r="X17" i="2"/>
  <c r="Q17" i="2"/>
  <c r="T17" i="2"/>
  <c r="F20" i="2"/>
  <c r="P18" i="2"/>
  <c r="Y18" i="2" s="1"/>
  <c r="V18" i="2"/>
  <c r="L18" i="2"/>
  <c r="S18" i="2"/>
  <c r="M18" i="2"/>
  <c r="N18" i="2"/>
  <c r="G20" i="2"/>
  <c r="U17" i="2"/>
  <c r="O17" i="2"/>
  <c r="I19" i="2"/>
  <c r="J71" i="2"/>
  <c r="F71" i="2"/>
  <c r="U69" i="2"/>
  <c r="O69" i="2"/>
  <c r="M70" i="2"/>
  <c r="AA70" i="2"/>
  <c r="N70" i="2"/>
  <c r="R69" i="2"/>
  <c r="X69" i="2"/>
  <c r="T69" i="2"/>
  <c r="Q69" i="2"/>
  <c r="G71" i="2"/>
  <c r="K71" i="2"/>
  <c r="L70" i="2"/>
  <c r="S70" i="2"/>
  <c r="V70" i="2"/>
  <c r="Z70" i="2"/>
  <c r="P70" i="2"/>
  <c r="Y70" i="2" s="1"/>
  <c r="G19" i="1"/>
  <c r="C21" i="2" s="1"/>
  <c r="H19" i="1"/>
  <c r="D21" i="2" s="1"/>
  <c r="E20" i="1"/>
  <c r="D72" i="2" s="1"/>
  <c r="C21" i="1"/>
  <c r="D20" i="1"/>
  <c r="C72" i="2" s="1"/>
  <c r="R18" i="2" l="1"/>
  <c r="X18" i="2"/>
  <c r="O18" i="2"/>
  <c r="U18" i="2"/>
  <c r="F21" i="2"/>
  <c r="I21" i="2" s="1"/>
  <c r="W21" i="2" s="1"/>
  <c r="G21" i="2"/>
  <c r="W19" i="2"/>
  <c r="K19" i="2"/>
  <c r="J19" i="2"/>
  <c r="Q18" i="2"/>
  <c r="T18" i="2"/>
  <c r="I20" i="2"/>
  <c r="F72" i="2"/>
  <c r="J72" i="2"/>
  <c r="U70" i="2"/>
  <c r="O70" i="2"/>
  <c r="G72" i="2"/>
  <c r="K72" i="2"/>
  <c r="N71" i="2"/>
  <c r="M71" i="2"/>
  <c r="AA71" i="2"/>
  <c r="X70" i="2"/>
  <c r="R70" i="2"/>
  <c r="Q70" i="2"/>
  <c r="T70" i="2"/>
  <c r="L71" i="2"/>
  <c r="Z71" i="2"/>
  <c r="P71" i="2"/>
  <c r="Y71" i="2" s="1"/>
  <c r="S71" i="2"/>
  <c r="V71" i="2"/>
  <c r="G20" i="1"/>
  <c r="C22" i="2" s="1"/>
  <c r="H20" i="1"/>
  <c r="D22" i="2" s="1"/>
  <c r="C22" i="1"/>
  <c r="D21" i="1"/>
  <c r="C73" i="2" s="1"/>
  <c r="E21" i="1"/>
  <c r="D73" i="2" s="1"/>
  <c r="K21" i="2" l="1"/>
  <c r="M21" i="2" s="1"/>
  <c r="N21" i="2"/>
  <c r="V19" i="2"/>
  <c r="S19" i="2"/>
  <c r="P19" i="2"/>
  <c r="Y19" i="2" s="1"/>
  <c r="L19" i="2"/>
  <c r="G22" i="2"/>
  <c r="W20" i="2"/>
  <c r="J20" i="2"/>
  <c r="K20" i="2"/>
  <c r="M19" i="2"/>
  <c r="N19" i="2"/>
  <c r="R19" i="2" s="1"/>
  <c r="J21" i="2"/>
  <c r="Z21" i="2" s="1"/>
  <c r="F22" i="2"/>
  <c r="I22" i="2" s="1"/>
  <c r="W22" i="2" s="1"/>
  <c r="Z19" i="2"/>
  <c r="AA19" i="2"/>
  <c r="AA21" i="2"/>
  <c r="X21" i="2"/>
  <c r="F73" i="2"/>
  <c r="J73" i="2"/>
  <c r="Q71" i="2"/>
  <c r="T71" i="2"/>
  <c r="O71" i="2"/>
  <c r="U71" i="2"/>
  <c r="M72" i="2"/>
  <c r="N72" i="2"/>
  <c r="AA72" i="2"/>
  <c r="X71" i="2"/>
  <c r="R71" i="2"/>
  <c r="G73" i="2"/>
  <c r="K73" i="2"/>
  <c r="L72" i="2"/>
  <c r="P72" i="2"/>
  <c r="Y72" i="2" s="1"/>
  <c r="Z72" i="2"/>
  <c r="V72" i="2"/>
  <c r="S72" i="2"/>
  <c r="H21" i="1"/>
  <c r="D23" i="2" s="1"/>
  <c r="G21" i="1"/>
  <c r="C23" i="2" s="1"/>
  <c r="E22" i="1"/>
  <c r="D74" i="2" s="1"/>
  <c r="C23" i="1"/>
  <c r="D22" i="1"/>
  <c r="C74" i="2" s="1"/>
  <c r="X19" i="2" l="1"/>
  <c r="J22" i="2"/>
  <c r="K22" i="2"/>
  <c r="M22" i="2" s="1"/>
  <c r="U19" i="2"/>
  <c r="O19" i="2"/>
  <c r="N22" i="2"/>
  <c r="R22" i="2" s="1"/>
  <c r="Z22" i="2"/>
  <c r="AA22" i="2"/>
  <c r="M20" i="2"/>
  <c r="N20" i="2"/>
  <c r="R20" i="2" s="1"/>
  <c r="P22" i="2"/>
  <c r="Y22" i="2" s="1"/>
  <c r="V22" i="2"/>
  <c r="S22" i="2"/>
  <c r="L22" i="2"/>
  <c r="F23" i="2"/>
  <c r="S21" i="2"/>
  <c r="V21" i="2"/>
  <c r="L21" i="2"/>
  <c r="P21" i="2"/>
  <c r="Y21" i="2" s="1"/>
  <c r="L20" i="2"/>
  <c r="P20" i="2"/>
  <c r="Y20" i="2" s="1"/>
  <c r="S20" i="2"/>
  <c r="V20" i="2"/>
  <c r="Q19" i="2"/>
  <c r="T19" i="2"/>
  <c r="O21" i="2"/>
  <c r="U21" i="2"/>
  <c r="G23" i="2"/>
  <c r="Z20" i="2"/>
  <c r="AA20" i="2"/>
  <c r="X20" i="2"/>
  <c r="R21" i="2"/>
  <c r="G74" i="2"/>
  <c r="K74" i="2"/>
  <c r="O72" i="2"/>
  <c r="U72" i="2"/>
  <c r="F74" i="2"/>
  <c r="J74" i="2"/>
  <c r="M73" i="2"/>
  <c r="N73" i="2"/>
  <c r="AA73" i="2"/>
  <c r="Q72" i="2"/>
  <c r="T72" i="2"/>
  <c r="R72" i="2"/>
  <c r="X72" i="2"/>
  <c r="P73" i="2"/>
  <c r="Y73" i="2" s="1"/>
  <c r="Z73" i="2"/>
  <c r="L73" i="2"/>
  <c r="S73" i="2"/>
  <c r="V73" i="2"/>
  <c r="G22" i="1"/>
  <c r="C24" i="2" s="1"/>
  <c r="H22" i="1"/>
  <c r="D24" i="2" s="1"/>
  <c r="E23" i="1"/>
  <c r="D75" i="2" s="1"/>
  <c r="C24" i="1"/>
  <c r="D23" i="1"/>
  <c r="C75" i="2" s="1"/>
  <c r="I23" i="2" l="1"/>
  <c r="W23" i="2" s="1"/>
  <c r="F24" i="2"/>
  <c r="J23" i="2"/>
  <c r="X22" i="2"/>
  <c r="O22" i="2"/>
  <c r="U22" i="2"/>
  <c r="Z23" i="2"/>
  <c r="T20" i="2"/>
  <c r="Q20" i="2"/>
  <c r="O20" i="2"/>
  <c r="U20" i="2"/>
  <c r="Q21" i="2"/>
  <c r="T21" i="2"/>
  <c r="G24" i="2"/>
  <c r="K23" i="2"/>
  <c r="AA23" i="2" s="1"/>
  <c r="Q22" i="2"/>
  <c r="T22" i="2"/>
  <c r="X73" i="2"/>
  <c r="R73" i="2"/>
  <c r="G75" i="2"/>
  <c r="K75" i="2"/>
  <c r="O73" i="2"/>
  <c r="U73" i="2"/>
  <c r="T73" i="2"/>
  <c r="Q73" i="2"/>
  <c r="F75" i="2"/>
  <c r="J75" i="2"/>
  <c r="Z74" i="2"/>
  <c r="P74" i="2"/>
  <c r="Y74" i="2" s="1"/>
  <c r="V74" i="2"/>
  <c r="L74" i="2"/>
  <c r="S74" i="2"/>
  <c r="M74" i="2"/>
  <c r="AA74" i="2"/>
  <c r="N74" i="2"/>
  <c r="G23" i="1"/>
  <c r="C25" i="2" s="1"/>
  <c r="D24" i="1"/>
  <c r="C76" i="2" s="1"/>
  <c r="E24" i="1"/>
  <c r="D76" i="2" s="1"/>
  <c r="H23" i="1"/>
  <c r="D25" i="2" s="1"/>
  <c r="C25" i="1"/>
  <c r="F25" i="2" l="1"/>
  <c r="L23" i="2"/>
  <c r="S23" i="2"/>
  <c r="P23" i="2"/>
  <c r="Y23" i="2" s="1"/>
  <c r="V23" i="2"/>
  <c r="M23" i="2"/>
  <c r="N23" i="2"/>
  <c r="G25" i="2"/>
  <c r="I24" i="2"/>
  <c r="F76" i="2"/>
  <c r="J76" i="2"/>
  <c r="O74" i="2"/>
  <c r="U74" i="2"/>
  <c r="L75" i="2"/>
  <c r="Z75" i="2"/>
  <c r="S75" i="2"/>
  <c r="V75" i="2"/>
  <c r="P75" i="2"/>
  <c r="Y75" i="2" s="1"/>
  <c r="R74" i="2"/>
  <c r="X74" i="2"/>
  <c r="Q74" i="2"/>
  <c r="T74" i="2"/>
  <c r="M75" i="2"/>
  <c r="AA75" i="2"/>
  <c r="N75" i="2"/>
  <c r="G76" i="2"/>
  <c r="K76" i="2"/>
  <c r="D25" i="1"/>
  <c r="C77" i="2" s="1"/>
  <c r="E25" i="1"/>
  <c r="D77" i="2" s="1"/>
  <c r="G24" i="1"/>
  <c r="C26" i="2" s="1"/>
  <c r="F26" i="2" s="1"/>
  <c r="H24" i="1"/>
  <c r="D26" i="2" s="1"/>
  <c r="C26" i="1"/>
  <c r="R23" i="2" l="1"/>
  <c r="X23" i="2"/>
  <c r="W24" i="2"/>
  <c r="K24" i="2"/>
  <c r="J24" i="2"/>
  <c r="U23" i="2"/>
  <c r="O23" i="2"/>
  <c r="Q23" i="2"/>
  <c r="T23" i="2"/>
  <c r="G26" i="2"/>
  <c r="I26" i="2" s="1"/>
  <c r="I25" i="2"/>
  <c r="G77" i="2"/>
  <c r="K77" i="2"/>
  <c r="X75" i="2"/>
  <c r="R75" i="2"/>
  <c r="F77" i="2"/>
  <c r="J77" i="2"/>
  <c r="P76" i="2"/>
  <c r="Y76" i="2" s="1"/>
  <c r="L76" i="2"/>
  <c r="V76" i="2"/>
  <c r="S76" i="2"/>
  <c r="Z76" i="2"/>
  <c r="M76" i="2"/>
  <c r="N76" i="2"/>
  <c r="AA76" i="2"/>
  <c r="O75" i="2"/>
  <c r="U75" i="2"/>
  <c r="Q75" i="2"/>
  <c r="T75" i="2"/>
  <c r="H25" i="1"/>
  <c r="D27" i="2" s="1"/>
  <c r="G27" i="2" s="1"/>
  <c r="E26" i="1"/>
  <c r="D78" i="2" s="1"/>
  <c r="D26" i="1"/>
  <c r="C78" i="2" s="1"/>
  <c r="G25" i="1"/>
  <c r="C27" i="2" s="1"/>
  <c r="C27" i="1"/>
  <c r="J26" i="2" l="1"/>
  <c r="W26" i="2"/>
  <c r="K26" i="2"/>
  <c r="F27" i="2"/>
  <c r="I27" i="2" s="1"/>
  <c r="Z24" i="2"/>
  <c r="AA24" i="2"/>
  <c r="N24" i="2"/>
  <c r="R24" i="2" s="1"/>
  <c r="M24" i="2"/>
  <c r="W25" i="2"/>
  <c r="J25" i="2"/>
  <c r="K25" i="2"/>
  <c r="V24" i="2"/>
  <c r="P24" i="2"/>
  <c r="Y24" i="2" s="1"/>
  <c r="S24" i="2"/>
  <c r="L24" i="2"/>
  <c r="F78" i="2"/>
  <c r="J78" i="2"/>
  <c r="O76" i="2"/>
  <c r="U76" i="2"/>
  <c r="Z77" i="2"/>
  <c r="L77" i="2"/>
  <c r="P77" i="2"/>
  <c r="Y77" i="2" s="1"/>
  <c r="S77" i="2"/>
  <c r="K78" i="2"/>
  <c r="G78" i="2"/>
  <c r="X76" i="2"/>
  <c r="R76" i="2"/>
  <c r="V77" i="2"/>
  <c r="AA77" i="2"/>
  <c r="M77" i="2"/>
  <c r="N77" i="2"/>
  <c r="Q76" i="2"/>
  <c r="T76" i="2"/>
  <c r="D27" i="1"/>
  <c r="C79" i="2" s="1"/>
  <c r="E27" i="1"/>
  <c r="D79" i="2" s="1"/>
  <c r="H26" i="1"/>
  <c r="D28" i="2" s="1"/>
  <c r="G26" i="1"/>
  <c r="C28" i="2" s="1"/>
  <c r="C28" i="1"/>
  <c r="F28" i="2" l="1"/>
  <c r="U24" i="2"/>
  <c r="O24" i="2"/>
  <c r="N26" i="2"/>
  <c r="R26" i="2" s="1"/>
  <c r="M26" i="2"/>
  <c r="K27" i="2"/>
  <c r="W27" i="2"/>
  <c r="T24" i="2"/>
  <c r="Q24" i="2"/>
  <c r="M25" i="2"/>
  <c r="N25" i="2"/>
  <c r="R25" i="2" s="1"/>
  <c r="J27" i="2"/>
  <c r="Z26" i="2"/>
  <c r="AA26" i="2"/>
  <c r="AA25" i="2"/>
  <c r="Z25" i="2"/>
  <c r="G28" i="2"/>
  <c r="S25" i="2"/>
  <c r="L25" i="2"/>
  <c r="P25" i="2"/>
  <c r="Y25" i="2" s="1"/>
  <c r="V25" i="2"/>
  <c r="X24" i="2"/>
  <c r="L26" i="2"/>
  <c r="V26" i="2"/>
  <c r="P26" i="2"/>
  <c r="Y26" i="2" s="1"/>
  <c r="S26" i="2"/>
  <c r="K79" i="2"/>
  <c r="G79" i="2"/>
  <c r="M78" i="2"/>
  <c r="AA78" i="2"/>
  <c r="N78" i="2"/>
  <c r="O77" i="2"/>
  <c r="U77" i="2"/>
  <c r="F79" i="2"/>
  <c r="J79" i="2"/>
  <c r="T77" i="2"/>
  <c r="Q77" i="2"/>
  <c r="Z78" i="2"/>
  <c r="L78" i="2"/>
  <c r="V78" i="2"/>
  <c r="S78" i="2"/>
  <c r="P78" i="2"/>
  <c r="Y78" i="2" s="1"/>
  <c r="X77" i="2"/>
  <c r="R77" i="2"/>
  <c r="H27" i="1"/>
  <c r="D29" i="2" s="1"/>
  <c r="E28" i="1"/>
  <c r="D80" i="2" s="1"/>
  <c r="D28" i="1"/>
  <c r="C80" i="2" s="1"/>
  <c r="G27" i="1"/>
  <c r="C29" i="2" s="1"/>
  <c r="C29" i="1"/>
  <c r="X26" i="2" l="1"/>
  <c r="Z27" i="2"/>
  <c r="AA27" i="2"/>
  <c r="Q26" i="2"/>
  <c r="T26" i="2"/>
  <c r="T25" i="2"/>
  <c r="Q25" i="2"/>
  <c r="X25" i="2"/>
  <c r="O25" i="2"/>
  <c r="U25" i="2"/>
  <c r="M27" i="2"/>
  <c r="N27" i="2"/>
  <c r="R27" i="2" s="1"/>
  <c r="F29" i="2"/>
  <c r="O26" i="2"/>
  <c r="U26" i="2"/>
  <c r="I28" i="2"/>
  <c r="G29" i="2"/>
  <c r="V27" i="2"/>
  <c r="L27" i="2"/>
  <c r="P27" i="2"/>
  <c r="Y27" i="2" s="1"/>
  <c r="S27" i="2"/>
  <c r="F80" i="2"/>
  <c r="J80" i="2"/>
  <c r="T78" i="2"/>
  <c r="Q78" i="2"/>
  <c r="L79" i="2"/>
  <c r="Z79" i="2"/>
  <c r="V79" i="2"/>
  <c r="S79" i="2"/>
  <c r="P79" i="2"/>
  <c r="Y79" i="2" s="1"/>
  <c r="X78" i="2"/>
  <c r="R78" i="2"/>
  <c r="G80" i="2"/>
  <c r="K80" i="2"/>
  <c r="O78" i="2"/>
  <c r="U78" i="2"/>
  <c r="M79" i="2"/>
  <c r="AA79" i="2"/>
  <c r="N79" i="2"/>
  <c r="W83" i="2"/>
  <c r="M88" i="2" s="1"/>
  <c r="G28" i="1"/>
  <c r="C30" i="2" s="1"/>
  <c r="D29" i="1"/>
  <c r="C81" i="2" s="1"/>
  <c r="E29" i="1"/>
  <c r="D81" i="2" s="1"/>
  <c r="H28" i="1"/>
  <c r="D30" i="2" s="1"/>
  <c r="C30" i="1"/>
  <c r="F30" i="2" l="1"/>
  <c r="U27" i="2"/>
  <c r="O27" i="2"/>
  <c r="X27" i="2"/>
  <c r="G30" i="2"/>
  <c r="I29" i="2"/>
  <c r="T27" i="2"/>
  <c r="Q27" i="2"/>
  <c r="W28" i="2"/>
  <c r="J28" i="2"/>
  <c r="K28" i="2"/>
  <c r="M80" i="2"/>
  <c r="N80" i="2"/>
  <c r="AA80" i="2"/>
  <c r="L80" i="2"/>
  <c r="P80" i="2"/>
  <c r="Y80" i="2" s="1"/>
  <c r="Z80" i="2"/>
  <c r="V80" i="2"/>
  <c r="S80" i="2"/>
  <c r="G81" i="2"/>
  <c r="K81" i="2"/>
  <c r="X79" i="2"/>
  <c r="R79" i="2"/>
  <c r="O79" i="2"/>
  <c r="U79" i="2"/>
  <c r="Q79" i="2"/>
  <c r="T79" i="2"/>
  <c r="F81" i="2"/>
  <c r="J81" i="2"/>
  <c r="E30" i="1"/>
  <c r="D82" i="2" s="1"/>
  <c r="D30" i="1"/>
  <c r="C82" i="2" s="1"/>
  <c r="H29" i="1"/>
  <c r="D31" i="2" s="1"/>
  <c r="G29" i="1"/>
  <c r="C31" i="2" s="1"/>
  <c r="I30" i="2" l="1"/>
  <c r="W30" i="2" s="1"/>
  <c r="W29" i="2"/>
  <c r="J29" i="2"/>
  <c r="K29" i="2"/>
  <c r="F31" i="2"/>
  <c r="Z28" i="2"/>
  <c r="AA28" i="2"/>
  <c r="L28" i="2"/>
  <c r="S28" i="2"/>
  <c r="P28" i="2"/>
  <c r="Y28" i="2" s="1"/>
  <c r="G31" i="2"/>
  <c r="J30" i="2"/>
  <c r="V28" i="2"/>
  <c r="M28" i="2"/>
  <c r="N28" i="2"/>
  <c r="R28" i="2" s="1"/>
  <c r="Z30" i="2"/>
  <c r="O80" i="2"/>
  <c r="U80" i="2"/>
  <c r="N81" i="2"/>
  <c r="AA81" i="2"/>
  <c r="M81" i="2"/>
  <c r="R80" i="2"/>
  <c r="X80" i="2"/>
  <c r="Q80" i="2"/>
  <c r="T80" i="2"/>
  <c r="K82" i="2"/>
  <c r="G82" i="2"/>
  <c r="F82" i="2"/>
  <c r="J82" i="2"/>
  <c r="P81" i="2"/>
  <c r="Y81" i="2" s="1"/>
  <c r="S81" i="2"/>
  <c r="L81" i="2"/>
  <c r="Z81" i="2"/>
  <c r="V81" i="2"/>
  <c r="G30" i="1"/>
  <c r="C32" i="2" s="1"/>
  <c r="H30" i="1"/>
  <c r="D32" i="2" s="1"/>
  <c r="I31" i="2" l="1"/>
  <c r="W31" i="2" s="1"/>
  <c r="K30" i="2"/>
  <c r="AA30" i="2" s="1"/>
  <c r="G32" i="2"/>
  <c r="F32" i="2"/>
  <c r="X28" i="2"/>
  <c r="P30" i="2"/>
  <c r="Y30" i="2" s="1"/>
  <c r="L30" i="2"/>
  <c r="V30" i="2"/>
  <c r="S30" i="2"/>
  <c r="N29" i="2"/>
  <c r="R29" i="2" s="1"/>
  <c r="M29" i="2"/>
  <c r="Q28" i="2"/>
  <c r="T28" i="2"/>
  <c r="L29" i="2"/>
  <c r="P29" i="2"/>
  <c r="Y29" i="2" s="1"/>
  <c r="V29" i="2"/>
  <c r="S29" i="2"/>
  <c r="U28" i="2"/>
  <c r="O28" i="2"/>
  <c r="M30" i="2"/>
  <c r="N30" i="2"/>
  <c r="AA29" i="2"/>
  <c r="Z29" i="2"/>
  <c r="X29" i="2"/>
  <c r="AA82" i="2"/>
  <c r="N82" i="2"/>
  <c r="M82" i="2"/>
  <c r="X81" i="2"/>
  <c r="R81" i="2"/>
  <c r="C33" i="2"/>
  <c r="L82" i="2"/>
  <c r="Z82" i="2"/>
  <c r="V82" i="2"/>
  <c r="P82" i="2"/>
  <c r="Y82" i="2" s="1"/>
  <c r="S82" i="2"/>
  <c r="Q81" i="2"/>
  <c r="T81" i="2"/>
  <c r="U81" i="2"/>
  <c r="O81" i="2"/>
  <c r="E38" i="2"/>
  <c r="G83" i="2"/>
  <c r="D83" i="2"/>
  <c r="F83" i="2"/>
  <c r="E88" i="2"/>
  <c r="C83" i="2"/>
  <c r="G33" i="2"/>
  <c r="D33" i="2"/>
  <c r="J31" i="2" l="1"/>
  <c r="S31" i="2" s="1"/>
  <c r="K31" i="2"/>
  <c r="AA31" i="2" s="1"/>
  <c r="O30" i="2"/>
  <c r="U30" i="2"/>
  <c r="N31" i="2"/>
  <c r="M31" i="2"/>
  <c r="I32" i="2"/>
  <c r="T29" i="2"/>
  <c r="Q29" i="2"/>
  <c r="U29" i="2"/>
  <c r="O29" i="2"/>
  <c r="Q30" i="2"/>
  <c r="T30" i="2"/>
  <c r="P31" i="2"/>
  <c r="Y31" i="2" s="1"/>
  <c r="L31" i="2"/>
  <c r="R30" i="2"/>
  <c r="X30" i="2"/>
  <c r="U82" i="2"/>
  <c r="O82" i="2"/>
  <c r="X82" i="2"/>
  <c r="R82" i="2"/>
  <c r="T82" i="2"/>
  <c r="Q82" i="2"/>
  <c r="I33" i="2"/>
  <c r="F33" i="2"/>
  <c r="V83" i="2"/>
  <c r="Z83" i="2"/>
  <c r="M91" i="2" s="1"/>
  <c r="S83" i="2"/>
  <c r="J83" i="2"/>
  <c r="H88" i="2" s="1"/>
  <c r="E91" i="2" s="1"/>
  <c r="AA83" i="2"/>
  <c r="M92" i="2" s="1"/>
  <c r="K83" i="2"/>
  <c r="I88" i="2" s="1"/>
  <c r="E92" i="2" s="1"/>
  <c r="V31" i="2" l="1"/>
  <c r="Z31" i="2"/>
  <c r="W32" i="2"/>
  <c r="AC9" i="2" s="1"/>
  <c r="K32" i="2"/>
  <c r="J32" i="2"/>
  <c r="O31" i="2"/>
  <c r="U31" i="2"/>
  <c r="R31" i="2"/>
  <c r="X31" i="2"/>
  <c r="T31" i="2"/>
  <c r="Q31" i="2"/>
  <c r="K33" i="2"/>
  <c r="I38" i="2" s="1"/>
  <c r="E42" i="2" s="1"/>
  <c r="U83" i="2"/>
  <c r="F89" i="2" s="1"/>
  <c r="O83" i="2"/>
  <c r="M83" i="2"/>
  <c r="I92" i="2" s="1"/>
  <c r="T83" i="2"/>
  <c r="G90" i="2" s="1"/>
  <c r="Q83" i="2"/>
  <c r="L83" i="2"/>
  <c r="H91" i="2" s="1"/>
  <c r="H92" i="2"/>
  <c r="I91" i="2"/>
  <c r="F90" i="2"/>
  <c r="G89" i="2"/>
  <c r="R83" i="2"/>
  <c r="X83" i="2"/>
  <c r="M89" i="2" s="1"/>
  <c r="N83" i="2"/>
  <c r="Y83" i="2"/>
  <c r="M90" i="2" s="1"/>
  <c r="P83" i="2"/>
  <c r="AB9" i="2"/>
  <c r="V32" i="2" l="1"/>
  <c r="L32" i="2"/>
  <c r="P32" i="2"/>
  <c r="Y32" i="2" s="1"/>
  <c r="S32" i="2"/>
  <c r="S33" i="2" s="1"/>
  <c r="G39" i="2" s="1"/>
  <c r="J33" i="2"/>
  <c r="H38" i="2" s="1"/>
  <c r="E41" i="2" s="1"/>
  <c r="N32" i="2"/>
  <c r="R32" i="2" s="1"/>
  <c r="M32" i="2"/>
  <c r="M33" i="2" s="1"/>
  <c r="I42" i="2" s="1"/>
  <c r="Z32" i="2"/>
  <c r="AA32" i="2"/>
  <c r="X32" i="2"/>
  <c r="Z33" i="2"/>
  <c r="M41" i="2" s="1"/>
  <c r="V33" i="2"/>
  <c r="L33" i="2"/>
  <c r="H41" i="2" s="1"/>
  <c r="AA33" i="2"/>
  <c r="M42" i="2" s="1"/>
  <c r="W33" i="2"/>
  <c r="M38" i="2" s="1"/>
  <c r="AB11" i="2"/>
  <c r="F92" i="2"/>
  <c r="I89" i="2"/>
  <c r="F88" i="2"/>
  <c r="E89" i="2"/>
  <c r="H90" i="2"/>
  <c r="G91" i="2"/>
  <c r="E90" i="2"/>
  <c r="G88" i="2"/>
  <c r="G92" i="2"/>
  <c r="I90" i="2"/>
  <c r="H89" i="2"/>
  <c r="F91" i="2"/>
  <c r="O32" i="2" l="1"/>
  <c r="U32" i="2"/>
  <c r="U33" i="2" s="1"/>
  <c r="F39" i="2" s="1"/>
  <c r="T32" i="2"/>
  <c r="Q32" i="2"/>
  <c r="Q33" i="2" s="1"/>
  <c r="F40" i="2"/>
  <c r="I41" i="2"/>
  <c r="H42" i="2"/>
  <c r="X33" i="2"/>
  <c r="M39" i="2" s="1"/>
  <c r="R33" i="2"/>
  <c r="G42" i="2" s="1"/>
  <c r="O33" i="2"/>
  <c r="F42" i="2" s="1"/>
  <c r="Y33" i="2"/>
  <c r="M40" i="2" s="1"/>
  <c r="P33" i="2"/>
  <c r="T33" i="2"/>
  <c r="G40" i="2" s="1"/>
  <c r="N33" i="2"/>
  <c r="E39" i="2" s="1"/>
  <c r="E96" i="2" a="1"/>
  <c r="I40" i="2" l="1"/>
  <c r="F41" i="2"/>
  <c r="F38" i="2"/>
  <c r="H39" i="2"/>
  <c r="H40" i="2"/>
  <c r="G41" i="2"/>
  <c r="I39" i="2"/>
  <c r="E40" i="2"/>
  <c r="G38" i="2"/>
  <c r="F99" i="2"/>
  <c r="E96" i="2"/>
  <c r="E98" i="2"/>
  <c r="E99" i="2"/>
  <c r="H96" i="2"/>
  <c r="F100" i="2"/>
  <c r="E100" i="2"/>
  <c r="I98" i="2"/>
  <c r="F98" i="2"/>
  <c r="G98" i="2"/>
  <c r="G100" i="2"/>
  <c r="F97" i="2"/>
  <c r="G97" i="2"/>
  <c r="H98" i="2"/>
  <c r="E97" i="2"/>
  <c r="H100" i="2"/>
  <c r="I100" i="2"/>
  <c r="H97" i="2"/>
  <c r="H99" i="2"/>
  <c r="G96" i="2"/>
  <c r="I99" i="2"/>
  <c r="G99" i="2"/>
  <c r="F96" i="2"/>
  <c r="I96" i="2"/>
  <c r="I97" i="2"/>
  <c r="E46" i="2" l="1" a="1"/>
  <c r="F48" i="2" s="1"/>
  <c r="M96" i="2" a="1"/>
  <c r="F50" i="2" l="1"/>
  <c r="E47" i="2"/>
  <c r="I50" i="2"/>
  <c r="H47" i="2"/>
  <c r="H46" i="2"/>
  <c r="H49" i="2"/>
  <c r="E48" i="2"/>
  <c r="I47" i="2"/>
  <c r="E49" i="2"/>
  <c r="G50" i="2"/>
  <c r="G47" i="2"/>
  <c r="G46" i="2"/>
  <c r="F49" i="2"/>
  <c r="I49" i="2"/>
  <c r="F46" i="2"/>
  <c r="I46" i="2"/>
  <c r="I48" i="2"/>
  <c r="G49" i="2"/>
  <c r="F47" i="2"/>
  <c r="E46" i="2"/>
  <c r="M46" i="2" s="1" a="1"/>
  <c r="M50" i="2" s="1"/>
  <c r="E50" i="2"/>
  <c r="H50" i="2"/>
  <c r="G48" i="2"/>
  <c r="H48" i="2"/>
  <c r="M97" i="2"/>
  <c r="M98" i="2"/>
  <c r="M99" i="2"/>
  <c r="M100" i="2"/>
  <c r="M96" i="2"/>
  <c r="M46" i="2" l="1"/>
  <c r="G3" i="5" s="1"/>
  <c r="M49" i="2"/>
  <c r="M48" i="2"/>
  <c r="G5" i="5" s="1"/>
  <c r="M47" i="2"/>
  <c r="N47" i="2" s="1"/>
  <c r="G17" i="5"/>
  <c r="G7" i="5"/>
  <c r="G16" i="5"/>
  <c r="G15" i="5"/>
  <c r="G6" i="5"/>
  <c r="G13" i="5"/>
  <c r="G14" i="5"/>
  <c r="N48" i="2" l="1"/>
  <c r="G4" i="5"/>
  <c r="P4" i="5" s="1"/>
  <c r="M17" i="5"/>
  <c r="P13" i="5"/>
  <c r="J17" i="5"/>
  <c r="M8" i="5"/>
  <c r="P3" i="5"/>
  <c r="M7" i="5"/>
  <c r="J7" i="5"/>
  <c r="M18" i="5"/>
  <c r="J18" i="5"/>
  <c r="P14" i="5"/>
  <c r="J8" i="5" l="1"/>
  <c r="G24" i="5"/>
  <c r="M24" i="5"/>
  <c r="G23" i="5"/>
  <c r="M23" i="5"/>
  <c r="P8" i="5"/>
  <c r="S5" i="5" s="1"/>
  <c r="P18" i="5"/>
  <c r="S4" i="5" l="1"/>
  <c r="G29" i="5" s="1"/>
  <c r="S14" i="5"/>
  <c r="S6" i="5"/>
  <c r="G27" i="5" s="1"/>
  <c r="S16" i="5"/>
  <c r="S15" i="5"/>
  <c r="M29" i="5" l="1"/>
  <c r="G28" i="5"/>
  <c r="J26" i="5" s="1"/>
  <c r="M28" i="5"/>
  <c r="M27" i="5"/>
  <c r="P26" i="5" l="1"/>
</calcChain>
</file>

<file path=xl/sharedStrings.xml><?xml version="1.0" encoding="utf-8"?>
<sst xmlns="http://schemas.openxmlformats.org/spreadsheetml/2006/main" count="178" uniqueCount="106">
  <si>
    <t>x</t>
  </si>
  <si>
    <t>y</t>
  </si>
  <si>
    <t>i</t>
  </si>
  <si>
    <t>alphacumul</t>
  </si>
  <si>
    <t>xerr</t>
  </si>
  <si>
    <t>yerr</t>
  </si>
  <si>
    <t xml:space="preserve">Nombre de point par cylindre </t>
  </si>
  <si>
    <t xml:space="preserve">Angle entre chaque point </t>
  </si>
  <si>
    <t xml:space="preserve">Rayon théorique </t>
  </si>
  <si>
    <t>Xi</t>
  </si>
  <si>
    <t>Yi</t>
  </si>
  <si>
    <t>Zi</t>
  </si>
  <si>
    <t>Xi²</t>
  </si>
  <si>
    <t>Yi²</t>
  </si>
  <si>
    <t>Zi²</t>
  </si>
  <si>
    <t>Ri</t>
  </si>
  <si>
    <t>Cos teta i</t>
  </si>
  <si>
    <t>Sin teta i</t>
  </si>
  <si>
    <t>Cos² teta i2</t>
  </si>
  <si>
    <t>Sin² teta i2</t>
  </si>
  <si>
    <t>Zi * sinteta</t>
  </si>
  <si>
    <t>Zi * sin²teta</t>
  </si>
  <si>
    <t>Zi * cos</t>
  </si>
  <si>
    <t>Zi * cos²</t>
  </si>
  <si>
    <t>Zi*cos*sin</t>
  </si>
  <si>
    <t>Zi²*cos*sin</t>
  </si>
  <si>
    <t>Zi²*cos²</t>
  </si>
  <si>
    <t>Zi²*sin²</t>
  </si>
  <si>
    <t>cos sin</t>
  </si>
  <si>
    <t>Psi</t>
  </si>
  <si>
    <t>Zi*sin*psi</t>
  </si>
  <si>
    <t>Zi*cos*psi</t>
  </si>
  <si>
    <t>psi*cos</t>
  </si>
  <si>
    <t>psi*sin</t>
  </si>
  <si>
    <t xml:space="preserve">1. </t>
  </si>
  <si>
    <t>min</t>
  </si>
  <si>
    <t>max</t>
  </si>
  <si>
    <t xml:space="preserve">2. </t>
  </si>
  <si>
    <t xml:space="preserve">3. </t>
  </si>
  <si>
    <t>Défaut</t>
  </si>
  <si>
    <t xml:space="preserve">4. </t>
  </si>
  <si>
    <t xml:space="preserve">5. </t>
  </si>
  <si>
    <t xml:space="preserve">6. </t>
  </si>
  <si>
    <t xml:space="preserve">7. </t>
  </si>
  <si>
    <t xml:space="preserve">8. </t>
  </si>
  <si>
    <t xml:space="preserve">Matrice </t>
  </si>
  <si>
    <t xml:space="preserve">Matrice inverse </t>
  </si>
  <si>
    <t>DeltaR</t>
  </si>
  <si>
    <t>ALPHA</t>
  </si>
  <si>
    <t>BETA</t>
  </si>
  <si>
    <t>U0</t>
  </si>
  <si>
    <t>V0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</si>
  <si>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</si>
  <si>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</si>
  <si>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</si>
  <si>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</si>
  <si>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</si>
  <si>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</si>
  <si>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</si>
  <si>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</si>
  <si>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</si>
  <si>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</si>
  <si>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</si>
  <si>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</si>
  <si>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</si>
  <si>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</si>
  <si>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</si>
  <si>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</si>
  <si>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</si>
  <si>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 xml:space="preserve">Cylindre avec déformation </t>
  </si>
  <si>
    <t>B</t>
  </si>
  <si>
    <t>A</t>
  </si>
  <si>
    <t xml:space="preserve">Cylindre sans déformation </t>
  </si>
  <si>
    <t>ΔR</t>
  </si>
  <si>
    <t>α</t>
  </si>
  <si>
    <t>β</t>
  </si>
  <si>
    <t>uo</t>
  </si>
  <si>
    <t>vo</t>
  </si>
  <si>
    <t>L</t>
  </si>
  <si>
    <t>H</t>
  </si>
  <si>
    <t>O2bOPO2hOP</t>
  </si>
  <si>
    <t>O1bOPO1hOP</t>
  </si>
  <si>
    <t>II O2bOPO2hOP II</t>
  </si>
  <si>
    <t>II O1bOPO1hOP II</t>
  </si>
  <si>
    <t>O1hOPO2bOP</t>
  </si>
  <si>
    <t>O1hOPO2bOP ^ J2</t>
  </si>
  <si>
    <t>II O1hOPO2bOP ^ J2 II</t>
  </si>
  <si>
    <t>O1bOPO2bOP</t>
  </si>
  <si>
    <t>II O1bOPO2bOP ^ J2 II</t>
  </si>
  <si>
    <t>Cylindre parfais</t>
  </si>
  <si>
    <t>Cylindre avec défauts</t>
  </si>
  <si>
    <t xml:space="preserve">Résultat des produis </t>
  </si>
  <si>
    <t>z</t>
  </si>
  <si>
    <t>IT</t>
  </si>
  <si>
    <t>Hauteur</t>
  </si>
  <si>
    <t xml:space="preserve">O2h
(Point centre haut)
</t>
  </si>
  <si>
    <t>O2hOp
(Point centre haut optmisé)</t>
  </si>
  <si>
    <t>O1h
(Point centre haut)</t>
  </si>
  <si>
    <t>O1hOp
(Point centre haut optmisé)</t>
  </si>
  <si>
    <t>O2b
(Point centre bas)</t>
  </si>
  <si>
    <t>O2bOp
(Point centre bas optimisé)</t>
  </si>
  <si>
    <t>O1b
(Point centre bas)</t>
  </si>
  <si>
    <t>O1bOp
(Point centre bas optimisé)</t>
  </si>
  <si>
    <t>J2
(Vecteur de l'axe)</t>
  </si>
  <si>
    <t>J1
(Vecteur de l'axe)</t>
  </si>
  <si>
    <t>Distance théorique entre cylindres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</si>
</sst>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0.000000"/>
    <numFmt numFmtId="166" formatCode="0.00000E+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TimesNewRomanPSMT"/>
    </font>
    <font>
      <sz val="1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2" fontId="0" fillId="0" borderId="0" xfId="0" applyNumberFormat="1" applyFont="1" applyAlignment="1">
      <alignment horizontal="center" vertical="center"/>
    </xf>
    <xf numFmtId="11" fontId="0" fillId="0" borderId="0" xfId="0" applyNumberFormat="1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4" borderId="0" xfId="0" applyFill="1"/>
    <xf numFmtId="0" fontId="0" fillId="0" borderId="0" xfId="0" applyFill="1"/>
    <xf numFmtId="2" fontId="4" fillId="0" borderId="0" xfId="0" applyNumberFormat="1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Border="1"/>
    <xf numFmtId="11" fontId="0" fillId="0" borderId="0" xfId="0" applyNumberFormat="1"/>
    <xf numFmtId="0" fontId="0" fillId="5" borderId="1" xfId="0" applyFill="1" applyBorder="1" applyAlignment="1">
      <alignment horizontal="center" vertical="center"/>
    </xf>
    <xf numFmtId="0" fontId="0" fillId="6" borderId="1" xfId="0" applyFill="1" applyBorder="1"/>
    <xf numFmtId="11" fontId="0" fillId="6" borderId="1" xfId="0" applyNumberFormat="1" applyFill="1" applyBorder="1"/>
    <xf numFmtId="11" fontId="4" fillId="0" borderId="0" xfId="0" applyNumberFormat="1" applyFont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1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0" fillId="5" borderId="0" xfId="0" applyFill="1"/>
    <xf numFmtId="2" fontId="0" fillId="6" borderId="1" xfId="0" applyNumberFormat="1" applyFill="1" applyBorder="1"/>
    <xf numFmtId="0" fontId="7" fillId="5" borderId="1" xfId="0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165" fontId="0" fillId="0" borderId="8" xfId="0" applyNumberFormat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65" fontId="0" fillId="6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11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5" formatCode="0.00E+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5" formatCode="0.00E+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numFmt numFmtId="15" formatCode="0.00E+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numFmt numFmtId="15" formatCode="0.00E+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numFmt numFmtId="15" formatCode="0.00E+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numFmt numFmtId="164" formatCode="0.0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numFmt numFmtId="164" formatCode="0.0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numFmt numFmtId="2" formatCode="0.00"/>
      <alignment horizontal="center" vertical="center" textRotation="0" wrapText="0" indent="0" justifyLastLine="0" shrinkToFit="0" readingOrder="0"/>
    </dxf>
    <dxf>
      <border outline="0">
        <bottom style="thick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numFmt numFmtId="15" formatCode="0.00E+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numFmt numFmtId="15" formatCode="0.00E+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numFmt numFmtId="164" formatCode="0.0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numFmt numFmtId="164" formatCode="0.0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numFmt numFmtId="164" formatCode="0.0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NewRomanPSMT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numFmt numFmtId="2" formatCode="0.00"/>
      <alignment horizontal="center" vertical="center" textRotation="0" wrapText="0" indent="0" justifyLastLine="0" shrinkToFit="0" readingOrder="0"/>
    </dxf>
    <dxf>
      <border outline="0">
        <bottom style="thick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378" displayName="Tableau378" ref="B7:AA33" totalsRowCount="1" headerRowDxfId="111" dataDxfId="109" headerRowBorderDxfId="110">
  <autoFilter ref="B7:AA32"/>
  <tableColumns count="26">
    <tableColumn id="1" name="i" dataDxfId="108" totalsRowDxfId="107"/>
    <tableColumn id="2" name="Xi" totalsRowFunction="custom" dataDxfId="106" totalsRowDxfId="105">
      <calculatedColumnFormula>'Points mesurés'!G6</calculatedColumnFormula>
      <totalsRowFormula>SUM(Tableau378[Xi])</totalsRowFormula>
    </tableColumn>
    <tableColumn id="3" name="Yi" totalsRowFunction="custom" dataDxfId="104" totalsRowDxfId="103">
      <calculatedColumnFormula>'Points mesurés'!H6</calculatedColumnFormula>
      <totalsRowFormula>SUM(Tableau378[Yi])</totalsRowFormula>
    </tableColumn>
    <tableColumn id="17" name="Zi" totalsRowFunction="custom" dataDxfId="102" totalsRowDxfId="101">
      <calculatedColumnFormula>'Points mesurés'!I6</calculatedColumnFormula>
      <totalsRowFormula>SUM(Tableau378[Zi])</totalsRowFormula>
    </tableColumn>
    <tableColumn id="35" name="Xi²" totalsRowFunction="custom" dataDxfId="100" totalsRowDxfId="99">
      <calculatedColumnFormula>Tableau378[[#This Row],[Xi]]*Tableau378[[#This Row],[Xi]]</calculatedColumnFormula>
      <totalsRowFormula>SUM(Tableau378[Xi²])</totalsRowFormula>
    </tableColumn>
    <tableColumn id="36" name="Yi²" totalsRowFunction="custom" dataDxfId="98" totalsRowDxfId="97">
      <calculatedColumnFormula>Tableau378[[#This Row],[Yi]]*Tableau378[[#This Row],[Yi]]</calculatedColumnFormula>
      <totalsRowFormula>SUM(Tableau378[Yi²])</totalsRowFormula>
    </tableColumn>
    <tableColumn id="18" name="Zi²" totalsRowFunction="custom" dataDxfId="96" totalsRowDxfId="95">
      <calculatedColumnFormula>E8*E8</calculatedColumnFormula>
      <totalsRowFormula>SUM(Tableau378[Zi²])</totalsRowFormula>
    </tableColumn>
    <tableColumn id="7" name="Ri" totalsRowFunction="custom" dataDxfId="94" totalsRowDxfId="93">
      <calculatedColumnFormula>SQRT(Tableau378[[#This Row],[Xi²]]+Tableau378[[#This Row],[Yi²]])</calculatedColumnFormula>
      <totalsRowFormula>SUM(Tableau378[Ri])</totalsRowFormula>
    </tableColumn>
    <tableColumn id="8" name="Cos teta i" totalsRowFunction="custom" dataDxfId="92" totalsRowDxfId="91">
      <calculatedColumnFormula>IFERROR(Tableau378[[#This Row],[Xi]]/Tableau378[[#This Row],[Ri]],0)</calculatedColumnFormula>
      <totalsRowFormula>SUM(Tableau378[Cos teta i])</totalsRowFormula>
    </tableColumn>
    <tableColumn id="22" name="Sin teta i" totalsRowFunction="custom" dataDxfId="90" totalsRowDxfId="89">
      <calculatedColumnFormula>IFERROR(Tableau378[[#This Row],[Yi]]/Tableau378[[#This Row],[Ri]],0)</calculatedColumnFormula>
      <totalsRowFormula>SUM(Tableau378[Sin teta i])</totalsRowFormula>
    </tableColumn>
    <tableColumn id="24" name="Cos² teta i2" totalsRowFunction="custom" dataDxfId="88" totalsRowDxfId="87">
      <calculatedColumnFormula>Tableau378[[#This Row],[Cos teta i]]*Tableau378[[#This Row],[Cos teta i]]</calculatedColumnFormula>
      <totalsRowFormula>SUM(Tableau378[Cos² teta i2])</totalsRowFormula>
    </tableColumn>
    <tableColumn id="23" name="Sin² teta i2" totalsRowFunction="custom" dataDxfId="86" totalsRowDxfId="85">
      <calculatedColumnFormula>Tableau378[[#This Row],[Sin teta i]]*Tableau378[[#This Row],[Sin teta i]]</calculatedColumnFormula>
      <totalsRowFormula>SUM(Tableau378[Sin² teta i2])</totalsRowFormula>
    </tableColumn>
    <tableColumn id="19" name="Zi * sinteta" totalsRowFunction="custom" dataDxfId="84" totalsRowDxfId="83">
      <calculatedColumnFormula>Tableau378[[#This Row],[Zi]]*Tableau378[[#This Row],[Sin teta i]]</calculatedColumnFormula>
      <totalsRowFormula>SUM(Tableau378[Zi * sinteta])</totalsRowFormula>
    </tableColumn>
    <tableColumn id="26" name="Zi * sin²teta" totalsRowFunction="custom" dataDxfId="82" totalsRowDxfId="81">
      <calculatedColumnFormula>Tableau378[[#This Row],[Zi]]*Tableau378[[#This Row],[Sin² teta i2]]</calculatedColumnFormula>
      <totalsRowFormula>SUM(Tableau378[Zi * sin²teta])</totalsRowFormula>
    </tableColumn>
    <tableColumn id="25" name="Zi * cos" totalsRowFunction="custom" dataDxfId="80" totalsRowDxfId="79">
      <calculatedColumnFormula>Tableau378[[#This Row],[Zi]]*Tableau378[[#This Row],[Cos teta i]]</calculatedColumnFormula>
      <totalsRowFormula>SUM(Tableau378[Zi * cos])</totalsRowFormula>
    </tableColumn>
    <tableColumn id="30" name="Zi * cos²" totalsRowFunction="custom" dataDxfId="78" totalsRowDxfId="77">
      <calculatedColumnFormula>Tableau378[[#This Row],[Zi]]*Tableau378[[#This Row],[Cos² teta i2]]</calculatedColumnFormula>
      <totalsRowFormula>SUM(Tableau378[Zi * cos²])</totalsRowFormula>
    </tableColumn>
    <tableColumn id="20" name="Zi*cos*sin" totalsRowFunction="custom" dataDxfId="76" totalsRowDxfId="75">
      <calculatedColumnFormula>Tableau378[[#This Row],[Zi * sinteta]]*Tableau378[[#This Row],[Cos teta i]]</calculatedColumnFormula>
      <totalsRowFormula>SUM(Tableau378[Zi*cos*sin])</totalsRowFormula>
    </tableColumn>
    <tableColumn id="27" name="Zi²*cos*sin" totalsRowFunction="custom" dataDxfId="74" totalsRowDxfId="73">
      <calculatedColumnFormula>Tableau378[[#This Row],[Zi²]]*Tableau378[[#This Row],[Cos teta i]]*Tableau378[[#This Row],[Sin teta i]]</calculatedColumnFormula>
      <totalsRowFormula>SUM(Tableau378[Zi²*cos*sin])</totalsRowFormula>
    </tableColumn>
    <tableColumn id="28" name="Zi²*cos²" totalsRowFunction="custom" dataDxfId="72" totalsRowDxfId="71">
      <calculatedColumnFormula>Tableau378[[#This Row],[Zi²]]*Tableau378[[#This Row],[Cos² teta i2]]</calculatedColumnFormula>
      <totalsRowFormula>SUM(Tableau378[Zi²*cos²])</totalsRowFormula>
    </tableColumn>
    <tableColumn id="29" name="Zi²*sin²" totalsRowFunction="custom" dataDxfId="70" totalsRowDxfId="69">
      <calculatedColumnFormula>Tableau378[[#This Row],[Zi²]]*Tableau378[[#This Row],[Sin² teta i2]]</calculatedColumnFormula>
      <totalsRowFormula>SUM(Tableau378[Zi²*sin²])</totalsRowFormula>
    </tableColumn>
    <tableColumn id="12" name="cos sin" totalsRowFunction="custom" dataDxfId="68" totalsRowDxfId="67">
      <calculatedColumnFormula>Tableau378[[#This Row],[Cos teta i]]*Tableau378[[#This Row],[Sin teta i]]</calculatedColumnFormula>
      <totalsRowFormula>SUM(Tableau378[cos sin])</totalsRowFormula>
    </tableColumn>
    <tableColumn id="13" name="Psi" totalsRowFunction="custom" dataDxfId="66" totalsRowDxfId="65">
      <calculatedColumnFormula>IF(Tableau378[[#This Row],[Ri]] &lt;&gt;0,Tableau378[[#This Row],[Ri]]-'Points mesurés'!$D$3,0)</calculatedColumnFormula>
      <totalsRowFormula>SUM(Tableau378[Psi])</totalsRowFormula>
    </tableColumn>
    <tableColumn id="14" name="Zi*sin*psi" totalsRowFunction="custom" dataDxfId="64" totalsRowDxfId="63">
      <calculatedColumnFormula>Tableau378[[#This Row],[Zi * sinteta]]*W8</calculatedColumnFormula>
      <totalsRowFormula>SUM(Tableau378[Zi*sin*psi])</totalsRowFormula>
    </tableColumn>
    <tableColumn id="15" name="Zi*cos*psi" totalsRowFunction="custom" dataDxfId="62" totalsRowDxfId="61">
      <calculatedColumnFormula>Tableau378[[#This Row],[Zi * cos]]*Tableau378[[#This Row],[Psi]]</calculatedColumnFormula>
      <totalsRowFormula>SUM(Tableau378[Zi*cos*psi])</totalsRowFormula>
    </tableColumn>
    <tableColumn id="31" name="psi*cos" totalsRowFunction="custom" dataDxfId="60" totalsRowDxfId="59">
      <calculatedColumnFormula>Tableau378[[#This Row],[Psi]]*Tableau378[[#This Row],[Cos teta i]]</calculatedColumnFormula>
      <totalsRowFormula>SUM(Tableau378[psi*cos])</totalsRowFormula>
    </tableColumn>
    <tableColumn id="32" name="psi*sin" totalsRowFunction="custom" dataDxfId="58" totalsRowDxfId="57">
      <calculatedColumnFormula>Tableau378[[#This Row],[Psi]]*Tableau378[[#This Row],[Sin teta i]]</calculatedColumnFormula>
      <totalsRowFormula>SUM(Tableau378[psi*sin])</totalsRow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3783" displayName="Tableau3783" ref="B57:AA83" totalsRowCount="1" headerRowDxfId="56" dataDxfId="54" headerRowBorderDxfId="55">
  <autoFilter ref="B57:AA82"/>
  <tableColumns count="26">
    <tableColumn id="1" name="i" dataDxfId="53" totalsRowDxfId="52"/>
    <tableColumn id="2" name="Xi" totalsRowFunction="custom" dataDxfId="51" totalsRowDxfId="50">
      <calculatedColumnFormula>'Points mesurés'!D6</calculatedColumnFormula>
      <totalsRowFormula>SUM(Tableau3783[Xi])</totalsRowFormula>
    </tableColumn>
    <tableColumn id="3" name="Yi" totalsRowFunction="custom" dataDxfId="49" totalsRowDxfId="48">
      <calculatedColumnFormula>'Points mesurés'!E6</calculatedColumnFormula>
      <totalsRowFormula>SUM(Tableau3783[Yi])</totalsRowFormula>
    </tableColumn>
    <tableColumn id="17" name="Zi" totalsRowFunction="custom" dataDxfId="47" totalsRowDxfId="46">
      <calculatedColumnFormula>'Points mesurés'!F6</calculatedColumnFormula>
      <totalsRowFormula>SUM(Tableau3783[Zi])</totalsRowFormula>
    </tableColumn>
    <tableColumn id="35" name="Xi²" totalsRowFunction="custom" dataDxfId="45" totalsRowDxfId="44">
      <calculatedColumnFormula>Tableau3783[[#This Row],[Xi]]*Tableau3783[[#This Row],[Xi]]</calculatedColumnFormula>
      <totalsRowFormula>SUM(Tableau3783[Xi²])</totalsRowFormula>
    </tableColumn>
    <tableColumn id="36" name="Yi²" totalsRowFunction="custom" dataDxfId="43" totalsRowDxfId="42">
      <calculatedColumnFormula>Tableau3783[[#This Row],[Yi]]*Tableau3783[[#This Row],[Yi]]</calculatedColumnFormula>
      <totalsRowFormula>SUM(Tableau3783[Yi²])</totalsRowFormula>
    </tableColumn>
    <tableColumn id="18" name="Zi²" totalsRowFunction="custom" dataDxfId="41" totalsRowDxfId="40">
      <calculatedColumnFormula>E58*E58</calculatedColumnFormula>
      <totalsRowFormula>SUM(Tableau3783[Zi²])</totalsRowFormula>
    </tableColumn>
    <tableColumn id="7" name="Ri" totalsRowFunction="custom" dataDxfId="39" totalsRowDxfId="38">
      <calculatedColumnFormula>'Points mesurés'!$D$3</calculatedColumnFormula>
      <totalsRowFormula>SUM(Tableau3783[Ri])</totalsRowFormula>
    </tableColumn>
    <tableColumn id="8" name="Cos teta i" totalsRowFunction="custom" dataDxfId="37" totalsRowDxfId="36">
      <calculatedColumnFormula>IFERROR(Tableau3783[[#This Row],[Xi]]/Tableau3783[[#This Row],[Ri]],0)</calculatedColumnFormula>
      <totalsRowFormula>SUM(Tableau3783[Cos teta i])</totalsRowFormula>
    </tableColumn>
    <tableColumn id="22" name="Sin teta i" totalsRowFunction="custom" dataDxfId="35" totalsRowDxfId="34">
      <calculatedColumnFormula>IFERROR(Tableau3783[[#This Row],[Yi]]/Tableau3783[[#This Row],[Ri]],0)</calculatedColumnFormula>
      <totalsRowFormula>SUM(Tableau3783[Sin teta i])</totalsRowFormula>
    </tableColumn>
    <tableColumn id="24" name="Cos² teta i2" totalsRowFunction="custom" dataDxfId="33" totalsRowDxfId="32">
      <calculatedColumnFormula>Tableau3783[[#This Row],[Cos teta i]]*Tableau3783[[#This Row],[Cos teta i]]</calculatedColumnFormula>
      <totalsRowFormula>SUM(Tableau3783[Cos² teta i2])</totalsRowFormula>
    </tableColumn>
    <tableColumn id="23" name="Sin² teta i2" totalsRowFunction="custom" dataDxfId="31" totalsRowDxfId="30">
      <calculatedColumnFormula>Tableau3783[[#This Row],[Sin teta i]]*Tableau3783[[#This Row],[Sin teta i]]</calculatedColumnFormula>
      <totalsRowFormula>SUM(Tableau3783[Sin² teta i2])</totalsRowFormula>
    </tableColumn>
    <tableColumn id="19" name="Zi * sinteta" totalsRowFunction="custom" dataDxfId="29" totalsRowDxfId="28">
      <calculatedColumnFormula>Tableau3783[[#This Row],[Zi]]*Tableau3783[[#This Row],[Sin teta i]]</calculatedColumnFormula>
      <totalsRowFormula>SUM(Tableau3783[Zi * sinteta])</totalsRowFormula>
    </tableColumn>
    <tableColumn id="26" name="Zi * sin²teta" totalsRowFunction="custom" dataDxfId="27" totalsRowDxfId="26">
      <calculatedColumnFormula>Tableau3783[[#This Row],[Zi]]*Tableau3783[[#This Row],[Sin² teta i2]]</calculatedColumnFormula>
      <totalsRowFormula>SUM(Tableau3783[Zi * sin²teta])</totalsRowFormula>
    </tableColumn>
    <tableColumn id="25" name="Zi * cos" totalsRowFunction="custom" dataDxfId="25" totalsRowDxfId="24">
      <calculatedColumnFormula>Tableau3783[[#This Row],[Zi]]*Tableau3783[[#This Row],[Cos teta i]]</calculatedColumnFormula>
      <totalsRowFormula>SUM(Tableau3783[Zi * cos])</totalsRowFormula>
    </tableColumn>
    <tableColumn id="30" name="Zi * cos²" totalsRowFunction="custom" dataDxfId="23" totalsRowDxfId="22">
      <calculatedColumnFormula>Tableau3783[[#This Row],[Zi]]*Tableau3783[[#This Row],[Cos² teta i2]]</calculatedColumnFormula>
      <totalsRowFormula>SUM(Tableau3783[Zi * cos²])</totalsRowFormula>
    </tableColumn>
    <tableColumn id="20" name="Zi*cos*sin" totalsRowFunction="custom" dataDxfId="21" totalsRowDxfId="20">
      <calculatedColumnFormula>Tableau3783[[#This Row],[Zi * sinteta]]*Tableau3783[[#This Row],[Cos teta i]]</calculatedColumnFormula>
      <totalsRowFormula>SUM(Tableau3783[Zi*cos*sin])</totalsRowFormula>
    </tableColumn>
    <tableColumn id="27" name="Zi²*cos*sin" totalsRowFunction="custom" dataDxfId="19" totalsRowDxfId="18">
      <calculatedColumnFormula>Tableau3783[[#This Row],[Zi²]]*Tableau3783[[#This Row],[Cos teta i]]*Tableau3783[[#This Row],[Sin teta i]]</calculatedColumnFormula>
      <totalsRowFormula>SUM(Tableau3783[Zi²*cos*sin])</totalsRowFormula>
    </tableColumn>
    <tableColumn id="28" name="Zi²*cos²" totalsRowFunction="custom" dataDxfId="17" totalsRowDxfId="16">
      <calculatedColumnFormula>Tableau3783[[#This Row],[Zi²]]*Tableau3783[[#This Row],[Cos² teta i2]]</calculatedColumnFormula>
      <totalsRowFormula>SUM(Tableau3783[Zi²*cos²])</totalsRowFormula>
    </tableColumn>
    <tableColumn id="29" name="Zi²*sin²" totalsRowFunction="custom" dataDxfId="15" totalsRowDxfId="14">
      <calculatedColumnFormula>Tableau3783[[#This Row],[Zi²]]*Tableau3783[[#This Row],[Sin² teta i2]]</calculatedColumnFormula>
      <totalsRowFormula>SUM(Tableau3783[Zi²*sin²])</totalsRowFormula>
    </tableColumn>
    <tableColumn id="12" name="cos sin" totalsRowFunction="custom" dataDxfId="13" totalsRowDxfId="12">
      <calculatedColumnFormula>Tableau3783[[#This Row],[Cos teta i]]*Tableau3783[[#This Row],[Sin teta i]]</calculatedColumnFormula>
      <totalsRowFormula>SUM(Tableau3783[cos sin])</totalsRowFormula>
    </tableColumn>
    <tableColumn id="13" name="Psi" totalsRowFunction="custom" dataDxfId="11" totalsRowDxfId="10">
      <calculatedColumnFormula>IF(Tableau3783[[#This Row],[Ri]] &lt;&gt;0,Tableau3783[[#This Row],[Ri]]-'Points mesurés'!$D$3,0)</calculatedColumnFormula>
      <totalsRowFormula>SUM(Tableau3783[Psi])</totalsRowFormula>
    </tableColumn>
    <tableColumn id="14" name="Zi*sin*psi" totalsRowFunction="custom" dataDxfId="9" totalsRowDxfId="8">
      <calculatedColumnFormula>Tableau3783[[#This Row],[Zi * sinteta]]*W58</calculatedColumnFormula>
      <totalsRowFormula>SUM(Tableau3783[Zi*sin*psi])</totalsRowFormula>
    </tableColumn>
    <tableColumn id="15" name="Zi*cos*psi" totalsRowFunction="custom" dataDxfId="7" totalsRowDxfId="6">
      <calculatedColumnFormula>Tableau3783[[#This Row],[Zi * cos]]*Tableau3783[[#This Row],[Psi]]</calculatedColumnFormula>
      <totalsRowFormula>SUM(Tableau3783[Zi*cos*psi])</totalsRowFormula>
    </tableColumn>
    <tableColumn id="31" name="psi*cos" totalsRowFunction="custom" dataDxfId="5" totalsRowDxfId="4">
      <calculatedColumnFormula>Tableau3783[[#This Row],[Psi]]*Tableau3783[[#This Row],[Cos teta i]]</calculatedColumnFormula>
      <totalsRowFormula>SUM(Tableau3783[psi*cos])</totalsRowFormula>
    </tableColumn>
    <tableColumn id="32" name="psi*sin" totalsRowFunction="custom" dataDxfId="3" totalsRowDxfId="2">
      <calculatedColumnFormula>Tableau3783[[#This Row],[Psi]]*Tableau3783[[#This Row],[Sin teta i]]</calculatedColumnFormula>
      <totalsRowFormula>SUM(Tableau3783[psi*sin])</totalsRow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30"/>
  <sheetViews>
    <sheetView tabSelected="1" zoomScale="80" zoomScaleNormal="80" workbookViewId="0">
      <selection activeCell="N17" sqref="N17"/>
    </sheetView>
  </sheetViews>
  <sheetFormatPr baseColWidth="10" defaultRowHeight="15" x14ac:dyDescent="0.25"/>
  <cols>
    <col min="1" max="1" width="4.7109375" style="1" customWidth="1"/>
    <col min="2" max="2" width="30.7109375" style="1" bestFit="1" customWidth="1"/>
    <col min="3" max="3" width="26.7109375" style="1" bestFit="1" customWidth="1"/>
    <col min="4" max="4" width="18" style="1" bestFit="1" customWidth="1"/>
    <col min="5" max="7" width="11.42578125" style="1"/>
    <col min="8" max="8" width="37" style="1" bestFit="1" customWidth="1"/>
    <col min="9" max="16384" width="11.42578125" style="1"/>
  </cols>
  <sheetData>
    <row r="1" spans="2:9" ht="9" customHeight="1" x14ac:dyDescent="0.25"/>
    <row r="2" spans="2:9" x14ac:dyDescent="0.25">
      <c r="B2" s="18" t="s">
        <v>6</v>
      </c>
      <c r="C2" s="18" t="s">
        <v>7</v>
      </c>
      <c r="D2" s="18" t="s">
        <v>8</v>
      </c>
      <c r="E2" s="18" t="s">
        <v>0</v>
      </c>
      <c r="F2" s="18" t="s">
        <v>1</v>
      </c>
      <c r="G2" s="18" t="s">
        <v>93</v>
      </c>
      <c r="H2" s="18" t="s">
        <v>105</v>
      </c>
      <c r="I2" s="18" t="s">
        <v>94</v>
      </c>
    </row>
    <row r="3" spans="2:9" x14ac:dyDescent="0.25">
      <c r="B3" s="36">
        <v>24</v>
      </c>
      <c r="C3" s="58">
        <f>(2*PI())/B3</f>
        <v>0.26179938779914941</v>
      </c>
      <c r="D3" s="36">
        <v>5</v>
      </c>
      <c r="E3" s="36">
        <v>0.1</v>
      </c>
      <c r="F3" s="36">
        <v>0</v>
      </c>
      <c r="G3" s="36">
        <v>0.3</v>
      </c>
      <c r="H3" s="36">
        <v>80</v>
      </c>
      <c r="I3" s="36">
        <v>60</v>
      </c>
    </row>
    <row r="5" spans="2:9" x14ac:dyDescent="0.25">
      <c r="B5" s="1" t="s">
        <v>2</v>
      </c>
      <c r="C5" s="1" t="s">
        <v>3</v>
      </c>
      <c r="D5" s="1" t="s">
        <v>0</v>
      </c>
      <c r="E5" s="1" t="s">
        <v>1</v>
      </c>
      <c r="F5" s="1" t="s">
        <v>92</v>
      </c>
      <c r="G5" s="1" t="s">
        <v>4</v>
      </c>
      <c r="H5" s="1" t="s">
        <v>5</v>
      </c>
      <c r="I5" s="1" t="s">
        <v>92</v>
      </c>
    </row>
    <row r="6" spans="2:9" x14ac:dyDescent="0.25">
      <c r="B6" s="1">
        <v>1</v>
      </c>
      <c r="C6" s="2">
        <v>0</v>
      </c>
      <c r="D6" s="2">
        <f t="shared" ref="D6:D30" si="0">$D$3*COS(C6)</f>
        <v>5</v>
      </c>
      <c r="E6" s="2">
        <f t="shared" ref="E6:E30" si="1">$D$3*SIN(C6)</f>
        <v>0</v>
      </c>
      <c r="F6" s="1">
        <f>I6</f>
        <v>60</v>
      </c>
      <c r="G6" s="2">
        <f t="shared" ref="G6:G30" si="2">D6+$E$3</f>
        <v>5.0999999999999996</v>
      </c>
      <c r="H6" s="2">
        <f t="shared" ref="H6:H30" si="3">E6+$F$3</f>
        <v>0</v>
      </c>
      <c r="I6" s="1">
        <f>$I$3</f>
        <v>60</v>
      </c>
    </row>
    <row r="7" spans="2:9" x14ac:dyDescent="0.25">
      <c r="B7" s="1">
        <v>2</v>
      </c>
      <c r="C7" s="2">
        <f t="shared" ref="C7:C30" si="4">C6+$C$3</f>
        <v>0.26179938779914941</v>
      </c>
      <c r="D7" s="2">
        <f t="shared" si="0"/>
        <v>4.8296291314453415</v>
      </c>
      <c r="E7" s="2">
        <f t="shared" si="1"/>
        <v>1.2940952255126037</v>
      </c>
      <c r="F7" s="1">
        <f t="shared" ref="F7:F30" si="5">I7</f>
        <v>60</v>
      </c>
      <c r="G7" s="2">
        <f t="shared" si="2"/>
        <v>4.9296291314453411</v>
      </c>
      <c r="H7" s="2">
        <f t="shared" si="3"/>
        <v>1.2940952255126037</v>
      </c>
      <c r="I7" s="1">
        <f t="shared" ref="I7:I18" si="6">$I$3</f>
        <v>60</v>
      </c>
    </row>
    <row r="8" spans="2:9" x14ac:dyDescent="0.25">
      <c r="B8" s="1">
        <v>3</v>
      </c>
      <c r="C8" s="2">
        <f t="shared" si="4"/>
        <v>0.52359877559829882</v>
      </c>
      <c r="D8" s="2">
        <f t="shared" si="0"/>
        <v>4.3301270189221936</v>
      </c>
      <c r="E8" s="2">
        <f t="shared" si="1"/>
        <v>2.4999999999999996</v>
      </c>
      <c r="F8" s="1">
        <f t="shared" si="5"/>
        <v>60</v>
      </c>
      <c r="G8" s="2">
        <f t="shared" si="2"/>
        <v>4.4301270189221933</v>
      </c>
      <c r="H8" s="2">
        <f t="shared" si="3"/>
        <v>2.4999999999999996</v>
      </c>
      <c r="I8" s="1">
        <f t="shared" si="6"/>
        <v>60</v>
      </c>
    </row>
    <row r="9" spans="2:9" x14ac:dyDescent="0.25">
      <c r="B9" s="1">
        <v>4</v>
      </c>
      <c r="C9" s="2">
        <f t="shared" si="4"/>
        <v>0.78539816339744828</v>
      </c>
      <c r="D9" s="2">
        <f t="shared" si="0"/>
        <v>3.5355339059327378</v>
      </c>
      <c r="E9" s="2">
        <f t="shared" si="1"/>
        <v>3.5355339059327373</v>
      </c>
      <c r="F9" s="1">
        <f t="shared" si="5"/>
        <v>60</v>
      </c>
      <c r="G9" s="2">
        <f t="shared" si="2"/>
        <v>3.6355339059327378</v>
      </c>
      <c r="H9" s="2">
        <f t="shared" si="3"/>
        <v>3.5355339059327373</v>
      </c>
      <c r="I9" s="1">
        <f t="shared" si="6"/>
        <v>60</v>
      </c>
    </row>
    <row r="10" spans="2:9" x14ac:dyDescent="0.25">
      <c r="B10" s="1">
        <v>5</v>
      </c>
      <c r="C10" s="2">
        <f t="shared" si="4"/>
        <v>1.0471975511965976</v>
      </c>
      <c r="D10" s="2">
        <f t="shared" si="0"/>
        <v>2.5000000000000004</v>
      </c>
      <c r="E10" s="2">
        <f t="shared" si="1"/>
        <v>4.3301270189221928</v>
      </c>
      <c r="F10" s="1">
        <f t="shared" si="5"/>
        <v>60</v>
      </c>
      <c r="G10" s="2">
        <f t="shared" si="2"/>
        <v>2.6000000000000005</v>
      </c>
      <c r="H10" s="2">
        <f t="shared" si="3"/>
        <v>4.3301270189221928</v>
      </c>
      <c r="I10" s="1">
        <f t="shared" si="6"/>
        <v>60</v>
      </c>
    </row>
    <row r="11" spans="2:9" x14ac:dyDescent="0.25">
      <c r="B11" s="1">
        <v>6</v>
      </c>
      <c r="C11" s="2">
        <f t="shared" si="4"/>
        <v>1.308996938995747</v>
      </c>
      <c r="D11" s="2">
        <f t="shared" si="0"/>
        <v>1.2940952255126048</v>
      </c>
      <c r="E11" s="2">
        <f t="shared" si="1"/>
        <v>4.8296291314453406</v>
      </c>
      <c r="F11" s="1">
        <f t="shared" si="5"/>
        <v>60</v>
      </c>
      <c r="G11" s="2">
        <f t="shared" si="2"/>
        <v>1.3940952255126049</v>
      </c>
      <c r="H11" s="2">
        <f t="shared" si="3"/>
        <v>4.8296291314453406</v>
      </c>
      <c r="I11" s="1">
        <f t="shared" si="6"/>
        <v>60</v>
      </c>
    </row>
    <row r="12" spans="2:9" x14ac:dyDescent="0.25">
      <c r="B12" s="1">
        <v>7</v>
      </c>
      <c r="C12" s="2">
        <f t="shared" si="4"/>
        <v>1.5707963267948963</v>
      </c>
      <c r="D12" s="2">
        <f t="shared" si="0"/>
        <v>1.4165101383523115E-15</v>
      </c>
      <c r="E12" s="2">
        <f t="shared" si="1"/>
        <v>5</v>
      </c>
      <c r="F12" s="1">
        <f t="shared" si="5"/>
        <v>60</v>
      </c>
      <c r="G12" s="2">
        <f t="shared" si="2"/>
        <v>0.10000000000000142</v>
      </c>
      <c r="H12" s="2">
        <f t="shared" si="3"/>
        <v>5</v>
      </c>
      <c r="I12" s="1">
        <f t="shared" si="6"/>
        <v>60</v>
      </c>
    </row>
    <row r="13" spans="2:9" x14ac:dyDescent="0.25">
      <c r="B13" s="1">
        <v>8</v>
      </c>
      <c r="C13" s="2">
        <f t="shared" si="4"/>
        <v>1.8325957145940457</v>
      </c>
      <c r="D13" s="2">
        <f t="shared" si="0"/>
        <v>-1.2940952255126019</v>
      </c>
      <c r="E13" s="2">
        <f t="shared" si="1"/>
        <v>4.8296291314453423</v>
      </c>
      <c r="F13" s="1">
        <f t="shared" si="5"/>
        <v>60</v>
      </c>
      <c r="G13" s="2">
        <f t="shared" si="2"/>
        <v>-1.1940952255126018</v>
      </c>
      <c r="H13" s="2">
        <f t="shared" si="3"/>
        <v>4.8296291314453423</v>
      </c>
      <c r="I13" s="1">
        <f t="shared" si="6"/>
        <v>60</v>
      </c>
    </row>
    <row r="14" spans="2:9" x14ac:dyDescent="0.25">
      <c r="B14" s="1">
        <v>9</v>
      </c>
      <c r="C14" s="2">
        <f t="shared" si="4"/>
        <v>2.0943951023931953</v>
      </c>
      <c r="D14" s="2">
        <f t="shared" si="0"/>
        <v>-2.4999999999999991</v>
      </c>
      <c r="E14" s="2">
        <f t="shared" si="1"/>
        <v>4.3301270189221936</v>
      </c>
      <c r="F14" s="1">
        <f t="shared" si="5"/>
        <v>60</v>
      </c>
      <c r="G14" s="2">
        <f t="shared" si="2"/>
        <v>-2.399999999999999</v>
      </c>
      <c r="H14" s="2">
        <f t="shared" si="3"/>
        <v>4.3301270189221936</v>
      </c>
      <c r="I14" s="1">
        <f t="shared" si="6"/>
        <v>60</v>
      </c>
    </row>
    <row r="15" spans="2:9" x14ac:dyDescent="0.25">
      <c r="B15" s="1">
        <v>10</v>
      </c>
      <c r="C15" s="2">
        <f t="shared" si="4"/>
        <v>2.3561944901923448</v>
      </c>
      <c r="D15" s="2">
        <f t="shared" si="0"/>
        <v>-3.5355339059327373</v>
      </c>
      <c r="E15" s="2">
        <f t="shared" si="1"/>
        <v>3.5355339059327378</v>
      </c>
      <c r="F15" s="1">
        <f t="shared" si="5"/>
        <v>60</v>
      </c>
      <c r="G15" s="2">
        <f t="shared" si="2"/>
        <v>-3.4355339059327372</v>
      </c>
      <c r="H15" s="2">
        <f t="shared" si="3"/>
        <v>3.5355339059327378</v>
      </c>
      <c r="I15" s="1">
        <f t="shared" si="6"/>
        <v>60</v>
      </c>
    </row>
    <row r="16" spans="2:9" x14ac:dyDescent="0.25">
      <c r="B16" s="1">
        <v>11</v>
      </c>
      <c r="C16" s="2">
        <f t="shared" si="4"/>
        <v>2.6179938779914944</v>
      </c>
      <c r="D16" s="2">
        <f t="shared" si="0"/>
        <v>-4.3301270189221936</v>
      </c>
      <c r="E16" s="2">
        <f t="shared" si="1"/>
        <v>2.4999999999999996</v>
      </c>
      <c r="F16" s="1">
        <f t="shared" si="5"/>
        <v>60</v>
      </c>
      <c r="G16" s="2">
        <f t="shared" si="2"/>
        <v>-4.230127018922194</v>
      </c>
      <c r="H16" s="2">
        <f t="shared" si="3"/>
        <v>2.4999999999999996</v>
      </c>
      <c r="I16" s="1">
        <f t="shared" si="6"/>
        <v>60</v>
      </c>
    </row>
    <row r="17" spans="2:9" x14ac:dyDescent="0.25">
      <c r="B17" s="1">
        <v>12</v>
      </c>
      <c r="C17" s="2">
        <f t="shared" si="4"/>
        <v>2.879793265790644</v>
      </c>
      <c r="D17" s="2">
        <f t="shared" si="0"/>
        <v>-4.8296291314453415</v>
      </c>
      <c r="E17" s="2">
        <f t="shared" si="1"/>
        <v>1.2940952255126028</v>
      </c>
      <c r="F17" s="1">
        <f t="shared" si="5"/>
        <v>60</v>
      </c>
      <c r="G17" s="2">
        <f t="shared" si="2"/>
        <v>-4.7296291314453418</v>
      </c>
      <c r="H17" s="2">
        <f t="shared" si="3"/>
        <v>1.2940952255126028</v>
      </c>
      <c r="I17" s="1">
        <f t="shared" si="6"/>
        <v>60</v>
      </c>
    </row>
    <row r="18" spans="2:9" x14ac:dyDescent="0.25">
      <c r="B18" s="1">
        <v>13</v>
      </c>
      <c r="C18" s="2">
        <f t="shared" si="4"/>
        <v>3.1415926535897936</v>
      </c>
      <c r="D18" s="2">
        <f t="shared" si="0"/>
        <v>-5</v>
      </c>
      <c r="E18" s="2">
        <f t="shared" si="1"/>
        <v>-1.6078718217960031E-15</v>
      </c>
      <c r="F18" s="1">
        <f t="shared" si="5"/>
        <v>60</v>
      </c>
      <c r="G18" s="2">
        <f t="shared" si="2"/>
        <v>-4.9000000000000004</v>
      </c>
      <c r="H18" s="2">
        <f t="shared" si="3"/>
        <v>-1.6078718217960031E-15</v>
      </c>
      <c r="I18" s="1">
        <f t="shared" si="6"/>
        <v>60</v>
      </c>
    </row>
    <row r="19" spans="2:9" x14ac:dyDescent="0.25">
      <c r="B19" s="1">
        <v>14</v>
      </c>
      <c r="C19" s="2">
        <f t="shared" si="4"/>
        <v>3.4033920413889431</v>
      </c>
      <c r="D19" s="2">
        <f t="shared" si="0"/>
        <v>-4.8296291314453406</v>
      </c>
      <c r="E19" s="2">
        <f t="shared" si="1"/>
        <v>-1.2940952255126059</v>
      </c>
      <c r="F19" s="1">
        <f t="shared" si="5"/>
        <v>0</v>
      </c>
      <c r="G19" s="2">
        <f t="shared" si="2"/>
        <v>-4.7296291314453409</v>
      </c>
      <c r="H19" s="2">
        <f t="shared" si="3"/>
        <v>-1.2940952255126059</v>
      </c>
      <c r="I19" s="1">
        <v>0</v>
      </c>
    </row>
    <row r="20" spans="2:9" x14ac:dyDescent="0.25">
      <c r="B20" s="1">
        <v>15</v>
      </c>
      <c r="C20" s="2">
        <f t="shared" si="4"/>
        <v>3.6651914291880927</v>
      </c>
      <c r="D20" s="2">
        <f t="shared" si="0"/>
        <v>-4.3301270189221919</v>
      </c>
      <c r="E20" s="2">
        <f t="shared" si="1"/>
        <v>-2.5000000000000027</v>
      </c>
      <c r="F20" s="1">
        <f t="shared" si="5"/>
        <v>0</v>
      </c>
      <c r="G20" s="2">
        <f t="shared" si="2"/>
        <v>-4.2301270189221922</v>
      </c>
      <c r="H20" s="2">
        <f t="shared" si="3"/>
        <v>-2.5000000000000027</v>
      </c>
      <c r="I20" s="1">
        <v>0</v>
      </c>
    </row>
    <row r="21" spans="2:9" x14ac:dyDescent="0.25">
      <c r="B21" s="1">
        <v>16</v>
      </c>
      <c r="C21" s="2">
        <f t="shared" si="4"/>
        <v>3.9269908169872423</v>
      </c>
      <c r="D21" s="2">
        <f t="shared" si="0"/>
        <v>-3.5355339059327351</v>
      </c>
      <c r="E21" s="2">
        <f t="shared" si="1"/>
        <v>-3.53553390593274</v>
      </c>
      <c r="F21" s="1">
        <f t="shared" si="5"/>
        <v>0</v>
      </c>
      <c r="G21" s="2">
        <f t="shared" si="2"/>
        <v>-3.435533905932735</v>
      </c>
      <c r="H21" s="2">
        <f t="shared" si="3"/>
        <v>-3.53553390593274</v>
      </c>
      <c r="I21" s="1">
        <v>0</v>
      </c>
    </row>
    <row r="22" spans="2:9" x14ac:dyDescent="0.25">
      <c r="B22" s="1">
        <v>17</v>
      </c>
      <c r="C22" s="2">
        <f t="shared" si="4"/>
        <v>4.1887902047863914</v>
      </c>
      <c r="D22" s="2">
        <f t="shared" si="0"/>
        <v>-2.4999999999999982</v>
      </c>
      <c r="E22" s="2">
        <f t="shared" si="1"/>
        <v>-4.3301270189221945</v>
      </c>
      <c r="F22" s="1">
        <f t="shared" si="5"/>
        <v>0</v>
      </c>
      <c r="G22" s="2">
        <f t="shared" si="2"/>
        <v>-2.3999999999999981</v>
      </c>
      <c r="H22" s="2">
        <f t="shared" si="3"/>
        <v>-4.3301270189221945</v>
      </c>
      <c r="I22" s="1">
        <v>0</v>
      </c>
    </row>
    <row r="23" spans="2:9" x14ac:dyDescent="0.25">
      <c r="B23" s="1">
        <v>18</v>
      </c>
      <c r="C23" s="2">
        <f t="shared" si="4"/>
        <v>4.4505895925855405</v>
      </c>
      <c r="D23" s="2">
        <f t="shared" si="0"/>
        <v>-1.2940952255126033</v>
      </c>
      <c r="E23" s="2">
        <f t="shared" si="1"/>
        <v>-4.8296291314453415</v>
      </c>
      <c r="F23" s="1">
        <f t="shared" si="5"/>
        <v>0</v>
      </c>
      <c r="G23" s="2">
        <f t="shared" si="2"/>
        <v>-1.1940952255126032</v>
      </c>
      <c r="H23" s="2">
        <f t="shared" si="3"/>
        <v>-4.8296291314453415</v>
      </c>
      <c r="I23" s="1">
        <v>0</v>
      </c>
    </row>
    <row r="24" spans="2:9" x14ac:dyDescent="0.25">
      <c r="B24" s="1">
        <v>19</v>
      </c>
      <c r="C24" s="2">
        <f t="shared" si="4"/>
        <v>4.7123889803846897</v>
      </c>
      <c r="D24" s="2">
        <f t="shared" si="0"/>
        <v>-9.1886134118146501E-16</v>
      </c>
      <c r="E24" s="2">
        <f t="shared" si="1"/>
        <v>-5</v>
      </c>
      <c r="F24" s="1">
        <f t="shared" si="5"/>
        <v>0</v>
      </c>
      <c r="G24" s="2">
        <f t="shared" si="2"/>
        <v>9.999999999999909E-2</v>
      </c>
      <c r="H24" s="2">
        <f t="shared" si="3"/>
        <v>-5</v>
      </c>
      <c r="I24" s="1">
        <v>0</v>
      </c>
    </row>
    <row r="25" spans="2:9" x14ac:dyDescent="0.25">
      <c r="B25" s="1">
        <v>20</v>
      </c>
      <c r="C25" s="2">
        <f t="shared" si="4"/>
        <v>4.9741883681838388</v>
      </c>
      <c r="D25" s="2">
        <f t="shared" si="0"/>
        <v>1.2940952255126015</v>
      </c>
      <c r="E25" s="2">
        <f t="shared" si="1"/>
        <v>-4.8296291314453423</v>
      </c>
      <c r="F25" s="1">
        <f t="shared" si="5"/>
        <v>0</v>
      </c>
      <c r="G25" s="2">
        <f t="shared" si="2"/>
        <v>1.3940952255126016</v>
      </c>
      <c r="H25" s="2">
        <f t="shared" si="3"/>
        <v>-4.8296291314453423</v>
      </c>
      <c r="I25" s="1">
        <v>0</v>
      </c>
    </row>
    <row r="26" spans="2:9" x14ac:dyDescent="0.25">
      <c r="B26" s="1">
        <v>21</v>
      </c>
      <c r="C26" s="2">
        <f t="shared" si="4"/>
        <v>5.2359877559829879</v>
      </c>
      <c r="D26" s="2">
        <f t="shared" si="0"/>
        <v>2.4999999999999964</v>
      </c>
      <c r="E26" s="2">
        <f t="shared" si="1"/>
        <v>-4.3301270189221954</v>
      </c>
      <c r="F26" s="1">
        <f t="shared" si="5"/>
        <v>0</v>
      </c>
      <c r="G26" s="2">
        <f t="shared" si="2"/>
        <v>2.5999999999999965</v>
      </c>
      <c r="H26" s="2">
        <f t="shared" si="3"/>
        <v>-4.3301270189221954</v>
      </c>
      <c r="I26" s="1">
        <v>0</v>
      </c>
    </row>
    <row r="27" spans="2:9" x14ac:dyDescent="0.25">
      <c r="B27" s="1">
        <v>22</v>
      </c>
      <c r="C27" s="2">
        <f t="shared" si="4"/>
        <v>5.4977871437821371</v>
      </c>
      <c r="D27" s="2">
        <f t="shared" si="0"/>
        <v>3.5355339059327342</v>
      </c>
      <c r="E27" s="2">
        <f t="shared" si="1"/>
        <v>-3.5355339059327417</v>
      </c>
      <c r="F27" s="1">
        <f t="shared" si="5"/>
        <v>0</v>
      </c>
      <c r="G27" s="2">
        <f t="shared" si="2"/>
        <v>3.6355339059327343</v>
      </c>
      <c r="H27" s="2">
        <f t="shared" si="3"/>
        <v>-3.5355339059327417</v>
      </c>
      <c r="I27" s="1">
        <v>0</v>
      </c>
    </row>
    <row r="28" spans="2:9" x14ac:dyDescent="0.25">
      <c r="B28" s="1">
        <v>23</v>
      </c>
      <c r="C28" s="2">
        <f t="shared" si="4"/>
        <v>5.7595865315812862</v>
      </c>
      <c r="D28" s="2">
        <f t="shared" si="0"/>
        <v>4.3301270189221892</v>
      </c>
      <c r="E28" s="2">
        <f t="shared" si="1"/>
        <v>-2.5000000000000062</v>
      </c>
      <c r="F28" s="1">
        <f t="shared" si="5"/>
        <v>0</v>
      </c>
      <c r="G28" s="2">
        <f t="shared" si="2"/>
        <v>4.4301270189221889</v>
      </c>
      <c r="H28" s="2">
        <f t="shared" si="3"/>
        <v>-2.5000000000000062</v>
      </c>
      <c r="I28" s="1">
        <v>0</v>
      </c>
    </row>
    <row r="29" spans="2:9" x14ac:dyDescent="0.25">
      <c r="B29" s="1">
        <v>24</v>
      </c>
      <c r="C29" s="2">
        <f t="shared" si="4"/>
        <v>6.0213859193804353</v>
      </c>
      <c r="D29" s="2">
        <f t="shared" si="0"/>
        <v>4.8296291314453397</v>
      </c>
      <c r="E29" s="2">
        <f t="shared" si="1"/>
        <v>-1.2940952255126121</v>
      </c>
      <c r="F29" s="1">
        <f t="shared" si="5"/>
        <v>0</v>
      </c>
      <c r="G29" s="2">
        <f t="shared" si="2"/>
        <v>4.9296291314453393</v>
      </c>
      <c r="H29" s="2">
        <f t="shared" si="3"/>
        <v>-1.2940952255126121</v>
      </c>
      <c r="I29" s="1">
        <v>0</v>
      </c>
    </row>
    <row r="30" spans="2:9" x14ac:dyDescent="0.25">
      <c r="B30" s="1">
        <v>25</v>
      </c>
      <c r="C30" s="2">
        <f t="shared" si="4"/>
        <v>6.2831853071795845</v>
      </c>
      <c r="D30" s="2">
        <f t="shared" si="0"/>
        <v>5</v>
      </c>
      <c r="E30" s="2">
        <f t="shared" si="1"/>
        <v>-1.0106932651909872E-14</v>
      </c>
      <c r="F30" s="1">
        <f t="shared" si="5"/>
        <v>0</v>
      </c>
      <c r="G30" s="2">
        <f t="shared" si="2"/>
        <v>5.0999999999999996</v>
      </c>
      <c r="H30" s="2">
        <f t="shared" si="3"/>
        <v>-1.0106932651909872E-14</v>
      </c>
      <c r="I30" s="1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AD100"/>
  <sheetViews>
    <sheetView zoomScale="60" zoomScaleNormal="60" workbookViewId="0">
      <selection activeCell="V42" sqref="V42"/>
    </sheetView>
  </sheetViews>
  <sheetFormatPr baseColWidth="10" defaultRowHeight="15" x14ac:dyDescent="0.25"/>
  <cols>
    <col min="26" max="26" width="20.5703125" bestFit="1" customWidth="1"/>
    <col min="27" max="27" width="22" bestFit="1" customWidth="1"/>
  </cols>
  <sheetData>
    <row r="3" spans="2:30" x14ac:dyDescent="0.25">
      <c r="B3" s="39" t="s">
        <v>69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</row>
    <row r="4" spans="2:30" ht="15" customHeight="1" x14ac:dyDescent="0.25"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</row>
    <row r="5" spans="2:30" ht="15" customHeight="1" x14ac:dyDescent="0.25"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</row>
    <row r="6" spans="2:30" ht="15" customHeight="1" x14ac:dyDescent="0.25"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</row>
    <row r="7" spans="2:30" ht="16.5" thickBot="1" x14ac:dyDescent="0.3">
      <c r="B7" s="3" t="s">
        <v>2</v>
      </c>
      <c r="C7" s="4" t="s">
        <v>9</v>
      </c>
      <c r="D7" s="4" t="s">
        <v>10</v>
      </c>
      <c r="E7" s="4" t="s">
        <v>11</v>
      </c>
      <c r="F7" s="4" t="s">
        <v>12</v>
      </c>
      <c r="G7" s="4" t="s">
        <v>13</v>
      </c>
      <c r="H7" s="4" t="s">
        <v>14</v>
      </c>
      <c r="I7" s="4" t="s">
        <v>15</v>
      </c>
      <c r="J7" s="4" t="s">
        <v>16</v>
      </c>
      <c r="K7" s="5" t="s">
        <v>17</v>
      </c>
      <c r="L7" s="4" t="s">
        <v>18</v>
      </c>
      <c r="M7" s="5" t="s">
        <v>19</v>
      </c>
      <c r="N7" s="5" t="s">
        <v>20</v>
      </c>
      <c r="O7" s="5" t="s">
        <v>21</v>
      </c>
      <c r="P7" s="5" t="s">
        <v>22</v>
      </c>
      <c r="Q7" s="5" t="s">
        <v>23</v>
      </c>
      <c r="R7" s="5" t="s">
        <v>24</v>
      </c>
      <c r="S7" s="5" t="s">
        <v>25</v>
      </c>
      <c r="T7" s="5" t="s">
        <v>26</v>
      </c>
      <c r="U7" s="5" t="s">
        <v>27</v>
      </c>
      <c r="V7" s="4" t="s">
        <v>28</v>
      </c>
      <c r="W7" s="4" t="s">
        <v>29</v>
      </c>
      <c r="X7" s="4" t="s">
        <v>30</v>
      </c>
      <c r="Y7" s="4" t="s">
        <v>31</v>
      </c>
      <c r="Z7" s="4" t="s">
        <v>32</v>
      </c>
      <c r="AA7" s="4" t="s">
        <v>33</v>
      </c>
    </row>
    <row r="8" spans="2:30" ht="16.5" thickTop="1" x14ac:dyDescent="0.25">
      <c r="B8" s="6" t="s">
        <v>34</v>
      </c>
      <c r="C8" s="7">
        <f>'Points mesurés'!G6</f>
        <v>5.0999999999999996</v>
      </c>
      <c r="D8" s="7">
        <f>'Points mesurés'!H6</f>
        <v>0</v>
      </c>
      <c r="E8" s="7">
        <f>'Points mesurés'!I6</f>
        <v>60</v>
      </c>
      <c r="F8" s="6">
        <f>Tableau378[[#This Row],[Xi]]*Tableau378[[#This Row],[Xi]]</f>
        <v>26.009999999999998</v>
      </c>
      <c r="G8" s="6">
        <f>Tableau378[[#This Row],[Yi]]*Tableau378[[#This Row],[Yi]]</f>
        <v>0</v>
      </c>
      <c r="H8" s="8">
        <f t="shared" ref="H8:H23" si="0">E8*E8</f>
        <v>3600</v>
      </c>
      <c r="I8" s="8">
        <f>SQRT(Tableau378[[#This Row],[Xi²]]+Tableau378[[#This Row],[Yi²]])</f>
        <v>5.0999999999999996</v>
      </c>
      <c r="J8" s="8">
        <f>IFERROR(Tableau378[[#This Row],[Xi]]/Tableau378[[#This Row],[Ri]],0)</f>
        <v>1</v>
      </c>
      <c r="K8" s="8">
        <f>IFERROR(Tableau378[[#This Row],[Yi]]/Tableau378[[#This Row],[Ri]],0)</f>
        <v>0</v>
      </c>
      <c r="L8" s="8">
        <f>Tableau378[[#This Row],[Cos teta i]]*Tableau378[[#This Row],[Cos teta i]]</f>
        <v>1</v>
      </c>
      <c r="M8" s="8">
        <f>Tableau378[[#This Row],[Sin teta i]]*Tableau378[[#This Row],[Sin teta i]]</f>
        <v>0</v>
      </c>
      <c r="N8" s="8">
        <f>Tableau378[[#This Row],[Zi]]*Tableau378[[#This Row],[Sin teta i]]</f>
        <v>0</v>
      </c>
      <c r="O8" s="8">
        <f>Tableau378[[#This Row],[Zi]]*Tableau378[[#This Row],[Sin² teta i2]]</f>
        <v>0</v>
      </c>
      <c r="P8" s="8">
        <f>Tableau378[[#This Row],[Zi]]*Tableau378[[#This Row],[Cos teta i]]</f>
        <v>60</v>
      </c>
      <c r="Q8" s="8">
        <f>Tableau378[[#This Row],[Zi]]*Tableau378[[#This Row],[Cos² teta i2]]</f>
        <v>60</v>
      </c>
      <c r="R8" s="8">
        <f>Tableau378[[#This Row],[Zi * sinteta]]*Tableau378[[#This Row],[Cos teta i]]</f>
        <v>0</v>
      </c>
      <c r="S8" s="8">
        <f>Tableau378[[#This Row],[Zi²]]*Tableau378[[#This Row],[Cos teta i]]*Tableau378[[#This Row],[Sin teta i]]</f>
        <v>0</v>
      </c>
      <c r="T8" s="8">
        <f>Tableau378[[#This Row],[Zi²]]*Tableau378[[#This Row],[Cos² teta i2]]</f>
        <v>3600</v>
      </c>
      <c r="U8" s="8">
        <f>Tableau378[[#This Row],[Zi²]]*Tableau378[[#This Row],[Sin² teta i2]]</f>
        <v>0</v>
      </c>
      <c r="V8" s="8">
        <f>Tableau378[[#This Row],[Cos teta i]]*Tableau378[[#This Row],[Sin teta i]]</f>
        <v>0</v>
      </c>
      <c r="W8" s="9">
        <f>IF(Tableau378[[#This Row],[Ri]] &lt;&gt;0,Tableau378[[#This Row],[Ri]]-'Points mesurés'!$D$3,0)</f>
        <v>9.9999999999999645E-2</v>
      </c>
      <c r="X8" s="9">
        <f>Tableau378[[#This Row],[Zi * sinteta]]*W8</f>
        <v>0</v>
      </c>
      <c r="Y8" s="8">
        <f>Tableau378[[#This Row],[Zi * cos]]*Tableau378[[#This Row],[Psi]]</f>
        <v>5.9999999999999787</v>
      </c>
      <c r="Z8" s="8">
        <f>Tableau378[[#This Row],[Psi]]*Tableau378[[#This Row],[Cos teta i]]</f>
        <v>9.9999999999999645E-2</v>
      </c>
      <c r="AA8" s="8">
        <f>Tableau378[[#This Row],[Psi]]*Tableau378[[#This Row],[Sin teta i]]</f>
        <v>0</v>
      </c>
      <c r="AB8" s="10" t="s">
        <v>35</v>
      </c>
      <c r="AC8" s="10" t="s">
        <v>36</v>
      </c>
    </row>
    <row r="9" spans="2:30" ht="15.75" x14ac:dyDescent="0.25">
      <c r="B9" s="6" t="s">
        <v>37</v>
      </c>
      <c r="C9" s="7">
        <f>'Points mesurés'!G7</f>
        <v>4.9296291314453411</v>
      </c>
      <c r="D9" s="7">
        <f>'Points mesurés'!H7</f>
        <v>1.2940952255126037</v>
      </c>
      <c r="E9" s="7">
        <f>'Points mesurés'!I7</f>
        <v>60</v>
      </c>
      <c r="F9" s="6">
        <f>Tableau378[[#This Row],[Xi]]*Tableau378[[#This Row],[Xi]]</f>
        <v>24.301243373594549</v>
      </c>
      <c r="G9" s="6">
        <f>Tableau378[[#This Row],[Yi]]*Tableau378[[#This Row],[Yi]]</f>
        <v>1.6746824526945165</v>
      </c>
      <c r="H9" s="8">
        <f t="shared" si="0"/>
        <v>3600</v>
      </c>
      <c r="I9" s="8">
        <f>SQRT(Tableau378[[#This Row],[Xi²]]+Tableau378[[#This Row],[Yi²]])</f>
        <v>5.0966582999342878</v>
      </c>
      <c r="J9" s="8">
        <f>IFERROR(Tableau378[[#This Row],[Xi]]/Tableau378[[#This Row],[Ri]],0)</f>
        <v>0.96722770908712863</v>
      </c>
      <c r="K9" s="8">
        <f>IFERROR(Tableau378[[#This Row],[Yi]]/Tableau378[[#This Row],[Ri]],0)</f>
        <v>0.2539105330112652</v>
      </c>
      <c r="L9" s="8">
        <f>Tableau378[[#This Row],[Cos teta i]]*Tableau378[[#This Row],[Cos teta i]]</f>
        <v>0.93552944122593518</v>
      </c>
      <c r="M9" s="8">
        <f>Tableau378[[#This Row],[Sin teta i]]*Tableau378[[#This Row],[Sin teta i]]</f>
        <v>6.4470558774064796E-2</v>
      </c>
      <c r="N9" s="8">
        <f>Tableau378[[#This Row],[Zi]]*Tableau378[[#This Row],[Sin teta i]]</f>
        <v>15.234631980675912</v>
      </c>
      <c r="O9" s="8">
        <f>Tableau378[[#This Row],[Zi]]*Tableau378[[#This Row],[Sin² teta i2]]</f>
        <v>3.8682335264438876</v>
      </c>
      <c r="P9" s="8">
        <f>Tableau378[[#This Row],[Zi]]*Tableau378[[#This Row],[Cos teta i]]</f>
        <v>58.03366254522772</v>
      </c>
      <c r="Q9" s="8">
        <f>Tableau378[[#This Row],[Zi]]*Tableau378[[#This Row],[Cos² teta i2]]</f>
        <v>56.131766473556112</v>
      </c>
      <c r="R9" s="8">
        <f>Tableau378[[#This Row],[Zi * sinteta]]*Tableau378[[#This Row],[Cos teta i]]</f>
        <v>14.735358189454667</v>
      </c>
      <c r="S9" s="8">
        <f>Tableau378[[#This Row],[Zi²]]*Tableau378[[#This Row],[Cos teta i]]*Tableau378[[#This Row],[Sin teta i]]</f>
        <v>884.12149136727999</v>
      </c>
      <c r="T9" s="8">
        <f>Tableau378[[#This Row],[Zi²]]*Tableau378[[#This Row],[Cos² teta i2]]</f>
        <v>3367.9059884133667</v>
      </c>
      <c r="U9" s="8">
        <f>Tableau378[[#This Row],[Zi²]]*Tableau378[[#This Row],[Sin² teta i2]]</f>
        <v>232.09401158663326</v>
      </c>
      <c r="V9" s="8">
        <f>Tableau378[[#This Row],[Cos teta i]]*Tableau378[[#This Row],[Sin teta i]]</f>
        <v>0.24558930315757779</v>
      </c>
      <c r="W9" s="9">
        <f>IF(Tableau378[[#This Row],[Ri]] &lt;&gt;0,Tableau378[[#This Row],[Ri]]-'Points mesurés'!$D$3,0)</f>
        <v>9.6658299934287761E-2</v>
      </c>
      <c r="X9" s="9">
        <f>Tableau378[[#This Row],[Zi * sinteta]]*W9</f>
        <v>1.4725536273766648</v>
      </c>
      <c r="Y9" s="8">
        <f>Tableau378[[#This Row],[Zi * cos]]*Tableau378[[#This Row],[Psi]]</f>
        <v>5.6094351605818629</v>
      </c>
      <c r="Z9" s="8">
        <f>Tableau378[[#This Row],[Psi]]*Tableau378[[#This Row],[Cos teta i]]</f>
        <v>9.3490586009697701E-2</v>
      </c>
      <c r="AA9" s="8">
        <f>Tableau378[[#This Row],[Psi]]*Tableau378[[#This Row],[Sin teta i]]</f>
        <v>2.4542560456277746E-2</v>
      </c>
      <c r="AB9" s="11">
        <f>MIN(Tableau378[Psi])</f>
        <v>-9.9999999999999645E-2</v>
      </c>
      <c r="AC9" s="11">
        <f>MAX(Tableau378[Psi])</f>
        <v>9.9999999999999645E-2</v>
      </c>
    </row>
    <row r="10" spans="2:30" ht="15.75" x14ac:dyDescent="0.25">
      <c r="B10" s="6" t="s">
        <v>38</v>
      </c>
      <c r="C10" s="7">
        <f>'Points mesurés'!G8</f>
        <v>4.4301270189221933</v>
      </c>
      <c r="D10" s="7">
        <f>'Points mesurés'!H8</f>
        <v>2.4999999999999996</v>
      </c>
      <c r="E10" s="7">
        <f>'Points mesurés'!I8</f>
        <v>60</v>
      </c>
      <c r="F10" s="6">
        <f>Tableau378[[#This Row],[Xi]]*Tableau378[[#This Row],[Xi]]</f>
        <v>19.626025403784439</v>
      </c>
      <c r="G10" s="6">
        <f>Tableau378[[#This Row],[Yi]]*Tableau378[[#This Row],[Yi]]</f>
        <v>6.2499999999999982</v>
      </c>
      <c r="H10" s="8">
        <f t="shared" si="0"/>
        <v>3600</v>
      </c>
      <c r="I10" s="8">
        <f>SQRT(Tableau378[[#This Row],[Xi²]]+Tableau378[[#This Row],[Yi²]])</f>
        <v>5.0868482780386168</v>
      </c>
      <c r="J10" s="8">
        <f>IFERROR(Tableau378[[#This Row],[Xi]]/Tableau378[[#This Row],[Ri]],0)</f>
        <v>0.87089820194722978</v>
      </c>
      <c r="K10" s="8">
        <f>IFERROR(Tableau378[[#This Row],[Yi]]/Tableau378[[#This Row],[Ri]],0)</f>
        <v>0.49146344914457479</v>
      </c>
      <c r="L10" s="8">
        <f>Tableau378[[#This Row],[Cos teta i]]*Tableau378[[#This Row],[Cos teta i]]</f>
        <v>0.75846367815491778</v>
      </c>
      <c r="M10" s="8">
        <f>Tableau378[[#This Row],[Sin teta i]]*Tableau378[[#This Row],[Sin teta i]]</f>
        <v>0.24153632184508206</v>
      </c>
      <c r="N10" s="8">
        <f>Tableau378[[#This Row],[Zi]]*Tableau378[[#This Row],[Sin teta i]]</f>
        <v>29.487806948674489</v>
      </c>
      <c r="O10" s="8">
        <f>Tableau378[[#This Row],[Zi]]*Tableau378[[#This Row],[Sin² teta i2]]</f>
        <v>14.492179310704923</v>
      </c>
      <c r="P10" s="8">
        <f>Tableau378[[#This Row],[Zi]]*Tableau378[[#This Row],[Cos teta i]]</f>
        <v>52.253892116833789</v>
      </c>
      <c r="Q10" s="8">
        <f>Tableau378[[#This Row],[Zi]]*Tableau378[[#This Row],[Cos² teta i2]]</f>
        <v>45.507820689295066</v>
      </c>
      <c r="R10" s="8">
        <f>Tableau378[[#This Row],[Zi * sinteta]]*Tableau378[[#This Row],[Cos teta i]]</f>
        <v>25.680878050967642</v>
      </c>
      <c r="S10" s="8">
        <f>Tableau378[[#This Row],[Zi²]]*Tableau378[[#This Row],[Cos teta i]]*Tableau378[[#This Row],[Sin teta i]]</f>
        <v>1540.8526830580583</v>
      </c>
      <c r="T10" s="8">
        <f>Tableau378[[#This Row],[Zi²]]*Tableau378[[#This Row],[Cos² teta i2]]</f>
        <v>2730.469241357704</v>
      </c>
      <c r="U10" s="8">
        <f>Tableau378[[#This Row],[Zi²]]*Tableau378[[#This Row],[Sin² teta i2]]</f>
        <v>869.53075864229538</v>
      </c>
      <c r="V10" s="8">
        <f>Tableau378[[#This Row],[Cos teta i]]*Tableau378[[#This Row],[Sin teta i]]</f>
        <v>0.42801463418279401</v>
      </c>
      <c r="W10" s="9">
        <f>IF(Tableau378[[#This Row],[Ri]] &lt;&gt;0,Tableau378[[#This Row],[Ri]]-'Points mesurés'!$D$3,0)</f>
        <v>8.6848278038616833E-2</v>
      </c>
      <c r="X10" s="9">
        <f>Tableau378[[#This Row],[Zi * sinteta]]*W10</f>
        <v>2.5609652566275396</v>
      </c>
      <c r="Y10" s="8">
        <f>Tableau378[[#This Row],[Zi * cos]]*Tableau378[[#This Row],[Psi]]</f>
        <v>4.5381605511626688</v>
      </c>
      <c r="Z10" s="8">
        <f>Tableau378[[#This Row],[Psi]]*Tableau378[[#This Row],[Cos teta i]]</f>
        <v>7.5636009186044489E-2</v>
      </c>
      <c r="AA10" s="8">
        <f>Tableau378[[#This Row],[Psi]]*Tableau378[[#This Row],[Sin teta i]]</f>
        <v>4.2682754277125659E-2</v>
      </c>
      <c r="AB10" s="40" t="s">
        <v>39</v>
      </c>
      <c r="AC10" s="40"/>
    </row>
    <row r="11" spans="2:30" ht="15.75" x14ac:dyDescent="0.25">
      <c r="B11" s="6" t="s">
        <v>40</v>
      </c>
      <c r="C11" s="7">
        <f>'Points mesurés'!G9</f>
        <v>3.6355339059327378</v>
      </c>
      <c r="D11" s="7">
        <f>'Points mesurés'!H9</f>
        <v>3.5355339059327373</v>
      </c>
      <c r="E11" s="7">
        <f>'Points mesurés'!I9</f>
        <v>60</v>
      </c>
      <c r="F11" s="6">
        <f>Tableau378[[#This Row],[Xi]]*Tableau378[[#This Row],[Xi]]</f>
        <v>13.217106781186549</v>
      </c>
      <c r="G11" s="6">
        <f>Tableau378[[#This Row],[Yi]]*Tableau378[[#This Row],[Yi]]</f>
        <v>12.499999999999998</v>
      </c>
      <c r="H11" s="8">
        <f t="shared" si="0"/>
        <v>3600</v>
      </c>
      <c r="I11" s="8">
        <f>SQRT(Tableau378[[#This Row],[Xi²]]+Tableau378[[#This Row],[Yi²]])</f>
        <v>5.071203681690033</v>
      </c>
      <c r="J11" s="8">
        <f>IFERROR(Tableau378[[#This Row],[Xi]]/Tableau378[[#This Row],[Ri]],0)</f>
        <v>0.71689763104154336</v>
      </c>
      <c r="K11" s="8">
        <f>IFERROR(Tableau378[[#This Row],[Yi]]/Tableau378[[#This Row],[Ri]],0)</f>
        <v>0.69717844674589813</v>
      </c>
      <c r="L11" s="8">
        <f>Tableau378[[#This Row],[Cos teta i]]*Tableau378[[#This Row],[Cos teta i]]</f>
        <v>0.51394221339297685</v>
      </c>
      <c r="M11" s="8">
        <f>Tableau378[[#This Row],[Sin teta i]]*Tableau378[[#This Row],[Sin teta i]]</f>
        <v>0.48605778660702309</v>
      </c>
      <c r="N11" s="8">
        <f>Tableau378[[#This Row],[Zi]]*Tableau378[[#This Row],[Sin teta i]]</f>
        <v>41.830706804753888</v>
      </c>
      <c r="O11" s="8">
        <f>Tableau378[[#This Row],[Zi]]*Tableau378[[#This Row],[Sin² teta i2]]</f>
        <v>29.163467196421387</v>
      </c>
      <c r="P11" s="8">
        <f>Tableau378[[#This Row],[Zi]]*Tableau378[[#This Row],[Cos teta i]]</f>
        <v>43.0138578624926</v>
      </c>
      <c r="Q11" s="8">
        <f>Tableau378[[#This Row],[Zi]]*Tableau378[[#This Row],[Cos² teta i2]]</f>
        <v>30.83653280357861</v>
      </c>
      <c r="R11" s="8">
        <f>Tableau378[[#This Row],[Zi * sinteta]]*Tableau378[[#This Row],[Cos teta i]]</f>
        <v>29.988334613121431</v>
      </c>
      <c r="S11" s="8">
        <f>Tableau378[[#This Row],[Zi²]]*Tableau378[[#This Row],[Cos teta i]]*Tableau378[[#This Row],[Sin teta i]]</f>
        <v>1799.3000767872857</v>
      </c>
      <c r="T11" s="8">
        <f>Tableau378[[#This Row],[Zi²]]*Tableau378[[#This Row],[Cos² teta i2]]</f>
        <v>1850.1919682147168</v>
      </c>
      <c r="U11" s="8">
        <f>Tableau378[[#This Row],[Zi²]]*Tableau378[[#This Row],[Sin² teta i2]]</f>
        <v>1749.8080317852832</v>
      </c>
      <c r="V11" s="8">
        <f>Tableau378[[#This Row],[Cos teta i]]*Tableau378[[#This Row],[Sin teta i]]</f>
        <v>0.49980557688535715</v>
      </c>
      <c r="W11" s="9">
        <f>IF(Tableau378[[#This Row],[Ri]] &lt;&gt;0,Tableau378[[#This Row],[Ri]]-'Points mesurés'!$D$3,0)</f>
        <v>7.1203681690032994E-2</v>
      </c>
      <c r="X11" s="9">
        <f>Tableau378[[#This Row],[Zi * sinteta]]*W11</f>
        <v>2.9785003321947929</v>
      </c>
      <c r="Y11" s="8">
        <f>Tableau378[[#This Row],[Zi * cos]]*Tableau378[[#This Row],[Psi]]</f>
        <v>3.0627450435012462</v>
      </c>
      <c r="Z11" s="8">
        <f>Tableau378[[#This Row],[Psi]]*Tableau378[[#This Row],[Cos teta i]]</f>
        <v>5.1045750725020766E-2</v>
      </c>
      <c r="AA11" s="8">
        <f>Tableau378[[#This Row],[Psi]]*Tableau378[[#This Row],[Sin teta i]]</f>
        <v>4.9641672203246549E-2</v>
      </c>
      <c r="AB11" s="41">
        <f>AC9-AB9</f>
        <v>0.19999999999999929</v>
      </c>
      <c r="AC11" s="41"/>
    </row>
    <row r="12" spans="2:30" ht="15.75" x14ac:dyDescent="0.25">
      <c r="B12" s="6" t="s">
        <v>41</v>
      </c>
      <c r="C12" s="7">
        <f>'Points mesurés'!G10</f>
        <v>2.6000000000000005</v>
      </c>
      <c r="D12" s="7">
        <f>'Points mesurés'!H10</f>
        <v>4.3301270189221928</v>
      </c>
      <c r="E12" s="7">
        <f>'Points mesurés'!I10</f>
        <v>60</v>
      </c>
      <c r="F12" s="6">
        <f>Tableau378[[#This Row],[Xi]]*Tableau378[[#This Row],[Xi]]</f>
        <v>6.7600000000000025</v>
      </c>
      <c r="G12" s="6">
        <f>Tableau378[[#This Row],[Yi]]*Tableau378[[#This Row],[Yi]]</f>
        <v>18.749999999999996</v>
      </c>
      <c r="H12" s="8">
        <f t="shared" si="0"/>
        <v>3600</v>
      </c>
      <c r="I12" s="8">
        <f>SQRT(Tableau378[[#This Row],[Xi²]]+Tableau378[[#This Row],[Yi²]])</f>
        <v>5.0507425196697566</v>
      </c>
      <c r="J12" s="8">
        <f>IFERROR(Tableau378[[#This Row],[Xi]]/Tableau378[[#This Row],[Ri]],0)</f>
        <v>0.51477579581110811</v>
      </c>
      <c r="K12" s="8">
        <f>IFERROR(Tableau378[[#This Row],[Yi]]/Tableau378[[#This Row],[Ri]],0)</f>
        <v>0.85732483928032799</v>
      </c>
      <c r="L12" s="8">
        <f>Tableau378[[#This Row],[Cos teta i]]*Tableau378[[#This Row],[Cos teta i]]</f>
        <v>0.26499411995295968</v>
      </c>
      <c r="M12" s="8">
        <f>Tableau378[[#This Row],[Sin teta i]]*Tableau378[[#This Row],[Sin teta i]]</f>
        <v>0.73500588004704026</v>
      </c>
      <c r="N12" s="8">
        <f>Tableau378[[#This Row],[Zi]]*Tableau378[[#This Row],[Sin teta i]]</f>
        <v>51.439490356819682</v>
      </c>
      <c r="O12" s="8">
        <f>Tableau378[[#This Row],[Zi]]*Tableau378[[#This Row],[Sin² teta i2]]</f>
        <v>44.100352802822414</v>
      </c>
      <c r="P12" s="8">
        <f>Tableau378[[#This Row],[Zi]]*Tableau378[[#This Row],[Cos teta i]]</f>
        <v>30.886547748666487</v>
      </c>
      <c r="Q12" s="8">
        <f>Tableau378[[#This Row],[Zi]]*Tableau378[[#This Row],[Cos² teta i2]]</f>
        <v>15.899647197177581</v>
      </c>
      <c r="R12" s="8">
        <f>Tableau378[[#This Row],[Zi * sinteta]]*Tableau378[[#This Row],[Cos teta i]]</f>
        <v>26.479804584549672</v>
      </c>
      <c r="S12" s="8">
        <f>Tableau378[[#This Row],[Zi²]]*Tableau378[[#This Row],[Cos teta i]]*Tableau378[[#This Row],[Sin teta i]]</f>
        <v>1588.7882750729802</v>
      </c>
      <c r="T12" s="8">
        <f>Tableau378[[#This Row],[Zi²]]*Tableau378[[#This Row],[Cos² teta i2]]</f>
        <v>953.97883183065483</v>
      </c>
      <c r="U12" s="8">
        <f>Tableau378[[#This Row],[Zi²]]*Tableau378[[#This Row],[Sin² teta i2]]</f>
        <v>2646.0211681693449</v>
      </c>
      <c r="V12" s="8">
        <f>Tableau378[[#This Row],[Cos teta i]]*Tableau378[[#This Row],[Sin teta i]]</f>
        <v>0.44133007640916122</v>
      </c>
      <c r="W12" s="9">
        <f>IF(Tableau378[[#This Row],[Ri]] &lt;&gt;0,Tableau378[[#This Row],[Ri]]-'Points mesurés'!$D$3,0)</f>
        <v>5.0742519669756625E-2</v>
      </c>
      <c r="X12" s="9">
        <f>Tableau378[[#This Row],[Zi * sinteta]]*W12</f>
        <v>2.6101693512331789</v>
      </c>
      <c r="Y12" s="8">
        <f>Tableau378[[#This Row],[Zi * cos]]*Tableau378[[#This Row],[Psi]]</f>
        <v>1.5672612566675865</v>
      </c>
      <c r="Z12" s="8">
        <f>Tableau378[[#This Row],[Psi]]*Tableau378[[#This Row],[Cos teta i]]</f>
        <v>2.6121020944459773E-2</v>
      </c>
      <c r="AA12" s="8">
        <f>Tableau378[[#This Row],[Psi]]*Tableau378[[#This Row],[Sin teta i]]</f>
        <v>4.3502822520552979E-2</v>
      </c>
    </row>
    <row r="13" spans="2:30" ht="15.75" x14ac:dyDescent="0.25">
      <c r="B13" s="6" t="s">
        <v>42</v>
      </c>
      <c r="C13" s="7">
        <f>'Points mesurés'!G11</f>
        <v>1.3940952255126049</v>
      </c>
      <c r="D13" s="7">
        <f>'Points mesurés'!H11</f>
        <v>4.8296291314453406</v>
      </c>
      <c r="E13" s="7">
        <f>'Points mesurés'!I11</f>
        <v>60</v>
      </c>
      <c r="F13" s="6">
        <f>Tableau378[[#This Row],[Xi]]*Tableau378[[#This Row],[Xi]]</f>
        <v>1.9435014977970406</v>
      </c>
      <c r="G13" s="6">
        <f>Tableau378[[#This Row],[Yi]]*Tableau378[[#This Row],[Yi]]</f>
        <v>23.325317547305474</v>
      </c>
      <c r="H13" s="8">
        <f t="shared" si="0"/>
        <v>3600</v>
      </c>
      <c r="I13" s="8">
        <f>SQRT(Tableau378[[#This Row],[Xi²]]+Tableau378[[#This Row],[Yi²]])</f>
        <v>5.0268100267567819</v>
      </c>
      <c r="J13" s="8">
        <f>IFERROR(Tableau378[[#This Row],[Xi]]/Tableau378[[#This Row],[Ri]],0)</f>
        <v>0.27733198949076915</v>
      </c>
      <c r="K13" s="8">
        <f>IFERROR(Tableau378[[#This Row],[Yi]]/Tableau378[[#This Row],[Ri]],0)</f>
        <v>0.96077415015449485</v>
      </c>
      <c r="L13" s="8">
        <f>Tableau378[[#This Row],[Cos teta i]]*Tableau378[[#This Row],[Cos teta i]]</f>
        <v>7.6913032394908085E-2</v>
      </c>
      <c r="M13" s="8">
        <f>Tableau378[[#This Row],[Sin teta i]]*Tableau378[[#This Row],[Sin teta i]]</f>
        <v>0.92308696760509179</v>
      </c>
      <c r="N13" s="8">
        <f>Tableau378[[#This Row],[Zi]]*Tableau378[[#This Row],[Sin teta i]]</f>
        <v>57.646449009269688</v>
      </c>
      <c r="O13" s="8">
        <f>Tableau378[[#This Row],[Zi]]*Tableau378[[#This Row],[Sin² teta i2]]</f>
        <v>55.385218056305504</v>
      </c>
      <c r="P13" s="8">
        <f>Tableau378[[#This Row],[Zi]]*Tableau378[[#This Row],[Cos teta i]]</f>
        <v>16.639919369446147</v>
      </c>
      <c r="Q13" s="8">
        <f>Tableau378[[#This Row],[Zi]]*Tableau378[[#This Row],[Cos² teta i2]]</f>
        <v>4.614781943694485</v>
      </c>
      <c r="R13" s="8">
        <f>Tableau378[[#This Row],[Zi * sinteta]]*Tableau378[[#This Row],[Cos teta i]]</f>
        <v>15.98720439081894</v>
      </c>
      <c r="S13" s="8">
        <f>Tableau378[[#This Row],[Zi²]]*Tableau378[[#This Row],[Cos teta i]]*Tableau378[[#This Row],[Sin teta i]]</f>
        <v>959.23226344913655</v>
      </c>
      <c r="T13" s="8">
        <f>Tableau378[[#This Row],[Zi²]]*Tableau378[[#This Row],[Cos² teta i2]]</f>
        <v>276.88691662166912</v>
      </c>
      <c r="U13" s="8">
        <f>Tableau378[[#This Row],[Zi²]]*Tableau378[[#This Row],[Sin² teta i2]]</f>
        <v>3323.1130833783304</v>
      </c>
      <c r="V13" s="8">
        <f>Tableau378[[#This Row],[Cos teta i]]*Tableau378[[#This Row],[Sin teta i]]</f>
        <v>0.26645340651364902</v>
      </c>
      <c r="W13" s="9">
        <f>IF(Tableau378[[#This Row],[Ri]] &lt;&gt;0,Tableau378[[#This Row],[Ri]]-'Points mesurés'!$D$3,0)</f>
        <v>2.6810026756781902E-2</v>
      </c>
      <c r="X13" s="9">
        <f>Tableau378[[#This Row],[Zi * sinteta]]*W13</f>
        <v>1.5455028403719839</v>
      </c>
      <c r="Y13" s="8">
        <f>Tableau378[[#This Row],[Zi * cos]]*Tableau378[[#This Row],[Psi]]</f>
        <v>0.44611668352554462</v>
      </c>
      <c r="Z13" s="8">
        <f>Tableau378[[#This Row],[Psi]]*Tableau378[[#This Row],[Cos teta i]]</f>
        <v>7.4352780587590784E-3</v>
      </c>
      <c r="AA13" s="8">
        <f>Tableau378[[#This Row],[Psi]]*Tableau378[[#This Row],[Sin teta i]]</f>
        <v>2.5758380672866399E-2</v>
      </c>
    </row>
    <row r="14" spans="2:30" ht="15.75" x14ac:dyDescent="0.25">
      <c r="B14" s="6" t="s">
        <v>43</v>
      </c>
      <c r="C14" s="7">
        <f>'Points mesurés'!G12</f>
        <v>0.10000000000000142</v>
      </c>
      <c r="D14" s="7">
        <f>'Points mesurés'!H12</f>
        <v>5</v>
      </c>
      <c r="E14" s="7">
        <f>'Points mesurés'!I12</f>
        <v>60</v>
      </c>
      <c r="F14" s="6">
        <f>Tableau378[[#This Row],[Xi]]*Tableau378[[#This Row],[Xi]]</f>
        <v>1.0000000000000285E-2</v>
      </c>
      <c r="G14" s="6">
        <f>Tableau378[[#This Row],[Yi]]*Tableau378[[#This Row],[Yi]]</f>
        <v>25</v>
      </c>
      <c r="H14" s="8">
        <f t="shared" si="0"/>
        <v>3600</v>
      </c>
      <c r="I14" s="8">
        <f>SQRT(Tableau378[[#This Row],[Xi²]]+Tableau378[[#This Row],[Yi²]])</f>
        <v>5.0009999000199947</v>
      </c>
      <c r="J14" s="8">
        <f>IFERROR(Tableau378[[#This Row],[Xi]]/Tableau378[[#This Row],[Ri]],0)</f>
        <v>1.9996001199600426E-2</v>
      </c>
      <c r="K14" s="8">
        <f>IFERROR(Tableau378[[#This Row],[Yi]]/Tableau378[[#This Row],[Ri]],0)</f>
        <v>0.99980005998000709</v>
      </c>
      <c r="L14" s="8">
        <f>Tableau378[[#This Row],[Cos teta i]]*Tableau378[[#This Row],[Cos teta i]]</f>
        <v>3.9984006397442167E-4</v>
      </c>
      <c r="M14" s="8">
        <f>Tableau378[[#This Row],[Sin teta i]]*Tableau378[[#This Row],[Sin teta i]]</f>
        <v>0.9996001599360258</v>
      </c>
      <c r="N14" s="8">
        <f>Tableau378[[#This Row],[Zi]]*Tableau378[[#This Row],[Sin teta i]]</f>
        <v>59.988003598800425</v>
      </c>
      <c r="O14" s="8">
        <f>Tableau378[[#This Row],[Zi]]*Tableau378[[#This Row],[Sin² teta i2]]</f>
        <v>59.976009596161546</v>
      </c>
      <c r="P14" s="8">
        <f>Tableau378[[#This Row],[Zi]]*Tableau378[[#This Row],[Cos teta i]]</f>
        <v>1.1997600719760255</v>
      </c>
      <c r="Q14" s="8">
        <f>Tableau378[[#This Row],[Zi]]*Tableau378[[#This Row],[Cos² teta i2]]</f>
        <v>2.3990403838465301E-2</v>
      </c>
      <c r="R14" s="8">
        <f>Tableau378[[#This Row],[Zi * sinteta]]*Tableau378[[#This Row],[Cos teta i]]</f>
        <v>1.1995201919232479</v>
      </c>
      <c r="S14" s="8">
        <f>Tableau378[[#This Row],[Zi²]]*Tableau378[[#This Row],[Cos teta i]]*Tableau378[[#This Row],[Sin teta i]]</f>
        <v>71.97121151539487</v>
      </c>
      <c r="T14" s="8">
        <f>Tableau378[[#This Row],[Zi²]]*Tableau378[[#This Row],[Cos² teta i2]]</f>
        <v>1.4394242303079181</v>
      </c>
      <c r="U14" s="8">
        <f>Tableau378[[#This Row],[Zi²]]*Tableau378[[#This Row],[Sin² teta i2]]</f>
        <v>3598.5605757696931</v>
      </c>
      <c r="V14" s="8">
        <f>Tableau378[[#This Row],[Cos teta i]]*Tableau378[[#This Row],[Sin teta i]]</f>
        <v>1.9992003198720798E-2</v>
      </c>
      <c r="W14" s="9">
        <f>IF(Tableau378[[#This Row],[Ri]] &lt;&gt;0,Tableau378[[#This Row],[Ri]]-'Points mesurés'!$D$3,0)</f>
        <v>9.9990001999472611E-4</v>
      </c>
      <c r="X14" s="9">
        <f>Tableau378[[#This Row],[Zi * sinteta]]*W14</f>
        <v>5.9982005997884245E-2</v>
      </c>
      <c r="Y14" s="8">
        <f>Tableau378[[#This Row],[Zi * cos]]*Tableau378[[#This Row],[Psi]]</f>
        <v>1.1996401199577021E-3</v>
      </c>
      <c r="Z14" s="8">
        <f>Tableau378[[#This Row],[Psi]]*Tableau378[[#This Row],[Cos teta i]]</f>
        <v>1.9994001999295032E-5</v>
      </c>
      <c r="AA14" s="8">
        <f>Tableau378[[#This Row],[Psi]]*Tableau378[[#This Row],[Sin teta i]]</f>
        <v>9.9970009996473751E-4</v>
      </c>
    </row>
    <row r="15" spans="2:30" ht="15.75" x14ac:dyDescent="0.25">
      <c r="B15" s="6" t="s">
        <v>44</v>
      </c>
      <c r="C15" s="7">
        <f>'Points mesurés'!G13</f>
        <v>-1.1940952255126018</v>
      </c>
      <c r="D15" s="7">
        <f>'Points mesurés'!H13</f>
        <v>4.8296291314453423</v>
      </c>
      <c r="E15" s="7">
        <f>'Points mesurés'!I13</f>
        <v>60</v>
      </c>
      <c r="F15" s="6">
        <f>Tableau378[[#This Row],[Xi]]*Tableau378[[#This Row],[Xi]]</f>
        <v>1.4258634075919914</v>
      </c>
      <c r="G15" s="6">
        <f>Tableau378[[#This Row],[Yi]]*Tableau378[[#This Row],[Yi]]</f>
        <v>23.325317547305492</v>
      </c>
      <c r="H15" s="8">
        <f t="shared" si="0"/>
        <v>3600</v>
      </c>
      <c r="I15" s="8">
        <f>SQRT(Tableau378[[#This Row],[Xi²]]+Tableau378[[#This Row],[Yi²]])</f>
        <v>4.9750558745503035</v>
      </c>
      <c r="J15" s="8">
        <f>IFERROR(Tableau378[[#This Row],[Xi]]/Tableau378[[#This Row],[Ri]],0)</f>
        <v>-0.24001644516616336</v>
      </c>
      <c r="K15" s="8">
        <f>IFERROR(Tableau378[[#This Row],[Yi]]/Tableau378[[#This Row],[Ri]],0)</f>
        <v>0.97076882214551885</v>
      </c>
      <c r="L15" s="8">
        <f>Tableau378[[#This Row],[Cos teta i]]*Tableau378[[#This Row],[Cos teta i]]</f>
        <v>5.7607893950201904E-2</v>
      </c>
      <c r="M15" s="8">
        <f>Tableau378[[#This Row],[Sin teta i]]*Tableau378[[#This Row],[Sin teta i]]</f>
        <v>0.94239210604979806</v>
      </c>
      <c r="N15" s="8">
        <f>Tableau378[[#This Row],[Zi]]*Tableau378[[#This Row],[Sin teta i]]</f>
        <v>58.246129328731129</v>
      </c>
      <c r="O15" s="8">
        <f>Tableau378[[#This Row],[Zi]]*Tableau378[[#This Row],[Sin² teta i2]]</f>
        <v>56.543526362987883</v>
      </c>
      <c r="P15" s="8">
        <f>Tableau378[[#This Row],[Zi]]*Tableau378[[#This Row],[Cos teta i]]</f>
        <v>-14.400986709969802</v>
      </c>
      <c r="Q15" s="8">
        <f>Tableau378[[#This Row],[Zi]]*Tableau378[[#This Row],[Cos² teta i2]]</f>
        <v>3.4564736370121141</v>
      </c>
      <c r="R15" s="8">
        <f>Tableau378[[#This Row],[Zi * sinteta]]*Tableau378[[#This Row],[Cos teta i]]</f>
        <v>-13.980028906170654</v>
      </c>
      <c r="S15" s="8">
        <f>Tableau378[[#This Row],[Zi²]]*Tableau378[[#This Row],[Cos teta i]]*Tableau378[[#This Row],[Sin teta i]]</f>
        <v>-838.80173437023927</v>
      </c>
      <c r="T15" s="8">
        <f>Tableau378[[#This Row],[Zi²]]*Tableau378[[#This Row],[Cos² teta i2]]</f>
        <v>207.38841822072686</v>
      </c>
      <c r="U15" s="8">
        <f>Tableau378[[#This Row],[Zi²]]*Tableau378[[#This Row],[Sin² teta i2]]</f>
        <v>3392.6115817792729</v>
      </c>
      <c r="V15" s="8">
        <f>Tableau378[[#This Row],[Cos teta i]]*Tableau378[[#This Row],[Sin teta i]]</f>
        <v>-0.23300048176951091</v>
      </c>
      <c r="W15" s="9">
        <f>IF(Tableau378[[#This Row],[Ri]] &lt;&gt;0,Tableau378[[#This Row],[Ri]]-'Points mesurés'!$D$3,0)</f>
        <v>-2.4944125449696486E-2</v>
      </c>
      <c r="X15" s="9">
        <f>Tableau378[[#This Row],[Zi * sinteta]]*W15</f>
        <v>-1.4528987569351151</v>
      </c>
      <c r="Y15" s="8">
        <f>Tableau378[[#This Row],[Zi * cos]]*Tableau378[[#This Row],[Psi]]</f>
        <v>0.35922001909289858</v>
      </c>
      <c r="Z15" s="8">
        <f>Tableau378[[#This Row],[Psi]]*Tableau378[[#This Row],[Cos teta i]]</f>
        <v>5.9870003182149762E-3</v>
      </c>
      <c r="AA15" s="8">
        <f>Tableau378[[#This Row],[Psi]]*Tableau378[[#This Row],[Sin teta i]]</f>
        <v>-2.4214979282251917E-2</v>
      </c>
      <c r="AB15" s="12"/>
      <c r="AC15" s="12"/>
      <c r="AD15" s="12"/>
    </row>
    <row r="16" spans="2:30" ht="15.75" x14ac:dyDescent="0.25">
      <c r="B16" s="6" t="s">
        <v>52</v>
      </c>
      <c r="C16" s="6">
        <f>'Points mesurés'!G14</f>
        <v>-2.399999999999999</v>
      </c>
      <c r="D16" s="6">
        <f>'Points mesurés'!H14</f>
        <v>4.3301270189221936</v>
      </c>
      <c r="E16" s="7">
        <f>'Points mesurés'!I14</f>
        <v>60</v>
      </c>
      <c r="F16" s="6">
        <f>Tableau378[[#This Row],[Xi]]*Tableau378[[#This Row],[Xi]]</f>
        <v>5.7599999999999953</v>
      </c>
      <c r="G16" s="6">
        <f>Tableau378[[#This Row],[Yi]]*Tableau378[[#This Row],[Yi]]</f>
        <v>18.750000000000004</v>
      </c>
      <c r="H16" s="13">
        <f t="shared" si="0"/>
        <v>3600</v>
      </c>
      <c r="I16" s="8">
        <f>SQRT(Tableau378[[#This Row],[Xi²]]+Tableau378[[#This Row],[Yi²]])</f>
        <v>4.9507575177946253</v>
      </c>
      <c r="J16" s="8">
        <f>IFERROR(Tableau378[[#This Row],[Xi]]/Tableau378[[#This Row],[Ri]],0)</f>
        <v>-0.48477429794806592</v>
      </c>
      <c r="K16" s="13">
        <f>IFERROR(Tableau378[[#This Row],[Yi]]/Tableau378[[#This Row],[Ri]],0)</f>
        <v>0.8746392856766495</v>
      </c>
      <c r="L16" s="13">
        <f>Tableau378[[#This Row],[Cos teta i]]*Tableau378[[#This Row],[Cos teta i]]</f>
        <v>0.2350061199510402</v>
      </c>
      <c r="M16" s="13">
        <f>Tableau378[[#This Row],[Sin teta i]]*Tableau378[[#This Row],[Sin teta i]]</f>
        <v>0.76499388004895974</v>
      </c>
      <c r="N16" s="13">
        <f>Tableau378[[#This Row],[Zi]]*Tableau378[[#This Row],[Sin teta i]]</f>
        <v>52.478357140598973</v>
      </c>
      <c r="O16" s="13">
        <f>Tableau378[[#This Row],[Zi]]*Tableau378[[#This Row],[Sin² teta i2]]</f>
        <v>45.899632802937582</v>
      </c>
      <c r="P16" s="13">
        <f>Tableau378[[#This Row],[Zi]]*Tableau378[[#This Row],[Cos teta i]]</f>
        <v>-29.086457876883955</v>
      </c>
      <c r="Q16" s="13">
        <f>Tableau378[[#This Row],[Zi]]*Tableau378[[#This Row],[Cos² teta i2]]</f>
        <v>14.100367197062413</v>
      </c>
      <c r="R16" s="13">
        <f>Tableau378[[#This Row],[Zi * sinteta]]*Tableau378[[#This Row],[Cos teta i]]</f>
        <v>-25.44015874030174</v>
      </c>
      <c r="S16" s="13">
        <f>Tableau378[[#This Row],[Zi²]]*Tableau378[[#This Row],[Cos teta i]]*Tableau378[[#This Row],[Sin teta i]]</f>
        <v>-1526.4095244181042</v>
      </c>
      <c r="T16" s="13">
        <f>Tableau378[[#This Row],[Zi²]]*Tableau378[[#This Row],[Cos² teta i2]]</f>
        <v>846.02203182374478</v>
      </c>
      <c r="U16" s="13">
        <f>Tableau378[[#This Row],[Zi²]]*Tableau378[[#This Row],[Sin² teta i2]]</f>
        <v>2753.9779681762552</v>
      </c>
      <c r="V16" s="8">
        <f>Tableau378[[#This Row],[Cos teta i]]*Tableau378[[#This Row],[Sin teta i]]</f>
        <v>-0.42400264567169565</v>
      </c>
      <c r="W16" s="9">
        <f>IF(Tableau378[[#This Row],[Ri]] &lt;&gt;0,Tableau378[[#This Row],[Ri]]-'Points mesurés'!$D$3,0)</f>
        <v>-4.9242482205374749E-2</v>
      </c>
      <c r="X16" s="9">
        <f>Tableau378[[#This Row],[Zi * sinteta]]*W16</f>
        <v>-2.5841645676632456</v>
      </c>
      <c r="Y16" s="8">
        <f>Tableau378[[#This Row],[Zi * cos]]*Tableau378[[#This Row],[Psi]]</f>
        <v>1.4322893844198403</v>
      </c>
      <c r="Z16" s="13">
        <f>Tableau378[[#This Row],[Psi]]*Tableau378[[#This Row],[Cos teta i]]</f>
        <v>2.3871489740330674E-2</v>
      </c>
      <c r="AA16" s="13">
        <f>Tableau378[[#This Row],[Psi]]*Tableau378[[#This Row],[Sin teta i]]</f>
        <v>-4.3069409461054094E-2</v>
      </c>
      <c r="AB16" s="12"/>
      <c r="AC16" s="12"/>
      <c r="AD16" s="12"/>
    </row>
    <row r="17" spans="2:30" ht="15.75" x14ac:dyDescent="0.25">
      <c r="B17" s="6" t="s">
        <v>53</v>
      </c>
      <c r="C17" s="6">
        <f>'Points mesurés'!G15</f>
        <v>-3.4355339059327372</v>
      </c>
      <c r="D17" s="6">
        <f>'Points mesurés'!H15</f>
        <v>3.5355339059327378</v>
      </c>
      <c r="E17" s="7">
        <f>'Points mesurés'!I15</f>
        <v>60</v>
      </c>
      <c r="F17" s="6">
        <f>Tableau378[[#This Row],[Xi]]*Tableau378[[#This Row],[Xi]]</f>
        <v>11.80289321881345</v>
      </c>
      <c r="G17" s="6">
        <f>Tableau378[[#This Row],[Yi]]*Tableau378[[#This Row],[Yi]]</f>
        <v>12.500000000000002</v>
      </c>
      <c r="H17" s="13">
        <f t="shared" si="0"/>
        <v>3600</v>
      </c>
      <c r="I17" s="8">
        <f>SQRT(Tableau378[[#This Row],[Xi²]]+Tableau378[[#This Row],[Yi²]])</f>
        <v>4.9297964682949589</v>
      </c>
      <c r="J17" s="8">
        <f>IFERROR(Tableau378[[#This Row],[Xi]]/Tableau378[[#This Row],[Ri]],0)</f>
        <v>-0.6968916319421532</v>
      </c>
      <c r="K17" s="13">
        <f>IFERROR(Tableau378[[#This Row],[Yi]]/Tableau378[[#This Row],[Ri]],0)</f>
        <v>0.71717644504612843</v>
      </c>
      <c r="L17" s="13">
        <f>Tableau378[[#This Row],[Cos teta i]]*Tableau378[[#This Row],[Cos teta i]]</f>
        <v>0.48565794667099754</v>
      </c>
      <c r="M17" s="13">
        <f>Tableau378[[#This Row],[Sin teta i]]*Tableau378[[#This Row],[Sin teta i]]</f>
        <v>0.51434205332900251</v>
      </c>
      <c r="N17" s="13">
        <f>Tableau378[[#This Row],[Zi]]*Tableau378[[#This Row],[Sin teta i]]</f>
        <v>43.030586702767707</v>
      </c>
      <c r="O17" s="13">
        <f>Tableau378[[#This Row],[Zi]]*Tableau378[[#This Row],[Sin² teta i2]]</f>
        <v>30.86052319974015</v>
      </c>
      <c r="P17" s="13">
        <f>Tableau378[[#This Row],[Zi]]*Tableau378[[#This Row],[Cos teta i]]</f>
        <v>-41.813497916529194</v>
      </c>
      <c r="Q17" s="13">
        <f>Tableau378[[#This Row],[Zi]]*Tableau378[[#This Row],[Cos² teta i2]]</f>
        <v>29.139476800259853</v>
      </c>
      <c r="R17" s="13">
        <f>Tableau378[[#This Row],[Zi * sinteta]]*Tableau378[[#This Row],[Cos teta i]]</f>
        <v>-29.987655790720105</v>
      </c>
      <c r="S17" s="13">
        <f>Tableau378[[#This Row],[Zi²]]*Tableau378[[#This Row],[Cos teta i]]*Tableau378[[#This Row],[Sin teta i]]</f>
        <v>-1799.2593474432063</v>
      </c>
      <c r="T17" s="13">
        <f>Tableau378[[#This Row],[Zi²]]*Tableau378[[#This Row],[Cos² teta i2]]</f>
        <v>1748.3686080155912</v>
      </c>
      <c r="U17" s="13">
        <f>Tableau378[[#This Row],[Zi²]]*Tableau378[[#This Row],[Sin² teta i2]]</f>
        <v>1851.631391984409</v>
      </c>
      <c r="V17" s="8">
        <f>Tableau378[[#This Row],[Cos teta i]]*Tableau378[[#This Row],[Sin teta i]]</f>
        <v>-0.49979426317866837</v>
      </c>
      <c r="W17" s="9">
        <f>IF(Tableau378[[#This Row],[Ri]] &lt;&gt;0,Tableau378[[#This Row],[Ri]]-'Points mesurés'!$D$3,0)</f>
        <v>-7.0203531705041122E-2</v>
      </c>
      <c r="X17" s="9">
        <f>Tableau378[[#This Row],[Zi * sinteta]]*W17</f>
        <v>-3.0208991578742737</v>
      </c>
      <c r="Y17" s="8">
        <f>Tableau378[[#This Row],[Zi * cos]]*Tableau378[[#This Row],[Psi]]</f>
        <v>2.9354552266817282</v>
      </c>
      <c r="Z17" s="13">
        <f>Tableau378[[#This Row],[Psi]]*Tableau378[[#This Row],[Cos teta i]]</f>
        <v>4.8924253778028802E-2</v>
      </c>
      <c r="AA17" s="13">
        <f>Tableau378[[#This Row],[Psi]]*Tableau378[[#This Row],[Sin teta i]]</f>
        <v>-5.0348319297904558E-2</v>
      </c>
      <c r="AB17" s="12"/>
      <c r="AC17" s="12"/>
      <c r="AD17" s="12"/>
    </row>
    <row r="18" spans="2:30" ht="15.75" x14ac:dyDescent="0.25">
      <c r="B18" s="6" t="s">
        <v>54</v>
      </c>
      <c r="C18" s="6">
        <f>'Points mesurés'!G16</f>
        <v>-4.230127018922194</v>
      </c>
      <c r="D18" s="6">
        <f>'Points mesurés'!H16</f>
        <v>2.4999999999999996</v>
      </c>
      <c r="E18" s="7">
        <f>'Points mesurés'!I16</f>
        <v>60</v>
      </c>
      <c r="F18" s="6">
        <f>Tableau378[[#This Row],[Xi]]*Tableau378[[#This Row],[Xi]]</f>
        <v>17.893974596215568</v>
      </c>
      <c r="G18" s="6">
        <f>Tableau378[[#This Row],[Yi]]*Tableau378[[#This Row],[Yi]]</f>
        <v>6.2499999999999982</v>
      </c>
      <c r="H18" s="13">
        <f t="shared" si="0"/>
        <v>3600</v>
      </c>
      <c r="I18" s="8">
        <f>SQRT(Tableau378[[#This Row],[Xi²]]+Tableau378[[#This Row],[Yi²]])</f>
        <v>4.9136518594845082</v>
      </c>
      <c r="J18" s="8">
        <f>IFERROR(Tableau378[[#This Row],[Xi]]/Tableau378[[#This Row],[Ri]],0)</f>
        <v>-0.86089270055977818</v>
      </c>
      <c r="K18" s="13">
        <f>IFERROR(Tableau378[[#This Row],[Yi]]/Tableau378[[#This Row],[Ri]],0)</f>
        <v>0.50878655458147881</v>
      </c>
      <c r="L18" s="13">
        <f>Tableau378[[#This Row],[Cos teta i]]*Tableau378[[#This Row],[Cos teta i]]</f>
        <v>0.74113624187710792</v>
      </c>
      <c r="M18" s="13">
        <f>Tableau378[[#This Row],[Sin teta i]]*Tableau378[[#This Row],[Sin teta i]]</f>
        <v>0.25886375812289214</v>
      </c>
      <c r="N18" s="13">
        <f>Tableau378[[#This Row],[Zi]]*Tableau378[[#This Row],[Sin teta i]]</f>
        <v>30.527193274888727</v>
      </c>
      <c r="O18" s="13">
        <f>Tableau378[[#This Row],[Zi]]*Tableau378[[#This Row],[Sin² teta i2]]</f>
        <v>15.531825487373528</v>
      </c>
      <c r="P18" s="13">
        <f>Tableau378[[#This Row],[Zi]]*Tableau378[[#This Row],[Cos teta i]]</f>
        <v>-51.653562033586688</v>
      </c>
      <c r="Q18" s="13">
        <f>Tableau378[[#This Row],[Zi]]*Tableau378[[#This Row],[Cos² teta i2]]</f>
        <v>44.468174512626476</v>
      </c>
      <c r="R18" s="13">
        <f>Tableau378[[#This Row],[Zi * sinteta]]*Tableau378[[#This Row],[Cos teta i]]</f>
        <v>-26.280637858929257</v>
      </c>
      <c r="S18" s="13">
        <f>Tableau378[[#This Row],[Zi²]]*Tableau378[[#This Row],[Cos teta i]]*Tableau378[[#This Row],[Sin teta i]]</f>
        <v>-1576.8382715357552</v>
      </c>
      <c r="T18" s="13">
        <f>Tableau378[[#This Row],[Zi²]]*Tableau378[[#This Row],[Cos² teta i2]]</f>
        <v>2668.0904707575887</v>
      </c>
      <c r="U18" s="13">
        <f>Tableau378[[#This Row],[Zi²]]*Tableau378[[#This Row],[Sin² teta i2]]</f>
        <v>931.90952924241174</v>
      </c>
      <c r="V18" s="8">
        <f>Tableau378[[#This Row],[Cos teta i]]*Tableau378[[#This Row],[Sin teta i]]</f>
        <v>-0.43801063098215426</v>
      </c>
      <c r="W18" s="9">
        <f>IF(Tableau378[[#This Row],[Ri]] &lt;&gt;0,Tableau378[[#This Row],[Ri]]-'Points mesurés'!$D$3,0)</f>
        <v>-8.6348140515491778E-2</v>
      </c>
      <c r="X18" s="9">
        <f>Tableau378[[#This Row],[Zi * sinteta]]*W18</f>
        <v>-2.6359663744436674</v>
      </c>
      <c r="Y18" s="8">
        <f>Tableau378[[#This Row],[Zi * cos]]*Tableau378[[#This Row],[Psi]]</f>
        <v>4.4601890326018143</v>
      </c>
      <c r="Z18" s="13">
        <f>Tableau378[[#This Row],[Psi]]*Tableau378[[#This Row],[Cos teta i]]</f>
        <v>7.4336483876696918E-2</v>
      </c>
      <c r="AA18" s="13">
        <f>Tableau378[[#This Row],[Psi]]*Tableau378[[#This Row],[Sin teta i]]</f>
        <v>-4.393277290739446E-2</v>
      </c>
      <c r="AB18" s="12"/>
      <c r="AC18" s="12"/>
      <c r="AD18" s="12"/>
    </row>
    <row r="19" spans="2:30" ht="15.75" x14ac:dyDescent="0.25">
      <c r="B19" s="6" t="s">
        <v>55</v>
      </c>
      <c r="C19" s="6">
        <f>'Points mesurés'!G17</f>
        <v>-4.7296291314453418</v>
      </c>
      <c r="D19" s="6">
        <f>'Points mesurés'!H17</f>
        <v>1.2940952255126028</v>
      </c>
      <c r="E19" s="7">
        <f>'Points mesurés'!I17</f>
        <v>60</v>
      </c>
      <c r="F19" s="6">
        <f>Tableau378[[#This Row],[Xi]]*Tableau378[[#This Row],[Xi]]</f>
        <v>22.369391721016417</v>
      </c>
      <c r="G19" s="6">
        <f>Tableau378[[#This Row],[Yi]]*Tableau378[[#This Row],[Yi]]</f>
        <v>1.6746824526945143</v>
      </c>
      <c r="H19" s="13">
        <f t="shared" si="0"/>
        <v>3600</v>
      </c>
      <c r="I19" s="8">
        <f>SQRT(Tableau378[[#This Row],[Xi²]]+Tableau378[[#This Row],[Yi²]])</f>
        <v>4.9034757237811357</v>
      </c>
      <c r="J19" s="8">
        <f>IFERROR(Tableau378[[#This Row],[Xi]]/Tableau378[[#This Row],[Ri]],0)</f>
        <v>-0.96454625206103017</v>
      </c>
      <c r="K19" s="13">
        <f>IFERROR(Tableau378[[#This Row],[Yi]]/Tableau378[[#This Row],[Ri]],0)</f>
        <v>0.26391386404472877</v>
      </c>
      <c r="L19" s="13">
        <f>Tableau378[[#This Row],[Cos teta i]]*Tableau378[[#This Row],[Cos teta i]]</f>
        <v>0.93034947236498033</v>
      </c>
      <c r="M19" s="13">
        <f>Tableau378[[#This Row],[Sin teta i]]*Tableau378[[#This Row],[Sin teta i]]</f>
        <v>6.9650527635019582E-2</v>
      </c>
      <c r="N19" s="13">
        <f>Tableau378[[#This Row],[Zi]]*Tableau378[[#This Row],[Sin teta i]]</f>
        <v>15.834831842683727</v>
      </c>
      <c r="O19" s="13">
        <f>Tableau378[[#This Row],[Zi]]*Tableau378[[#This Row],[Sin² teta i2]]</f>
        <v>4.1790316581011746</v>
      </c>
      <c r="P19" s="13">
        <f>Tableau378[[#This Row],[Zi]]*Tableau378[[#This Row],[Cos teta i]]</f>
        <v>-57.87277512366181</v>
      </c>
      <c r="Q19" s="13">
        <f>Tableau378[[#This Row],[Zi]]*Tableau378[[#This Row],[Cos² teta i2]]</f>
        <v>55.820968341898819</v>
      </c>
      <c r="R19" s="13">
        <f>Tableau378[[#This Row],[Zi * sinteta]]*Tableau378[[#This Row],[Cos teta i]]</f>
        <v>-15.273427705877245</v>
      </c>
      <c r="S19" s="13">
        <f>Tableau378[[#This Row],[Zi²]]*Tableau378[[#This Row],[Cos teta i]]*Tableau378[[#This Row],[Sin teta i]]</f>
        <v>-916.40566235263475</v>
      </c>
      <c r="T19" s="13">
        <f>Tableau378[[#This Row],[Zi²]]*Tableau378[[#This Row],[Cos² teta i2]]</f>
        <v>3349.2581005139291</v>
      </c>
      <c r="U19" s="13">
        <f>Tableau378[[#This Row],[Zi²]]*Tableau378[[#This Row],[Sin² teta i2]]</f>
        <v>250.74189948607051</v>
      </c>
      <c r="V19" s="8">
        <f>Tableau378[[#This Row],[Cos teta i]]*Tableau378[[#This Row],[Sin teta i]]</f>
        <v>-0.25455712843128742</v>
      </c>
      <c r="W19" s="9">
        <f>IF(Tableau378[[#This Row],[Ri]] &lt;&gt;0,Tableau378[[#This Row],[Ri]]-'Points mesurés'!$D$3,0)</f>
        <v>-9.652427621886428E-2</v>
      </c>
      <c r="X19" s="9">
        <f>Tableau378[[#This Row],[Zi * sinteta]]*W19</f>
        <v>-1.5284456826624717</v>
      </c>
      <c r="Y19" s="8">
        <f>Tableau378[[#This Row],[Zi * cos]]*Tableau378[[#This Row],[Psi]]</f>
        <v>5.58612773158855</v>
      </c>
      <c r="Z19" s="13">
        <f>Tableau378[[#This Row],[Psi]]*Tableau378[[#This Row],[Cos teta i]]</f>
        <v>9.3102128859809161E-2</v>
      </c>
      <c r="AA19" s="13">
        <f>Tableau378[[#This Row],[Psi]]*Tableau378[[#This Row],[Sin teta i]]</f>
        <v>-2.5474094711041194E-2</v>
      </c>
      <c r="AB19" s="12"/>
      <c r="AC19" s="12"/>
      <c r="AD19" s="12"/>
    </row>
    <row r="20" spans="2:30" ht="15.75" x14ac:dyDescent="0.25">
      <c r="B20" s="6" t="s">
        <v>56</v>
      </c>
      <c r="C20" s="6">
        <f>'Points mesurés'!G18</f>
        <v>-4.9000000000000004</v>
      </c>
      <c r="D20" s="6">
        <f>'Points mesurés'!H18</f>
        <v>-1.6078718217960031E-15</v>
      </c>
      <c r="E20" s="7">
        <f>'Points mesurés'!I18</f>
        <v>60</v>
      </c>
      <c r="F20" s="6">
        <f>Tableau378[[#This Row],[Xi]]*Tableau378[[#This Row],[Xi]]</f>
        <v>24.010000000000005</v>
      </c>
      <c r="G20" s="6">
        <f>Tableau378[[#This Row],[Yi]]*Tableau378[[#This Row],[Yi]]</f>
        <v>2.5852517953255979E-30</v>
      </c>
      <c r="H20" s="13">
        <f t="shared" si="0"/>
        <v>3600</v>
      </c>
      <c r="I20" s="8">
        <f>SQRT(Tableau378[[#This Row],[Xi²]]+Tableau378[[#This Row],[Yi²]])</f>
        <v>4.9000000000000004</v>
      </c>
      <c r="J20" s="8">
        <f>IFERROR(Tableau378[[#This Row],[Xi]]/Tableau378[[#This Row],[Ri]],0)</f>
        <v>-1</v>
      </c>
      <c r="K20" s="13">
        <f>IFERROR(Tableau378[[#This Row],[Yi]]/Tableau378[[#This Row],[Ri]],0)</f>
        <v>-3.2813710648898021E-16</v>
      </c>
      <c r="L20" s="13">
        <f>Tableau378[[#This Row],[Cos teta i]]*Tableau378[[#This Row],[Cos teta i]]</f>
        <v>1</v>
      </c>
      <c r="M20" s="13">
        <f>Tableau378[[#This Row],[Sin teta i]]*Tableau378[[#This Row],[Sin teta i]]</f>
        <v>1.0767396065496033E-31</v>
      </c>
      <c r="N20" s="13">
        <f>Tableau378[[#This Row],[Zi]]*Tableau378[[#This Row],[Sin teta i]]</f>
        <v>-1.9688226389338813E-14</v>
      </c>
      <c r="O20" s="13">
        <f>Tableau378[[#This Row],[Zi]]*Tableau378[[#This Row],[Sin² teta i2]]</f>
        <v>6.4604376392976197E-30</v>
      </c>
      <c r="P20" s="13">
        <f>Tableau378[[#This Row],[Zi]]*Tableau378[[#This Row],[Cos teta i]]</f>
        <v>-60</v>
      </c>
      <c r="Q20" s="13">
        <f>Tableau378[[#This Row],[Zi]]*Tableau378[[#This Row],[Cos² teta i2]]</f>
        <v>60</v>
      </c>
      <c r="R20" s="13">
        <f>Tableau378[[#This Row],[Zi * sinteta]]*Tableau378[[#This Row],[Cos teta i]]</f>
        <v>1.9688226389338813E-14</v>
      </c>
      <c r="S20" s="13">
        <f>Tableau378[[#This Row],[Zi²]]*Tableau378[[#This Row],[Cos teta i]]*Tableau378[[#This Row],[Sin teta i]]</f>
        <v>1.1812935833603287E-12</v>
      </c>
      <c r="T20" s="13">
        <f>Tableau378[[#This Row],[Zi²]]*Tableau378[[#This Row],[Cos² teta i2]]</f>
        <v>3600</v>
      </c>
      <c r="U20" s="13">
        <f>Tableau378[[#This Row],[Zi²]]*Tableau378[[#This Row],[Sin² teta i2]]</f>
        <v>3.8762625835785721E-28</v>
      </c>
      <c r="V20" s="8">
        <f>Tableau378[[#This Row],[Cos teta i]]*Tableau378[[#This Row],[Sin teta i]]</f>
        <v>3.2813710648898021E-16</v>
      </c>
      <c r="W20" s="9">
        <f>IF(Tableau378[[#This Row],[Ri]] &lt;&gt;0,Tableau378[[#This Row],[Ri]]-'Points mesurés'!$D$3,0)</f>
        <v>-9.9999999999999645E-2</v>
      </c>
      <c r="X20" s="9">
        <f>Tableau378[[#This Row],[Zi * sinteta]]*W20</f>
        <v>1.9688226389338744E-15</v>
      </c>
      <c r="Y20" s="8">
        <f>Tableau378[[#This Row],[Zi * cos]]*Tableau378[[#This Row],[Psi]]</f>
        <v>5.9999999999999787</v>
      </c>
      <c r="Z20" s="13">
        <f>Tableau378[[#This Row],[Psi]]*Tableau378[[#This Row],[Cos teta i]]</f>
        <v>9.9999999999999645E-2</v>
      </c>
      <c r="AA20" s="13">
        <f>Tableau378[[#This Row],[Psi]]*Tableau378[[#This Row],[Sin teta i]]</f>
        <v>3.2813710648897901E-17</v>
      </c>
      <c r="AB20" s="12"/>
      <c r="AC20" s="12"/>
      <c r="AD20" s="12"/>
    </row>
    <row r="21" spans="2:30" ht="15.75" x14ac:dyDescent="0.25">
      <c r="B21" s="6" t="s">
        <v>57</v>
      </c>
      <c r="C21" s="6">
        <f>'Points mesurés'!G19</f>
        <v>-4.7296291314453409</v>
      </c>
      <c r="D21" s="6">
        <f>'Points mesurés'!H19</f>
        <v>-1.2940952255126059</v>
      </c>
      <c r="E21" s="7">
        <f>'Points mesurés'!I19</f>
        <v>0</v>
      </c>
      <c r="F21" s="6">
        <f>Tableau378[[#This Row],[Xi]]*Tableau378[[#This Row],[Xi]]</f>
        <v>22.369391721016409</v>
      </c>
      <c r="G21" s="6">
        <f>Tableau378[[#This Row],[Yi]]*Tableau378[[#This Row],[Yi]]</f>
        <v>1.6746824526945223</v>
      </c>
      <c r="H21" s="13">
        <f t="shared" si="0"/>
        <v>0</v>
      </c>
      <c r="I21" s="8">
        <f>SQRT(Tableau378[[#This Row],[Xi²]]+Tableau378[[#This Row],[Yi²]])</f>
        <v>4.9034757237811357</v>
      </c>
      <c r="J21" s="8">
        <f>IFERROR(Tableau378[[#This Row],[Xi]]/Tableau378[[#This Row],[Ri]],0)</f>
        <v>-0.96454625206103006</v>
      </c>
      <c r="K21" s="13">
        <f>IFERROR(Tableau378[[#This Row],[Yi]]/Tableau378[[#This Row],[Ri]],0)</f>
        <v>-0.26391386404472944</v>
      </c>
      <c r="L21" s="13">
        <f>Tableau378[[#This Row],[Cos teta i]]*Tableau378[[#This Row],[Cos teta i]]</f>
        <v>0.93034947236498011</v>
      </c>
      <c r="M21" s="13">
        <f>Tableau378[[#This Row],[Sin teta i]]*Tableau378[[#This Row],[Sin teta i]]</f>
        <v>6.9650527635019929E-2</v>
      </c>
      <c r="N21" s="13">
        <f>Tableau378[[#This Row],[Zi]]*Tableau378[[#This Row],[Sin teta i]]</f>
        <v>0</v>
      </c>
      <c r="O21" s="13">
        <f>Tableau378[[#This Row],[Zi]]*Tableau378[[#This Row],[Sin² teta i2]]</f>
        <v>0</v>
      </c>
      <c r="P21" s="13">
        <f>Tableau378[[#This Row],[Zi]]*Tableau378[[#This Row],[Cos teta i]]</f>
        <v>0</v>
      </c>
      <c r="Q21" s="13">
        <f>Tableau378[[#This Row],[Zi]]*Tableau378[[#This Row],[Cos² teta i2]]</f>
        <v>0</v>
      </c>
      <c r="R21" s="13">
        <f>Tableau378[[#This Row],[Zi * sinteta]]*Tableau378[[#This Row],[Cos teta i]]</f>
        <v>0</v>
      </c>
      <c r="S21" s="13">
        <f>Tableau378[[#This Row],[Zi²]]*Tableau378[[#This Row],[Cos teta i]]*Tableau378[[#This Row],[Sin teta i]]</f>
        <v>0</v>
      </c>
      <c r="T21" s="13">
        <f>Tableau378[[#This Row],[Zi²]]*Tableau378[[#This Row],[Cos² teta i2]]</f>
        <v>0</v>
      </c>
      <c r="U21" s="13">
        <f>Tableau378[[#This Row],[Zi²]]*Tableau378[[#This Row],[Sin² teta i2]]</f>
        <v>0</v>
      </c>
      <c r="V21" s="8">
        <f>Tableau378[[#This Row],[Cos teta i]]*Tableau378[[#This Row],[Sin teta i]]</f>
        <v>0.25455712843128803</v>
      </c>
      <c r="W21" s="9">
        <f>IF(Tableau378[[#This Row],[Ri]] &lt;&gt;0,Tableau378[[#This Row],[Ri]]-'Points mesurés'!$D$3,0)</f>
        <v>-9.652427621886428E-2</v>
      </c>
      <c r="X21" s="9">
        <f>Tableau378[[#This Row],[Zi * sinteta]]*W21</f>
        <v>0</v>
      </c>
      <c r="Y21" s="8">
        <f>Tableau378[[#This Row],[Zi * cos]]*Tableau378[[#This Row],[Psi]]</f>
        <v>0</v>
      </c>
      <c r="Z21" s="13">
        <f>Tableau378[[#This Row],[Psi]]*Tableau378[[#This Row],[Cos teta i]]</f>
        <v>9.3102128859809161E-2</v>
      </c>
      <c r="AA21" s="13">
        <f>Tableau378[[#This Row],[Psi]]*Tableau378[[#This Row],[Sin teta i]]</f>
        <v>2.547409471104126E-2</v>
      </c>
      <c r="AB21" s="12"/>
      <c r="AC21" s="12"/>
      <c r="AD21" s="12"/>
    </row>
    <row r="22" spans="2:30" ht="15.75" x14ac:dyDescent="0.25">
      <c r="B22" s="6" t="s">
        <v>58</v>
      </c>
      <c r="C22" s="6">
        <f>'Points mesurés'!G20</f>
        <v>-4.2301270189221922</v>
      </c>
      <c r="D22" s="6">
        <f>'Points mesurés'!H20</f>
        <v>-2.5000000000000027</v>
      </c>
      <c r="E22" s="7">
        <f>'Points mesurés'!I20</f>
        <v>0</v>
      </c>
      <c r="F22" s="6">
        <f>Tableau378[[#This Row],[Xi]]*Tableau378[[#This Row],[Xi]]</f>
        <v>17.893974596215553</v>
      </c>
      <c r="G22" s="6">
        <f>Tableau378[[#This Row],[Yi]]*Tableau378[[#This Row],[Yi]]</f>
        <v>6.2500000000000133</v>
      </c>
      <c r="H22" s="13">
        <f t="shared" si="0"/>
        <v>0</v>
      </c>
      <c r="I22" s="8">
        <f>SQRT(Tableau378[[#This Row],[Xi²]]+Tableau378[[#This Row],[Yi²]])</f>
        <v>4.9136518594845082</v>
      </c>
      <c r="J22" s="8">
        <f>IFERROR(Tableau378[[#This Row],[Xi]]/Tableau378[[#This Row],[Ri]],0)</f>
        <v>-0.86089270055977785</v>
      </c>
      <c r="K22" s="13">
        <f>IFERROR(Tableau378[[#This Row],[Yi]]/Tableau378[[#This Row],[Ri]],0)</f>
        <v>-0.50878655458147948</v>
      </c>
      <c r="L22" s="13">
        <f>Tableau378[[#This Row],[Cos teta i]]*Tableau378[[#This Row],[Cos teta i]]</f>
        <v>0.74113624187710736</v>
      </c>
      <c r="M22" s="13">
        <f>Tableau378[[#This Row],[Sin teta i]]*Tableau378[[#This Row],[Sin teta i]]</f>
        <v>0.25886375812289281</v>
      </c>
      <c r="N22" s="13">
        <f>Tableau378[[#This Row],[Zi]]*Tableau378[[#This Row],[Sin teta i]]</f>
        <v>0</v>
      </c>
      <c r="O22" s="13">
        <f>Tableau378[[#This Row],[Zi]]*Tableau378[[#This Row],[Sin² teta i2]]</f>
        <v>0</v>
      </c>
      <c r="P22" s="13">
        <f>Tableau378[[#This Row],[Zi]]*Tableau378[[#This Row],[Cos teta i]]</f>
        <v>0</v>
      </c>
      <c r="Q22" s="13">
        <f>Tableau378[[#This Row],[Zi]]*Tableau378[[#This Row],[Cos² teta i2]]</f>
        <v>0</v>
      </c>
      <c r="R22" s="13">
        <f>Tableau378[[#This Row],[Zi * sinteta]]*Tableau378[[#This Row],[Cos teta i]]</f>
        <v>0</v>
      </c>
      <c r="S22" s="13">
        <f>Tableau378[[#This Row],[Zi²]]*Tableau378[[#This Row],[Cos teta i]]*Tableau378[[#This Row],[Sin teta i]]</f>
        <v>0</v>
      </c>
      <c r="T22" s="13">
        <f>Tableau378[[#This Row],[Zi²]]*Tableau378[[#This Row],[Cos² teta i2]]</f>
        <v>0</v>
      </c>
      <c r="U22" s="13">
        <f>Tableau378[[#This Row],[Zi²]]*Tableau378[[#This Row],[Sin² teta i2]]</f>
        <v>0</v>
      </c>
      <c r="V22" s="8">
        <f>Tableau378[[#This Row],[Cos teta i]]*Tableau378[[#This Row],[Sin teta i]]</f>
        <v>0.4380106309821547</v>
      </c>
      <c r="W22" s="9">
        <f>IF(Tableau378[[#This Row],[Ri]] &lt;&gt;0,Tableau378[[#This Row],[Ri]]-'Points mesurés'!$D$3,0)</f>
        <v>-8.6348140515491778E-2</v>
      </c>
      <c r="X22" s="9">
        <f>Tableau378[[#This Row],[Zi * sinteta]]*W22</f>
        <v>0</v>
      </c>
      <c r="Y22" s="8">
        <f>Tableau378[[#This Row],[Zi * cos]]*Tableau378[[#This Row],[Psi]]</f>
        <v>0</v>
      </c>
      <c r="Z22" s="13">
        <f>Tableau378[[#This Row],[Psi]]*Tableau378[[#This Row],[Cos teta i]]</f>
        <v>7.4336483876696891E-2</v>
      </c>
      <c r="AA22" s="13">
        <f>Tableau378[[#This Row],[Psi]]*Tableau378[[#This Row],[Sin teta i]]</f>
        <v>4.3932772907394516E-2</v>
      </c>
      <c r="AB22" s="12"/>
      <c r="AC22" s="12"/>
      <c r="AD22" s="12"/>
    </row>
    <row r="23" spans="2:30" ht="15.75" x14ac:dyDescent="0.25">
      <c r="B23" s="6" t="s">
        <v>59</v>
      </c>
      <c r="C23" s="6">
        <f>'Points mesurés'!G21</f>
        <v>-3.435533905932735</v>
      </c>
      <c r="D23" s="6">
        <f>'Points mesurés'!H21</f>
        <v>-3.53553390593274</v>
      </c>
      <c r="E23" s="7">
        <f>'Points mesurés'!I21</f>
        <v>0</v>
      </c>
      <c r="F23" s="6">
        <f>Tableau378[[#This Row],[Xi]]*Tableau378[[#This Row],[Xi]]</f>
        <v>11.802893218813434</v>
      </c>
      <c r="G23" s="6">
        <f>Tableau378[[#This Row],[Yi]]*Tableau378[[#This Row],[Yi]]</f>
        <v>12.500000000000016</v>
      </c>
      <c r="H23" s="8">
        <f t="shared" si="0"/>
        <v>0</v>
      </c>
      <c r="I23" s="8">
        <f>SQRT(Tableau378[[#This Row],[Xi²]]+Tableau378[[#This Row],[Yi²]])</f>
        <v>4.9297964682949589</v>
      </c>
      <c r="J23" s="8">
        <f>IFERROR(Tableau378[[#This Row],[Xi]]/Tableau378[[#This Row],[Ri]],0)</f>
        <v>-0.69689163194215276</v>
      </c>
      <c r="K23" s="8">
        <f>IFERROR(Tableau378[[#This Row],[Yi]]/Tableau378[[#This Row],[Ri]],0)</f>
        <v>-0.71717644504612887</v>
      </c>
      <c r="L23" s="8">
        <f>Tableau378[[#This Row],[Cos teta i]]*Tableau378[[#This Row],[Cos teta i]]</f>
        <v>0.48565794667099688</v>
      </c>
      <c r="M23" s="8">
        <f>Tableau378[[#This Row],[Sin teta i]]*Tableau378[[#This Row],[Sin teta i]]</f>
        <v>0.51434205332900307</v>
      </c>
      <c r="N23" s="8">
        <f>Tableau378[[#This Row],[Zi]]*Tableau378[[#This Row],[Sin teta i]]</f>
        <v>0</v>
      </c>
      <c r="O23" s="8">
        <f>Tableau378[[#This Row],[Zi]]*Tableau378[[#This Row],[Sin² teta i2]]</f>
        <v>0</v>
      </c>
      <c r="P23" s="8">
        <f>Tableau378[[#This Row],[Zi]]*Tableau378[[#This Row],[Cos teta i]]</f>
        <v>0</v>
      </c>
      <c r="Q23" s="8">
        <f>Tableau378[[#This Row],[Zi]]*Tableau378[[#This Row],[Cos² teta i2]]</f>
        <v>0</v>
      </c>
      <c r="R23" s="8">
        <f>Tableau378[[#This Row],[Zi * sinteta]]*Tableau378[[#This Row],[Cos teta i]]</f>
        <v>0</v>
      </c>
      <c r="S23" s="8">
        <f>Tableau378[[#This Row],[Zi²]]*Tableau378[[#This Row],[Cos teta i]]*Tableau378[[#This Row],[Sin teta i]]</f>
        <v>0</v>
      </c>
      <c r="T23" s="8">
        <f>Tableau378[[#This Row],[Zi²]]*Tableau378[[#This Row],[Cos² teta i2]]</f>
        <v>0</v>
      </c>
      <c r="U23" s="8">
        <f>Tableau378[[#This Row],[Zi²]]*Tableau378[[#This Row],[Sin² teta i2]]</f>
        <v>0</v>
      </c>
      <c r="V23" s="8">
        <f>Tableau378[[#This Row],[Cos teta i]]*Tableau378[[#This Row],[Sin teta i]]</f>
        <v>0.49979426317866837</v>
      </c>
      <c r="W23" s="9">
        <f>IF(Tableau378[[#This Row],[Ri]] &lt;&gt;0,Tableau378[[#This Row],[Ri]]-'Points mesurés'!$D$3,0)</f>
        <v>-7.0203531705041122E-2</v>
      </c>
      <c r="X23" s="9">
        <f>Tableau378[[#This Row],[Zi * sinteta]]*W23</f>
        <v>0</v>
      </c>
      <c r="Y23" s="8">
        <f>Tableau378[[#This Row],[Zi * cos]]*Tableau378[[#This Row],[Psi]]</f>
        <v>0</v>
      </c>
      <c r="Z23" s="8">
        <f>Tableau378[[#This Row],[Psi]]*Tableau378[[#This Row],[Cos teta i]]</f>
        <v>4.8924253778028767E-2</v>
      </c>
      <c r="AA23" s="8">
        <f>Tableau378[[#This Row],[Psi]]*Tableau378[[#This Row],[Sin teta i]]</f>
        <v>5.0348319297904592E-2</v>
      </c>
      <c r="AB23" s="14"/>
      <c r="AC23" s="14"/>
      <c r="AD23" s="14"/>
    </row>
    <row r="24" spans="2:30" ht="15.75" x14ac:dyDescent="0.25">
      <c r="B24" s="6" t="s">
        <v>60</v>
      </c>
      <c r="C24" s="6">
        <f>'Points mesurés'!G22</f>
        <v>-2.3999999999999981</v>
      </c>
      <c r="D24" s="6">
        <f>'Points mesurés'!H22</f>
        <v>-4.3301270189221945</v>
      </c>
      <c r="E24" s="7">
        <f>'Points mesurés'!I22</f>
        <v>0</v>
      </c>
      <c r="F24" s="6">
        <f>Tableau378[[#This Row],[Xi]]*Tableau378[[#This Row],[Xi]]</f>
        <v>5.7599999999999909</v>
      </c>
      <c r="G24" s="6">
        <f>Tableau378[[#This Row],[Yi]]*Tableau378[[#This Row],[Yi]]</f>
        <v>18.750000000000011</v>
      </c>
      <c r="H24" s="13">
        <f>E24*E24</f>
        <v>0</v>
      </c>
      <c r="I24" s="8">
        <f>SQRT(Tableau378[[#This Row],[Xi²]]+Tableau378[[#This Row],[Yi²]])</f>
        <v>4.9507575177946253</v>
      </c>
      <c r="J24" s="8">
        <f>IFERROR(Tableau378[[#This Row],[Xi]]/Tableau378[[#This Row],[Ri]],0)</f>
        <v>-0.48477429794806576</v>
      </c>
      <c r="K24" s="13">
        <f>IFERROR(Tableau378[[#This Row],[Yi]]/Tableau378[[#This Row],[Ri]],0)</f>
        <v>-0.87463928567664972</v>
      </c>
      <c r="L24" s="13">
        <f>Tableau378[[#This Row],[Cos teta i]]*Tableau378[[#This Row],[Cos teta i]]</f>
        <v>0.23500611995104004</v>
      </c>
      <c r="M24" s="13">
        <f>Tableau378[[#This Row],[Sin teta i]]*Tableau378[[#This Row],[Sin teta i]]</f>
        <v>0.76499388004896007</v>
      </c>
      <c r="N24" s="13">
        <f>Tableau378[[#This Row],[Zi]]*Tableau378[[#This Row],[Sin teta i]]</f>
        <v>0</v>
      </c>
      <c r="O24" s="13">
        <f>Tableau378[[#This Row],[Zi]]*Tableau378[[#This Row],[Sin² teta i2]]</f>
        <v>0</v>
      </c>
      <c r="P24" s="13">
        <f>Tableau378[[#This Row],[Zi]]*Tableau378[[#This Row],[Cos teta i]]</f>
        <v>0</v>
      </c>
      <c r="Q24" s="13">
        <f>Tableau378[[#This Row],[Zi]]*Tableau378[[#This Row],[Cos² teta i2]]</f>
        <v>0</v>
      </c>
      <c r="R24" s="13">
        <f>Tableau378[[#This Row],[Zi * sinteta]]*Tableau378[[#This Row],[Cos teta i]]</f>
        <v>0</v>
      </c>
      <c r="S24" s="13">
        <f>Tableau378[[#This Row],[Zi²]]*Tableau378[[#This Row],[Cos teta i]]*Tableau378[[#This Row],[Sin teta i]]</f>
        <v>0</v>
      </c>
      <c r="T24" s="13">
        <f>Tableau378[[#This Row],[Zi²]]*Tableau378[[#This Row],[Cos² teta i2]]</f>
        <v>0</v>
      </c>
      <c r="U24" s="13">
        <f>Tableau378[[#This Row],[Zi²]]*Tableau378[[#This Row],[Sin² teta i2]]</f>
        <v>0</v>
      </c>
      <c r="V24" s="8">
        <f>Tableau378[[#This Row],[Cos teta i]]*Tableau378[[#This Row],[Sin teta i]]</f>
        <v>0.4240026456716956</v>
      </c>
      <c r="W24" s="9">
        <f>IF(Tableau378[[#This Row],[Ri]] &lt;&gt;0,Tableau378[[#This Row],[Ri]]-'Points mesurés'!$D$3,0)</f>
        <v>-4.9242482205374749E-2</v>
      </c>
      <c r="X24" s="9">
        <f>Tableau378[[#This Row],[Zi * sinteta]]*W24</f>
        <v>0</v>
      </c>
      <c r="Y24" s="8">
        <f>Tableau378[[#This Row],[Zi * cos]]*Tableau378[[#This Row],[Psi]]</f>
        <v>0</v>
      </c>
      <c r="Z24" s="13">
        <f>Tableau378[[#This Row],[Psi]]*Tableau378[[#This Row],[Cos teta i]]</f>
        <v>2.3871489740330664E-2</v>
      </c>
      <c r="AA24" s="13">
        <f>Tableau378[[#This Row],[Psi]]*Tableau378[[#This Row],[Sin teta i]]</f>
        <v>4.3069409461054108E-2</v>
      </c>
      <c r="AB24" s="14"/>
      <c r="AC24" s="14"/>
      <c r="AD24" s="14"/>
    </row>
    <row r="25" spans="2:30" ht="15.75" x14ac:dyDescent="0.25">
      <c r="B25" s="6" t="s">
        <v>61</v>
      </c>
      <c r="C25" s="6">
        <f>'Points mesurés'!G23</f>
        <v>-1.1940952255126032</v>
      </c>
      <c r="D25" s="6">
        <f>'Points mesurés'!H23</f>
        <v>-4.8296291314453415</v>
      </c>
      <c r="E25" s="7">
        <f>'Points mesurés'!I23</f>
        <v>0</v>
      </c>
      <c r="F25" s="6">
        <f>Tableau378[[#This Row],[Xi]]*Tableau378[[#This Row],[Xi]]</f>
        <v>1.4258634075919947</v>
      </c>
      <c r="G25" s="6">
        <f>Tableau378[[#This Row],[Yi]]*Tableau378[[#This Row],[Yi]]</f>
        <v>23.325317547305485</v>
      </c>
      <c r="H25" s="13">
        <f>E25*E25</f>
        <v>0</v>
      </c>
      <c r="I25" s="8">
        <f>SQRT(Tableau378[[#This Row],[Xi²]]+Tableau378[[#This Row],[Yi²]])</f>
        <v>4.9750558745503026</v>
      </c>
      <c r="J25" s="8">
        <f>IFERROR(Tableau378[[#This Row],[Xi]]/Tableau378[[#This Row],[Ri]],0)</f>
        <v>-0.24001644516616366</v>
      </c>
      <c r="K25" s="13">
        <f>IFERROR(Tableau378[[#This Row],[Yi]]/Tableau378[[#This Row],[Ri]],0)</f>
        <v>-0.97076882214551885</v>
      </c>
      <c r="L25" s="13">
        <f>Tableau378[[#This Row],[Cos teta i]]*Tableau378[[#This Row],[Cos teta i]]</f>
        <v>5.7607893950202049E-2</v>
      </c>
      <c r="M25" s="13">
        <f>Tableau378[[#This Row],[Sin teta i]]*Tableau378[[#This Row],[Sin teta i]]</f>
        <v>0.94239210604979806</v>
      </c>
      <c r="N25" s="13">
        <f>Tableau378[[#This Row],[Zi]]*Tableau378[[#This Row],[Sin teta i]]</f>
        <v>0</v>
      </c>
      <c r="O25" s="13">
        <f>Tableau378[[#This Row],[Zi]]*Tableau378[[#This Row],[Sin² teta i2]]</f>
        <v>0</v>
      </c>
      <c r="P25" s="13">
        <f>Tableau378[[#This Row],[Zi]]*Tableau378[[#This Row],[Cos teta i]]</f>
        <v>0</v>
      </c>
      <c r="Q25" s="13">
        <f>Tableau378[[#This Row],[Zi]]*Tableau378[[#This Row],[Cos² teta i2]]</f>
        <v>0</v>
      </c>
      <c r="R25" s="13">
        <f>Tableau378[[#This Row],[Zi * sinteta]]*Tableau378[[#This Row],[Cos teta i]]</f>
        <v>0</v>
      </c>
      <c r="S25" s="13">
        <f>Tableau378[[#This Row],[Zi²]]*Tableau378[[#This Row],[Cos teta i]]*Tableau378[[#This Row],[Sin teta i]]</f>
        <v>0</v>
      </c>
      <c r="T25" s="13">
        <f>Tableau378[[#This Row],[Zi²]]*Tableau378[[#This Row],[Cos² teta i2]]</f>
        <v>0</v>
      </c>
      <c r="U25" s="13">
        <f>Tableau378[[#This Row],[Zi²]]*Tableau378[[#This Row],[Sin² teta i2]]</f>
        <v>0</v>
      </c>
      <c r="V25" s="8">
        <f>Tableau378[[#This Row],[Cos teta i]]*Tableau378[[#This Row],[Sin teta i]]</f>
        <v>0.23300048176951121</v>
      </c>
      <c r="W25" s="9">
        <f>IF(Tableau378[[#This Row],[Ri]] &lt;&gt;0,Tableau378[[#This Row],[Ri]]-'Points mesurés'!$D$3,0)</f>
        <v>-2.4944125449697374E-2</v>
      </c>
      <c r="X25" s="9">
        <f>Tableau378[[#This Row],[Zi * sinteta]]*W25</f>
        <v>0</v>
      </c>
      <c r="Y25" s="8">
        <f>Tableau378[[#This Row],[Zi * cos]]*Tableau378[[#This Row],[Psi]]</f>
        <v>0</v>
      </c>
      <c r="Z25" s="13">
        <f>Tableau378[[#This Row],[Psi]]*Tableau378[[#This Row],[Cos teta i]]</f>
        <v>5.9870003182151974E-3</v>
      </c>
      <c r="AA25" s="13">
        <f>Tableau378[[#This Row],[Psi]]*Tableau378[[#This Row],[Sin teta i]]</f>
        <v>2.4214979282252781E-2</v>
      </c>
      <c r="AB25" s="14"/>
      <c r="AC25" s="14"/>
      <c r="AD25" s="14"/>
    </row>
    <row r="26" spans="2:30" ht="15.75" x14ac:dyDescent="0.25">
      <c r="B26" s="6" t="s">
        <v>62</v>
      </c>
      <c r="C26" s="6">
        <f>'Points mesurés'!G24</f>
        <v>9.999999999999909E-2</v>
      </c>
      <c r="D26" s="6">
        <f>'Points mesurés'!H24</f>
        <v>-5</v>
      </c>
      <c r="E26" s="7">
        <f>'Points mesurés'!I24</f>
        <v>0</v>
      </c>
      <c r="F26" s="6">
        <f>Tableau378[[#This Row],[Xi]]*Tableau378[[#This Row],[Xi]]</f>
        <v>9.9999999999998181E-3</v>
      </c>
      <c r="G26" s="6">
        <f>Tableau378[[#This Row],[Yi]]*Tableau378[[#This Row],[Yi]]</f>
        <v>25</v>
      </c>
      <c r="H26" s="13">
        <f t="shared" ref="H26:H29" si="1">E26*E26</f>
        <v>0</v>
      </c>
      <c r="I26" s="8">
        <f>SQRT(Tableau378[[#This Row],[Xi²]]+Tableau378[[#This Row],[Yi²]])</f>
        <v>5.0009999000199947</v>
      </c>
      <c r="J26" s="8">
        <f>IFERROR(Tableau378[[#This Row],[Xi]]/Tableau378[[#This Row],[Ri]],0)</f>
        <v>1.9996001199599957E-2</v>
      </c>
      <c r="K26" s="13">
        <f>IFERROR(Tableau378[[#This Row],[Yi]]/Tableau378[[#This Row],[Ri]],0)</f>
        <v>-0.99980005998000709</v>
      </c>
      <c r="L26" s="13">
        <f>Tableau378[[#This Row],[Cos teta i]]*Tableau378[[#This Row],[Cos teta i]]</f>
        <v>3.9984006397440292E-4</v>
      </c>
      <c r="M26" s="13">
        <f>Tableau378[[#This Row],[Sin teta i]]*Tableau378[[#This Row],[Sin teta i]]</f>
        <v>0.9996001599360258</v>
      </c>
      <c r="N26" s="13">
        <f>Tableau378[[#This Row],[Zi]]*Tableau378[[#This Row],[Sin teta i]]</f>
        <v>0</v>
      </c>
      <c r="O26" s="13">
        <f>Tableau378[[#This Row],[Zi]]*Tableau378[[#This Row],[Sin² teta i2]]</f>
        <v>0</v>
      </c>
      <c r="P26" s="13">
        <f>Tableau378[[#This Row],[Zi]]*Tableau378[[#This Row],[Cos teta i]]</f>
        <v>0</v>
      </c>
      <c r="Q26" s="13">
        <f>Tableau378[[#This Row],[Zi]]*Tableau378[[#This Row],[Cos² teta i2]]</f>
        <v>0</v>
      </c>
      <c r="R26" s="13">
        <f>Tableau378[[#This Row],[Zi * sinteta]]*Tableau378[[#This Row],[Cos teta i]]</f>
        <v>0</v>
      </c>
      <c r="S26" s="13">
        <f>Tableau378[[#This Row],[Zi²]]*Tableau378[[#This Row],[Cos teta i]]*Tableau378[[#This Row],[Sin teta i]]</f>
        <v>0</v>
      </c>
      <c r="T26" s="13">
        <f>Tableau378[[#This Row],[Zi²]]*Tableau378[[#This Row],[Cos² teta i2]]</f>
        <v>0</v>
      </c>
      <c r="U26" s="13">
        <f>Tableau378[[#This Row],[Zi²]]*Tableau378[[#This Row],[Sin² teta i2]]</f>
        <v>0</v>
      </c>
      <c r="V26" s="8">
        <f>Tableau378[[#This Row],[Cos teta i]]*Tableau378[[#This Row],[Sin teta i]]</f>
        <v>-1.999200319872033E-2</v>
      </c>
      <c r="W26" s="9">
        <f>IF(Tableau378[[#This Row],[Ri]] &lt;&gt;0,Tableau378[[#This Row],[Ri]]-'Points mesurés'!$D$3,0)</f>
        <v>9.9990001999472611E-4</v>
      </c>
      <c r="X26" s="9">
        <f>Tableau378[[#This Row],[Zi * sinteta]]*W26</f>
        <v>0</v>
      </c>
      <c r="Y26" s="8">
        <f>Tableau378[[#This Row],[Zi * cos]]*Tableau378[[#This Row],[Psi]]</f>
        <v>0</v>
      </c>
      <c r="Z26" s="13">
        <f>Tableau378[[#This Row],[Psi]]*Tableau378[[#This Row],[Cos teta i]]</f>
        <v>1.9994001999294565E-5</v>
      </c>
      <c r="AA26" s="13">
        <f>Tableau378[[#This Row],[Psi]]*Tableau378[[#This Row],[Sin teta i]]</f>
        <v>-9.9970009996473751E-4</v>
      </c>
      <c r="AB26" s="14"/>
      <c r="AC26" s="14"/>
      <c r="AD26" s="14"/>
    </row>
    <row r="27" spans="2:30" ht="15.75" x14ac:dyDescent="0.25">
      <c r="B27" s="6" t="s">
        <v>63</v>
      </c>
      <c r="C27" s="6">
        <f>'Points mesurés'!G25</f>
        <v>1.3940952255126016</v>
      </c>
      <c r="D27" s="6">
        <f>'Points mesurés'!H25</f>
        <v>-4.8296291314453423</v>
      </c>
      <c r="E27" s="7">
        <f>'Points mesurés'!I25</f>
        <v>0</v>
      </c>
      <c r="F27" s="6">
        <f>Tableau378[[#This Row],[Xi]]*Tableau378[[#This Row],[Xi]]</f>
        <v>1.9435014977970315</v>
      </c>
      <c r="G27" s="6">
        <f>Tableau378[[#This Row],[Yi]]*Tableau378[[#This Row],[Yi]]</f>
        <v>23.325317547305492</v>
      </c>
      <c r="H27" s="13">
        <f t="shared" si="1"/>
        <v>0</v>
      </c>
      <c r="I27" s="8">
        <f>SQRT(Tableau378[[#This Row],[Xi²]]+Tableau378[[#This Row],[Yi²]])</f>
        <v>5.0268100267567828</v>
      </c>
      <c r="J27" s="8">
        <f>IFERROR(Tableau378[[#This Row],[Xi]]/Tableau378[[#This Row],[Ri]],0)</f>
        <v>0.27733198949076843</v>
      </c>
      <c r="K27" s="13">
        <f>IFERROR(Tableau378[[#This Row],[Yi]]/Tableau378[[#This Row],[Ri]],0)</f>
        <v>-0.96077415015449497</v>
      </c>
      <c r="L27" s="13">
        <f>Tableau378[[#This Row],[Cos teta i]]*Tableau378[[#This Row],[Cos teta i]]</f>
        <v>7.6913032394907696E-2</v>
      </c>
      <c r="M27" s="13">
        <f>Tableau378[[#This Row],[Sin teta i]]*Tableau378[[#This Row],[Sin teta i]]</f>
        <v>0.92308696760509201</v>
      </c>
      <c r="N27" s="13">
        <f>Tableau378[[#This Row],[Zi]]*Tableau378[[#This Row],[Sin teta i]]</f>
        <v>0</v>
      </c>
      <c r="O27" s="13">
        <f>Tableau378[[#This Row],[Zi]]*Tableau378[[#This Row],[Sin² teta i2]]</f>
        <v>0</v>
      </c>
      <c r="P27" s="13">
        <f>Tableau378[[#This Row],[Zi]]*Tableau378[[#This Row],[Cos teta i]]</f>
        <v>0</v>
      </c>
      <c r="Q27" s="13">
        <f>Tableau378[[#This Row],[Zi]]*Tableau378[[#This Row],[Cos² teta i2]]</f>
        <v>0</v>
      </c>
      <c r="R27" s="13">
        <f>Tableau378[[#This Row],[Zi * sinteta]]*Tableau378[[#This Row],[Cos teta i]]</f>
        <v>0</v>
      </c>
      <c r="S27" s="13">
        <f>Tableau378[[#This Row],[Zi²]]*Tableau378[[#This Row],[Cos teta i]]*Tableau378[[#This Row],[Sin teta i]]</f>
        <v>0</v>
      </c>
      <c r="T27" s="13">
        <f>Tableau378[[#This Row],[Zi²]]*Tableau378[[#This Row],[Cos² teta i2]]</f>
        <v>0</v>
      </c>
      <c r="U27" s="13">
        <f>Tableau378[[#This Row],[Zi²]]*Tableau378[[#This Row],[Sin² teta i2]]</f>
        <v>0</v>
      </c>
      <c r="V27" s="8">
        <f>Tableau378[[#This Row],[Cos teta i]]*Tableau378[[#This Row],[Sin teta i]]</f>
        <v>-0.26645340651364835</v>
      </c>
      <c r="W27" s="9">
        <f>IF(Tableau378[[#This Row],[Ri]] &lt;&gt;0,Tableau378[[#This Row],[Ri]]-'Points mesurés'!$D$3,0)</f>
        <v>2.681002675678279E-2</v>
      </c>
      <c r="X27" s="9">
        <f>Tableau378[[#This Row],[Zi * sinteta]]*W27</f>
        <v>0</v>
      </c>
      <c r="Y27" s="8">
        <f>Tableau378[[#This Row],[Zi * cos]]*Tableau378[[#This Row],[Psi]]</f>
        <v>0</v>
      </c>
      <c r="Z27" s="13">
        <f>Tableau378[[#This Row],[Psi]]*Tableau378[[#This Row],[Cos teta i]]</f>
        <v>7.4352780587593047E-3</v>
      </c>
      <c r="AA27" s="13">
        <f>Tableau378[[#This Row],[Psi]]*Tableau378[[#This Row],[Sin teta i]]</f>
        <v>-2.5758380672867256E-2</v>
      </c>
      <c r="AB27" s="14"/>
      <c r="AC27" s="14"/>
      <c r="AD27" s="14"/>
    </row>
    <row r="28" spans="2:30" ht="15.75" x14ac:dyDescent="0.25">
      <c r="B28" s="6" t="s">
        <v>64</v>
      </c>
      <c r="C28" s="6">
        <f>'Points mesurés'!G26</f>
        <v>2.5999999999999965</v>
      </c>
      <c r="D28" s="6">
        <f>'Points mesurés'!H26</f>
        <v>-4.3301270189221954</v>
      </c>
      <c r="E28" s="7">
        <f>'Points mesurés'!I26</f>
        <v>0</v>
      </c>
      <c r="F28" s="6">
        <f>Tableau378[[#This Row],[Xi]]*Tableau378[[#This Row],[Xi]]</f>
        <v>6.759999999999982</v>
      </c>
      <c r="G28" s="6">
        <f>Tableau378[[#This Row],[Yi]]*Tableau378[[#This Row],[Yi]]</f>
        <v>18.750000000000018</v>
      </c>
      <c r="H28" s="13">
        <f t="shared" si="1"/>
        <v>0</v>
      </c>
      <c r="I28" s="8">
        <f>SQRT(Tableau378[[#This Row],[Xi²]]+Tableau378[[#This Row],[Yi²]])</f>
        <v>5.0507425196697566</v>
      </c>
      <c r="J28" s="8">
        <f>IFERROR(Tableau378[[#This Row],[Xi]]/Tableau378[[#This Row],[Ri]],0)</f>
        <v>0.51477579581110733</v>
      </c>
      <c r="K28" s="13">
        <f>IFERROR(Tableau378[[#This Row],[Yi]]/Tableau378[[#This Row],[Ri]],0)</f>
        <v>-0.85732483928032843</v>
      </c>
      <c r="L28" s="13">
        <f>Tableau378[[#This Row],[Cos teta i]]*Tableau378[[#This Row],[Cos teta i]]</f>
        <v>0.26499411995295885</v>
      </c>
      <c r="M28" s="13">
        <f>Tableau378[[#This Row],[Sin teta i]]*Tableau378[[#This Row],[Sin teta i]]</f>
        <v>0.73500588004704093</v>
      </c>
      <c r="N28" s="13">
        <f>Tableau378[[#This Row],[Zi]]*Tableau378[[#This Row],[Sin teta i]]</f>
        <v>0</v>
      </c>
      <c r="O28" s="13">
        <f>Tableau378[[#This Row],[Zi]]*Tableau378[[#This Row],[Sin² teta i2]]</f>
        <v>0</v>
      </c>
      <c r="P28" s="13">
        <f>Tableau378[[#This Row],[Zi]]*Tableau378[[#This Row],[Cos teta i]]</f>
        <v>0</v>
      </c>
      <c r="Q28" s="13">
        <f>Tableau378[[#This Row],[Zi]]*Tableau378[[#This Row],[Cos² teta i2]]</f>
        <v>0</v>
      </c>
      <c r="R28" s="13">
        <f>Tableau378[[#This Row],[Zi * sinteta]]*Tableau378[[#This Row],[Cos teta i]]</f>
        <v>0</v>
      </c>
      <c r="S28" s="13">
        <f>Tableau378[[#This Row],[Zi²]]*Tableau378[[#This Row],[Cos teta i]]*Tableau378[[#This Row],[Sin teta i]]</f>
        <v>0</v>
      </c>
      <c r="T28" s="13">
        <f>Tableau378[[#This Row],[Zi²]]*Tableau378[[#This Row],[Cos² teta i2]]</f>
        <v>0</v>
      </c>
      <c r="U28" s="13">
        <f>Tableau378[[#This Row],[Zi²]]*Tableau378[[#This Row],[Sin² teta i2]]</f>
        <v>0</v>
      </c>
      <c r="V28" s="8">
        <f>Tableau378[[#This Row],[Cos teta i]]*Tableau378[[#This Row],[Sin teta i]]</f>
        <v>-0.44133007640916078</v>
      </c>
      <c r="W28" s="9">
        <f>IF(Tableau378[[#This Row],[Ri]] &lt;&gt;0,Tableau378[[#This Row],[Ri]]-'Points mesurés'!$D$3,0)</f>
        <v>5.0742519669756625E-2</v>
      </c>
      <c r="X28" s="9">
        <f>Tableau378[[#This Row],[Zi * sinteta]]*W28</f>
        <v>0</v>
      </c>
      <c r="Y28" s="8">
        <f>Tableau378[[#This Row],[Zi * cos]]*Tableau378[[#This Row],[Psi]]</f>
        <v>0</v>
      </c>
      <c r="Z28" s="13">
        <f>Tableau378[[#This Row],[Psi]]*Tableau378[[#This Row],[Cos teta i]]</f>
        <v>2.6121020944459734E-2</v>
      </c>
      <c r="AA28" s="13">
        <f>Tableau378[[#This Row],[Psi]]*Tableau378[[#This Row],[Sin teta i]]</f>
        <v>-4.3502822520553E-2</v>
      </c>
      <c r="AB28" s="14"/>
      <c r="AC28" s="14"/>
      <c r="AD28" s="14"/>
    </row>
    <row r="29" spans="2:30" ht="15.75" x14ac:dyDescent="0.25">
      <c r="B29" s="6" t="s">
        <v>65</v>
      </c>
      <c r="C29" s="6">
        <f>'Points mesurés'!G27</f>
        <v>3.6355339059327343</v>
      </c>
      <c r="D29" s="6">
        <f>'Points mesurés'!H27</f>
        <v>-3.5355339059327417</v>
      </c>
      <c r="E29" s="7">
        <f>'Points mesurés'!I27</f>
        <v>0</v>
      </c>
      <c r="F29" s="6">
        <f>Tableau378[[#This Row],[Xi]]*Tableau378[[#This Row],[Xi]]</f>
        <v>13.217106781186523</v>
      </c>
      <c r="G29" s="6">
        <f>Tableau378[[#This Row],[Yi]]*Tableau378[[#This Row],[Yi]]</f>
        <v>12.500000000000028</v>
      </c>
      <c r="H29" s="13">
        <f t="shared" si="1"/>
        <v>0</v>
      </c>
      <c r="I29" s="8">
        <f>SQRT(Tableau378[[#This Row],[Xi²]]+Tableau378[[#This Row],[Yi²]])</f>
        <v>5.0712036816900339</v>
      </c>
      <c r="J29" s="8">
        <f>IFERROR(Tableau378[[#This Row],[Xi]]/Tableau378[[#This Row],[Ri]],0)</f>
        <v>0.71689763104154258</v>
      </c>
      <c r="K29" s="13">
        <f>IFERROR(Tableau378[[#This Row],[Yi]]/Tableau378[[#This Row],[Ri]],0)</f>
        <v>-0.69717844674589891</v>
      </c>
      <c r="L29" s="13">
        <f>Tableau378[[#This Row],[Cos teta i]]*Tableau378[[#This Row],[Cos teta i]]</f>
        <v>0.51394221339297574</v>
      </c>
      <c r="M29" s="13">
        <f>Tableau378[[#This Row],[Sin teta i]]*Tableau378[[#This Row],[Sin teta i]]</f>
        <v>0.4860577866070242</v>
      </c>
      <c r="N29" s="13">
        <f>Tableau378[[#This Row],[Zi]]*Tableau378[[#This Row],[Sin teta i]]</f>
        <v>0</v>
      </c>
      <c r="O29" s="13">
        <f>Tableau378[[#This Row],[Zi]]*Tableau378[[#This Row],[Sin² teta i2]]</f>
        <v>0</v>
      </c>
      <c r="P29" s="13">
        <f>Tableau378[[#This Row],[Zi]]*Tableau378[[#This Row],[Cos teta i]]</f>
        <v>0</v>
      </c>
      <c r="Q29" s="13">
        <f>Tableau378[[#This Row],[Zi]]*Tableau378[[#This Row],[Cos² teta i2]]</f>
        <v>0</v>
      </c>
      <c r="R29" s="13">
        <f>Tableau378[[#This Row],[Zi * sinteta]]*Tableau378[[#This Row],[Cos teta i]]</f>
        <v>0</v>
      </c>
      <c r="S29" s="13">
        <f>Tableau378[[#This Row],[Zi²]]*Tableau378[[#This Row],[Cos teta i]]*Tableau378[[#This Row],[Sin teta i]]</f>
        <v>0</v>
      </c>
      <c r="T29" s="13">
        <f>Tableau378[[#This Row],[Zi²]]*Tableau378[[#This Row],[Cos² teta i2]]</f>
        <v>0</v>
      </c>
      <c r="U29" s="13">
        <f>Tableau378[[#This Row],[Zi²]]*Tableau378[[#This Row],[Sin² teta i2]]</f>
        <v>0</v>
      </c>
      <c r="V29" s="8">
        <f>Tableau378[[#This Row],[Cos teta i]]*Tableau378[[#This Row],[Sin teta i]]</f>
        <v>-0.49980557688535715</v>
      </c>
      <c r="W29" s="9">
        <f>IF(Tableau378[[#This Row],[Ri]] &lt;&gt;0,Tableau378[[#This Row],[Ri]]-'Points mesurés'!$D$3,0)</f>
        <v>7.1203681690033882E-2</v>
      </c>
      <c r="X29" s="9">
        <f>Tableau378[[#This Row],[Zi * sinteta]]*W29</f>
        <v>0</v>
      </c>
      <c r="Y29" s="8">
        <f>Tableau378[[#This Row],[Zi * cos]]*Tableau378[[#This Row],[Psi]]</f>
        <v>0</v>
      </c>
      <c r="Z29" s="13">
        <f>Tableau378[[#This Row],[Psi]]*Tableau378[[#This Row],[Cos teta i]]</f>
        <v>5.1045750725021349E-2</v>
      </c>
      <c r="AA29" s="13">
        <f>Tableau378[[#This Row],[Psi]]*Tableau378[[#This Row],[Sin teta i]]</f>
        <v>-4.9641672203247222E-2</v>
      </c>
      <c r="AB29" s="14"/>
      <c r="AC29" s="14"/>
      <c r="AD29" s="14"/>
    </row>
    <row r="30" spans="2:30" ht="15.75" x14ac:dyDescent="0.25">
      <c r="B30" s="6" t="s">
        <v>66</v>
      </c>
      <c r="C30" s="6">
        <f>'Points mesurés'!G28</f>
        <v>4.4301270189221889</v>
      </c>
      <c r="D30" s="6">
        <f>'Points mesurés'!H28</f>
        <v>-2.5000000000000062</v>
      </c>
      <c r="E30" s="7">
        <f>'Points mesurés'!I28</f>
        <v>0</v>
      </c>
      <c r="F30" s="6">
        <f>Tableau378[[#This Row],[Xi]]*Tableau378[[#This Row],[Xi]]</f>
        <v>19.6260254037844</v>
      </c>
      <c r="G30" s="6">
        <f>Tableau378[[#This Row],[Yi]]*Tableau378[[#This Row],[Yi]]</f>
        <v>6.2500000000000311</v>
      </c>
      <c r="H30" s="13">
        <f>E30*E30</f>
        <v>0</v>
      </c>
      <c r="I30" s="8">
        <f>SQRT(Tableau378[[#This Row],[Xi²]]+Tableau378[[#This Row],[Yi²]])</f>
        <v>5.0868482780386159</v>
      </c>
      <c r="J30" s="8">
        <f>IFERROR(Tableau378[[#This Row],[Xi]]/Tableau378[[#This Row],[Ri]],0)</f>
        <v>0.870898201947229</v>
      </c>
      <c r="K30" s="13">
        <f>IFERROR(Tableau378[[#This Row],[Yi]]/Tableau378[[#This Row],[Ri]],0)</f>
        <v>-0.49146344914457618</v>
      </c>
      <c r="L30" s="13">
        <f>Tableau378[[#This Row],[Cos teta i]]*Tableau378[[#This Row],[Cos teta i]]</f>
        <v>0.75846367815491644</v>
      </c>
      <c r="M30" s="13">
        <f>Tableau378[[#This Row],[Sin teta i]]*Tableau378[[#This Row],[Sin teta i]]</f>
        <v>0.24153632184508342</v>
      </c>
      <c r="N30" s="13">
        <f>Tableau378[[#This Row],[Zi]]*Tableau378[[#This Row],[Sin teta i]]</f>
        <v>0</v>
      </c>
      <c r="O30" s="13">
        <f>Tableau378[[#This Row],[Zi]]*Tableau378[[#This Row],[Sin² teta i2]]</f>
        <v>0</v>
      </c>
      <c r="P30" s="13">
        <f>Tableau378[[#This Row],[Zi]]*Tableau378[[#This Row],[Cos teta i]]</f>
        <v>0</v>
      </c>
      <c r="Q30" s="13">
        <f>Tableau378[[#This Row],[Zi]]*Tableau378[[#This Row],[Cos² teta i2]]</f>
        <v>0</v>
      </c>
      <c r="R30" s="13">
        <f>Tableau378[[#This Row],[Zi * sinteta]]*Tableau378[[#This Row],[Cos teta i]]</f>
        <v>0</v>
      </c>
      <c r="S30" s="13">
        <f>Tableau378[[#This Row],[Zi²]]*Tableau378[[#This Row],[Cos teta i]]*Tableau378[[#This Row],[Sin teta i]]</f>
        <v>0</v>
      </c>
      <c r="T30" s="13">
        <f>Tableau378[[#This Row],[Zi²]]*Tableau378[[#This Row],[Cos² teta i2]]</f>
        <v>0</v>
      </c>
      <c r="U30" s="13">
        <f>Tableau378[[#This Row],[Zi²]]*Tableau378[[#This Row],[Sin² teta i2]]</f>
        <v>0</v>
      </c>
      <c r="V30" s="8">
        <f>Tableau378[[#This Row],[Cos teta i]]*Tableau378[[#This Row],[Sin teta i]]</f>
        <v>-0.42801463418279484</v>
      </c>
      <c r="W30" s="9">
        <f>IF(Tableau378[[#This Row],[Ri]] &lt;&gt;0,Tableau378[[#This Row],[Ri]]-'Points mesurés'!$D$3,0)</f>
        <v>8.6848278038615945E-2</v>
      </c>
      <c r="X30" s="9">
        <f>Tableau378[[#This Row],[Zi * sinteta]]*W30</f>
        <v>0</v>
      </c>
      <c r="Y30" s="8">
        <f>Tableau378[[#This Row],[Zi * cos]]*Tableau378[[#This Row],[Psi]]</f>
        <v>0</v>
      </c>
      <c r="Z30" s="13">
        <f>Tableau378[[#This Row],[Psi]]*Tableau378[[#This Row],[Cos teta i]]</f>
        <v>7.5636009186043643E-2</v>
      </c>
      <c r="AA30" s="13">
        <f>Tableau378[[#This Row],[Psi]]*Tableau378[[#This Row],[Sin teta i]]</f>
        <v>-4.268275427712534E-2</v>
      </c>
      <c r="AB30" s="14"/>
      <c r="AC30" s="14"/>
      <c r="AD30" s="14"/>
    </row>
    <row r="31" spans="2:30" ht="15.75" x14ac:dyDescent="0.25">
      <c r="B31" s="6" t="s">
        <v>67</v>
      </c>
      <c r="C31" s="6">
        <f>'Points mesurés'!G29</f>
        <v>4.9296291314453393</v>
      </c>
      <c r="D31" s="6">
        <f>'Points mesurés'!H29</f>
        <v>-1.2940952255126121</v>
      </c>
      <c r="E31" s="7">
        <f>'Points mesurés'!I29</f>
        <v>0</v>
      </c>
      <c r="F31" s="6">
        <f>Tableau378[[#This Row],[Xi]]*Tableau378[[#This Row],[Xi]]</f>
        <v>24.301243373594531</v>
      </c>
      <c r="G31" s="6">
        <f>Tableau378[[#This Row],[Yi]]*Tableau378[[#This Row],[Yi]]</f>
        <v>1.6746824526945385</v>
      </c>
      <c r="H31" s="13">
        <f>E31*E31</f>
        <v>0</v>
      </c>
      <c r="I31" s="8">
        <f>SQRT(Tableau378[[#This Row],[Xi²]]+Tableau378[[#This Row],[Yi²]])</f>
        <v>5.0966582999342886</v>
      </c>
      <c r="J31" s="8">
        <f>IFERROR(Tableau378[[#This Row],[Xi]]/Tableau378[[#This Row],[Ri]],0)</f>
        <v>0.96722770908712818</v>
      </c>
      <c r="K31" s="13">
        <f>IFERROR(Tableau378[[#This Row],[Yi]]/Tableau378[[#This Row],[Ri]],0)</f>
        <v>-0.25391053301126681</v>
      </c>
      <c r="L31" s="13">
        <f>Tableau378[[#This Row],[Cos teta i]]*Tableau378[[#This Row],[Cos teta i]]</f>
        <v>0.93552944122593429</v>
      </c>
      <c r="M31" s="13">
        <f>Tableau378[[#This Row],[Sin teta i]]*Tableau378[[#This Row],[Sin teta i]]</f>
        <v>6.4470558774065614E-2</v>
      </c>
      <c r="N31" s="13">
        <f>Tableau378[[#This Row],[Zi]]*Tableau378[[#This Row],[Sin teta i]]</f>
        <v>0</v>
      </c>
      <c r="O31" s="13">
        <f>Tableau378[[#This Row],[Zi]]*Tableau378[[#This Row],[Sin² teta i2]]</f>
        <v>0</v>
      </c>
      <c r="P31" s="13">
        <f>Tableau378[[#This Row],[Zi]]*Tableau378[[#This Row],[Cos teta i]]</f>
        <v>0</v>
      </c>
      <c r="Q31" s="13">
        <f>Tableau378[[#This Row],[Zi]]*Tableau378[[#This Row],[Cos² teta i2]]</f>
        <v>0</v>
      </c>
      <c r="R31" s="13">
        <f>Tableau378[[#This Row],[Zi * sinteta]]*Tableau378[[#This Row],[Cos teta i]]</f>
        <v>0</v>
      </c>
      <c r="S31" s="13">
        <f>Tableau378[[#This Row],[Zi²]]*Tableau378[[#This Row],[Cos teta i]]*Tableau378[[#This Row],[Sin teta i]]</f>
        <v>0</v>
      </c>
      <c r="T31" s="13">
        <f>Tableau378[[#This Row],[Zi²]]*Tableau378[[#This Row],[Cos² teta i2]]</f>
        <v>0</v>
      </c>
      <c r="U31" s="13">
        <f>Tableau378[[#This Row],[Zi²]]*Tableau378[[#This Row],[Sin² teta i2]]</f>
        <v>0</v>
      </c>
      <c r="V31" s="8">
        <f>Tableau378[[#This Row],[Cos teta i]]*Tableau378[[#This Row],[Sin teta i]]</f>
        <v>-0.24558930315757924</v>
      </c>
      <c r="W31" s="9">
        <f>IF(Tableau378[[#This Row],[Ri]] &lt;&gt;0,Tableau378[[#This Row],[Ri]]-'Points mesurés'!$D$3,0)</f>
        <v>9.665829993428865E-2</v>
      </c>
      <c r="X31" s="9">
        <f>Tableau378[[#This Row],[Zi * sinteta]]*W31</f>
        <v>0</v>
      </c>
      <c r="Y31" s="8">
        <f>Tableau378[[#This Row],[Zi * cos]]*Tableau378[[#This Row],[Psi]]</f>
        <v>0</v>
      </c>
      <c r="Z31" s="13">
        <f>Tableau378[[#This Row],[Psi]]*Tableau378[[#This Row],[Cos teta i]]</f>
        <v>9.349058600969852E-2</v>
      </c>
      <c r="AA31" s="13">
        <f>Tableau378[[#This Row],[Psi]]*Tableau378[[#This Row],[Sin teta i]]</f>
        <v>-2.4542560456278128E-2</v>
      </c>
      <c r="AB31" s="14"/>
      <c r="AC31" s="14"/>
      <c r="AD31" s="14"/>
    </row>
    <row r="32" spans="2:30" ht="15.75" x14ac:dyDescent="0.25">
      <c r="B32" s="6" t="s">
        <v>68</v>
      </c>
      <c r="C32" s="6">
        <f>'Points mesurés'!G30</f>
        <v>5.0999999999999996</v>
      </c>
      <c r="D32" s="6">
        <f>'Points mesurés'!H30</f>
        <v>-1.0106932651909872E-14</v>
      </c>
      <c r="E32" s="7">
        <f>'Points mesurés'!I30</f>
        <v>0</v>
      </c>
      <c r="F32" s="6">
        <f>Tableau378[[#This Row],[Xi]]*Tableau378[[#This Row],[Xi]]</f>
        <v>26.009999999999998</v>
      </c>
      <c r="G32" s="6">
        <f>Tableau378[[#This Row],[Yi]]*Tableau378[[#This Row],[Yi]]</f>
        <v>1.0215008763024192E-28</v>
      </c>
      <c r="H32" s="13">
        <f>E32*E32</f>
        <v>0</v>
      </c>
      <c r="I32" s="8">
        <f>SQRT(Tableau378[[#This Row],[Xi²]]+Tableau378[[#This Row],[Yi²]])</f>
        <v>5.0999999999999996</v>
      </c>
      <c r="J32" s="8">
        <f>IFERROR(Tableau378[[#This Row],[Xi]]/Tableau378[[#This Row],[Ri]],0)</f>
        <v>1</v>
      </c>
      <c r="K32" s="13">
        <f>IFERROR(Tableau378[[#This Row],[Yi]]/Tableau378[[#This Row],[Ri]],0)</f>
        <v>-1.9817515003744849E-15</v>
      </c>
      <c r="L32" s="13">
        <f>Tableau378[[#This Row],[Cos teta i]]*Tableau378[[#This Row],[Cos teta i]]</f>
        <v>1</v>
      </c>
      <c r="M32" s="13">
        <f>Tableau378[[#This Row],[Sin teta i]]*Tableau378[[#This Row],[Sin teta i]]</f>
        <v>3.9273390092365224E-30</v>
      </c>
      <c r="N32" s="13">
        <f>Tableau378[[#This Row],[Zi]]*Tableau378[[#This Row],[Sin teta i]]</f>
        <v>0</v>
      </c>
      <c r="O32" s="13">
        <f>Tableau378[[#This Row],[Zi]]*Tableau378[[#This Row],[Sin² teta i2]]</f>
        <v>0</v>
      </c>
      <c r="P32" s="13">
        <f>Tableau378[[#This Row],[Zi]]*Tableau378[[#This Row],[Cos teta i]]</f>
        <v>0</v>
      </c>
      <c r="Q32" s="13">
        <f>Tableau378[[#This Row],[Zi]]*Tableau378[[#This Row],[Cos² teta i2]]</f>
        <v>0</v>
      </c>
      <c r="R32" s="13">
        <f>Tableau378[[#This Row],[Zi * sinteta]]*Tableau378[[#This Row],[Cos teta i]]</f>
        <v>0</v>
      </c>
      <c r="S32" s="13">
        <f>Tableau378[[#This Row],[Zi²]]*Tableau378[[#This Row],[Cos teta i]]*Tableau378[[#This Row],[Sin teta i]]</f>
        <v>0</v>
      </c>
      <c r="T32" s="13">
        <f>Tableau378[[#This Row],[Zi²]]*Tableau378[[#This Row],[Cos² teta i2]]</f>
        <v>0</v>
      </c>
      <c r="U32" s="13">
        <f>Tableau378[[#This Row],[Zi²]]*Tableau378[[#This Row],[Sin² teta i2]]</f>
        <v>0</v>
      </c>
      <c r="V32" s="8">
        <f>Tableau378[[#This Row],[Cos teta i]]*Tableau378[[#This Row],[Sin teta i]]</f>
        <v>-1.9817515003744849E-15</v>
      </c>
      <c r="W32" s="9">
        <f>IF(Tableau378[[#This Row],[Ri]] &lt;&gt;0,Tableau378[[#This Row],[Ri]]-'Points mesurés'!$D$3,0)</f>
        <v>9.9999999999999645E-2</v>
      </c>
      <c r="X32" s="9">
        <f>Tableau378[[#This Row],[Zi * sinteta]]*W32</f>
        <v>0</v>
      </c>
      <c r="Y32" s="8">
        <f>Tableau378[[#This Row],[Zi * cos]]*Tableau378[[#This Row],[Psi]]</f>
        <v>0</v>
      </c>
      <c r="Z32" s="13">
        <f>Tableau378[[#This Row],[Psi]]*Tableau378[[#This Row],[Cos teta i]]</f>
        <v>9.9999999999999645E-2</v>
      </c>
      <c r="AA32" s="13">
        <f>Tableau378[[#This Row],[Psi]]*Tableau378[[#This Row],[Sin teta i]]</f>
        <v>-1.9817515003744778E-16</v>
      </c>
      <c r="AB32" s="14"/>
      <c r="AC32" s="14"/>
      <c r="AD32" s="14"/>
    </row>
    <row r="33" spans="2:30" ht="15.75" x14ac:dyDescent="0.25">
      <c r="B33" s="15"/>
      <c r="C33" s="15">
        <f>SUM(Tableau378[Xi])</f>
        <v>7.4999999999999956</v>
      </c>
      <c r="D33" s="15">
        <f>SUM(Tableau378[Yi])</f>
        <v>-3.2311393144413003E-14</v>
      </c>
      <c r="E33" s="15">
        <f>SUM(Tableau378[Zi])</f>
        <v>780</v>
      </c>
      <c r="F33" s="15">
        <f>SUM(Tableau378[Xi²])</f>
        <v>326.24999999999989</v>
      </c>
      <c r="G33" s="15">
        <f>SUM(Tableau378[Yi²])</f>
        <v>300.00000000000011</v>
      </c>
      <c r="H33" s="15">
        <f>SUM(Tableau378[Zi²])</f>
        <v>46800</v>
      </c>
      <c r="I33" s="15">
        <f>SUM(Tableau378[Ri])</f>
        <v>125.11200030003</v>
      </c>
      <c r="J33" s="15">
        <f>SUM(Tableau378[Cos teta i])</f>
        <v>1.2400120018003733</v>
      </c>
      <c r="K33" s="15">
        <f>SUM(Tableau378[Sin teta i])</f>
        <v>-7.9214446821190724E-15</v>
      </c>
      <c r="L33" s="15">
        <f>SUM(Tableau378[Cos² teta i2])</f>
        <v>12.999999999999995</v>
      </c>
      <c r="M33" s="15">
        <f>SUM(Tableau378[Sin² teta i2])</f>
        <v>12.000000000000007</v>
      </c>
      <c r="N33" s="15">
        <f>SUM(Tableau378[Zi * sinteta])</f>
        <v>455.74418698866435</v>
      </c>
      <c r="O33" s="15">
        <f>SUM(Tableau378[Zi * sin²teta])</f>
        <v>359.99999999999994</v>
      </c>
      <c r="P33" s="15">
        <f>SUM(Tableau378[Zi * cos])</f>
        <v>7.2003600540112842</v>
      </c>
      <c r="Q33" s="15">
        <f>SUM(Tableau378[Zi * cos²])</f>
        <v>420.00000000000006</v>
      </c>
      <c r="R33" s="15">
        <f>SUM(Tableau378[Zi*cos*sin])</f>
        <v>3.1091910188366008</v>
      </c>
      <c r="S33" s="15">
        <f>SUM(Tableau378[Zi²*cos*sin])</f>
        <v>186.55146113019777</v>
      </c>
      <c r="T33" s="15">
        <f>SUM(Tableau378[Zi²*cos²])</f>
        <v>25200</v>
      </c>
      <c r="U33" s="15">
        <f>SUM(Tableau378[Zi²*sin²])</f>
        <v>21600</v>
      </c>
      <c r="V33" s="15">
        <f>SUM(Tableau378[cos sin])</f>
        <v>-5.6621714397741034E-16</v>
      </c>
      <c r="W33" s="15">
        <f>SUM(Tableau378[Psi])</f>
        <v>0.11200030003000538</v>
      </c>
      <c r="X33" s="15">
        <f>SUM(Tableau378[Zi*sin*psi])</f>
        <v>5.2988742232731017E-3</v>
      </c>
      <c r="Y33" s="15">
        <f>SUM(Tableau378[Zi*cos*psi])</f>
        <v>41.99819972994365</v>
      </c>
      <c r="Z33" s="15">
        <f>SUM(Tableau378[psi*cos])</f>
        <v>1.2999399909981233</v>
      </c>
      <c r="AA33" s="15">
        <f>SUM(Tableau378[psi*sin])</f>
        <v>-7.4981721539807246E-16</v>
      </c>
      <c r="AB33" s="14"/>
      <c r="AC33" s="14"/>
      <c r="AD33" s="14"/>
    </row>
    <row r="34" spans="2:30" x14ac:dyDescent="0.25">
      <c r="AB34" s="14"/>
      <c r="AC34" s="14"/>
      <c r="AD34" s="14"/>
    </row>
    <row r="35" spans="2:30" x14ac:dyDescent="0.25">
      <c r="AB35" s="12"/>
      <c r="AC35" s="12"/>
      <c r="AD35" s="12"/>
    </row>
    <row r="36" spans="2:30" ht="21" customHeight="1" x14ac:dyDescent="0.25">
      <c r="E36" s="37" t="s">
        <v>45</v>
      </c>
      <c r="F36" s="37"/>
      <c r="G36" s="37"/>
      <c r="H36" s="37"/>
      <c r="I36" s="37"/>
      <c r="L36" s="1"/>
      <c r="AB36" s="12"/>
      <c r="AC36" s="12"/>
      <c r="AD36" s="12"/>
    </row>
    <row r="37" spans="2:30" ht="15" customHeight="1" x14ac:dyDescent="0.25">
      <c r="E37" s="38"/>
      <c r="F37" s="38"/>
      <c r="G37" s="38"/>
      <c r="H37" s="38"/>
      <c r="I37" s="38"/>
      <c r="L37" s="1"/>
      <c r="M37" s="1" t="s">
        <v>70</v>
      </c>
      <c r="AB37" s="12"/>
      <c r="AC37" s="12"/>
      <c r="AD37" s="12"/>
    </row>
    <row r="38" spans="2:30" ht="15" customHeight="1" x14ac:dyDescent="0.25">
      <c r="E38" s="19">
        <f>COUNTA(C8:C32)</f>
        <v>25</v>
      </c>
      <c r="F38" s="19">
        <f>-Tableau378[[#Totals],[Zi * sinteta]]</f>
        <v>-455.74418698866435</v>
      </c>
      <c r="G38" s="19">
        <f>Tableau378[[#Totals],[Zi * cos]]</f>
        <v>7.2003600540112842</v>
      </c>
      <c r="H38" s="19">
        <f>Tableau378[[#Totals],[Cos teta i]]</f>
        <v>1.2400120018003733</v>
      </c>
      <c r="I38" s="19">
        <f>Tableau378[[#Totals],[Sin teta i]]</f>
        <v>-7.9214446821190724E-15</v>
      </c>
      <c r="J38" s="16"/>
      <c r="K38" s="16"/>
      <c r="L38" s="1"/>
      <c r="M38" s="20">
        <f>Tableau378[[#Totals],[Psi]]</f>
        <v>0.11200030003000538</v>
      </c>
      <c r="AB38" s="12"/>
      <c r="AC38" s="12"/>
      <c r="AD38" s="12"/>
    </row>
    <row r="39" spans="2:30" x14ac:dyDescent="0.25">
      <c r="E39" s="19">
        <f>-Tableau378[[#Totals],[Zi * sinteta]]</f>
        <v>-455.74418698866435</v>
      </c>
      <c r="F39" s="19">
        <f>Tableau378[[#Totals],[Zi²*sin²]]</f>
        <v>21600</v>
      </c>
      <c r="G39" s="19">
        <f>-Tableau378[[#Totals],[Zi²*cos*sin]]</f>
        <v>-186.55146113019777</v>
      </c>
      <c r="H39" s="19">
        <f>-Tableau378[[#Totals],[Zi*cos*sin]]</f>
        <v>-3.1091910188366008</v>
      </c>
      <c r="I39" s="19">
        <f>-Tableau378[[#Totals],[Zi * sin²teta]]</f>
        <v>-359.99999999999994</v>
      </c>
      <c r="J39" s="16"/>
      <c r="K39" s="16"/>
      <c r="L39" s="1"/>
      <c r="M39" s="20">
        <f>-Tableau378[[#Totals],[Zi*sin*psi]]</f>
        <v>-5.2988742232731017E-3</v>
      </c>
      <c r="AB39" s="12"/>
      <c r="AC39" s="12"/>
      <c r="AD39" s="12"/>
    </row>
    <row r="40" spans="2:30" x14ac:dyDescent="0.25">
      <c r="E40" s="19">
        <f>Tableau378[[#Totals],[Zi * cos]]</f>
        <v>7.2003600540112842</v>
      </c>
      <c r="F40" s="19">
        <f>-Tableau378[[#Totals],[Zi²*cos*sin]]</f>
        <v>-186.55146113019777</v>
      </c>
      <c r="G40" s="19">
        <f>Tableau378[[#Totals],[Zi²*cos²]]</f>
        <v>25200</v>
      </c>
      <c r="H40" s="19">
        <f>Tableau378[[#Totals],[Zi * cos²]]</f>
        <v>420.00000000000006</v>
      </c>
      <c r="I40" s="19">
        <f>Tableau378[[#Totals],[Zi*cos*sin]]</f>
        <v>3.1091910188366008</v>
      </c>
      <c r="J40" s="16"/>
      <c r="K40" s="16"/>
      <c r="L40" s="1"/>
      <c r="M40" s="20">
        <f>Tableau378[[#Totals],[Zi*cos*psi]]</f>
        <v>41.99819972994365</v>
      </c>
      <c r="AB40" s="12"/>
      <c r="AC40" s="12"/>
      <c r="AD40" s="12"/>
    </row>
    <row r="41" spans="2:30" x14ac:dyDescent="0.25">
      <c r="E41" s="19">
        <f>H38</f>
        <v>1.2400120018003733</v>
      </c>
      <c r="F41" s="19">
        <f>-Tableau378[[#Totals],[Zi*cos*sin]]</f>
        <v>-3.1091910188366008</v>
      </c>
      <c r="G41" s="19">
        <f>Tableau378[[#Totals],[Zi * cos²]]</f>
        <v>420.00000000000006</v>
      </c>
      <c r="H41" s="19">
        <f>Tableau378[[#Totals],[Cos² teta i2]]</f>
        <v>12.999999999999995</v>
      </c>
      <c r="I41" s="19">
        <f>Tableau378[[#Totals],[cos sin]]</f>
        <v>-5.6621714397741034E-16</v>
      </c>
      <c r="J41" s="16"/>
      <c r="K41" s="16"/>
      <c r="M41" s="20">
        <f>Tableau378[[#Totals],[psi*cos]]</f>
        <v>1.2999399909981233</v>
      </c>
      <c r="AB41" s="12"/>
      <c r="AC41" s="12"/>
      <c r="AD41" s="12"/>
    </row>
    <row r="42" spans="2:30" x14ac:dyDescent="0.25">
      <c r="E42" s="19">
        <f>I38</f>
        <v>-7.9214446821190724E-15</v>
      </c>
      <c r="F42" s="19">
        <f>-Tableau378[[#Totals],[Zi * sin²teta]]</f>
        <v>-359.99999999999994</v>
      </c>
      <c r="G42" s="19">
        <f>Tableau378[[#Totals],[Zi*cos*sin]]</f>
        <v>3.1091910188366008</v>
      </c>
      <c r="H42" s="19">
        <f>Tableau378[[#Totals],[cos sin]]</f>
        <v>-5.6621714397741034E-16</v>
      </c>
      <c r="I42" s="19">
        <f>Tableau378[[#Totals],[Sin² teta i2]]</f>
        <v>12.000000000000007</v>
      </c>
      <c r="J42" s="16"/>
      <c r="K42" s="16"/>
      <c r="M42" s="20">
        <f>Tableau378[[#Totals],[psi*sin]]</f>
        <v>-7.4981721539807246E-16</v>
      </c>
      <c r="AB42" s="12"/>
      <c r="AC42" s="12"/>
      <c r="AD42" s="12"/>
    </row>
    <row r="43" spans="2:30" x14ac:dyDescent="0.25">
      <c r="AB43" s="12"/>
      <c r="AC43" s="12"/>
      <c r="AD43" s="12"/>
    </row>
    <row r="44" spans="2:30" ht="21" customHeight="1" x14ac:dyDescent="0.25">
      <c r="E44" s="37" t="s">
        <v>46</v>
      </c>
      <c r="F44" s="37"/>
      <c r="G44" s="37"/>
      <c r="H44" s="37"/>
      <c r="I44" s="37"/>
      <c r="AB44" s="12"/>
      <c r="AC44" s="12"/>
      <c r="AD44" s="12"/>
    </row>
    <row r="45" spans="2:30" ht="15" customHeight="1" x14ac:dyDescent="0.25">
      <c r="E45" s="38"/>
      <c r="F45" s="38"/>
      <c r="G45" s="38"/>
      <c r="H45" s="38"/>
      <c r="I45" s="38"/>
      <c r="M45" s="1" t="s">
        <v>71</v>
      </c>
    </row>
    <row r="46" spans="2:30" ht="15" customHeight="1" x14ac:dyDescent="0.25">
      <c r="E46" s="20">
        <f t="array" ref="E46:I50">MINVERSE(E38:I42)</f>
        <v>0.17913021382571881</v>
      </c>
      <c r="F46" s="20">
        <v>7.5543007414928046E-3</v>
      </c>
      <c r="G46" s="20">
        <v>5.0148882832834864E-4</v>
      </c>
      <c r="H46" s="20">
        <v>-3.1481627608294212E-2</v>
      </c>
      <c r="I46" s="20">
        <v>0.22649908686469347</v>
      </c>
      <c r="L46" s="27" t="s">
        <v>47</v>
      </c>
      <c r="M46" s="28">
        <f t="array" ref="M46:M50">MMULT(E46:I50,M38:M42)</f>
        <v>1.6000966818257109E-4</v>
      </c>
    </row>
    <row r="47" spans="2:30" x14ac:dyDescent="0.25">
      <c r="E47" s="20">
        <v>7.5543007414928028E-3</v>
      </c>
      <c r="F47" s="20">
        <v>4.1117987817354746E-4</v>
      </c>
      <c r="G47" s="20">
        <v>2.1091718118645429E-5</v>
      </c>
      <c r="H47" s="20">
        <v>-1.3036544930883145E-3</v>
      </c>
      <c r="I47" s="20">
        <v>1.2329931496827559E-2</v>
      </c>
      <c r="L47" s="27" t="s">
        <v>48</v>
      </c>
      <c r="M47" s="28">
        <v>3.504673929115003E-5</v>
      </c>
      <c r="N47" s="17">
        <f>DEGREES(M47)</f>
        <v>2.0080302470782112E-3</v>
      </c>
    </row>
    <row r="48" spans="2:30" x14ac:dyDescent="0.25">
      <c r="E48" s="20">
        <v>5.0148882832834864E-4</v>
      </c>
      <c r="F48" s="20">
        <v>2.1091718118645419E-5</v>
      </c>
      <c r="G48" s="20">
        <v>8.7388783435436883E-5</v>
      </c>
      <c r="H48" s="20">
        <v>-2.8661202329410109E-3</v>
      </c>
      <c r="I48" s="20">
        <v>6.1010917517565248E-4</v>
      </c>
      <c r="L48" s="27" t="s">
        <v>49</v>
      </c>
      <c r="M48" s="28">
        <v>4.4240794239969235E-7</v>
      </c>
      <c r="N48">
        <f>DEGREES(M48)</f>
        <v>2.5348107922569199E-5</v>
      </c>
    </row>
    <row r="49" spans="2:27" x14ac:dyDescent="0.25">
      <c r="E49" s="20">
        <v>-3.1481627608294212E-2</v>
      </c>
      <c r="F49" s="20">
        <v>-1.3036544930883143E-3</v>
      </c>
      <c r="G49" s="20">
        <v>-2.8661202329410109E-3</v>
      </c>
      <c r="H49" s="20">
        <v>0.17221190638954953</v>
      </c>
      <c r="I49" s="20">
        <v>-3.8367025185385567E-2</v>
      </c>
      <c r="L49" s="27" t="s">
        <v>50</v>
      </c>
      <c r="M49" s="28">
        <v>9.9974210212339126E-2</v>
      </c>
    </row>
    <row r="50" spans="2:27" x14ac:dyDescent="0.25">
      <c r="E50" s="20">
        <v>0.22649908686469358</v>
      </c>
      <c r="F50" s="20">
        <v>1.2329931496827559E-2</v>
      </c>
      <c r="G50" s="20">
        <v>6.101091751756528E-4</v>
      </c>
      <c r="H50" s="20">
        <v>-3.8367025185385581E-2</v>
      </c>
      <c r="I50" s="20">
        <v>0.45307319940749607</v>
      </c>
      <c r="L50" s="27" t="s">
        <v>51</v>
      </c>
      <c r="M50" s="28">
        <v>1.0512875511676722E-3</v>
      </c>
    </row>
    <row r="53" spans="2:27" x14ac:dyDescent="0.25">
      <c r="B53" s="39" t="s">
        <v>72</v>
      </c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</row>
    <row r="54" spans="2:27" x14ac:dyDescent="0.25"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</row>
    <row r="55" spans="2:27" x14ac:dyDescent="0.25"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</row>
    <row r="56" spans="2:27" x14ac:dyDescent="0.25"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</row>
    <row r="57" spans="2:27" ht="16.5" thickBot="1" x14ac:dyDescent="0.3">
      <c r="B57" s="3" t="s">
        <v>2</v>
      </c>
      <c r="C57" s="4" t="s">
        <v>9</v>
      </c>
      <c r="D57" s="4" t="s">
        <v>10</v>
      </c>
      <c r="E57" s="4" t="s">
        <v>11</v>
      </c>
      <c r="F57" s="4" t="s">
        <v>12</v>
      </c>
      <c r="G57" s="4" t="s">
        <v>13</v>
      </c>
      <c r="H57" s="4" t="s">
        <v>14</v>
      </c>
      <c r="I57" s="4" t="s">
        <v>15</v>
      </c>
      <c r="J57" s="4" t="s">
        <v>16</v>
      </c>
      <c r="K57" s="5" t="s">
        <v>17</v>
      </c>
      <c r="L57" s="4" t="s">
        <v>18</v>
      </c>
      <c r="M57" s="5" t="s">
        <v>19</v>
      </c>
      <c r="N57" s="5" t="s">
        <v>20</v>
      </c>
      <c r="O57" s="5" t="s">
        <v>21</v>
      </c>
      <c r="P57" s="5" t="s">
        <v>22</v>
      </c>
      <c r="Q57" s="5" t="s">
        <v>23</v>
      </c>
      <c r="R57" s="5" t="s">
        <v>24</v>
      </c>
      <c r="S57" s="5" t="s">
        <v>25</v>
      </c>
      <c r="T57" s="5" t="s">
        <v>26</v>
      </c>
      <c r="U57" s="5" t="s">
        <v>27</v>
      </c>
      <c r="V57" s="4" t="s">
        <v>28</v>
      </c>
      <c r="W57" s="4" t="s">
        <v>29</v>
      </c>
      <c r="X57" s="4" t="s">
        <v>30</v>
      </c>
      <c r="Y57" s="4" t="s">
        <v>31</v>
      </c>
      <c r="Z57" s="4" t="s">
        <v>32</v>
      </c>
      <c r="AA57" s="4" t="s">
        <v>33</v>
      </c>
    </row>
    <row r="58" spans="2:27" ht="16.5" thickTop="1" x14ac:dyDescent="0.25">
      <c r="B58" s="6" t="s">
        <v>34</v>
      </c>
      <c r="C58" s="7">
        <f>'Points mesurés'!D6</f>
        <v>5</v>
      </c>
      <c r="D58" s="7">
        <f>'Points mesurés'!E6</f>
        <v>0</v>
      </c>
      <c r="E58" s="7">
        <f>'Points mesurés'!F6</f>
        <v>60</v>
      </c>
      <c r="F58" s="6">
        <f>Tableau3783[[#This Row],[Xi]]*Tableau3783[[#This Row],[Xi]]</f>
        <v>25</v>
      </c>
      <c r="G58" s="6">
        <f>Tableau3783[[#This Row],[Yi]]*Tableau3783[[#This Row],[Yi]]</f>
        <v>0</v>
      </c>
      <c r="H58" s="8">
        <f t="shared" ref="H58:H73" si="2">E58*E58</f>
        <v>3600</v>
      </c>
      <c r="I58" s="8">
        <f>'Points mesurés'!$D$3</f>
        <v>5</v>
      </c>
      <c r="J58" s="8">
        <f>IFERROR(Tableau3783[[#This Row],[Xi]]/Tableau3783[[#This Row],[Ri]],0)</f>
        <v>1</v>
      </c>
      <c r="K58" s="8">
        <f>IFERROR(Tableau3783[[#This Row],[Yi]]/Tableau3783[[#This Row],[Ri]],0)</f>
        <v>0</v>
      </c>
      <c r="L58" s="8">
        <f>Tableau3783[[#This Row],[Cos teta i]]*Tableau3783[[#This Row],[Cos teta i]]</f>
        <v>1</v>
      </c>
      <c r="M58" s="8">
        <f>Tableau3783[[#This Row],[Sin teta i]]*Tableau3783[[#This Row],[Sin teta i]]</f>
        <v>0</v>
      </c>
      <c r="N58" s="8">
        <f>Tableau3783[[#This Row],[Zi]]*Tableau3783[[#This Row],[Sin teta i]]</f>
        <v>0</v>
      </c>
      <c r="O58" s="8">
        <f>Tableau3783[[#This Row],[Zi]]*Tableau3783[[#This Row],[Sin² teta i2]]</f>
        <v>0</v>
      </c>
      <c r="P58" s="8">
        <f>Tableau3783[[#This Row],[Zi]]*Tableau3783[[#This Row],[Cos teta i]]</f>
        <v>60</v>
      </c>
      <c r="Q58" s="8">
        <f>Tableau3783[[#This Row],[Zi]]*Tableau3783[[#This Row],[Cos² teta i2]]</f>
        <v>60</v>
      </c>
      <c r="R58" s="8">
        <f>Tableau3783[[#This Row],[Zi * sinteta]]*Tableau3783[[#This Row],[Cos teta i]]</f>
        <v>0</v>
      </c>
      <c r="S58" s="8">
        <f>Tableau3783[[#This Row],[Zi²]]*Tableau3783[[#This Row],[Cos teta i]]*Tableau3783[[#This Row],[Sin teta i]]</f>
        <v>0</v>
      </c>
      <c r="T58" s="8">
        <f>Tableau3783[[#This Row],[Zi²]]*Tableau3783[[#This Row],[Cos² teta i2]]</f>
        <v>3600</v>
      </c>
      <c r="U58" s="8">
        <f>Tableau3783[[#This Row],[Zi²]]*Tableau3783[[#This Row],[Sin² teta i2]]</f>
        <v>0</v>
      </c>
      <c r="V58" s="8">
        <f>Tableau3783[[#This Row],[Cos teta i]]*Tableau3783[[#This Row],[Sin teta i]]</f>
        <v>0</v>
      </c>
      <c r="W58" s="9">
        <f>IF(Tableau3783[[#This Row],[Ri]] &lt;&gt;0,Tableau3783[[#This Row],[Ri]]-'Points mesurés'!$D$3,0)</f>
        <v>0</v>
      </c>
      <c r="X58" s="9">
        <f>Tableau3783[[#This Row],[Zi * sinteta]]*W58</f>
        <v>0</v>
      </c>
      <c r="Y58" s="9">
        <f>Tableau3783[[#This Row],[Zi * cos]]*Tableau3783[[#This Row],[Psi]]</f>
        <v>0</v>
      </c>
      <c r="Z58" s="21">
        <f>Tableau3783[[#This Row],[Psi]]*Tableau3783[[#This Row],[Cos teta i]]</f>
        <v>0</v>
      </c>
      <c r="AA58" s="21">
        <f>Tableau3783[[#This Row],[Psi]]*Tableau3783[[#This Row],[Sin teta i]]</f>
        <v>0</v>
      </c>
    </row>
    <row r="59" spans="2:27" ht="15.75" x14ac:dyDescent="0.25">
      <c r="B59" s="6" t="s">
        <v>37</v>
      </c>
      <c r="C59" s="7">
        <f>'Points mesurés'!D7</f>
        <v>4.8296291314453415</v>
      </c>
      <c r="D59" s="7">
        <f>'Points mesurés'!E7</f>
        <v>1.2940952255126037</v>
      </c>
      <c r="E59" s="7">
        <f>'Points mesurés'!F7</f>
        <v>60</v>
      </c>
      <c r="F59" s="6">
        <f>Tableau3783[[#This Row],[Xi]]*Tableau3783[[#This Row],[Xi]]</f>
        <v>23.325317547305485</v>
      </c>
      <c r="G59" s="6">
        <f>Tableau3783[[#This Row],[Yi]]*Tableau3783[[#This Row],[Yi]]</f>
        <v>1.6746824526945165</v>
      </c>
      <c r="H59" s="8">
        <f t="shared" si="2"/>
        <v>3600</v>
      </c>
      <c r="I59" s="8">
        <f>'Points mesurés'!$D$3</f>
        <v>5</v>
      </c>
      <c r="J59" s="8">
        <f>IFERROR(Tableau3783[[#This Row],[Xi]]/Tableau3783[[#This Row],[Ri]],0)</f>
        <v>0.96592582628906831</v>
      </c>
      <c r="K59" s="8">
        <f>IFERROR(Tableau3783[[#This Row],[Yi]]/Tableau3783[[#This Row],[Ri]],0)</f>
        <v>0.25881904510252074</v>
      </c>
      <c r="L59" s="8">
        <f>Tableau3783[[#This Row],[Cos teta i]]*Tableau3783[[#This Row],[Cos teta i]]</f>
        <v>0.93301270189221941</v>
      </c>
      <c r="M59" s="8">
        <f>Tableau3783[[#This Row],[Sin teta i]]*Tableau3783[[#This Row],[Sin teta i]]</f>
        <v>6.698729810778066E-2</v>
      </c>
      <c r="N59" s="8">
        <f>Tableau3783[[#This Row],[Zi]]*Tableau3783[[#This Row],[Sin teta i]]</f>
        <v>15.529142706151244</v>
      </c>
      <c r="O59" s="8">
        <f>Tableau3783[[#This Row],[Zi]]*Tableau3783[[#This Row],[Sin² teta i2]]</f>
        <v>4.0192378864668399</v>
      </c>
      <c r="P59" s="8">
        <f>Tableau3783[[#This Row],[Zi]]*Tableau3783[[#This Row],[Cos teta i]]</f>
        <v>57.955549577344101</v>
      </c>
      <c r="Q59" s="8">
        <f>Tableau3783[[#This Row],[Zi]]*Tableau3783[[#This Row],[Cos² teta i2]]</f>
        <v>55.980762113533167</v>
      </c>
      <c r="R59" s="8">
        <f>Tableau3783[[#This Row],[Zi * sinteta]]*Tableau3783[[#This Row],[Cos teta i]]</f>
        <v>14.999999999999998</v>
      </c>
      <c r="S59" s="8">
        <f>Tableau3783[[#This Row],[Zi²]]*Tableau3783[[#This Row],[Cos teta i]]*Tableau3783[[#This Row],[Sin teta i]]</f>
        <v>899.99999999999989</v>
      </c>
      <c r="T59" s="8">
        <f>Tableau3783[[#This Row],[Zi²]]*Tableau3783[[#This Row],[Cos² teta i2]]</f>
        <v>3358.8457268119901</v>
      </c>
      <c r="U59" s="8">
        <f>Tableau3783[[#This Row],[Zi²]]*Tableau3783[[#This Row],[Sin² teta i2]]</f>
        <v>241.15427318801036</v>
      </c>
      <c r="V59" s="8">
        <f>Tableau3783[[#This Row],[Cos teta i]]*Tableau3783[[#This Row],[Sin teta i]]</f>
        <v>0.24999999999999997</v>
      </c>
      <c r="W59" s="9">
        <f>IF(Tableau3783[[#This Row],[Ri]] &lt;&gt;0,Tableau3783[[#This Row],[Ri]]-'Points mesurés'!$D$3,0)</f>
        <v>0</v>
      </c>
      <c r="X59" s="9">
        <f>Tableau3783[[#This Row],[Zi * sinteta]]*W59</f>
        <v>0</v>
      </c>
      <c r="Y59" s="9">
        <f>Tableau3783[[#This Row],[Zi * cos]]*Tableau3783[[#This Row],[Psi]]</f>
        <v>0</v>
      </c>
      <c r="Z59" s="21">
        <f>Tableau3783[[#This Row],[Psi]]*Tableau3783[[#This Row],[Cos teta i]]</f>
        <v>0</v>
      </c>
      <c r="AA59" s="21">
        <f>Tableau3783[[#This Row],[Psi]]*Tableau3783[[#This Row],[Sin teta i]]</f>
        <v>0</v>
      </c>
    </row>
    <row r="60" spans="2:27" ht="15.75" x14ac:dyDescent="0.25">
      <c r="B60" s="6" t="s">
        <v>38</v>
      </c>
      <c r="C60" s="7">
        <f>'Points mesurés'!D8</f>
        <v>4.3301270189221936</v>
      </c>
      <c r="D60" s="7">
        <f>'Points mesurés'!E8</f>
        <v>2.4999999999999996</v>
      </c>
      <c r="E60" s="7">
        <f>'Points mesurés'!F8</f>
        <v>60</v>
      </c>
      <c r="F60" s="6">
        <f>Tableau3783[[#This Row],[Xi]]*Tableau3783[[#This Row],[Xi]]</f>
        <v>18.750000000000004</v>
      </c>
      <c r="G60" s="6">
        <f>Tableau3783[[#This Row],[Yi]]*Tableau3783[[#This Row],[Yi]]</f>
        <v>6.2499999999999982</v>
      </c>
      <c r="H60" s="8">
        <f t="shared" si="2"/>
        <v>3600</v>
      </c>
      <c r="I60" s="8">
        <f>'Points mesurés'!$D$3</f>
        <v>5</v>
      </c>
      <c r="J60" s="8">
        <f>IFERROR(Tableau3783[[#This Row],[Xi]]/Tableau3783[[#This Row],[Ri]],0)</f>
        <v>0.86602540378443871</v>
      </c>
      <c r="K60" s="8">
        <f>IFERROR(Tableau3783[[#This Row],[Yi]]/Tableau3783[[#This Row],[Ri]],0)</f>
        <v>0.49999999999999989</v>
      </c>
      <c r="L60" s="8">
        <f>Tableau3783[[#This Row],[Cos teta i]]*Tableau3783[[#This Row],[Cos teta i]]</f>
        <v>0.75000000000000011</v>
      </c>
      <c r="M60" s="8">
        <f>Tableau3783[[#This Row],[Sin teta i]]*Tableau3783[[#This Row],[Sin teta i]]</f>
        <v>0.24999999999999989</v>
      </c>
      <c r="N60" s="8">
        <f>Tableau3783[[#This Row],[Zi]]*Tableau3783[[#This Row],[Sin teta i]]</f>
        <v>29.999999999999993</v>
      </c>
      <c r="O60" s="8">
        <f>Tableau3783[[#This Row],[Zi]]*Tableau3783[[#This Row],[Sin² teta i2]]</f>
        <v>14.999999999999993</v>
      </c>
      <c r="P60" s="8">
        <f>Tableau3783[[#This Row],[Zi]]*Tableau3783[[#This Row],[Cos teta i]]</f>
        <v>51.96152422706632</v>
      </c>
      <c r="Q60" s="8">
        <f>Tableau3783[[#This Row],[Zi]]*Tableau3783[[#This Row],[Cos² teta i2]]</f>
        <v>45.000000000000007</v>
      </c>
      <c r="R60" s="8">
        <f>Tableau3783[[#This Row],[Zi * sinteta]]*Tableau3783[[#This Row],[Cos teta i]]</f>
        <v>25.980762113533157</v>
      </c>
      <c r="S60" s="8">
        <f>Tableau3783[[#This Row],[Zi²]]*Tableau3783[[#This Row],[Cos teta i]]*Tableau3783[[#This Row],[Sin teta i]]</f>
        <v>1558.8457268119892</v>
      </c>
      <c r="T60" s="8">
        <f>Tableau3783[[#This Row],[Zi²]]*Tableau3783[[#This Row],[Cos² teta i2]]</f>
        <v>2700.0000000000005</v>
      </c>
      <c r="U60" s="8">
        <f>Tableau3783[[#This Row],[Zi²]]*Tableau3783[[#This Row],[Sin² teta i2]]</f>
        <v>899.99999999999955</v>
      </c>
      <c r="V60" s="8">
        <f>Tableau3783[[#This Row],[Cos teta i]]*Tableau3783[[#This Row],[Sin teta i]]</f>
        <v>0.43301270189221924</v>
      </c>
      <c r="W60" s="9">
        <f>IF(Tableau3783[[#This Row],[Ri]] &lt;&gt;0,Tableau3783[[#This Row],[Ri]]-'Points mesurés'!$D$3,0)</f>
        <v>0</v>
      </c>
      <c r="X60" s="9">
        <f>Tableau3783[[#This Row],[Zi * sinteta]]*W60</f>
        <v>0</v>
      </c>
      <c r="Y60" s="9">
        <f>Tableau3783[[#This Row],[Zi * cos]]*Tableau3783[[#This Row],[Psi]]</f>
        <v>0</v>
      </c>
      <c r="Z60" s="21">
        <f>Tableau3783[[#This Row],[Psi]]*Tableau3783[[#This Row],[Cos teta i]]</f>
        <v>0</v>
      </c>
      <c r="AA60" s="21">
        <f>Tableau3783[[#This Row],[Psi]]*Tableau3783[[#This Row],[Sin teta i]]</f>
        <v>0</v>
      </c>
    </row>
    <row r="61" spans="2:27" ht="15.75" x14ac:dyDescent="0.25">
      <c r="B61" s="6" t="s">
        <v>40</v>
      </c>
      <c r="C61" s="7">
        <f>'Points mesurés'!D9</f>
        <v>3.5355339059327378</v>
      </c>
      <c r="D61" s="7">
        <f>'Points mesurés'!E9</f>
        <v>3.5355339059327373</v>
      </c>
      <c r="E61" s="7">
        <f>'Points mesurés'!F9</f>
        <v>60</v>
      </c>
      <c r="F61" s="6">
        <f>Tableau3783[[#This Row],[Xi]]*Tableau3783[[#This Row],[Xi]]</f>
        <v>12.500000000000002</v>
      </c>
      <c r="G61" s="6">
        <f>Tableau3783[[#This Row],[Yi]]*Tableau3783[[#This Row],[Yi]]</f>
        <v>12.499999999999998</v>
      </c>
      <c r="H61" s="8">
        <f t="shared" si="2"/>
        <v>3600</v>
      </c>
      <c r="I61" s="8">
        <f>'Points mesurés'!$D$3</f>
        <v>5</v>
      </c>
      <c r="J61" s="8">
        <f>IFERROR(Tableau3783[[#This Row],[Xi]]/Tableau3783[[#This Row],[Ri]],0)</f>
        <v>0.70710678118654757</v>
      </c>
      <c r="K61" s="8">
        <f>IFERROR(Tableau3783[[#This Row],[Yi]]/Tableau3783[[#This Row],[Ri]],0)</f>
        <v>0.70710678118654746</v>
      </c>
      <c r="L61" s="8">
        <f>Tableau3783[[#This Row],[Cos teta i]]*Tableau3783[[#This Row],[Cos teta i]]</f>
        <v>0.50000000000000011</v>
      </c>
      <c r="M61" s="8">
        <f>Tableau3783[[#This Row],[Sin teta i]]*Tableau3783[[#This Row],[Sin teta i]]</f>
        <v>0.49999999999999989</v>
      </c>
      <c r="N61" s="8">
        <f>Tableau3783[[#This Row],[Zi]]*Tableau3783[[#This Row],[Sin teta i]]</f>
        <v>42.426406871192846</v>
      </c>
      <c r="O61" s="8">
        <f>Tableau3783[[#This Row],[Zi]]*Tableau3783[[#This Row],[Sin² teta i2]]</f>
        <v>29.999999999999993</v>
      </c>
      <c r="P61" s="8">
        <f>Tableau3783[[#This Row],[Zi]]*Tableau3783[[#This Row],[Cos teta i]]</f>
        <v>42.426406871192853</v>
      </c>
      <c r="Q61" s="8">
        <f>Tableau3783[[#This Row],[Zi]]*Tableau3783[[#This Row],[Cos² teta i2]]</f>
        <v>30.000000000000007</v>
      </c>
      <c r="R61" s="8">
        <f>Tableau3783[[#This Row],[Zi * sinteta]]*Tableau3783[[#This Row],[Cos teta i]]</f>
        <v>29.999999999999996</v>
      </c>
      <c r="S61" s="8">
        <f>Tableau3783[[#This Row],[Zi²]]*Tableau3783[[#This Row],[Cos teta i]]*Tableau3783[[#This Row],[Sin teta i]]</f>
        <v>1800</v>
      </c>
      <c r="T61" s="8">
        <f>Tableau3783[[#This Row],[Zi²]]*Tableau3783[[#This Row],[Cos² teta i2]]</f>
        <v>1800.0000000000005</v>
      </c>
      <c r="U61" s="8">
        <f>Tableau3783[[#This Row],[Zi²]]*Tableau3783[[#This Row],[Sin² teta i2]]</f>
        <v>1799.9999999999995</v>
      </c>
      <c r="V61" s="8">
        <f>Tableau3783[[#This Row],[Cos teta i]]*Tableau3783[[#This Row],[Sin teta i]]</f>
        <v>0.5</v>
      </c>
      <c r="W61" s="9">
        <f>IF(Tableau3783[[#This Row],[Ri]] &lt;&gt;0,Tableau3783[[#This Row],[Ri]]-'Points mesurés'!$D$3,0)</f>
        <v>0</v>
      </c>
      <c r="X61" s="9">
        <f>Tableau3783[[#This Row],[Zi * sinteta]]*W61</f>
        <v>0</v>
      </c>
      <c r="Y61" s="9">
        <f>Tableau3783[[#This Row],[Zi * cos]]*Tableau3783[[#This Row],[Psi]]</f>
        <v>0</v>
      </c>
      <c r="Z61" s="21">
        <f>Tableau3783[[#This Row],[Psi]]*Tableau3783[[#This Row],[Cos teta i]]</f>
        <v>0</v>
      </c>
      <c r="AA61" s="21">
        <f>Tableau3783[[#This Row],[Psi]]*Tableau3783[[#This Row],[Sin teta i]]</f>
        <v>0</v>
      </c>
    </row>
    <row r="62" spans="2:27" ht="15.75" x14ac:dyDescent="0.25">
      <c r="B62" s="6" t="s">
        <v>41</v>
      </c>
      <c r="C62" s="7">
        <f>'Points mesurés'!D10</f>
        <v>2.5000000000000004</v>
      </c>
      <c r="D62" s="7">
        <f>'Points mesurés'!E10</f>
        <v>4.3301270189221928</v>
      </c>
      <c r="E62" s="7">
        <f>'Points mesurés'!F10</f>
        <v>60</v>
      </c>
      <c r="F62" s="6">
        <f>Tableau3783[[#This Row],[Xi]]*Tableau3783[[#This Row],[Xi]]</f>
        <v>6.2500000000000018</v>
      </c>
      <c r="G62" s="6">
        <f>Tableau3783[[#This Row],[Yi]]*Tableau3783[[#This Row],[Yi]]</f>
        <v>18.749999999999996</v>
      </c>
      <c r="H62" s="8">
        <f t="shared" si="2"/>
        <v>3600</v>
      </c>
      <c r="I62" s="8">
        <f>'Points mesurés'!$D$3</f>
        <v>5</v>
      </c>
      <c r="J62" s="8">
        <f>IFERROR(Tableau3783[[#This Row],[Xi]]/Tableau3783[[#This Row],[Ri]],0)</f>
        <v>0.50000000000000011</v>
      </c>
      <c r="K62" s="8">
        <f>IFERROR(Tableau3783[[#This Row],[Yi]]/Tableau3783[[#This Row],[Ri]],0)</f>
        <v>0.8660254037844386</v>
      </c>
      <c r="L62" s="8">
        <f>Tableau3783[[#This Row],[Cos teta i]]*Tableau3783[[#This Row],[Cos teta i]]</f>
        <v>0.25000000000000011</v>
      </c>
      <c r="M62" s="8">
        <f>Tableau3783[[#This Row],[Sin teta i]]*Tableau3783[[#This Row],[Sin teta i]]</f>
        <v>0.74999999999999989</v>
      </c>
      <c r="N62" s="8">
        <f>Tableau3783[[#This Row],[Zi]]*Tableau3783[[#This Row],[Sin teta i]]</f>
        <v>51.961524227066313</v>
      </c>
      <c r="O62" s="8">
        <f>Tableau3783[[#This Row],[Zi]]*Tableau3783[[#This Row],[Sin² teta i2]]</f>
        <v>44.999999999999993</v>
      </c>
      <c r="P62" s="8">
        <f>Tableau3783[[#This Row],[Zi]]*Tableau3783[[#This Row],[Cos teta i]]</f>
        <v>30.000000000000007</v>
      </c>
      <c r="Q62" s="8">
        <f>Tableau3783[[#This Row],[Zi]]*Tableau3783[[#This Row],[Cos² teta i2]]</f>
        <v>15.000000000000007</v>
      </c>
      <c r="R62" s="8">
        <f>Tableau3783[[#This Row],[Zi * sinteta]]*Tableau3783[[#This Row],[Cos teta i]]</f>
        <v>25.980762113533164</v>
      </c>
      <c r="S62" s="8">
        <f>Tableau3783[[#This Row],[Zi²]]*Tableau3783[[#This Row],[Cos teta i]]*Tableau3783[[#This Row],[Sin teta i]]</f>
        <v>1558.8457268119898</v>
      </c>
      <c r="T62" s="8">
        <f>Tableau3783[[#This Row],[Zi²]]*Tableau3783[[#This Row],[Cos² teta i2]]</f>
        <v>900.00000000000045</v>
      </c>
      <c r="U62" s="8">
        <f>Tableau3783[[#This Row],[Zi²]]*Tableau3783[[#This Row],[Sin² teta i2]]</f>
        <v>2699.9999999999995</v>
      </c>
      <c r="V62" s="8">
        <f>Tableau3783[[#This Row],[Cos teta i]]*Tableau3783[[#This Row],[Sin teta i]]</f>
        <v>0.43301270189221941</v>
      </c>
      <c r="W62" s="9">
        <f>IF(Tableau3783[[#This Row],[Ri]] &lt;&gt;0,Tableau3783[[#This Row],[Ri]]-'Points mesurés'!$D$3,0)</f>
        <v>0</v>
      </c>
      <c r="X62" s="9">
        <f>Tableau3783[[#This Row],[Zi * sinteta]]*W62</f>
        <v>0</v>
      </c>
      <c r="Y62" s="9">
        <f>Tableau3783[[#This Row],[Zi * cos]]*Tableau3783[[#This Row],[Psi]]</f>
        <v>0</v>
      </c>
      <c r="Z62" s="21">
        <f>Tableau3783[[#This Row],[Psi]]*Tableau3783[[#This Row],[Cos teta i]]</f>
        <v>0</v>
      </c>
      <c r="AA62" s="21">
        <f>Tableau3783[[#This Row],[Psi]]*Tableau3783[[#This Row],[Sin teta i]]</f>
        <v>0</v>
      </c>
    </row>
    <row r="63" spans="2:27" ht="15.75" x14ac:dyDescent="0.25">
      <c r="B63" s="6" t="s">
        <v>42</v>
      </c>
      <c r="C63" s="7">
        <f>'Points mesurés'!D11</f>
        <v>1.2940952255126048</v>
      </c>
      <c r="D63" s="7">
        <f>'Points mesurés'!E11</f>
        <v>4.8296291314453406</v>
      </c>
      <c r="E63" s="7">
        <f>'Points mesurés'!F11</f>
        <v>60</v>
      </c>
      <c r="F63" s="6">
        <f>Tableau3783[[#This Row],[Xi]]*Tableau3783[[#This Row],[Xi]]</f>
        <v>1.6746824526945194</v>
      </c>
      <c r="G63" s="6">
        <f>Tableau3783[[#This Row],[Yi]]*Tableau3783[[#This Row],[Yi]]</f>
        <v>23.325317547305474</v>
      </c>
      <c r="H63" s="8">
        <f t="shared" si="2"/>
        <v>3600</v>
      </c>
      <c r="I63" s="8">
        <f>'Points mesurés'!$D$3</f>
        <v>5</v>
      </c>
      <c r="J63" s="8">
        <f>IFERROR(Tableau3783[[#This Row],[Xi]]/Tableau3783[[#This Row],[Ri]],0)</f>
        <v>0.25881904510252096</v>
      </c>
      <c r="K63" s="8">
        <f>IFERROR(Tableau3783[[#This Row],[Yi]]/Tableau3783[[#This Row],[Ri]],0)</f>
        <v>0.96592582628906809</v>
      </c>
      <c r="L63" s="8">
        <f>Tableau3783[[#This Row],[Cos teta i]]*Tableau3783[[#This Row],[Cos teta i]]</f>
        <v>6.6987298107780785E-2</v>
      </c>
      <c r="M63" s="8">
        <f>Tableau3783[[#This Row],[Sin teta i]]*Tableau3783[[#This Row],[Sin teta i]]</f>
        <v>0.93301270189221897</v>
      </c>
      <c r="N63" s="8">
        <f>Tableau3783[[#This Row],[Zi]]*Tableau3783[[#This Row],[Sin teta i]]</f>
        <v>57.955549577344087</v>
      </c>
      <c r="O63" s="8">
        <f>Tableau3783[[#This Row],[Zi]]*Tableau3783[[#This Row],[Sin² teta i2]]</f>
        <v>55.980762113533139</v>
      </c>
      <c r="P63" s="8">
        <f>Tableau3783[[#This Row],[Zi]]*Tableau3783[[#This Row],[Cos teta i]]</f>
        <v>15.529142706151259</v>
      </c>
      <c r="Q63" s="8">
        <f>Tableau3783[[#This Row],[Zi]]*Tableau3783[[#This Row],[Cos² teta i2]]</f>
        <v>4.019237886466847</v>
      </c>
      <c r="R63" s="8">
        <f>Tableau3783[[#This Row],[Zi * sinteta]]*Tableau3783[[#This Row],[Cos teta i]]</f>
        <v>15.000000000000009</v>
      </c>
      <c r="S63" s="8">
        <f>Tableau3783[[#This Row],[Zi²]]*Tableau3783[[#This Row],[Cos teta i]]*Tableau3783[[#This Row],[Sin teta i]]</f>
        <v>900.00000000000045</v>
      </c>
      <c r="T63" s="8">
        <f>Tableau3783[[#This Row],[Zi²]]*Tableau3783[[#This Row],[Cos² teta i2]]</f>
        <v>241.15427318801082</v>
      </c>
      <c r="U63" s="8">
        <f>Tableau3783[[#This Row],[Zi²]]*Tableau3783[[#This Row],[Sin² teta i2]]</f>
        <v>3358.8457268119882</v>
      </c>
      <c r="V63" s="8">
        <f>Tableau3783[[#This Row],[Cos teta i]]*Tableau3783[[#This Row],[Sin teta i]]</f>
        <v>0.25000000000000017</v>
      </c>
      <c r="W63" s="9">
        <f>IF(Tableau3783[[#This Row],[Ri]] &lt;&gt;0,Tableau3783[[#This Row],[Ri]]-'Points mesurés'!$D$3,0)</f>
        <v>0</v>
      </c>
      <c r="X63" s="9">
        <f>Tableau3783[[#This Row],[Zi * sinteta]]*W63</f>
        <v>0</v>
      </c>
      <c r="Y63" s="9">
        <f>Tableau3783[[#This Row],[Zi * cos]]*Tableau3783[[#This Row],[Psi]]</f>
        <v>0</v>
      </c>
      <c r="Z63" s="21">
        <f>Tableau3783[[#This Row],[Psi]]*Tableau3783[[#This Row],[Cos teta i]]</f>
        <v>0</v>
      </c>
      <c r="AA63" s="21">
        <f>Tableau3783[[#This Row],[Psi]]*Tableau3783[[#This Row],[Sin teta i]]</f>
        <v>0</v>
      </c>
    </row>
    <row r="64" spans="2:27" ht="15.75" x14ac:dyDescent="0.25">
      <c r="B64" s="6" t="s">
        <v>43</v>
      </c>
      <c r="C64" s="7">
        <f>'Points mesurés'!D12</f>
        <v>1.4165101383523115E-15</v>
      </c>
      <c r="D64" s="7">
        <f>'Points mesurés'!E12</f>
        <v>5</v>
      </c>
      <c r="E64" s="7">
        <f>'Points mesurés'!F12</f>
        <v>60</v>
      </c>
      <c r="F64" s="6">
        <f>Tableau3783[[#This Row],[Xi]]*Tableau3783[[#This Row],[Xi]]</f>
        <v>2.0065009720548848E-30</v>
      </c>
      <c r="G64" s="6">
        <f>Tableau3783[[#This Row],[Yi]]*Tableau3783[[#This Row],[Yi]]</f>
        <v>25</v>
      </c>
      <c r="H64" s="8">
        <f t="shared" si="2"/>
        <v>3600</v>
      </c>
      <c r="I64" s="8">
        <f>'Points mesurés'!$D$3</f>
        <v>5</v>
      </c>
      <c r="J64" s="8">
        <f>IFERROR(Tableau3783[[#This Row],[Xi]]/Tableau3783[[#This Row],[Ri]],0)</f>
        <v>2.8330202767046231E-16</v>
      </c>
      <c r="K64" s="8">
        <f>IFERROR(Tableau3783[[#This Row],[Yi]]/Tableau3783[[#This Row],[Ri]],0)</f>
        <v>1</v>
      </c>
      <c r="L64" s="8">
        <f>Tableau3783[[#This Row],[Cos teta i]]*Tableau3783[[#This Row],[Cos teta i]]</f>
        <v>8.0260038882195392E-32</v>
      </c>
      <c r="M64" s="8">
        <f>Tableau3783[[#This Row],[Sin teta i]]*Tableau3783[[#This Row],[Sin teta i]]</f>
        <v>1</v>
      </c>
      <c r="N64" s="8">
        <f>Tableau3783[[#This Row],[Zi]]*Tableau3783[[#This Row],[Sin teta i]]</f>
        <v>60</v>
      </c>
      <c r="O64" s="8">
        <f>Tableau3783[[#This Row],[Zi]]*Tableau3783[[#This Row],[Sin² teta i2]]</f>
        <v>60</v>
      </c>
      <c r="P64" s="8">
        <f>Tableau3783[[#This Row],[Zi]]*Tableau3783[[#This Row],[Cos teta i]]</f>
        <v>1.6998121660227739E-14</v>
      </c>
      <c r="Q64" s="8">
        <f>Tableau3783[[#This Row],[Zi]]*Tableau3783[[#This Row],[Cos² teta i2]]</f>
        <v>4.8156023329317235E-30</v>
      </c>
      <c r="R64" s="8">
        <f>Tableau3783[[#This Row],[Zi * sinteta]]*Tableau3783[[#This Row],[Cos teta i]]</f>
        <v>1.6998121660227739E-14</v>
      </c>
      <c r="S64" s="8">
        <f>Tableau3783[[#This Row],[Zi²]]*Tableau3783[[#This Row],[Cos teta i]]*Tableau3783[[#This Row],[Sin teta i]]</f>
        <v>1.0198872996136643E-12</v>
      </c>
      <c r="T64" s="8">
        <f>Tableau3783[[#This Row],[Zi²]]*Tableau3783[[#This Row],[Cos² teta i2]]</f>
        <v>2.8893613997590341E-28</v>
      </c>
      <c r="U64" s="8">
        <f>Tableau3783[[#This Row],[Zi²]]*Tableau3783[[#This Row],[Sin² teta i2]]</f>
        <v>3600</v>
      </c>
      <c r="V64" s="8">
        <f>Tableau3783[[#This Row],[Cos teta i]]*Tableau3783[[#This Row],[Sin teta i]]</f>
        <v>2.8330202767046231E-16</v>
      </c>
      <c r="W64" s="9">
        <f>IF(Tableau3783[[#This Row],[Ri]] &lt;&gt;0,Tableau3783[[#This Row],[Ri]]-'Points mesurés'!$D$3,0)</f>
        <v>0</v>
      </c>
      <c r="X64" s="9">
        <f>Tableau3783[[#This Row],[Zi * sinteta]]*W64</f>
        <v>0</v>
      </c>
      <c r="Y64" s="9">
        <f>Tableau3783[[#This Row],[Zi * cos]]*Tableau3783[[#This Row],[Psi]]</f>
        <v>0</v>
      </c>
      <c r="Z64" s="21">
        <f>Tableau3783[[#This Row],[Psi]]*Tableau3783[[#This Row],[Cos teta i]]</f>
        <v>0</v>
      </c>
      <c r="AA64" s="21">
        <f>Tableau3783[[#This Row],[Psi]]*Tableau3783[[#This Row],[Sin teta i]]</f>
        <v>0</v>
      </c>
    </row>
    <row r="65" spans="2:27" ht="15.75" x14ac:dyDescent="0.25">
      <c r="B65" s="6" t="s">
        <v>44</v>
      </c>
      <c r="C65" s="7">
        <f>'Points mesurés'!D13</f>
        <v>-1.2940952255126019</v>
      </c>
      <c r="D65" s="7">
        <f>'Points mesurés'!E13</f>
        <v>4.8296291314453423</v>
      </c>
      <c r="E65" s="7">
        <f>'Points mesurés'!F13</f>
        <v>60</v>
      </c>
      <c r="F65" s="6">
        <f>Tableau3783[[#This Row],[Xi]]*Tableau3783[[#This Row],[Xi]]</f>
        <v>1.6746824526945121</v>
      </c>
      <c r="G65" s="6">
        <f>Tableau3783[[#This Row],[Yi]]*Tableau3783[[#This Row],[Yi]]</f>
        <v>23.325317547305492</v>
      </c>
      <c r="H65" s="8">
        <f t="shared" si="2"/>
        <v>3600</v>
      </c>
      <c r="I65" s="8">
        <f>'Points mesurés'!$D$3</f>
        <v>5</v>
      </c>
      <c r="J65" s="8">
        <f>IFERROR(Tableau3783[[#This Row],[Xi]]/Tableau3783[[#This Row],[Ri]],0)</f>
        <v>-0.25881904510252041</v>
      </c>
      <c r="K65" s="8">
        <f>IFERROR(Tableau3783[[#This Row],[Yi]]/Tableau3783[[#This Row],[Ri]],0)</f>
        <v>0.96592582628906842</v>
      </c>
      <c r="L65" s="8">
        <f>Tableau3783[[#This Row],[Cos teta i]]*Tableau3783[[#This Row],[Cos teta i]]</f>
        <v>6.6987298107780494E-2</v>
      </c>
      <c r="M65" s="8">
        <f>Tableau3783[[#This Row],[Sin teta i]]*Tableau3783[[#This Row],[Sin teta i]]</f>
        <v>0.93301270189221963</v>
      </c>
      <c r="N65" s="8">
        <f>Tableau3783[[#This Row],[Zi]]*Tableau3783[[#This Row],[Sin teta i]]</f>
        <v>57.955549577344108</v>
      </c>
      <c r="O65" s="8">
        <f>Tableau3783[[#This Row],[Zi]]*Tableau3783[[#This Row],[Sin² teta i2]]</f>
        <v>55.980762113533174</v>
      </c>
      <c r="P65" s="8">
        <f>Tableau3783[[#This Row],[Zi]]*Tableau3783[[#This Row],[Cos teta i]]</f>
        <v>-15.529142706151225</v>
      </c>
      <c r="Q65" s="8">
        <f>Tableau3783[[#This Row],[Zi]]*Tableau3783[[#This Row],[Cos² teta i2]]</f>
        <v>4.0192378864668292</v>
      </c>
      <c r="R65" s="8">
        <f>Tableau3783[[#This Row],[Zi * sinteta]]*Tableau3783[[#This Row],[Cos teta i]]</f>
        <v>-14.999999999999982</v>
      </c>
      <c r="S65" s="8">
        <f>Tableau3783[[#This Row],[Zi²]]*Tableau3783[[#This Row],[Cos teta i]]*Tableau3783[[#This Row],[Sin teta i]]</f>
        <v>-899.99999999999898</v>
      </c>
      <c r="T65" s="8">
        <f>Tableau3783[[#This Row],[Zi²]]*Tableau3783[[#This Row],[Cos² teta i2]]</f>
        <v>241.15427318800977</v>
      </c>
      <c r="U65" s="8">
        <f>Tableau3783[[#This Row],[Zi²]]*Tableau3783[[#This Row],[Sin² teta i2]]</f>
        <v>3358.8457268119905</v>
      </c>
      <c r="V65" s="8">
        <f>Tableau3783[[#This Row],[Cos teta i]]*Tableau3783[[#This Row],[Sin teta i]]</f>
        <v>-0.24999999999999969</v>
      </c>
      <c r="W65" s="9">
        <f>IF(Tableau3783[[#This Row],[Ri]] &lt;&gt;0,Tableau3783[[#This Row],[Ri]]-'Points mesurés'!$D$3,0)</f>
        <v>0</v>
      </c>
      <c r="X65" s="9">
        <f>Tableau3783[[#This Row],[Zi * sinteta]]*W65</f>
        <v>0</v>
      </c>
      <c r="Y65" s="9">
        <f>Tableau3783[[#This Row],[Zi * cos]]*Tableau3783[[#This Row],[Psi]]</f>
        <v>0</v>
      </c>
      <c r="Z65" s="21">
        <f>Tableau3783[[#This Row],[Psi]]*Tableau3783[[#This Row],[Cos teta i]]</f>
        <v>0</v>
      </c>
      <c r="AA65" s="21">
        <f>Tableau3783[[#This Row],[Psi]]*Tableau3783[[#This Row],[Sin teta i]]</f>
        <v>0</v>
      </c>
    </row>
    <row r="66" spans="2:27" ht="15.75" x14ac:dyDescent="0.25">
      <c r="B66" s="6" t="s">
        <v>52</v>
      </c>
      <c r="C66" s="6">
        <f>'Points mesurés'!D14</f>
        <v>-2.4999999999999991</v>
      </c>
      <c r="D66" s="6">
        <f>'Points mesurés'!E14</f>
        <v>4.3301270189221936</v>
      </c>
      <c r="E66" s="7">
        <f>'Points mesurés'!F14</f>
        <v>60</v>
      </c>
      <c r="F66" s="6">
        <f>Tableau3783[[#This Row],[Xi]]*Tableau3783[[#This Row],[Xi]]</f>
        <v>6.2499999999999956</v>
      </c>
      <c r="G66" s="6">
        <f>Tableau3783[[#This Row],[Yi]]*Tableau3783[[#This Row],[Yi]]</f>
        <v>18.750000000000004</v>
      </c>
      <c r="H66" s="13">
        <f t="shared" si="2"/>
        <v>3600</v>
      </c>
      <c r="I66" s="8">
        <f>'Points mesurés'!$D$3</f>
        <v>5</v>
      </c>
      <c r="J66" s="8">
        <f>IFERROR(Tableau3783[[#This Row],[Xi]]/Tableau3783[[#This Row],[Ri]],0)</f>
        <v>-0.49999999999999983</v>
      </c>
      <c r="K66" s="13">
        <f>IFERROR(Tableau3783[[#This Row],[Yi]]/Tableau3783[[#This Row],[Ri]],0)</f>
        <v>0.86602540378443871</v>
      </c>
      <c r="L66" s="13">
        <f>Tableau3783[[#This Row],[Cos teta i]]*Tableau3783[[#This Row],[Cos teta i]]</f>
        <v>0.24999999999999983</v>
      </c>
      <c r="M66" s="13">
        <f>Tableau3783[[#This Row],[Sin teta i]]*Tableau3783[[#This Row],[Sin teta i]]</f>
        <v>0.75000000000000011</v>
      </c>
      <c r="N66" s="13">
        <f>Tableau3783[[#This Row],[Zi]]*Tableau3783[[#This Row],[Sin teta i]]</f>
        <v>51.96152422706632</v>
      </c>
      <c r="O66" s="13">
        <f>Tableau3783[[#This Row],[Zi]]*Tableau3783[[#This Row],[Sin² teta i2]]</f>
        <v>45.000000000000007</v>
      </c>
      <c r="P66" s="13">
        <f>Tableau3783[[#This Row],[Zi]]*Tableau3783[[#This Row],[Cos teta i]]</f>
        <v>-29.999999999999989</v>
      </c>
      <c r="Q66" s="13">
        <f>Tableau3783[[#This Row],[Zi]]*Tableau3783[[#This Row],[Cos² teta i2]]</f>
        <v>14.999999999999989</v>
      </c>
      <c r="R66" s="13">
        <f>Tableau3783[[#This Row],[Zi * sinteta]]*Tableau3783[[#This Row],[Cos teta i]]</f>
        <v>-25.980762113533153</v>
      </c>
      <c r="S66" s="13">
        <f>Tableau3783[[#This Row],[Zi²]]*Tableau3783[[#This Row],[Cos teta i]]*Tableau3783[[#This Row],[Sin teta i]]</f>
        <v>-1558.8457268119892</v>
      </c>
      <c r="T66" s="13">
        <f>Tableau3783[[#This Row],[Zi²]]*Tableau3783[[#This Row],[Cos² teta i2]]</f>
        <v>899.99999999999943</v>
      </c>
      <c r="U66" s="13">
        <f>Tableau3783[[#This Row],[Zi²]]*Tableau3783[[#This Row],[Sin² teta i2]]</f>
        <v>2700.0000000000005</v>
      </c>
      <c r="V66" s="8">
        <f>Tableau3783[[#This Row],[Cos teta i]]*Tableau3783[[#This Row],[Sin teta i]]</f>
        <v>-0.43301270189221919</v>
      </c>
      <c r="W66" s="9">
        <f>IF(Tableau3783[[#This Row],[Ri]] &lt;&gt;0,Tableau3783[[#This Row],[Ri]]-'Points mesurés'!$D$3,0)</f>
        <v>0</v>
      </c>
      <c r="X66" s="9">
        <f>Tableau3783[[#This Row],[Zi * sinteta]]*W66</f>
        <v>0</v>
      </c>
      <c r="Y66" s="9">
        <f>Tableau3783[[#This Row],[Zi * cos]]*Tableau3783[[#This Row],[Psi]]</f>
        <v>0</v>
      </c>
      <c r="Z66" s="21">
        <f>Tableau3783[[#This Row],[Psi]]*Tableau3783[[#This Row],[Cos teta i]]</f>
        <v>0</v>
      </c>
      <c r="AA66" s="21">
        <f>Tableau3783[[#This Row],[Psi]]*Tableau3783[[#This Row],[Sin teta i]]</f>
        <v>0</v>
      </c>
    </row>
    <row r="67" spans="2:27" ht="15.75" x14ac:dyDescent="0.25">
      <c r="B67" s="6" t="s">
        <v>53</v>
      </c>
      <c r="C67" s="6">
        <f>'Points mesurés'!D15</f>
        <v>-3.5355339059327373</v>
      </c>
      <c r="D67" s="6">
        <f>'Points mesurés'!E15</f>
        <v>3.5355339059327378</v>
      </c>
      <c r="E67" s="7">
        <f>'Points mesurés'!F15</f>
        <v>60</v>
      </c>
      <c r="F67" s="6">
        <f>Tableau3783[[#This Row],[Xi]]*Tableau3783[[#This Row],[Xi]]</f>
        <v>12.499999999999998</v>
      </c>
      <c r="G67" s="6">
        <f>Tableau3783[[#This Row],[Yi]]*Tableau3783[[#This Row],[Yi]]</f>
        <v>12.500000000000002</v>
      </c>
      <c r="H67" s="13">
        <f t="shared" si="2"/>
        <v>3600</v>
      </c>
      <c r="I67" s="8">
        <f>'Points mesurés'!$D$3</f>
        <v>5</v>
      </c>
      <c r="J67" s="8">
        <f>IFERROR(Tableau3783[[#This Row],[Xi]]/Tableau3783[[#This Row],[Ri]],0)</f>
        <v>-0.70710678118654746</v>
      </c>
      <c r="K67" s="13">
        <f>IFERROR(Tableau3783[[#This Row],[Yi]]/Tableau3783[[#This Row],[Ri]],0)</f>
        <v>0.70710678118654757</v>
      </c>
      <c r="L67" s="13">
        <f>Tableau3783[[#This Row],[Cos teta i]]*Tableau3783[[#This Row],[Cos teta i]]</f>
        <v>0.49999999999999989</v>
      </c>
      <c r="M67" s="13">
        <f>Tableau3783[[#This Row],[Sin teta i]]*Tableau3783[[#This Row],[Sin teta i]]</f>
        <v>0.50000000000000011</v>
      </c>
      <c r="N67" s="13">
        <f>Tableau3783[[#This Row],[Zi]]*Tableau3783[[#This Row],[Sin teta i]]</f>
        <v>42.426406871192853</v>
      </c>
      <c r="O67" s="13">
        <f>Tableau3783[[#This Row],[Zi]]*Tableau3783[[#This Row],[Sin² teta i2]]</f>
        <v>30.000000000000007</v>
      </c>
      <c r="P67" s="13">
        <f>Tableau3783[[#This Row],[Zi]]*Tableau3783[[#This Row],[Cos teta i]]</f>
        <v>-42.426406871192846</v>
      </c>
      <c r="Q67" s="13">
        <f>Tableau3783[[#This Row],[Zi]]*Tableau3783[[#This Row],[Cos² teta i2]]</f>
        <v>29.999999999999993</v>
      </c>
      <c r="R67" s="13">
        <f>Tableau3783[[#This Row],[Zi * sinteta]]*Tableau3783[[#This Row],[Cos teta i]]</f>
        <v>-30</v>
      </c>
      <c r="S67" s="13">
        <f>Tableau3783[[#This Row],[Zi²]]*Tableau3783[[#This Row],[Cos teta i]]*Tableau3783[[#This Row],[Sin teta i]]</f>
        <v>-1799.9999999999998</v>
      </c>
      <c r="T67" s="13">
        <f>Tableau3783[[#This Row],[Zi²]]*Tableau3783[[#This Row],[Cos² teta i2]]</f>
        <v>1799.9999999999995</v>
      </c>
      <c r="U67" s="13">
        <f>Tableau3783[[#This Row],[Zi²]]*Tableau3783[[#This Row],[Sin² teta i2]]</f>
        <v>1800.0000000000005</v>
      </c>
      <c r="V67" s="8">
        <f>Tableau3783[[#This Row],[Cos teta i]]*Tableau3783[[#This Row],[Sin teta i]]</f>
        <v>-0.5</v>
      </c>
      <c r="W67" s="9">
        <f>IF(Tableau3783[[#This Row],[Ri]] &lt;&gt;0,Tableau3783[[#This Row],[Ri]]-'Points mesurés'!$D$3,0)</f>
        <v>0</v>
      </c>
      <c r="X67" s="9">
        <f>Tableau3783[[#This Row],[Zi * sinteta]]*W67</f>
        <v>0</v>
      </c>
      <c r="Y67" s="9">
        <f>Tableau3783[[#This Row],[Zi * cos]]*Tableau3783[[#This Row],[Psi]]</f>
        <v>0</v>
      </c>
      <c r="Z67" s="21">
        <f>Tableau3783[[#This Row],[Psi]]*Tableau3783[[#This Row],[Cos teta i]]</f>
        <v>0</v>
      </c>
      <c r="AA67" s="21">
        <f>Tableau3783[[#This Row],[Psi]]*Tableau3783[[#This Row],[Sin teta i]]</f>
        <v>0</v>
      </c>
    </row>
    <row r="68" spans="2:27" ht="15.75" x14ac:dyDescent="0.25">
      <c r="B68" s="6" t="s">
        <v>54</v>
      </c>
      <c r="C68" s="6">
        <f>'Points mesurés'!D16</f>
        <v>-4.3301270189221936</v>
      </c>
      <c r="D68" s="6">
        <f>'Points mesurés'!E16</f>
        <v>2.4999999999999996</v>
      </c>
      <c r="E68" s="7">
        <f>'Points mesurés'!F16</f>
        <v>60</v>
      </c>
      <c r="F68" s="6">
        <f>Tableau3783[[#This Row],[Xi]]*Tableau3783[[#This Row],[Xi]]</f>
        <v>18.750000000000004</v>
      </c>
      <c r="G68" s="6">
        <f>Tableau3783[[#This Row],[Yi]]*Tableau3783[[#This Row],[Yi]]</f>
        <v>6.2499999999999982</v>
      </c>
      <c r="H68" s="13">
        <f t="shared" si="2"/>
        <v>3600</v>
      </c>
      <c r="I68" s="8">
        <f>'Points mesurés'!$D$3</f>
        <v>5</v>
      </c>
      <c r="J68" s="8">
        <f>IFERROR(Tableau3783[[#This Row],[Xi]]/Tableau3783[[#This Row],[Ri]],0)</f>
        <v>-0.86602540378443871</v>
      </c>
      <c r="K68" s="13">
        <f>IFERROR(Tableau3783[[#This Row],[Yi]]/Tableau3783[[#This Row],[Ri]],0)</f>
        <v>0.49999999999999989</v>
      </c>
      <c r="L68" s="13">
        <f>Tableau3783[[#This Row],[Cos teta i]]*Tableau3783[[#This Row],[Cos teta i]]</f>
        <v>0.75000000000000011</v>
      </c>
      <c r="M68" s="13">
        <f>Tableau3783[[#This Row],[Sin teta i]]*Tableau3783[[#This Row],[Sin teta i]]</f>
        <v>0.24999999999999989</v>
      </c>
      <c r="N68" s="13">
        <f>Tableau3783[[#This Row],[Zi]]*Tableau3783[[#This Row],[Sin teta i]]</f>
        <v>29.999999999999993</v>
      </c>
      <c r="O68" s="13">
        <f>Tableau3783[[#This Row],[Zi]]*Tableau3783[[#This Row],[Sin² teta i2]]</f>
        <v>14.999999999999993</v>
      </c>
      <c r="P68" s="13">
        <f>Tableau3783[[#This Row],[Zi]]*Tableau3783[[#This Row],[Cos teta i]]</f>
        <v>-51.96152422706632</v>
      </c>
      <c r="Q68" s="13">
        <f>Tableau3783[[#This Row],[Zi]]*Tableau3783[[#This Row],[Cos² teta i2]]</f>
        <v>45.000000000000007</v>
      </c>
      <c r="R68" s="13">
        <f>Tableau3783[[#This Row],[Zi * sinteta]]*Tableau3783[[#This Row],[Cos teta i]]</f>
        <v>-25.980762113533157</v>
      </c>
      <c r="S68" s="13">
        <f>Tableau3783[[#This Row],[Zi²]]*Tableau3783[[#This Row],[Cos teta i]]*Tableau3783[[#This Row],[Sin teta i]]</f>
        <v>-1558.8457268119892</v>
      </c>
      <c r="T68" s="13">
        <f>Tableau3783[[#This Row],[Zi²]]*Tableau3783[[#This Row],[Cos² teta i2]]</f>
        <v>2700.0000000000005</v>
      </c>
      <c r="U68" s="13">
        <f>Tableau3783[[#This Row],[Zi²]]*Tableau3783[[#This Row],[Sin² teta i2]]</f>
        <v>899.99999999999955</v>
      </c>
      <c r="V68" s="8">
        <f>Tableau3783[[#This Row],[Cos teta i]]*Tableau3783[[#This Row],[Sin teta i]]</f>
        <v>-0.43301270189221924</v>
      </c>
      <c r="W68" s="9">
        <f>IF(Tableau3783[[#This Row],[Ri]] &lt;&gt;0,Tableau3783[[#This Row],[Ri]]-'Points mesurés'!$D$3,0)</f>
        <v>0</v>
      </c>
      <c r="X68" s="9">
        <f>Tableau3783[[#This Row],[Zi * sinteta]]*W68</f>
        <v>0</v>
      </c>
      <c r="Y68" s="9">
        <f>Tableau3783[[#This Row],[Zi * cos]]*Tableau3783[[#This Row],[Psi]]</f>
        <v>0</v>
      </c>
      <c r="Z68" s="21">
        <f>Tableau3783[[#This Row],[Psi]]*Tableau3783[[#This Row],[Cos teta i]]</f>
        <v>0</v>
      </c>
      <c r="AA68" s="21">
        <f>Tableau3783[[#This Row],[Psi]]*Tableau3783[[#This Row],[Sin teta i]]</f>
        <v>0</v>
      </c>
    </row>
    <row r="69" spans="2:27" ht="15.75" x14ac:dyDescent="0.25">
      <c r="B69" s="6" t="s">
        <v>55</v>
      </c>
      <c r="C69" s="6">
        <f>'Points mesurés'!D17</f>
        <v>-4.8296291314453415</v>
      </c>
      <c r="D69" s="6">
        <f>'Points mesurés'!E17</f>
        <v>1.2940952255126028</v>
      </c>
      <c r="E69" s="7">
        <f>'Points mesurés'!F17</f>
        <v>60</v>
      </c>
      <c r="F69" s="6">
        <f>Tableau3783[[#This Row],[Xi]]*Tableau3783[[#This Row],[Xi]]</f>
        <v>23.325317547305485</v>
      </c>
      <c r="G69" s="6">
        <f>Tableau3783[[#This Row],[Yi]]*Tableau3783[[#This Row],[Yi]]</f>
        <v>1.6746824526945143</v>
      </c>
      <c r="H69" s="13">
        <f t="shared" si="2"/>
        <v>3600</v>
      </c>
      <c r="I69" s="8">
        <f>'Points mesurés'!$D$3</f>
        <v>5</v>
      </c>
      <c r="J69" s="8">
        <f>IFERROR(Tableau3783[[#This Row],[Xi]]/Tableau3783[[#This Row],[Ri]],0)</f>
        <v>-0.96592582628906831</v>
      </c>
      <c r="K69" s="13">
        <f>IFERROR(Tableau3783[[#This Row],[Yi]]/Tableau3783[[#This Row],[Ri]],0)</f>
        <v>0.25881904510252057</v>
      </c>
      <c r="L69" s="13">
        <f>Tableau3783[[#This Row],[Cos teta i]]*Tableau3783[[#This Row],[Cos teta i]]</f>
        <v>0.93301270189221941</v>
      </c>
      <c r="M69" s="13">
        <f>Tableau3783[[#This Row],[Sin teta i]]*Tableau3783[[#This Row],[Sin teta i]]</f>
        <v>6.6987298107780577E-2</v>
      </c>
      <c r="N69" s="13">
        <f>Tableau3783[[#This Row],[Zi]]*Tableau3783[[#This Row],[Sin teta i]]</f>
        <v>15.529142706151234</v>
      </c>
      <c r="O69" s="13">
        <f>Tableau3783[[#This Row],[Zi]]*Tableau3783[[#This Row],[Sin² teta i2]]</f>
        <v>4.0192378864668346</v>
      </c>
      <c r="P69" s="13">
        <f>Tableau3783[[#This Row],[Zi]]*Tableau3783[[#This Row],[Cos teta i]]</f>
        <v>-57.955549577344101</v>
      </c>
      <c r="Q69" s="13">
        <f>Tableau3783[[#This Row],[Zi]]*Tableau3783[[#This Row],[Cos² teta i2]]</f>
        <v>55.980762113533167</v>
      </c>
      <c r="R69" s="13">
        <f>Tableau3783[[#This Row],[Zi * sinteta]]*Tableau3783[[#This Row],[Cos teta i]]</f>
        <v>-14.999999999999989</v>
      </c>
      <c r="S69" s="13">
        <f>Tableau3783[[#This Row],[Zi²]]*Tableau3783[[#This Row],[Cos teta i]]*Tableau3783[[#This Row],[Sin teta i]]</f>
        <v>-899.99999999999932</v>
      </c>
      <c r="T69" s="13">
        <f>Tableau3783[[#This Row],[Zi²]]*Tableau3783[[#This Row],[Cos² teta i2]]</f>
        <v>3358.8457268119901</v>
      </c>
      <c r="U69" s="13">
        <f>Tableau3783[[#This Row],[Zi²]]*Tableau3783[[#This Row],[Sin² teta i2]]</f>
        <v>241.15427318801008</v>
      </c>
      <c r="V69" s="8">
        <f>Tableau3783[[#This Row],[Cos teta i]]*Tableau3783[[#This Row],[Sin teta i]]</f>
        <v>-0.24999999999999983</v>
      </c>
      <c r="W69" s="9">
        <f>IF(Tableau3783[[#This Row],[Ri]] &lt;&gt;0,Tableau3783[[#This Row],[Ri]]-'Points mesurés'!$D$3,0)</f>
        <v>0</v>
      </c>
      <c r="X69" s="9">
        <f>Tableau3783[[#This Row],[Zi * sinteta]]*W69</f>
        <v>0</v>
      </c>
      <c r="Y69" s="9">
        <f>Tableau3783[[#This Row],[Zi * cos]]*Tableau3783[[#This Row],[Psi]]</f>
        <v>0</v>
      </c>
      <c r="Z69" s="21">
        <f>Tableau3783[[#This Row],[Psi]]*Tableau3783[[#This Row],[Cos teta i]]</f>
        <v>0</v>
      </c>
      <c r="AA69" s="21">
        <f>Tableau3783[[#This Row],[Psi]]*Tableau3783[[#This Row],[Sin teta i]]</f>
        <v>0</v>
      </c>
    </row>
    <row r="70" spans="2:27" ht="15.75" x14ac:dyDescent="0.25">
      <c r="B70" s="6" t="s">
        <v>56</v>
      </c>
      <c r="C70" s="6">
        <f>'Points mesurés'!D18</f>
        <v>-5</v>
      </c>
      <c r="D70" s="6">
        <f>'Points mesurés'!E18</f>
        <v>-1.6078718217960031E-15</v>
      </c>
      <c r="E70" s="7">
        <f>'Points mesurés'!F18</f>
        <v>60</v>
      </c>
      <c r="F70" s="6">
        <f>Tableau3783[[#This Row],[Xi]]*Tableau3783[[#This Row],[Xi]]</f>
        <v>25</v>
      </c>
      <c r="G70" s="6">
        <f>Tableau3783[[#This Row],[Yi]]*Tableau3783[[#This Row],[Yi]]</f>
        <v>2.5852517953255979E-30</v>
      </c>
      <c r="H70" s="13">
        <f t="shared" si="2"/>
        <v>3600</v>
      </c>
      <c r="I70" s="8">
        <f>'Points mesurés'!$D$3</f>
        <v>5</v>
      </c>
      <c r="J70" s="8">
        <f>IFERROR(Tableau3783[[#This Row],[Xi]]/Tableau3783[[#This Row],[Ri]],0)</f>
        <v>-1</v>
      </c>
      <c r="K70" s="13">
        <f>IFERROR(Tableau3783[[#This Row],[Yi]]/Tableau3783[[#This Row],[Ri]],0)</f>
        <v>-3.2157436435920062E-16</v>
      </c>
      <c r="L70" s="13">
        <f>Tableau3783[[#This Row],[Cos teta i]]*Tableau3783[[#This Row],[Cos teta i]]</f>
        <v>1</v>
      </c>
      <c r="M70" s="13">
        <f>Tableau3783[[#This Row],[Sin teta i]]*Tableau3783[[#This Row],[Sin teta i]]</f>
        <v>1.0341007181302391E-31</v>
      </c>
      <c r="N70" s="13">
        <f>Tableau3783[[#This Row],[Zi]]*Tableau3783[[#This Row],[Sin teta i]]</f>
        <v>-1.9294461861552037E-14</v>
      </c>
      <c r="O70" s="13">
        <f>Tableau3783[[#This Row],[Zi]]*Tableau3783[[#This Row],[Sin² teta i2]]</f>
        <v>6.2046043087814349E-30</v>
      </c>
      <c r="P70" s="13">
        <f>Tableau3783[[#This Row],[Zi]]*Tableau3783[[#This Row],[Cos teta i]]</f>
        <v>-60</v>
      </c>
      <c r="Q70" s="13">
        <f>Tableau3783[[#This Row],[Zi]]*Tableau3783[[#This Row],[Cos² teta i2]]</f>
        <v>60</v>
      </c>
      <c r="R70" s="13">
        <f>Tableau3783[[#This Row],[Zi * sinteta]]*Tableau3783[[#This Row],[Cos teta i]]</f>
        <v>1.9294461861552037E-14</v>
      </c>
      <c r="S70" s="13">
        <f>Tableau3783[[#This Row],[Zi²]]*Tableau3783[[#This Row],[Cos teta i]]*Tableau3783[[#This Row],[Sin teta i]]</f>
        <v>1.1576677116931222E-12</v>
      </c>
      <c r="T70" s="13">
        <f>Tableau3783[[#This Row],[Zi²]]*Tableau3783[[#This Row],[Cos² teta i2]]</f>
        <v>3600</v>
      </c>
      <c r="U70" s="13">
        <f>Tableau3783[[#This Row],[Zi²]]*Tableau3783[[#This Row],[Sin² teta i2]]</f>
        <v>3.7227625852688609E-28</v>
      </c>
      <c r="V70" s="8">
        <f>Tableau3783[[#This Row],[Cos teta i]]*Tableau3783[[#This Row],[Sin teta i]]</f>
        <v>3.2157436435920062E-16</v>
      </c>
      <c r="W70" s="9">
        <f>IF(Tableau3783[[#This Row],[Ri]] &lt;&gt;0,Tableau3783[[#This Row],[Ri]]-'Points mesurés'!$D$3,0)</f>
        <v>0</v>
      </c>
      <c r="X70" s="9">
        <f>Tableau3783[[#This Row],[Zi * sinteta]]*W70</f>
        <v>0</v>
      </c>
      <c r="Y70" s="9">
        <f>Tableau3783[[#This Row],[Zi * cos]]*Tableau3783[[#This Row],[Psi]]</f>
        <v>0</v>
      </c>
      <c r="Z70" s="21">
        <f>Tableau3783[[#This Row],[Psi]]*Tableau3783[[#This Row],[Cos teta i]]</f>
        <v>0</v>
      </c>
      <c r="AA70" s="21">
        <f>Tableau3783[[#This Row],[Psi]]*Tableau3783[[#This Row],[Sin teta i]]</f>
        <v>0</v>
      </c>
    </row>
    <row r="71" spans="2:27" ht="15.75" x14ac:dyDescent="0.25">
      <c r="B71" s="6" t="s">
        <v>57</v>
      </c>
      <c r="C71" s="6">
        <f>'Points mesurés'!D19</f>
        <v>-4.8296291314453406</v>
      </c>
      <c r="D71" s="6">
        <f>'Points mesurés'!E19</f>
        <v>-1.2940952255126059</v>
      </c>
      <c r="E71" s="7">
        <f>'Points mesurés'!F19</f>
        <v>0</v>
      </c>
      <c r="F71" s="6">
        <f>Tableau3783[[#This Row],[Xi]]*Tableau3783[[#This Row],[Xi]]</f>
        <v>23.325317547305474</v>
      </c>
      <c r="G71" s="6">
        <f>Tableau3783[[#This Row],[Yi]]*Tableau3783[[#This Row],[Yi]]</f>
        <v>1.6746824526945223</v>
      </c>
      <c r="H71" s="13">
        <f t="shared" si="2"/>
        <v>0</v>
      </c>
      <c r="I71" s="8">
        <f>'Points mesurés'!$D$3</f>
        <v>5</v>
      </c>
      <c r="J71" s="8">
        <f>IFERROR(Tableau3783[[#This Row],[Xi]]/Tableau3783[[#This Row],[Ri]],0)</f>
        <v>-0.96592582628906809</v>
      </c>
      <c r="K71" s="13">
        <f>IFERROR(Tableau3783[[#This Row],[Yi]]/Tableau3783[[#This Row],[Ri]],0)</f>
        <v>-0.25881904510252118</v>
      </c>
      <c r="L71" s="13">
        <f>Tableau3783[[#This Row],[Cos teta i]]*Tableau3783[[#This Row],[Cos teta i]]</f>
        <v>0.93301270189221897</v>
      </c>
      <c r="M71" s="13">
        <f>Tableau3783[[#This Row],[Sin teta i]]*Tableau3783[[#This Row],[Sin teta i]]</f>
        <v>6.6987298107780896E-2</v>
      </c>
      <c r="N71" s="13">
        <f>Tableau3783[[#This Row],[Zi]]*Tableau3783[[#This Row],[Sin teta i]]</f>
        <v>0</v>
      </c>
      <c r="O71" s="13">
        <f>Tableau3783[[#This Row],[Zi]]*Tableau3783[[#This Row],[Sin² teta i2]]</f>
        <v>0</v>
      </c>
      <c r="P71" s="13">
        <f>Tableau3783[[#This Row],[Zi]]*Tableau3783[[#This Row],[Cos teta i]]</f>
        <v>0</v>
      </c>
      <c r="Q71" s="13">
        <f>Tableau3783[[#This Row],[Zi]]*Tableau3783[[#This Row],[Cos² teta i2]]</f>
        <v>0</v>
      </c>
      <c r="R71" s="13">
        <f>Tableau3783[[#This Row],[Zi * sinteta]]*Tableau3783[[#This Row],[Cos teta i]]</f>
        <v>0</v>
      </c>
      <c r="S71" s="13">
        <f>Tableau3783[[#This Row],[Zi²]]*Tableau3783[[#This Row],[Cos teta i]]*Tableau3783[[#This Row],[Sin teta i]]</f>
        <v>0</v>
      </c>
      <c r="T71" s="13">
        <f>Tableau3783[[#This Row],[Zi²]]*Tableau3783[[#This Row],[Cos² teta i2]]</f>
        <v>0</v>
      </c>
      <c r="U71" s="13">
        <f>Tableau3783[[#This Row],[Zi²]]*Tableau3783[[#This Row],[Sin² teta i2]]</f>
        <v>0</v>
      </c>
      <c r="V71" s="8">
        <f>Tableau3783[[#This Row],[Cos teta i]]*Tableau3783[[#This Row],[Sin teta i]]</f>
        <v>0.25000000000000033</v>
      </c>
      <c r="W71" s="9">
        <f>IF(Tableau3783[[#This Row],[Ri]] &lt;&gt;0,Tableau3783[[#This Row],[Ri]]-'Points mesurés'!$D$3,0)</f>
        <v>0</v>
      </c>
      <c r="X71" s="9">
        <f>Tableau3783[[#This Row],[Zi * sinteta]]*W71</f>
        <v>0</v>
      </c>
      <c r="Y71" s="9">
        <f>Tableau3783[[#This Row],[Zi * cos]]*Tableau3783[[#This Row],[Psi]]</f>
        <v>0</v>
      </c>
      <c r="Z71" s="21">
        <f>Tableau3783[[#This Row],[Psi]]*Tableau3783[[#This Row],[Cos teta i]]</f>
        <v>0</v>
      </c>
      <c r="AA71" s="21">
        <f>Tableau3783[[#This Row],[Psi]]*Tableau3783[[#This Row],[Sin teta i]]</f>
        <v>0</v>
      </c>
    </row>
    <row r="72" spans="2:27" ht="15.75" x14ac:dyDescent="0.25">
      <c r="B72" s="6" t="s">
        <v>58</v>
      </c>
      <c r="C72" s="6">
        <f>'Points mesurés'!D20</f>
        <v>-4.3301270189221919</v>
      </c>
      <c r="D72" s="6">
        <f>'Points mesurés'!E20</f>
        <v>-2.5000000000000027</v>
      </c>
      <c r="E72" s="7">
        <f>'Points mesurés'!F20</f>
        <v>0</v>
      </c>
      <c r="F72" s="6">
        <f>Tableau3783[[#This Row],[Xi]]*Tableau3783[[#This Row],[Xi]]</f>
        <v>18.749999999999989</v>
      </c>
      <c r="G72" s="6">
        <f>Tableau3783[[#This Row],[Yi]]*Tableau3783[[#This Row],[Yi]]</f>
        <v>6.2500000000000133</v>
      </c>
      <c r="H72" s="13">
        <f t="shared" si="2"/>
        <v>0</v>
      </c>
      <c r="I72" s="8">
        <f>'Points mesurés'!$D$3</f>
        <v>5</v>
      </c>
      <c r="J72" s="8">
        <f>IFERROR(Tableau3783[[#This Row],[Xi]]/Tableau3783[[#This Row],[Ri]],0)</f>
        <v>-0.86602540378443837</v>
      </c>
      <c r="K72" s="13">
        <f>IFERROR(Tableau3783[[#This Row],[Yi]]/Tableau3783[[#This Row],[Ri]],0)</f>
        <v>-0.50000000000000056</v>
      </c>
      <c r="L72" s="13">
        <f>Tableau3783[[#This Row],[Cos teta i]]*Tableau3783[[#This Row],[Cos teta i]]</f>
        <v>0.74999999999999956</v>
      </c>
      <c r="M72" s="13">
        <f>Tableau3783[[#This Row],[Sin teta i]]*Tableau3783[[#This Row],[Sin teta i]]</f>
        <v>0.25000000000000056</v>
      </c>
      <c r="N72" s="13">
        <f>Tableau3783[[#This Row],[Zi]]*Tableau3783[[#This Row],[Sin teta i]]</f>
        <v>0</v>
      </c>
      <c r="O72" s="13">
        <f>Tableau3783[[#This Row],[Zi]]*Tableau3783[[#This Row],[Sin² teta i2]]</f>
        <v>0</v>
      </c>
      <c r="P72" s="13">
        <f>Tableau3783[[#This Row],[Zi]]*Tableau3783[[#This Row],[Cos teta i]]</f>
        <v>0</v>
      </c>
      <c r="Q72" s="13">
        <f>Tableau3783[[#This Row],[Zi]]*Tableau3783[[#This Row],[Cos² teta i2]]</f>
        <v>0</v>
      </c>
      <c r="R72" s="13">
        <f>Tableau3783[[#This Row],[Zi * sinteta]]*Tableau3783[[#This Row],[Cos teta i]]</f>
        <v>0</v>
      </c>
      <c r="S72" s="13">
        <f>Tableau3783[[#This Row],[Zi²]]*Tableau3783[[#This Row],[Cos teta i]]*Tableau3783[[#This Row],[Sin teta i]]</f>
        <v>0</v>
      </c>
      <c r="T72" s="13">
        <f>Tableau3783[[#This Row],[Zi²]]*Tableau3783[[#This Row],[Cos² teta i2]]</f>
        <v>0</v>
      </c>
      <c r="U72" s="13">
        <f>Tableau3783[[#This Row],[Zi²]]*Tableau3783[[#This Row],[Sin² teta i2]]</f>
        <v>0</v>
      </c>
      <c r="V72" s="8">
        <f>Tableau3783[[#This Row],[Cos teta i]]*Tableau3783[[#This Row],[Sin teta i]]</f>
        <v>0.43301270189221969</v>
      </c>
      <c r="W72" s="9">
        <f>IF(Tableau3783[[#This Row],[Ri]] &lt;&gt;0,Tableau3783[[#This Row],[Ri]]-'Points mesurés'!$D$3,0)</f>
        <v>0</v>
      </c>
      <c r="X72" s="9">
        <f>Tableau3783[[#This Row],[Zi * sinteta]]*W72</f>
        <v>0</v>
      </c>
      <c r="Y72" s="9">
        <f>Tableau3783[[#This Row],[Zi * cos]]*Tableau3783[[#This Row],[Psi]]</f>
        <v>0</v>
      </c>
      <c r="Z72" s="21">
        <f>Tableau3783[[#This Row],[Psi]]*Tableau3783[[#This Row],[Cos teta i]]</f>
        <v>0</v>
      </c>
      <c r="AA72" s="21">
        <f>Tableau3783[[#This Row],[Psi]]*Tableau3783[[#This Row],[Sin teta i]]</f>
        <v>0</v>
      </c>
    </row>
    <row r="73" spans="2:27" ht="15.75" x14ac:dyDescent="0.25">
      <c r="B73" s="6" t="s">
        <v>59</v>
      </c>
      <c r="C73" s="6">
        <f>'Points mesurés'!D21</f>
        <v>-3.5355339059327351</v>
      </c>
      <c r="D73" s="6">
        <f>'Points mesurés'!E21</f>
        <v>-3.53553390593274</v>
      </c>
      <c r="E73" s="7">
        <f>'Points mesurés'!F21</f>
        <v>0</v>
      </c>
      <c r="F73" s="6">
        <f>Tableau3783[[#This Row],[Xi]]*Tableau3783[[#This Row],[Xi]]</f>
        <v>12.499999999999982</v>
      </c>
      <c r="G73" s="6">
        <f>Tableau3783[[#This Row],[Yi]]*Tableau3783[[#This Row],[Yi]]</f>
        <v>12.500000000000016</v>
      </c>
      <c r="H73" s="8">
        <f t="shared" si="2"/>
        <v>0</v>
      </c>
      <c r="I73" s="8">
        <f>'Points mesurés'!$D$3</f>
        <v>5</v>
      </c>
      <c r="J73" s="8">
        <f>IFERROR(Tableau3783[[#This Row],[Xi]]/Tableau3783[[#This Row],[Ri]],0)</f>
        <v>-0.70710678118654702</v>
      </c>
      <c r="K73" s="8">
        <f>IFERROR(Tableau3783[[#This Row],[Yi]]/Tableau3783[[#This Row],[Ri]],0)</f>
        <v>-0.70710678118654802</v>
      </c>
      <c r="L73" s="8">
        <f>Tableau3783[[#This Row],[Cos teta i]]*Tableau3783[[#This Row],[Cos teta i]]</f>
        <v>0.49999999999999928</v>
      </c>
      <c r="M73" s="8">
        <f>Tableau3783[[#This Row],[Sin teta i]]*Tableau3783[[#This Row],[Sin teta i]]</f>
        <v>0.50000000000000067</v>
      </c>
      <c r="N73" s="8">
        <f>Tableau3783[[#This Row],[Zi]]*Tableau3783[[#This Row],[Sin teta i]]</f>
        <v>0</v>
      </c>
      <c r="O73" s="8">
        <f>Tableau3783[[#This Row],[Zi]]*Tableau3783[[#This Row],[Sin² teta i2]]</f>
        <v>0</v>
      </c>
      <c r="P73" s="8">
        <f>Tableau3783[[#This Row],[Zi]]*Tableau3783[[#This Row],[Cos teta i]]</f>
        <v>0</v>
      </c>
      <c r="Q73" s="8">
        <f>Tableau3783[[#This Row],[Zi]]*Tableau3783[[#This Row],[Cos² teta i2]]</f>
        <v>0</v>
      </c>
      <c r="R73" s="8">
        <f>Tableau3783[[#This Row],[Zi * sinteta]]*Tableau3783[[#This Row],[Cos teta i]]</f>
        <v>0</v>
      </c>
      <c r="S73" s="8">
        <f>Tableau3783[[#This Row],[Zi²]]*Tableau3783[[#This Row],[Cos teta i]]*Tableau3783[[#This Row],[Sin teta i]]</f>
        <v>0</v>
      </c>
      <c r="T73" s="8">
        <f>Tableau3783[[#This Row],[Zi²]]*Tableau3783[[#This Row],[Cos² teta i2]]</f>
        <v>0</v>
      </c>
      <c r="U73" s="8">
        <f>Tableau3783[[#This Row],[Zi²]]*Tableau3783[[#This Row],[Sin² teta i2]]</f>
        <v>0</v>
      </c>
      <c r="V73" s="8">
        <f>Tableau3783[[#This Row],[Cos teta i]]*Tableau3783[[#This Row],[Sin teta i]]</f>
        <v>0.5</v>
      </c>
      <c r="W73" s="9">
        <f>IF(Tableau3783[[#This Row],[Ri]] &lt;&gt;0,Tableau3783[[#This Row],[Ri]]-'Points mesurés'!$D$3,0)</f>
        <v>0</v>
      </c>
      <c r="X73" s="9">
        <f>Tableau3783[[#This Row],[Zi * sinteta]]*W73</f>
        <v>0</v>
      </c>
      <c r="Y73" s="9">
        <f>Tableau3783[[#This Row],[Zi * cos]]*Tableau3783[[#This Row],[Psi]]</f>
        <v>0</v>
      </c>
      <c r="Z73" s="21">
        <f>Tableau3783[[#This Row],[Psi]]*Tableau3783[[#This Row],[Cos teta i]]</f>
        <v>0</v>
      </c>
      <c r="AA73" s="21">
        <f>Tableau3783[[#This Row],[Psi]]*Tableau3783[[#This Row],[Sin teta i]]</f>
        <v>0</v>
      </c>
    </row>
    <row r="74" spans="2:27" ht="15.75" x14ac:dyDescent="0.25">
      <c r="B74" s="6" t="s">
        <v>60</v>
      </c>
      <c r="C74" s="6">
        <f>'Points mesurés'!D22</f>
        <v>-2.4999999999999982</v>
      </c>
      <c r="D74" s="6">
        <f>'Points mesurés'!E22</f>
        <v>-4.3301270189221945</v>
      </c>
      <c r="E74" s="7">
        <f>'Points mesurés'!F22</f>
        <v>0</v>
      </c>
      <c r="F74" s="6">
        <f>Tableau3783[[#This Row],[Xi]]*Tableau3783[[#This Row],[Xi]]</f>
        <v>6.2499999999999911</v>
      </c>
      <c r="G74" s="6">
        <f>Tableau3783[[#This Row],[Yi]]*Tableau3783[[#This Row],[Yi]]</f>
        <v>18.750000000000011</v>
      </c>
      <c r="H74" s="13">
        <f>E74*E74</f>
        <v>0</v>
      </c>
      <c r="I74" s="8">
        <f>'Points mesurés'!$D$3</f>
        <v>5</v>
      </c>
      <c r="J74" s="8">
        <f>IFERROR(Tableau3783[[#This Row],[Xi]]/Tableau3783[[#This Row],[Ri]],0)</f>
        <v>-0.49999999999999967</v>
      </c>
      <c r="K74" s="13">
        <f>IFERROR(Tableau3783[[#This Row],[Yi]]/Tableau3783[[#This Row],[Ri]],0)</f>
        <v>-0.86602540378443893</v>
      </c>
      <c r="L74" s="13">
        <f>Tableau3783[[#This Row],[Cos teta i]]*Tableau3783[[#This Row],[Cos teta i]]</f>
        <v>0.24999999999999967</v>
      </c>
      <c r="M74" s="13">
        <f>Tableau3783[[#This Row],[Sin teta i]]*Tableau3783[[#This Row],[Sin teta i]]</f>
        <v>0.75000000000000044</v>
      </c>
      <c r="N74" s="13">
        <f>Tableau3783[[#This Row],[Zi]]*Tableau3783[[#This Row],[Sin teta i]]</f>
        <v>0</v>
      </c>
      <c r="O74" s="13">
        <f>Tableau3783[[#This Row],[Zi]]*Tableau3783[[#This Row],[Sin² teta i2]]</f>
        <v>0</v>
      </c>
      <c r="P74" s="13">
        <f>Tableau3783[[#This Row],[Zi]]*Tableau3783[[#This Row],[Cos teta i]]</f>
        <v>0</v>
      </c>
      <c r="Q74" s="13">
        <f>Tableau3783[[#This Row],[Zi]]*Tableau3783[[#This Row],[Cos² teta i2]]</f>
        <v>0</v>
      </c>
      <c r="R74" s="13">
        <f>Tableau3783[[#This Row],[Zi * sinteta]]*Tableau3783[[#This Row],[Cos teta i]]</f>
        <v>0</v>
      </c>
      <c r="S74" s="13">
        <f>Tableau3783[[#This Row],[Zi²]]*Tableau3783[[#This Row],[Cos teta i]]*Tableau3783[[#This Row],[Sin teta i]]</f>
        <v>0</v>
      </c>
      <c r="T74" s="13">
        <f>Tableau3783[[#This Row],[Zi²]]*Tableau3783[[#This Row],[Cos² teta i2]]</f>
        <v>0</v>
      </c>
      <c r="U74" s="13">
        <f>Tableau3783[[#This Row],[Zi²]]*Tableau3783[[#This Row],[Sin² teta i2]]</f>
        <v>0</v>
      </c>
      <c r="V74" s="8">
        <f>Tableau3783[[#This Row],[Cos teta i]]*Tableau3783[[#This Row],[Sin teta i]]</f>
        <v>0.43301270189221919</v>
      </c>
      <c r="W74" s="9">
        <f>IF(Tableau3783[[#This Row],[Ri]] &lt;&gt;0,Tableau3783[[#This Row],[Ri]]-'Points mesurés'!$D$3,0)</f>
        <v>0</v>
      </c>
      <c r="X74" s="9">
        <f>Tableau3783[[#This Row],[Zi * sinteta]]*W74</f>
        <v>0</v>
      </c>
      <c r="Y74" s="9">
        <f>Tableau3783[[#This Row],[Zi * cos]]*Tableau3783[[#This Row],[Psi]]</f>
        <v>0</v>
      </c>
      <c r="Z74" s="21">
        <f>Tableau3783[[#This Row],[Psi]]*Tableau3783[[#This Row],[Cos teta i]]</f>
        <v>0</v>
      </c>
      <c r="AA74" s="21">
        <f>Tableau3783[[#This Row],[Psi]]*Tableau3783[[#This Row],[Sin teta i]]</f>
        <v>0</v>
      </c>
    </row>
    <row r="75" spans="2:27" ht="15.75" x14ac:dyDescent="0.25">
      <c r="B75" s="6" t="s">
        <v>61</v>
      </c>
      <c r="C75" s="6">
        <f>'Points mesurés'!D23</f>
        <v>-1.2940952255126033</v>
      </c>
      <c r="D75" s="6">
        <f>'Points mesurés'!E23</f>
        <v>-4.8296291314453415</v>
      </c>
      <c r="E75" s="7">
        <f>'Points mesurés'!F23</f>
        <v>0</v>
      </c>
      <c r="F75" s="6">
        <f>Tableau3783[[#This Row],[Xi]]*Tableau3783[[#This Row],[Xi]]</f>
        <v>1.6746824526945154</v>
      </c>
      <c r="G75" s="6">
        <f>Tableau3783[[#This Row],[Yi]]*Tableau3783[[#This Row],[Yi]]</f>
        <v>23.325317547305485</v>
      </c>
      <c r="H75" s="13">
        <f>E75*E75</f>
        <v>0</v>
      </c>
      <c r="I75" s="8">
        <f>'Points mesurés'!$D$3</f>
        <v>5</v>
      </c>
      <c r="J75" s="8">
        <f>IFERROR(Tableau3783[[#This Row],[Xi]]/Tableau3783[[#This Row],[Ri]],0)</f>
        <v>-0.25881904510252063</v>
      </c>
      <c r="K75" s="13">
        <f>IFERROR(Tableau3783[[#This Row],[Yi]]/Tableau3783[[#This Row],[Ri]],0)</f>
        <v>-0.96592582628906831</v>
      </c>
      <c r="L75" s="13">
        <f>Tableau3783[[#This Row],[Cos teta i]]*Tableau3783[[#This Row],[Cos teta i]]</f>
        <v>6.6987298107780605E-2</v>
      </c>
      <c r="M75" s="13">
        <f>Tableau3783[[#This Row],[Sin teta i]]*Tableau3783[[#This Row],[Sin teta i]]</f>
        <v>0.93301270189221941</v>
      </c>
      <c r="N75" s="13">
        <f>Tableau3783[[#This Row],[Zi]]*Tableau3783[[#This Row],[Sin teta i]]</f>
        <v>0</v>
      </c>
      <c r="O75" s="13">
        <f>Tableau3783[[#This Row],[Zi]]*Tableau3783[[#This Row],[Sin² teta i2]]</f>
        <v>0</v>
      </c>
      <c r="P75" s="13">
        <f>Tableau3783[[#This Row],[Zi]]*Tableau3783[[#This Row],[Cos teta i]]</f>
        <v>0</v>
      </c>
      <c r="Q75" s="13">
        <f>Tableau3783[[#This Row],[Zi]]*Tableau3783[[#This Row],[Cos² teta i2]]</f>
        <v>0</v>
      </c>
      <c r="R75" s="13">
        <f>Tableau3783[[#This Row],[Zi * sinteta]]*Tableau3783[[#This Row],[Cos teta i]]</f>
        <v>0</v>
      </c>
      <c r="S75" s="13">
        <f>Tableau3783[[#This Row],[Zi²]]*Tableau3783[[#This Row],[Cos teta i]]*Tableau3783[[#This Row],[Sin teta i]]</f>
        <v>0</v>
      </c>
      <c r="T75" s="13">
        <f>Tableau3783[[#This Row],[Zi²]]*Tableau3783[[#This Row],[Cos² teta i2]]</f>
        <v>0</v>
      </c>
      <c r="U75" s="13">
        <f>Tableau3783[[#This Row],[Zi²]]*Tableau3783[[#This Row],[Sin² teta i2]]</f>
        <v>0</v>
      </c>
      <c r="V75" s="8">
        <f>Tableau3783[[#This Row],[Cos teta i]]*Tableau3783[[#This Row],[Sin teta i]]</f>
        <v>0.24999999999999989</v>
      </c>
      <c r="W75" s="9">
        <f>IF(Tableau3783[[#This Row],[Ri]] &lt;&gt;0,Tableau3783[[#This Row],[Ri]]-'Points mesurés'!$D$3,0)</f>
        <v>0</v>
      </c>
      <c r="X75" s="9">
        <f>Tableau3783[[#This Row],[Zi * sinteta]]*W75</f>
        <v>0</v>
      </c>
      <c r="Y75" s="9">
        <f>Tableau3783[[#This Row],[Zi * cos]]*Tableau3783[[#This Row],[Psi]]</f>
        <v>0</v>
      </c>
      <c r="Z75" s="21">
        <f>Tableau3783[[#This Row],[Psi]]*Tableau3783[[#This Row],[Cos teta i]]</f>
        <v>0</v>
      </c>
      <c r="AA75" s="21">
        <f>Tableau3783[[#This Row],[Psi]]*Tableau3783[[#This Row],[Sin teta i]]</f>
        <v>0</v>
      </c>
    </row>
    <row r="76" spans="2:27" ht="15.75" x14ac:dyDescent="0.25">
      <c r="B76" s="6" t="s">
        <v>62</v>
      </c>
      <c r="C76" s="6">
        <f>'Points mesurés'!D24</f>
        <v>-9.1886134118146501E-16</v>
      </c>
      <c r="D76" s="6">
        <f>'Points mesurés'!E24</f>
        <v>-5</v>
      </c>
      <c r="E76" s="7">
        <f>'Points mesurés'!F24</f>
        <v>0</v>
      </c>
      <c r="F76" s="6">
        <f>Tableau3783[[#This Row],[Xi]]*Tableau3783[[#This Row],[Xi]]</f>
        <v>8.4430616431780064E-31</v>
      </c>
      <c r="G76" s="6">
        <f>Tableau3783[[#This Row],[Yi]]*Tableau3783[[#This Row],[Yi]]</f>
        <v>25</v>
      </c>
      <c r="H76" s="13">
        <f t="shared" ref="H76:H79" si="3">E76*E76</f>
        <v>0</v>
      </c>
      <c r="I76" s="8">
        <f>'Points mesurés'!$D$3</f>
        <v>5</v>
      </c>
      <c r="J76" s="8">
        <f>IFERROR(Tableau3783[[#This Row],[Xi]]/Tableau3783[[#This Row],[Ri]],0)</f>
        <v>-1.83772268236293E-16</v>
      </c>
      <c r="K76" s="13">
        <f>IFERROR(Tableau3783[[#This Row],[Yi]]/Tableau3783[[#This Row],[Ri]],0)</f>
        <v>-1</v>
      </c>
      <c r="L76" s="13">
        <f>Tableau3783[[#This Row],[Cos teta i]]*Tableau3783[[#This Row],[Cos teta i]]</f>
        <v>3.3772246572712026E-32</v>
      </c>
      <c r="M76" s="13">
        <f>Tableau3783[[#This Row],[Sin teta i]]*Tableau3783[[#This Row],[Sin teta i]]</f>
        <v>1</v>
      </c>
      <c r="N76" s="13">
        <f>Tableau3783[[#This Row],[Zi]]*Tableau3783[[#This Row],[Sin teta i]]</f>
        <v>0</v>
      </c>
      <c r="O76" s="13">
        <f>Tableau3783[[#This Row],[Zi]]*Tableau3783[[#This Row],[Sin² teta i2]]</f>
        <v>0</v>
      </c>
      <c r="P76" s="13">
        <f>Tableau3783[[#This Row],[Zi]]*Tableau3783[[#This Row],[Cos teta i]]</f>
        <v>0</v>
      </c>
      <c r="Q76" s="13">
        <f>Tableau3783[[#This Row],[Zi]]*Tableau3783[[#This Row],[Cos² teta i2]]</f>
        <v>0</v>
      </c>
      <c r="R76" s="13">
        <f>Tableau3783[[#This Row],[Zi * sinteta]]*Tableau3783[[#This Row],[Cos teta i]]</f>
        <v>0</v>
      </c>
      <c r="S76" s="13">
        <f>Tableau3783[[#This Row],[Zi²]]*Tableau3783[[#This Row],[Cos teta i]]*Tableau3783[[#This Row],[Sin teta i]]</f>
        <v>0</v>
      </c>
      <c r="T76" s="13">
        <f>Tableau3783[[#This Row],[Zi²]]*Tableau3783[[#This Row],[Cos² teta i2]]</f>
        <v>0</v>
      </c>
      <c r="U76" s="13">
        <f>Tableau3783[[#This Row],[Zi²]]*Tableau3783[[#This Row],[Sin² teta i2]]</f>
        <v>0</v>
      </c>
      <c r="V76" s="8">
        <f>Tableau3783[[#This Row],[Cos teta i]]*Tableau3783[[#This Row],[Sin teta i]]</f>
        <v>1.83772268236293E-16</v>
      </c>
      <c r="W76" s="9">
        <f>IF(Tableau3783[[#This Row],[Ri]] &lt;&gt;0,Tableau3783[[#This Row],[Ri]]-'Points mesurés'!$D$3,0)</f>
        <v>0</v>
      </c>
      <c r="X76" s="9">
        <f>Tableau3783[[#This Row],[Zi * sinteta]]*W76</f>
        <v>0</v>
      </c>
      <c r="Y76" s="9">
        <f>Tableau3783[[#This Row],[Zi * cos]]*Tableau3783[[#This Row],[Psi]]</f>
        <v>0</v>
      </c>
      <c r="Z76" s="21">
        <f>Tableau3783[[#This Row],[Psi]]*Tableau3783[[#This Row],[Cos teta i]]</f>
        <v>0</v>
      </c>
      <c r="AA76" s="21">
        <f>Tableau3783[[#This Row],[Psi]]*Tableau3783[[#This Row],[Sin teta i]]</f>
        <v>0</v>
      </c>
    </row>
    <row r="77" spans="2:27" ht="15.75" x14ac:dyDescent="0.25">
      <c r="B77" s="6" t="s">
        <v>63</v>
      </c>
      <c r="C77" s="6">
        <f>'Points mesurés'!D25</f>
        <v>1.2940952255126015</v>
      </c>
      <c r="D77" s="6">
        <f>'Points mesurés'!E25</f>
        <v>-4.8296291314453423</v>
      </c>
      <c r="E77" s="7">
        <f>'Points mesurés'!F25</f>
        <v>0</v>
      </c>
      <c r="F77" s="6">
        <f>Tableau3783[[#This Row],[Xi]]*Tableau3783[[#This Row],[Xi]]</f>
        <v>1.6746824526945108</v>
      </c>
      <c r="G77" s="6">
        <f>Tableau3783[[#This Row],[Yi]]*Tableau3783[[#This Row],[Yi]]</f>
        <v>23.325317547305492</v>
      </c>
      <c r="H77" s="13">
        <f t="shared" si="3"/>
        <v>0</v>
      </c>
      <c r="I77" s="8">
        <f>'Points mesurés'!$D$3</f>
        <v>5</v>
      </c>
      <c r="J77" s="8">
        <f>IFERROR(Tableau3783[[#This Row],[Xi]]/Tableau3783[[#This Row],[Ri]],0)</f>
        <v>0.2588190451025203</v>
      </c>
      <c r="K77" s="13">
        <f>IFERROR(Tableau3783[[#This Row],[Yi]]/Tableau3783[[#This Row],[Ri]],0)</f>
        <v>-0.96592582628906842</v>
      </c>
      <c r="L77" s="13">
        <f>Tableau3783[[#This Row],[Cos teta i]]*Tableau3783[[#This Row],[Cos teta i]]</f>
        <v>6.6987298107780438E-2</v>
      </c>
      <c r="M77" s="13">
        <f>Tableau3783[[#This Row],[Sin teta i]]*Tableau3783[[#This Row],[Sin teta i]]</f>
        <v>0.93301270189221963</v>
      </c>
      <c r="N77" s="13">
        <f>Tableau3783[[#This Row],[Zi]]*Tableau3783[[#This Row],[Sin teta i]]</f>
        <v>0</v>
      </c>
      <c r="O77" s="13">
        <f>Tableau3783[[#This Row],[Zi]]*Tableau3783[[#This Row],[Sin² teta i2]]</f>
        <v>0</v>
      </c>
      <c r="P77" s="13">
        <f>Tableau3783[[#This Row],[Zi]]*Tableau3783[[#This Row],[Cos teta i]]</f>
        <v>0</v>
      </c>
      <c r="Q77" s="13">
        <f>Tableau3783[[#This Row],[Zi]]*Tableau3783[[#This Row],[Cos² teta i2]]</f>
        <v>0</v>
      </c>
      <c r="R77" s="13">
        <f>Tableau3783[[#This Row],[Zi * sinteta]]*Tableau3783[[#This Row],[Cos teta i]]</f>
        <v>0</v>
      </c>
      <c r="S77" s="13">
        <f>Tableau3783[[#This Row],[Zi²]]*Tableau3783[[#This Row],[Cos teta i]]*Tableau3783[[#This Row],[Sin teta i]]</f>
        <v>0</v>
      </c>
      <c r="T77" s="13">
        <f>Tableau3783[[#This Row],[Zi²]]*Tableau3783[[#This Row],[Cos² teta i2]]</f>
        <v>0</v>
      </c>
      <c r="U77" s="13">
        <f>Tableau3783[[#This Row],[Zi²]]*Tableau3783[[#This Row],[Sin² teta i2]]</f>
        <v>0</v>
      </c>
      <c r="V77" s="8">
        <f>Tableau3783[[#This Row],[Cos teta i]]*Tableau3783[[#This Row],[Sin teta i]]</f>
        <v>-0.24999999999999958</v>
      </c>
      <c r="W77" s="9">
        <f>IF(Tableau3783[[#This Row],[Ri]] &lt;&gt;0,Tableau3783[[#This Row],[Ri]]-'Points mesurés'!$D$3,0)</f>
        <v>0</v>
      </c>
      <c r="X77" s="9">
        <f>Tableau3783[[#This Row],[Zi * sinteta]]*W77</f>
        <v>0</v>
      </c>
      <c r="Y77" s="9">
        <f>Tableau3783[[#This Row],[Zi * cos]]*Tableau3783[[#This Row],[Psi]]</f>
        <v>0</v>
      </c>
      <c r="Z77" s="21">
        <f>Tableau3783[[#This Row],[Psi]]*Tableau3783[[#This Row],[Cos teta i]]</f>
        <v>0</v>
      </c>
      <c r="AA77" s="21">
        <f>Tableau3783[[#This Row],[Psi]]*Tableau3783[[#This Row],[Sin teta i]]</f>
        <v>0</v>
      </c>
    </row>
    <row r="78" spans="2:27" ht="15.75" x14ac:dyDescent="0.25">
      <c r="B78" s="6" t="s">
        <v>64</v>
      </c>
      <c r="C78" s="6">
        <f>'Points mesurés'!D26</f>
        <v>2.4999999999999964</v>
      </c>
      <c r="D78" s="6">
        <f>'Points mesurés'!E26</f>
        <v>-4.3301270189221954</v>
      </c>
      <c r="E78" s="7">
        <f>'Points mesurés'!F26</f>
        <v>0</v>
      </c>
      <c r="F78" s="6">
        <f>Tableau3783[[#This Row],[Xi]]*Tableau3783[[#This Row],[Xi]]</f>
        <v>6.2499999999999822</v>
      </c>
      <c r="G78" s="6">
        <f>Tableau3783[[#This Row],[Yi]]*Tableau3783[[#This Row],[Yi]]</f>
        <v>18.750000000000018</v>
      </c>
      <c r="H78" s="13">
        <f t="shared" si="3"/>
        <v>0</v>
      </c>
      <c r="I78" s="8">
        <f>'Points mesurés'!$D$3</f>
        <v>5</v>
      </c>
      <c r="J78" s="8">
        <f>IFERROR(Tableau3783[[#This Row],[Xi]]/Tableau3783[[#This Row],[Ri]],0)</f>
        <v>0.49999999999999928</v>
      </c>
      <c r="K78" s="13">
        <f>IFERROR(Tableau3783[[#This Row],[Yi]]/Tableau3783[[#This Row],[Ri]],0)</f>
        <v>-0.86602540378443904</v>
      </c>
      <c r="L78" s="13">
        <f>Tableau3783[[#This Row],[Cos teta i]]*Tableau3783[[#This Row],[Cos teta i]]</f>
        <v>0.24999999999999928</v>
      </c>
      <c r="M78" s="13">
        <f>Tableau3783[[#This Row],[Sin teta i]]*Tableau3783[[#This Row],[Sin teta i]]</f>
        <v>0.75000000000000067</v>
      </c>
      <c r="N78" s="13">
        <f>Tableau3783[[#This Row],[Zi]]*Tableau3783[[#This Row],[Sin teta i]]</f>
        <v>0</v>
      </c>
      <c r="O78" s="13">
        <f>Tableau3783[[#This Row],[Zi]]*Tableau3783[[#This Row],[Sin² teta i2]]</f>
        <v>0</v>
      </c>
      <c r="P78" s="13">
        <f>Tableau3783[[#This Row],[Zi]]*Tableau3783[[#This Row],[Cos teta i]]</f>
        <v>0</v>
      </c>
      <c r="Q78" s="13">
        <f>Tableau3783[[#This Row],[Zi]]*Tableau3783[[#This Row],[Cos² teta i2]]</f>
        <v>0</v>
      </c>
      <c r="R78" s="13">
        <f>Tableau3783[[#This Row],[Zi * sinteta]]*Tableau3783[[#This Row],[Cos teta i]]</f>
        <v>0</v>
      </c>
      <c r="S78" s="13">
        <f>Tableau3783[[#This Row],[Zi²]]*Tableau3783[[#This Row],[Cos teta i]]*Tableau3783[[#This Row],[Sin teta i]]</f>
        <v>0</v>
      </c>
      <c r="T78" s="13">
        <f>Tableau3783[[#This Row],[Zi²]]*Tableau3783[[#This Row],[Cos² teta i2]]</f>
        <v>0</v>
      </c>
      <c r="U78" s="13">
        <f>Tableau3783[[#This Row],[Zi²]]*Tableau3783[[#This Row],[Sin² teta i2]]</f>
        <v>0</v>
      </c>
      <c r="V78" s="8">
        <f>Tableau3783[[#This Row],[Cos teta i]]*Tableau3783[[#This Row],[Sin teta i]]</f>
        <v>-0.43301270189221891</v>
      </c>
      <c r="W78" s="9">
        <f>IF(Tableau3783[[#This Row],[Ri]] &lt;&gt;0,Tableau3783[[#This Row],[Ri]]-'Points mesurés'!$D$3,0)</f>
        <v>0</v>
      </c>
      <c r="X78" s="9">
        <f>Tableau3783[[#This Row],[Zi * sinteta]]*W78</f>
        <v>0</v>
      </c>
      <c r="Y78" s="9">
        <f>Tableau3783[[#This Row],[Zi * cos]]*Tableau3783[[#This Row],[Psi]]</f>
        <v>0</v>
      </c>
      <c r="Z78" s="21">
        <f>Tableau3783[[#This Row],[Psi]]*Tableau3783[[#This Row],[Cos teta i]]</f>
        <v>0</v>
      </c>
      <c r="AA78" s="21">
        <f>Tableau3783[[#This Row],[Psi]]*Tableau3783[[#This Row],[Sin teta i]]</f>
        <v>0</v>
      </c>
    </row>
    <row r="79" spans="2:27" ht="15.75" x14ac:dyDescent="0.25">
      <c r="B79" s="6" t="s">
        <v>65</v>
      </c>
      <c r="C79" s="6">
        <f>'Points mesurés'!D27</f>
        <v>3.5355339059327342</v>
      </c>
      <c r="D79" s="6">
        <f>'Points mesurés'!E27</f>
        <v>-3.5355339059327417</v>
      </c>
      <c r="E79" s="7">
        <f>'Points mesurés'!F27</f>
        <v>0</v>
      </c>
      <c r="F79" s="6">
        <f>Tableau3783[[#This Row],[Xi]]*Tableau3783[[#This Row],[Xi]]</f>
        <v>12.499999999999975</v>
      </c>
      <c r="G79" s="6">
        <f>Tableau3783[[#This Row],[Yi]]*Tableau3783[[#This Row],[Yi]]</f>
        <v>12.500000000000028</v>
      </c>
      <c r="H79" s="13">
        <f t="shared" si="3"/>
        <v>0</v>
      </c>
      <c r="I79" s="8">
        <f>'Points mesurés'!$D$3</f>
        <v>5</v>
      </c>
      <c r="J79" s="8">
        <f>IFERROR(Tableau3783[[#This Row],[Xi]]/Tableau3783[[#This Row],[Ri]],0)</f>
        <v>0.7071067811865468</v>
      </c>
      <c r="K79" s="13">
        <f>IFERROR(Tableau3783[[#This Row],[Yi]]/Tableau3783[[#This Row],[Ri]],0)</f>
        <v>-0.70710678118654835</v>
      </c>
      <c r="L79" s="13">
        <f>Tableau3783[[#This Row],[Cos teta i]]*Tableau3783[[#This Row],[Cos teta i]]</f>
        <v>0.49999999999999895</v>
      </c>
      <c r="M79" s="13">
        <f>Tableau3783[[#This Row],[Sin teta i]]*Tableau3783[[#This Row],[Sin teta i]]</f>
        <v>0.50000000000000122</v>
      </c>
      <c r="N79" s="13">
        <f>Tableau3783[[#This Row],[Zi]]*Tableau3783[[#This Row],[Sin teta i]]</f>
        <v>0</v>
      </c>
      <c r="O79" s="13">
        <f>Tableau3783[[#This Row],[Zi]]*Tableau3783[[#This Row],[Sin² teta i2]]</f>
        <v>0</v>
      </c>
      <c r="P79" s="13">
        <f>Tableau3783[[#This Row],[Zi]]*Tableau3783[[#This Row],[Cos teta i]]</f>
        <v>0</v>
      </c>
      <c r="Q79" s="13">
        <f>Tableau3783[[#This Row],[Zi]]*Tableau3783[[#This Row],[Cos² teta i2]]</f>
        <v>0</v>
      </c>
      <c r="R79" s="13">
        <f>Tableau3783[[#This Row],[Zi * sinteta]]*Tableau3783[[#This Row],[Cos teta i]]</f>
        <v>0</v>
      </c>
      <c r="S79" s="13">
        <f>Tableau3783[[#This Row],[Zi²]]*Tableau3783[[#This Row],[Cos teta i]]*Tableau3783[[#This Row],[Sin teta i]]</f>
        <v>0</v>
      </c>
      <c r="T79" s="13">
        <f>Tableau3783[[#This Row],[Zi²]]*Tableau3783[[#This Row],[Cos² teta i2]]</f>
        <v>0</v>
      </c>
      <c r="U79" s="13">
        <f>Tableau3783[[#This Row],[Zi²]]*Tableau3783[[#This Row],[Sin² teta i2]]</f>
        <v>0</v>
      </c>
      <c r="V79" s="8">
        <f>Tableau3783[[#This Row],[Cos teta i]]*Tableau3783[[#This Row],[Sin teta i]]</f>
        <v>-0.50000000000000011</v>
      </c>
      <c r="W79" s="9">
        <f>IF(Tableau3783[[#This Row],[Ri]] &lt;&gt;0,Tableau3783[[#This Row],[Ri]]-'Points mesurés'!$D$3,0)</f>
        <v>0</v>
      </c>
      <c r="X79" s="9">
        <f>Tableau3783[[#This Row],[Zi * sinteta]]*W79</f>
        <v>0</v>
      </c>
      <c r="Y79" s="9">
        <f>Tableau3783[[#This Row],[Zi * cos]]*Tableau3783[[#This Row],[Psi]]</f>
        <v>0</v>
      </c>
      <c r="Z79" s="21">
        <f>Tableau3783[[#This Row],[Psi]]*Tableau3783[[#This Row],[Cos teta i]]</f>
        <v>0</v>
      </c>
      <c r="AA79" s="21">
        <f>Tableau3783[[#This Row],[Psi]]*Tableau3783[[#This Row],[Sin teta i]]</f>
        <v>0</v>
      </c>
    </row>
    <row r="80" spans="2:27" ht="15.75" x14ac:dyDescent="0.25">
      <c r="B80" s="6" t="s">
        <v>66</v>
      </c>
      <c r="C80" s="6">
        <f>'Points mesurés'!D28</f>
        <v>4.3301270189221892</v>
      </c>
      <c r="D80" s="6">
        <f>'Points mesurés'!E28</f>
        <v>-2.5000000000000062</v>
      </c>
      <c r="E80" s="7">
        <f>'Points mesurés'!F28</f>
        <v>0</v>
      </c>
      <c r="F80" s="6">
        <f>Tableau3783[[#This Row],[Xi]]*Tableau3783[[#This Row],[Xi]]</f>
        <v>18.749999999999964</v>
      </c>
      <c r="G80" s="6">
        <f>Tableau3783[[#This Row],[Yi]]*Tableau3783[[#This Row],[Yi]]</f>
        <v>6.2500000000000311</v>
      </c>
      <c r="H80" s="13">
        <f>E80*E80</f>
        <v>0</v>
      </c>
      <c r="I80" s="8">
        <f>'Points mesurés'!$D$3</f>
        <v>5</v>
      </c>
      <c r="J80" s="8">
        <f>IFERROR(Tableau3783[[#This Row],[Xi]]/Tableau3783[[#This Row],[Ri]],0)</f>
        <v>0.86602540378443782</v>
      </c>
      <c r="K80" s="13">
        <f>IFERROR(Tableau3783[[#This Row],[Yi]]/Tableau3783[[#This Row],[Ri]],0)</f>
        <v>-0.50000000000000122</v>
      </c>
      <c r="L80" s="13">
        <f>Tableau3783[[#This Row],[Cos teta i]]*Tableau3783[[#This Row],[Cos teta i]]</f>
        <v>0.74999999999999856</v>
      </c>
      <c r="M80" s="13">
        <f>Tableau3783[[#This Row],[Sin teta i]]*Tableau3783[[#This Row],[Sin teta i]]</f>
        <v>0.25000000000000122</v>
      </c>
      <c r="N80" s="13">
        <f>Tableau3783[[#This Row],[Zi]]*Tableau3783[[#This Row],[Sin teta i]]</f>
        <v>0</v>
      </c>
      <c r="O80" s="13">
        <f>Tableau3783[[#This Row],[Zi]]*Tableau3783[[#This Row],[Sin² teta i2]]</f>
        <v>0</v>
      </c>
      <c r="P80" s="13">
        <f>Tableau3783[[#This Row],[Zi]]*Tableau3783[[#This Row],[Cos teta i]]</f>
        <v>0</v>
      </c>
      <c r="Q80" s="13">
        <f>Tableau3783[[#This Row],[Zi]]*Tableau3783[[#This Row],[Cos² teta i2]]</f>
        <v>0</v>
      </c>
      <c r="R80" s="13">
        <f>Tableau3783[[#This Row],[Zi * sinteta]]*Tableau3783[[#This Row],[Cos teta i]]</f>
        <v>0</v>
      </c>
      <c r="S80" s="13">
        <f>Tableau3783[[#This Row],[Zi²]]*Tableau3783[[#This Row],[Cos teta i]]*Tableau3783[[#This Row],[Sin teta i]]</f>
        <v>0</v>
      </c>
      <c r="T80" s="13">
        <f>Tableau3783[[#This Row],[Zi²]]*Tableau3783[[#This Row],[Cos² teta i2]]</f>
        <v>0</v>
      </c>
      <c r="U80" s="13">
        <f>Tableau3783[[#This Row],[Zi²]]*Tableau3783[[#This Row],[Sin² teta i2]]</f>
        <v>0</v>
      </c>
      <c r="V80" s="8">
        <f>Tableau3783[[#This Row],[Cos teta i]]*Tableau3783[[#This Row],[Sin teta i]]</f>
        <v>-0.43301270189221996</v>
      </c>
      <c r="W80" s="9">
        <f>IF(Tableau3783[[#This Row],[Ri]] &lt;&gt;0,Tableau3783[[#This Row],[Ri]]-'Points mesurés'!$D$3,0)</f>
        <v>0</v>
      </c>
      <c r="X80" s="9">
        <f>Tableau3783[[#This Row],[Zi * sinteta]]*W80</f>
        <v>0</v>
      </c>
      <c r="Y80" s="9">
        <f>Tableau3783[[#This Row],[Zi * cos]]*Tableau3783[[#This Row],[Psi]]</f>
        <v>0</v>
      </c>
      <c r="Z80" s="21">
        <f>Tableau3783[[#This Row],[Psi]]*Tableau3783[[#This Row],[Cos teta i]]</f>
        <v>0</v>
      </c>
      <c r="AA80" s="21">
        <f>Tableau3783[[#This Row],[Psi]]*Tableau3783[[#This Row],[Sin teta i]]</f>
        <v>0</v>
      </c>
    </row>
    <row r="81" spans="2:27" ht="15.75" x14ac:dyDescent="0.25">
      <c r="B81" s="6" t="s">
        <v>67</v>
      </c>
      <c r="C81" s="6">
        <f>'Points mesurés'!D29</f>
        <v>4.8296291314453397</v>
      </c>
      <c r="D81" s="6">
        <f>'Points mesurés'!E29</f>
        <v>-1.2940952255126121</v>
      </c>
      <c r="E81" s="7">
        <f>'Points mesurés'!F29</f>
        <v>0</v>
      </c>
      <c r="F81" s="6">
        <f>Tableau3783[[#This Row],[Xi]]*Tableau3783[[#This Row],[Xi]]</f>
        <v>23.325317547305467</v>
      </c>
      <c r="G81" s="6">
        <f>Tableau3783[[#This Row],[Yi]]*Tableau3783[[#This Row],[Yi]]</f>
        <v>1.6746824526945385</v>
      </c>
      <c r="H81" s="13">
        <f>E81*E81</f>
        <v>0</v>
      </c>
      <c r="I81" s="8">
        <f>'Points mesurés'!$D$3</f>
        <v>5</v>
      </c>
      <c r="J81" s="8">
        <f>IFERROR(Tableau3783[[#This Row],[Xi]]/Tableau3783[[#This Row],[Ri]],0)</f>
        <v>0.96592582628906798</v>
      </c>
      <c r="K81" s="13">
        <f>IFERROR(Tableau3783[[#This Row],[Yi]]/Tableau3783[[#This Row],[Ri]],0)</f>
        <v>-0.2588190451025224</v>
      </c>
      <c r="L81" s="13">
        <f>Tableau3783[[#This Row],[Cos teta i]]*Tableau3783[[#This Row],[Cos teta i]]</f>
        <v>0.93301270189221874</v>
      </c>
      <c r="M81" s="13">
        <f>Tableau3783[[#This Row],[Sin teta i]]*Tableau3783[[#This Row],[Sin teta i]]</f>
        <v>6.698729810778152E-2</v>
      </c>
      <c r="N81" s="13">
        <f>Tableau3783[[#This Row],[Zi]]*Tableau3783[[#This Row],[Sin teta i]]</f>
        <v>0</v>
      </c>
      <c r="O81" s="13">
        <f>Tableau3783[[#This Row],[Zi]]*Tableau3783[[#This Row],[Sin² teta i2]]</f>
        <v>0</v>
      </c>
      <c r="P81" s="13">
        <f>Tableau3783[[#This Row],[Zi]]*Tableau3783[[#This Row],[Cos teta i]]</f>
        <v>0</v>
      </c>
      <c r="Q81" s="13">
        <f>Tableau3783[[#This Row],[Zi]]*Tableau3783[[#This Row],[Cos² teta i2]]</f>
        <v>0</v>
      </c>
      <c r="R81" s="13">
        <f>Tableau3783[[#This Row],[Zi * sinteta]]*Tableau3783[[#This Row],[Cos teta i]]</f>
        <v>0</v>
      </c>
      <c r="S81" s="13">
        <f>Tableau3783[[#This Row],[Zi²]]*Tableau3783[[#This Row],[Cos teta i]]*Tableau3783[[#This Row],[Sin teta i]]</f>
        <v>0</v>
      </c>
      <c r="T81" s="13">
        <f>Tableau3783[[#This Row],[Zi²]]*Tableau3783[[#This Row],[Cos² teta i2]]</f>
        <v>0</v>
      </c>
      <c r="U81" s="13">
        <f>Tableau3783[[#This Row],[Zi²]]*Tableau3783[[#This Row],[Sin² teta i2]]</f>
        <v>0</v>
      </c>
      <c r="V81" s="8">
        <f>Tableau3783[[#This Row],[Cos teta i]]*Tableau3783[[#This Row],[Sin teta i]]</f>
        <v>-0.2500000000000015</v>
      </c>
      <c r="W81" s="9">
        <f>IF(Tableau3783[[#This Row],[Ri]] &lt;&gt;0,Tableau3783[[#This Row],[Ri]]-'Points mesurés'!$D$3,0)</f>
        <v>0</v>
      </c>
      <c r="X81" s="9">
        <f>Tableau3783[[#This Row],[Zi * sinteta]]*W81</f>
        <v>0</v>
      </c>
      <c r="Y81" s="9">
        <f>Tableau3783[[#This Row],[Zi * cos]]*Tableau3783[[#This Row],[Psi]]</f>
        <v>0</v>
      </c>
      <c r="Z81" s="21">
        <f>Tableau3783[[#This Row],[Psi]]*Tableau3783[[#This Row],[Cos teta i]]</f>
        <v>0</v>
      </c>
      <c r="AA81" s="21">
        <f>Tableau3783[[#This Row],[Psi]]*Tableau3783[[#This Row],[Sin teta i]]</f>
        <v>0</v>
      </c>
    </row>
    <row r="82" spans="2:27" ht="15.75" x14ac:dyDescent="0.25">
      <c r="B82" s="6" t="s">
        <v>68</v>
      </c>
      <c r="C82" s="6">
        <f>'Points mesurés'!D30</f>
        <v>5</v>
      </c>
      <c r="D82" s="6">
        <f>'Points mesurés'!E30</f>
        <v>-1.0106932651909872E-14</v>
      </c>
      <c r="E82" s="7">
        <f>'Points mesurés'!F30</f>
        <v>0</v>
      </c>
      <c r="F82" s="6">
        <f>Tableau3783[[#This Row],[Xi]]*Tableau3783[[#This Row],[Xi]]</f>
        <v>25</v>
      </c>
      <c r="G82" s="6">
        <f>Tableau3783[[#This Row],[Yi]]*Tableau3783[[#This Row],[Yi]]</f>
        <v>1.0215008763024192E-28</v>
      </c>
      <c r="H82" s="13">
        <f>E82*E82</f>
        <v>0</v>
      </c>
      <c r="I82" s="8">
        <f>'Points mesurés'!$D$3</f>
        <v>5</v>
      </c>
      <c r="J82" s="8">
        <f>IFERROR(Tableau3783[[#This Row],[Xi]]/Tableau3783[[#This Row],[Ri]],0)</f>
        <v>1</v>
      </c>
      <c r="K82" s="13">
        <f>IFERROR(Tableau3783[[#This Row],[Yi]]/Tableau3783[[#This Row],[Ri]],0)</f>
        <v>-2.0213865303819745E-15</v>
      </c>
      <c r="L82" s="13">
        <f>Tableau3783[[#This Row],[Cos teta i]]*Tableau3783[[#This Row],[Cos teta i]]</f>
        <v>1</v>
      </c>
      <c r="M82" s="13">
        <f>Tableau3783[[#This Row],[Sin teta i]]*Tableau3783[[#This Row],[Sin teta i]]</f>
        <v>4.086003505209677E-30</v>
      </c>
      <c r="N82" s="13">
        <f>Tableau3783[[#This Row],[Zi]]*Tableau3783[[#This Row],[Sin teta i]]</f>
        <v>0</v>
      </c>
      <c r="O82" s="13">
        <f>Tableau3783[[#This Row],[Zi]]*Tableau3783[[#This Row],[Sin² teta i2]]</f>
        <v>0</v>
      </c>
      <c r="P82" s="13">
        <f>Tableau3783[[#This Row],[Zi]]*Tableau3783[[#This Row],[Cos teta i]]</f>
        <v>0</v>
      </c>
      <c r="Q82" s="13">
        <f>Tableau3783[[#This Row],[Zi]]*Tableau3783[[#This Row],[Cos² teta i2]]</f>
        <v>0</v>
      </c>
      <c r="R82" s="13">
        <f>Tableau3783[[#This Row],[Zi * sinteta]]*Tableau3783[[#This Row],[Cos teta i]]</f>
        <v>0</v>
      </c>
      <c r="S82" s="13">
        <f>Tableau3783[[#This Row],[Zi²]]*Tableau3783[[#This Row],[Cos teta i]]*Tableau3783[[#This Row],[Sin teta i]]</f>
        <v>0</v>
      </c>
      <c r="T82" s="13">
        <f>Tableau3783[[#This Row],[Zi²]]*Tableau3783[[#This Row],[Cos² teta i2]]</f>
        <v>0</v>
      </c>
      <c r="U82" s="13">
        <f>Tableau3783[[#This Row],[Zi²]]*Tableau3783[[#This Row],[Sin² teta i2]]</f>
        <v>0</v>
      </c>
      <c r="V82" s="8">
        <f>Tableau3783[[#This Row],[Cos teta i]]*Tableau3783[[#This Row],[Sin teta i]]</f>
        <v>-2.0213865303819745E-15</v>
      </c>
      <c r="W82" s="9">
        <f>IF(Tableau3783[[#This Row],[Ri]] &lt;&gt;0,Tableau3783[[#This Row],[Ri]]-'Points mesurés'!$D$3,0)</f>
        <v>0</v>
      </c>
      <c r="X82" s="9">
        <f>Tableau3783[[#This Row],[Zi * sinteta]]*W82</f>
        <v>0</v>
      </c>
      <c r="Y82" s="9">
        <f>Tableau3783[[#This Row],[Zi * cos]]*Tableau3783[[#This Row],[Psi]]</f>
        <v>0</v>
      </c>
      <c r="Z82" s="21">
        <f>Tableau3783[[#This Row],[Psi]]*Tableau3783[[#This Row],[Cos teta i]]</f>
        <v>0</v>
      </c>
      <c r="AA82" s="21">
        <f>Tableau3783[[#This Row],[Psi]]*Tableau3783[[#This Row],[Sin teta i]]</f>
        <v>0</v>
      </c>
    </row>
    <row r="83" spans="2:27" ht="15.75" x14ac:dyDescent="0.25">
      <c r="B83" s="15"/>
      <c r="C83" s="15">
        <f>SUM(Tableau3783[Xi])</f>
        <v>4.999999999999992</v>
      </c>
      <c r="D83" s="15">
        <f>SUM(Tableau3783[Yi])</f>
        <v>-3.2311393144413003E-14</v>
      </c>
      <c r="E83" s="15">
        <f>SUM(Tableau3783[Zi])</f>
        <v>780</v>
      </c>
      <c r="F83" s="15">
        <f>SUM(Tableau3783[Xi²])</f>
        <v>324.99999999999983</v>
      </c>
      <c r="G83" s="15">
        <f>SUM(Tableau3783[Yi²])</f>
        <v>300.00000000000011</v>
      </c>
      <c r="H83" s="15">
        <f>SUM(Tableau3783[Zi²])</f>
        <v>46800</v>
      </c>
      <c r="I83" s="15">
        <f>SUM(Tableau3783[Ri])</f>
        <v>125</v>
      </c>
      <c r="J83" s="15">
        <f>SUM(Tableau3783[Cos teta i])</f>
        <v>0.99999999999999856</v>
      </c>
      <c r="K83" s="15">
        <f>SUM(Tableau3783[Sin teta i])</f>
        <v>-8.6827246781329137E-15</v>
      </c>
      <c r="L83" s="15">
        <f>SUM(Tableau3783[Cos² teta i2])</f>
        <v>12.999999999999996</v>
      </c>
      <c r="M83" s="15">
        <f>SUM(Tableau3783[Sin² teta i2])</f>
        <v>12.000000000000005</v>
      </c>
      <c r="N83" s="15">
        <f>SUM(Tableau3783[Zi * sinteta])</f>
        <v>455.74524676350899</v>
      </c>
      <c r="O83" s="15">
        <f>SUM(Tableau3783[Zi * sin²teta])</f>
        <v>359.99999999999994</v>
      </c>
      <c r="P83" s="15">
        <f>SUM(Tableau3783[Zi * cos])</f>
        <v>2.8421709430404007E-14</v>
      </c>
      <c r="Q83" s="15">
        <f>SUM(Tableau3783[Zi * cos²])</f>
        <v>420</v>
      </c>
      <c r="R83" s="15">
        <f>SUM(Tableau3783[Zi*cos*sin])</f>
        <v>6.1927026007158048E-14</v>
      </c>
      <c r="S83" s="15">
        <f>SUM(Tableau3783[Zi²*cos*sin])</f>
        <v>5.4777675451145313E-12</v>
      </c>
      <c r="T83" s="15">
        <f>SUM(Tableau3783[Zi²*cos²])</f>
        <v>25200</v>
      </c>
      <c r="U83" s="15">
        <f>SUM(Tableau3783[Zi²*sin²])</f>
        <v>21600</v>
      </c>
      <c r="V83" s="15">
        <f>SUM(Tableau3783[cos sin])</f>
        <v>-1.2997415643756227E-15</v>
      </c>
      <c r="W83" s="15">
        <f>SUM(Tableau3783[Psi])</f>
        <v>0</v>
      </c>
      <c r="X83" s="15">
        <f>SUM(Tableau3783[Zi*sin*psi])</f>
        <v>0</v>
      </c>
      <c r="Y83" s="15">
        <f>SUM(Tableau3783[Zi*cos*psi])</f>
        <v>0</v>
      </c>
      <c r="Z83" s="15">
        <f>SUM(Tableau3783[psi*cos])</f>
        <v>0</v>
      </c>
      <c r="AA83" s="15">
        <f>SUM(Tableau3783[psi*sin])</f>
        <v>0</v>
      </c>
    </row>
    <row r="86" spans="2:27" x14ac:dyDescent="0.25">
      <c r="E86" s="37" t="s">
        <v>45</v>
      </c>
      <c r="F86" s="37"/>
      <c r="G86" s="37"/>
      <c r="H86" s="37"/>
      <c r="I86" s="37"/>
      <c r="L86" s="1"/>
    </row>
    <row r="87" spans="2:27" x14ac:dyDescent="0.25">
      <c r="E87" s="38"/>
      <c r="F87" s="38"/>
      <c r="G87" s="38"/>
      <c r="H87" s="38"/>
      <c r="I87" s="38"/>
      <c r="L87" s="1"/>
      <c r="M87" s="1" t="s">
        <v>70</v>
      </c>
    </row>
    <row r="88" spans="2:27" x14ac:dyDescent="0.25">
      <c r="E88" s="19">
        <f>COUNTA(C58:C82)</f>
        <v>25</v>
      </c>
      <c r="F88" s="19">
        <f>-Tableau3783[[#Totals],[Zi * sinteta]]</f>
        <v>-455.74524676350899</v>
      </c>
      <c r="G88" s="19">
        <f>Tableau3783[[#Totals],[Zi * cos]]</f>
        <v>2.8421709430404007E-14</v>
      </c>
      <c r="H88" s="19">
        <f>Tableau3783[[#Totals],[Cos teta i]]</f>
        <v>0.99999999999999856</v>
      </c>
      <c r="I88" s="19">
        <f>Tableau3783[[#Totals],[Sin teta i]]</f>
        <v>-8.6827246781329137E-15</v>
      </c>
      <c r="J88" s="16"/>
      <c r="K88" s="16"/>
      <c r="L88" s="1"/>
      <c r="M88" s="20">
        <f>Tableau3783[[#Totals],[Psi]]</f>
        <v>0</v>
      </c>
    </row>
    <row r="89" spans="2:27" x14ac:dyDescent="0.25">
      <c r="E89" s="19">
        <f>-Tableau3783[[#Totals],[Zi * sinteta]]</f>
        <v>-455.74524676350899</v>
      </c>
      <c r="F89" s="19">
        <f>Tableau3783[[#Totals],[Zi²*sin²]]</f>
        <v>21600</v>
      </c>
      <c r="G89" s="19">
        <f>-Tableau3783[[#Totals],[Zi²*cos*sin]]</f>
        <v>-5.4777675451145313E-12</v>
      </c>
      <c r="H89" s="19">
        <f>-Tableau3783[[#Totals],[Zi*cos*sin]]</f>
        <v>-6.1927026007158048E-14</v>
      </c>
      <c r="I89" s="19">
        <f>-Tableau3783[[#Totals],[Zi * sin²teta]]</f>
        <v>-359.99999999999994</v>
      </c>
      <c r="J89" s="16"/>
      <c r="K89" s="16"/>
      <c r="L89" s="1"/>
      <c r="M89" s="20">
        <f>-Tableau3783[[#Totals],[Zi*sin*psi]]</f>
        <v>0</v>
      </c>
    </row>
    <row r="90" spans="2:27" x14ac:dyDescent="0.25">
      <c r="E90" s="19">
        <f>Tableau3783[[#Totals],[Zi * cos]]</f>
        <v>2.8421709430404007E-14</v>
      </c>
      <c r="F90" s="19">
        <f>-Tableau3783[[#Totals],[Zi²*cos*sin]]</f>
        <v>-5.4777675451145313E-12</v>
      </c>
      <c r="G90" s="19">
        <f>Tableau3783[[#Totals],[Zi²*cos²]]</f>
        <v>25200</v>
      </c>
      <c r="H90" s="19">
        <f>Tableau3783[[#Totals],[Zi * cos²]]</f>
        <v>420</v>
      </c>
      <c r="I90" s="19">
        <f>Tableau3783[[#Totals],[Zi*cos*sin]]</f>
        <v>6.1927026007158048E-14</v>
      </c>
      <c r="J90" s="16"/>
      <c r="K90" s="16"/>
      <c r="L90" s="1"/>
      <c r="M90" s="20">
        <f>Tableau3783[[#Totals],[Zi*cos*psi]]</f>
        <v>0</v>
      </c>
    </row>
    <row r="91" spans="2:27" x14ac:dyDescent="0.25">
      <c r="E91" s="19">
        <f>H88</f>
        <v>0.99999999999999856</v>
      </c>
      <c r="F91" s="19">
        <f>-Tableau3783[[#Totals],[Zi*cos*sin]]</f>
        <v>-6.1927026007158048E-14</v>
      </c>
      <c r="G91" s="19">
        <f>Tableau3783[[#Totals],[Zi * cos²]]</f>
        <v>420</v>
      </c>
      <c r="H91" s="19">
        <f>Tableau3783[[#Totals],[Cos² teta i2]]</f>
        <v>12.999999999999996</v>
      </c>
      <c r="I91" s="19">
        <f>Tableau3783[[#Totals],[cos sin]]</f>
        <v>-1.2997415643756227E-15</v>
      </c>
      <c r="J91" s="16"/>
      <c r="K91" s="16"/>
      <c r="M91" s="20">
        <f>Tableau3783[[#Totals],[psi*cos]]</f>
        <v>0</v>
      </c>
    </row>
    <row r="92" spans="2:27" x14ac:dyDescent="0.25">
      <c r="E92" s="19">
        <f>I88</f>
        <v>-8.6827246781329137E-15</v>
      </c>
      <c r="F92" s="19">
        <f>-Tableau3783[[#Totals],[Zi * sin²teta]]</f>
        <v>-359.99999999999994</v>
      </c>
      <c r="G92" s="19">
        <f>Tableau3783[[#Totals],[Zi*cos*sin]]</f>
        <v>6.1927026007158048E-14</v>
      </c>
      <c r="H92" s="19">
        <f>Tableau3783[[#Totals],[cos sin]]</f>
        <v>-1.2997415643756227E-15</v>
      </c>
      <c r="I92" s="19">
        <f>Tableau3783[[#Totals],[Sin² teta i2]]</f>
        <v>12.000000000000005</v>
      </c>
      <c r="J92" s="16"/>
      <c r="K92" s="16"/>
      <c r="M92" s="20">
        <f>Tableau3783[[#Totals],[psi*sin]]</f>
        <v>0</v>
      </c>
    </row>
    <row r="94" spans="2:27" x14ac:dyDescent="0.25">
      <c r="E94" s="37" t="s">
        <v>46</v>
      </c>
      <c r="F94" s="37"/>
      <c r="G94" s="37"/>
      <c r="H94" s="37"/>
      <c r="I94" s="37"/>
    </row>
    <row r="95" spans="2:27" x14ac:dyDescent="0.25">
      <c r="E95" s="38"/>
      <c r="F95" s="38"/>
      <c r="G95" s="38"/>
      <c r="H95" s="38"/>
      <c r="I95" s="38"/>
      <c r="M95" s="1" t="s">
        <v>71</v>
      </c>
    </row>
    <row r="96" spans="2:27" x14ac:dyDescent="0.25">
      <c r="E96" s="20">
        <f t="array" ref="E96:I100">MINVERSE(E88:I92)</f>
        <v>0.17852340302357769</v>
      </c>
      <c r="F96" s="20">
        <v>7.53344373741127E-3</v>
      </c>
      <c r="G96" s="20">
        <v>4.9589834173215965E-4</v>
      </c>
      <c r="H96" s="20">
        <v>-2.9753900503929526E-2</v>
      </c>
      <c r="I96" s="20">
        <v>0.22600331212233812</v>
      </c>
      <c r="L96" s="27" t="s">
        <v>47</v>
      </c>
      <c r="M96" s="20">
        <f t="array" ref="M96:M100">MMULT(E96:I100,M88:M92)</f>
        <v>0</v>
      </c>
    </row>
    <row r="97" spans="5:14" x14ac:dyDescent="0.25">
      <c r="E97" s="20">
        <v>7.5334437374112734E-3</v>
      </c>
      <c r="F97" s="20">
        <v>4.1049362732273228E-4</v>
      </c>
      <c r="G97" s="20">
        <v>2.0926232603920184E-5</v>
      </c>
      <c r="H97" s="20">
        <v>-1.2555739562352078E-3</v>
      </c>
      <c r="I97" s="20">
        <v>1.2314808819681966E-2</v>
      </c>
      <c r="L97" s="27" t="s">
        <v>48</v>
      </c>
      <c r="M97" s="20">
        <v>0</v>
      </c>
      <c r="N97" s="17"/>
    </row>
    <row r="98" spans="5:14" x14ac:dyDescent="0.25">
      <c r="E98" s="20">
        <v>4.9589834173215932E-4</v>
      </c>
      <c r="F98" s="20">
        <v>2.0926232603920164E-5</v>
      </c>
      <c r="G98" s="20">
        <v>8.7356331372536448E-5</v>
      </c>
      <c r="H98" s="20">
        <v>-2.8604275013998054E-3</v>
      </c>
      <c r="I98" s="20">
        <v>6.2778697811760402E-4</v>
      </c>
      <c r="L98" s="27" t="s">
        <v>49</v>
      </c>
      <c r="M98" s="20">
        <v>0</v>
      </c>
    </row>
    <row r="99" spans="5:14" x14ac:dyDescent="0.25">
      <c r="E99" s="20">
        <v>-2.9753900503929509E-2</v>
      </c>
      <c r="F99" s="20">
        <v>-1.255573956235207E-3</v>
      </c>
      <c r="G99" s="20">
        <v>-2.8604275013998058E-3</v>
      </c>
      <c r="H99" s="20">
        <v>0.17162565008398833</v>
      </c>
      <c r="I99" s="20">
        <v>-3.7667218687056164E-2</v>
      </c>
      <c r="L99" s="27" t="s">
        <v>50</v>
      </c>
      <c r="M99" s="20">
        <v>0</v>
      </c>
    </row>
    <row r="100" spans="5:14" x14ac:dyDescent="0.25">
      <c r="E100" s="20">
        <v>0.22600331212233815</v>
      </c>
      <c r="F100" s="20">
        <v>1.2314808819681966E-2</v>
      </c>
      <c r="G100" s="20">
        <v>6.2778697811760467E-4</v>
      </c>
      <c r="H100" s="20">
        <v>-3.7667218687056199E-2</v>
      </c>
      <c r="I100" s="20">
        <v>0.45277759792379219</v>
      </c>
      <c r="L100" s="27" t="s">
        <v>51</v>
      </c>
      <c r="M100" s="20">
        <v>0</v>
      </c>
    </row>
  </sheetData>
  <mergeCells count="8">
    <mergeCell ref="AB10:AC10"/>
    <mergeCell ref="AB11:AC11"/>
    <mergeCell ref="B3:AA6"/>
    <mergeCell ref="E44:I45"/>
    <mergeCell ref="E36:I37"/>
    <mergeCell ref="B53:AA56"/>
    <mergeCell ref="E86:I87"/>
    <mergeCell ref="E94:I95"/>
  </mergeCell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31"/>
  <sheetViews>
    <sheetView topLeftCell="D1" zoomScale="80" zoomScaleNormal="80" workbookViewId="0">
      <selection activeCell="L27" sqref="L27:L29"/>
    </sheetView>
  </sheetViews>
  <sheetFormatPr baseColWidth="10" defaultRowHeight="15" x14ac:dyDescent="0.25"/>
  <cols>
    <col min="6" max="6" width="19" bestFit="1" customWidth="1"/>
    <col min="9" max="9" width="22.7109375" bestFit="1" customWidth="1"/>
    <col min="12" max="12" width="19.42578125" bestFit="1" customWidth="1"/>
    <col min="15" max="15" width="22.7109375" bestFit="1" customWidth="1"/>
    <col min="16" max="16" width="17.7109375" bestFit="1" customWidth="1"/>
    <col min="19" max="19" width="12.85546875" bestFit="1" customWidth="1"/>
    <col min="20" max="20" width="1.28515625" customWidth="1"/>
  </cols>
  <sheetData>
    <row r="1" spans="2:20" ht="15.75" thickBot="1" x14ac:dyDescent="0.3"/>
    <row r="2" spans="2:20" ht="15.75" thickTop="1" x14ac:dyDescent="0.25">
      <c r="B2" s="42" t="s">
        <v>90</v>
      </c>
      <c r="C2" s="43"/>
      <c r="D2" s="44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1"/>
    </row>
    <row r="3" spans="2:20" ht="15.75" x14ac:dyDescent="0.25">
      <c r="B3" s="45"/>
      <c r="C3" s="46"/>
      <c r="D3" s="47"/>
      <c r="E3" s="16"/>
      <c r="F3" s="29" t="s">
        <v>73</v>
      </c>
      <c r="G3" s="22">
        <f>'Clacul intermédiaire '!M46</f>
        <v>1.6000966818257109E-4</v>
      </c>
      <c r="H3" s="16"/>
      <c r="I3" s="56" t="s">
        <v>95</v>
      </c>
      <c r="J3" s="24">
        <f>G8</f>
        <v>80</v>
      </c>
      <c r="K3" s="16"/>
      <c r="L3" s="56" t="s">
        <v>99</v>
      </c>
      <c r="M3" s="24">
        <f>G8</f>
        <v>80</v>
      </c>
      <c r="N3" s="16"/>
      <c r="O3" s="57" t="s">
        <v>80</v>
      </c>
      <c r="P3" s="24">
        <f>J3+G6+G5*G9-G6-M3</f>
        <v>2.6544476540379947E-5</v>
      </c>
      <c r="Q3" s="16"/>
      <c r="R3" s="16"/>
      <c r="S3" s="16"/>
      <c r="T3" s="32"/>
    </row>
    <row r="4" spans="2:20" ht="15.75" x14ac:dyDescent="0.25">
      <c r="B4" s="45"/>
      <c r="C4" s="46"/>
      <c r="D4" s="47"/>
      <c r="E4" s="16"/>
      <c r="F4" s="29" t="s">
        <v>74</v>
      </c>
      <c r="G4" s="22">
        <f>'Clacul intermédiaire '!M47</f>
        <v>3.504673929115003E-5</v>
      </c>
      <c r="H4" s="16"/>
      <c r="I4" s="57"/>
      <c r="J4" s="24">
        <v>0</v>
      </c>
      <c r="K4" s="16"/>
      <c r="L4" s="57"/>
      <c r="M4" s="24">
        <v>0</v>
      </c>
      <c r="N4" s="16"/>
      <c r="O4" s="57"/>
      <c r="P4" s="35">
        <f>J4+G7-G4*G9-G7-M4</f>
        <v>-2.1028043574690017E-3</v>
      </c>
      <c r="Q4" s="16"/>
      <c r="R4" s="54" t="s">
        <v>103</v>
      </c>
      <c r="S4" s="26">
        <f>P3/$P$8</f>
        <v>4.4240794206792341E-7</v>
      </c>
      <c r="T4" s="32"/>
    </row>
    <row r="5" spans="2:20" ht="15.75" x14ac:dyDescent="0.25">
      <c r="B5" s="45"/>
      <c r="C5" s="46"/>
      <c r="D5" s="47"/>
      <c r="E5" s="16"/>
      <c r="F5" s="29" t="s">
        <v>75</v>
      </c>
      <c r="G5" s="22">
        <f>'Clacul intermédiaire '!M48</f>
        <v>4.4240794239969235E-7</v>
      </c>
      <c r="H5" s="16"/>
      <c r="I5" s="57"/>
      <c r="J5" s="24">
        <f>G9</f>
        <v>60</v>
      </c>
      <c r="K5" s="16"/>
      <c r="L5" s="57"/>
      <c r="M5" s="24">
        <v>0</v>
      </c>
      <c r="N5" s="16"/>
      <c r="O5" s="57"/>
      <c r="P5" s="24">
        <f>J5-M5</f>
        <v>60</v>
      </c>
      <c r="Q5" s="16"/>
      <c r="R5" s="55"/>
      <c r="S5" s="26">
        <f t="shared" ref="S5:S6" si="0">P4/$P$8</f>
        <v>-3.5046739269623101E-5</v>
      </c>
      <c r="T5" s="32"/>
    </row>
    <row r="6" spans="2:20" ht="15.75" x14ac:dyDescent="0.25">
      <c r="B6" s="45"/>
      <c r="C6" s="46"/>
      <c r="D6" s="47"/>
      <c r="E6" s="16"/>
      <c r="F6" s="29" t="s">
        <v>76</v>
      </c>
      <c r="G6" s="22">
        <f>'Clacul intermédiaire '!M49</f>
        <v>9.9974210212339126E-2</v>
      </c>
      <c r="H6" s="16"/>
      <c r="I6" s="16"/>
      <c r="J6" s="16"/>
      <c r="K6" s="16"/>
      <c r="L6" s="16"/>
      <c r="M6" s="16"/>
      <c r="N6" s="16"/>
      <c r="O6" s="16"/>
      <c r="P6" s="16"/>
      <c r="Q6" s="16"/>
      <c r="R6" s="55"/>
      <c r="S6" s="26">
        <f t="shared" si="0"/>
        <v>0.99999999938576523</v>
      </c>
      <c r="T6" s="32"/>
    </row>
    <row r="7" spans="2:20" ht="15.75" x14ac:dyDescent="0.25">
      <c r="B7" s="45"/>
      <c r="C7" s="46"/>
      <c r="D7" s="47"/>
      <c r="E7" s="16"/>
      <c r="F7" s="29" t="s">
        <v>77</v>
      </c>
      <c r="G7" s="22">
        <f>'Clacul intermédiaire '!M50</f>
        <v>1.0512875511676722E-3</v>
      </c>
      <c r="H7" s="16"/>
      <c r="I7" s="56" t="s">
        <v>96</v>
      </c>
      <c r="J7" s="24">
        <f>J3+G6+G5*G9</f>
        <v>80.100000754688878</v>
      </c>
      <c r="K7" s="16"/>
      <c r="L7" s="56" t="s">
        <v>100</v>
      </c>
      <c r="M7" s="24">
        <f>M3+G6</f>
        <v>80.099974210212338</v>
      </c>
      <c r="N7" s="16"/>
      <c r="O7" s="16"/>
      <c r="P7" s="16"/>
      <c r="Q7" s="16"/>
      <c r="R7" s="16"/>
      <c r="S7" s="16"/>
      <c r="T7" s="32"/>
    </row>
    <row r="8" spans="2:20" ht="15.75" x14ac:dyDescent="0.25">
      <c r="B8" s="45"/>
      <c r="C8" s="46"/>
      <c r="D8" s="47"/>
      <c r="E8" s="16"/>
      <c r="F8" s="29" t="s">
        <v>78</v>
      </c>
      <c r="G8" s="22">
        <f>'Points mesurés'!H3</f>
        <v>80</v>
      </c>
      <c r="H8" s="16"/>
      <c r="I8" s="57"/>
      <c r="J8" s="24">
        <f>J4+G7-G4*G9</f>
        <v>-1.0515168063013295E-3</v>
      </c>
      <c r="K8" s="16"/>
      <c r="L8" s="57"/>
      <c r="M8" s="24">
        <f>M4+G7</f>
        <v>1.0512875511676722E-3</v>
      </c>
      <c r="N8" s="16"/>
      <c r="O8" s="29" t="s">
        <v>82</v>
      </c>
      <c r="P8" s="25">
        <f>SQRT(P3^2+P4^2+P5^2)</f>
        <v>60.00000003685409</v>
      </c>
      <c r="Q8" s="16"/>
      <c r="R8" s="16"/>
      <c r="S8" s="16"/>
      <c r="T8" s="32"/>
    </row>
    <row r="9" spans="2:20" ht="15.75" x14ac:dyDescent="0.25">
      <c r="B9" s="45"/>
      <c r="C9" s="46"/>
      <c r="D9" s="47"/>
      <c r="E9" s="16"/>
      <c r="F9" s="29" t="s">
        <v>79</v>
      </c>
      <c r="G9" s="22">
        <f>'Points mesurés'!I3</f>
        <v>60</v>
      </c>
      <c r="H9" s="16"/>
      <c r="I9" s="57"/>
      <c r="J9" s="24">
        <f>J5</f>
        <v>60</v>
      </c>
      <c r="K9" s="16"/>
      <c r="L9" s="57"/>
      <c r="M9" s="24">
        <f>M5</f>
        <v>0</v>
      </c>
      <c r="N9" s="16"/>
      <c r="O9" s="16"/>
      <c r="P9" s="16"/>
      <c r="Q9" s="16"/>
      <c r="R9" s="16"/>
      <c r="S9" s="16"/>
      <c r="T9" s="32"/>
    </row>
    <row r="10" spans="2:20" ht="15.75" thickBot="1" x14ac:dyDescent="0.3">
      <c r="B10" s="48"/>
      <c r="C10" s="49"/>
      <c r="D10" s="50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4"/>
    </row>
    <row r="11" spans="2:20" ht="16.5" thickTop="1" thickBot="1" x14ac:dyDescent="0.3"/>
    <row r="12" spans="2:20" ht="15.75" thickTop="1" x14ac:dyDescent="0.25">
      <c r="B12" s="42" t="s">
        <v>89</v>
      </c>
      <c r="C12" s="43"/>
      <c r="D12" s="44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1"/>
    </row>
    <row r="13" spans="2:20" ht="15.75" x14ac:dyDescent="0.25">
      <c r="B13" s="45"/>
      <c r="C13" s="46"/>
      <c r="D13" s="47"/>
      <c r="E13" s="16"/>
      <c r="F13" s="29" t="s">
        <v>73</v>
      </c>
      <c r="G13" s="22">
        <f>'Clacul intermédiaire '!M96</f>
        <v>0</v>
      </c>
      <c r="H13" s="16"/>
      <c r="I13" s="56" t="s">
        <v>97</v>
      </c>
      <c r="J13" s="24">
        <f>G18</f>
        <v>0</v>
      </c>
      <c r="K13" s="16"/>
      <c r="L13" s="56" t="s">
        <v>101</v>
      </c>
      <c r="M13" s="24">
        <f>G18</f>
        <v>0</v>
      </c>
      <c r="N13" s="16"/>
      <c r="O13" s="57" t="s">
        <v>81</v>
      </c>
      <c r="P13" s="24">
        <f>J13+G16+G15*G19-G16-M13</f>
        <v>0</v>
      </c>
      <c r="Q13" s="16"/>
      <c r="R13" s="16"/>
      <c r="S13" s="16"/>
      <c r="T13" s="32"/>
    </row>
    <row r="14" spans="2:20" ht="15.75" x14ac:dyDescent="0.25">
      <c r="B14" s="45"/>
      <c r="C14" s="46"/>
      <c r="D14" s="47"/>
      <c r="E14" s="16"/>
      <c r="F14" s="29" t="s">
        <v>74</v>
      </c>
      <c r="G14" s="22">
        <f>'Clacul intermédiaire '!M97</f>
        <v>0</v>
      </c>
      <c r="H14" s="16"/>
      <c r="I14" s="57"/>
      <c r="J14" s="24">
        <v>0</v>
      </c>
      <c r="K14" s="16"/>
      <c r="L14" s="57"/>
      <c r="M14" s="24">
        <v>0</v>
      </c>
      <c r="N14" s="16"/>
      <c r="O14" s="57"/>
      <c r="P14" s="35">
        <f>J14+G17-G14*G19-G17-M14</f>
        <v>0</v>
      </c>
      <c r="Q14" s="16"/>
      <c r="R14" s="54" t="s">
        <v>104</v>
      </c>
      <c r="S14" s="26">
        <f>P13/$P$8</f>
        <v>0</v>
      </c>
      <c r="T14" s="32"/>
    </row>
    <row r="15" spans="2:20" ht="15.75" x14ac:dyDescent="0.25">
      <c r="B15" s="45"/>
      <c r="C15" s="46"/>
      <c r="D15" s="47"/>
      <c r="E15" s="16"/>
      <c r="F15" s="29" t="s">
        <v>75</v>
      </c>
      <c r="G15" s="22">
        <f>'Clacul intermédiaire '!M98</f>
        <v>0</v>
      </c>
      <c r="H15" s="16"/>
      <c r="I15" s="57"/>
      <c r="J15" s="24">
        <f>G19</f>
        <v>60</v>
      </c>
      <c r="K15" s="16"/>
      <c r="L15" s="57"/>
      <c r="M15" s="24">
        <v>0</v>
      </c>
      <c r="N15" s="16"/>
      <c r="O15" s="57"/>
      <c r="P15" s="24">
        <f>J15-M15</f>
        <v>60</v>
      </c>
      <c r="Q15" s="16"/>
      <c r="R15" s="55"/>
      <c r="S15" s="26">
        <f t="shared" ref="S15:S16" si="1">P14/$P$8</f>
        <v>0</v>
      </c>
      <c r="T15" s="32"/>
    </row>
    <row r="16" spans="2:20" ht="15.75" x14ac:dyDescent="0.25">
      <c r="B16" s="45"/>
      <c r="C16" s="46"/>
      <c r="D16" s="47"/>
      <c r="E16" s="16"/>
      <c r="F16" s="29" t="s">
        <v>76</v>
      </c>
      <c r="G16" s="22">
        <f>'Clacul intermédiaire '!M99</f>
        <v>0</v>
      </c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55"/>
      <c r="S16" s="26">
        <f t="shared" si="1"/>
        <v>0.99999999938576523</v>
      </c>
      <c r="T16" s="32"/>
    </row>
    <row r="17" spans="2:20" ht="15.75" x14ac:dyDescent="0.25">
      <c r="B17" s="45"/>
      <c r="C17" s="46"/>
      <c r="D17" s="47"/>
      <c r="E17" s="16"/>
      <c r="F17" s="29" t="s">
        <v>77</v>
      </c>
      <c r="G17" s="22">
        <f>'Clacul intermédiaire '!M100</f>
        <v>0</v>
      </c>
      <c r="H17" s="16"/>
      <c r="I17" s="56" t="s">
        <v>98</v>
      </c>
      <c r="J17" s="24">
        <f>J13+G16+G15*G19</f>
        <v>0</v>
      </c>
      <c r="K17" s="16"/>
      <c r="L17" s="56" t="s">
        <v>102</v>
      </c>
      <c r="M17" s="24">
        <f>M13+G16</f>
        <v>0</v>
      </c>
      <c r="N17" s="16"/>
      <c r="O17" s="16"/>
      <c r="P17" s="16"/>
      <c r="Q17" s="16"/>
      <c r="R17" s="16"/>
      <c r="S17" s="16"/>
      <c r="T17" s="32"/>
    </row>
    <row r="18" spans="2:20" ht="15.75" x14ac:dyDescent="0.25">
      <c r="B18" s="45"/>
      <c r="C18" s="46"/>
      <c r="D18" s="47"/>
      <c r="E18" s="16"/>
      <c r="F18" s="29" t="s">
        <v>78</v>
      </c>
      <c r="G18" s="22">
        <v>0</v>
      </c>
      <c r="H18" s="16"/>
      <c r="I18" s="57"/>
      <c r="J18" s="24">
        <f>J14+G17-G14*G19</f>
        <v>0</v>
      </c>
      <c r="K18" s="16"/>
      <c r="L18" s="57"/>
      <c r="M18" s="24">
        <f>M14+G17</f>
        <v>0</v>
      </c>
      <c r="N18" s="16"/>
      <c r="O18" s="29" t="s">
        <v>83</v>
      </c>
      <c r="P18" s="25">
        <f>SQRT(P13^2+P14^2+P15^2)</f>
        <v>60</v>
      </c>
      <c r="Q18" s="16"/>
      <c r="R18" s="16"/>
      <c r="S18" s="16"/>
      <c r="T18" s="32"/>
    </row>
    <row r="19" spans="2:20" ht="15.75" x14ac:dyDescent="0.25">
      <c r="B19" s="45"/>
      <c r="C19" s="46"/>
      <c r="D19" s="47"/>
      <c r="E19" s="16"/>
      <c r="F19" s="29" t="s">
        <v>79</v>
      </c>
      <c r="G19" s="22">
        <f>'Points mesurés'!I3</f>
        <v>60</v>
      </c>
      <c r="H19" s="16"/>
      <c r="I19" s="57"/>
      <c r="J19" s="24">
        <f>J15</f>
        <v>60</v>
      </c>
      <c r="K19" s="16"/>
      <c r="L19" s="57"/>
      <c r="M19" s="24">
        <f>M15</f>
        <v>0</v>
      </c>
      <c r="N19" s="16"/>
      <c r="O19" s="16"/>
      <c r="P19" s="16"/>
      <c r="Q19" s="16"/>
      <c r="R19" s="16"/>
      <c r="S19" s="16"/>
      <c r="T19" s="32"/>
    </row>
    <row r="20" spans="2:20" ht="15.75" thickBot="1" x14ac:dyDescent="0.3">
      <c r="B20" s="48"/>
      <c r="C20" s="49"/>
      <c r="D20" s="50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4"/>
    </row>
    <row r="21" spans="2:20" ht="16.5" thickTop="1" thickBot="1" x14ac:dyDescent="0.3"/>
    <row r="22" spans="2:20" ht="15.75" thickTop="1" x14ac:dyDescent="0.25">
      <c r="B22" s="42" t="s">
        <v>91</v>
      </c>
      <c r="C22" s="43"/>
      <c r="D22" s="44"/>
    </row>
    <row r="23" spans="2:20" ht="15.75" customHeight="1" x14ac:dyDescent="0.25">
      <c r="B23" s="45"/>
      <c r="C23" s="46"/>
      <c r="D23" s="47"/>
      <c r="F23" s="51" t="s">
        <v>84</v>
      </c>
      <c r="G23" s="24">
        <f>M7-J17</f>
        <v>80.099974210212338</v>
      </c>
      <c r="L23" s="51" t="s">
        <v>87</v>
      </c>
      <c r="M23" s="24">
        <f>M7-M17</f>
        <v>80.099974210212338</v>
      </c>
    </row>
    <row r="24" spans="2:20" ht="15.75" customHeight="1" x14ac:dyDescent="0.25">
      <c r="B24" s="45"/>
      <c r="C24" s="46"/>
      <c r="D24" s="47"/>
      <c r="F24" s="52"/>
      <c r="G24" s="24">
        <f t="shared" ref="G24:G25" si="2">M8-J18</f>
        <v>1.0512875511676722E-3</v>
      </c>
      <c r="L24" s="52"/>
      <c r="M24" s="24">
        <f t="shared" ref="M24:M25" si="3">M8-M18</f>
        <v>1.0512875511676722E-3</v>
      </c>
    </row>
    <row r="25" spans="2:20" ht="15.75" customHeight="1" x14ac:dyDescent="0.25">
      <c r="B25" s="45"/>
      <c r="C25" s="46"/>
      <c r="D25" s="47"/>
      <c r="F25" s="53"/>
      <c r="G25" s="24">
        <f t="shared" si="2"/>
        <v>-60</v>
      </c>
      <c r="L25" s="53"/>
      <c r="M25" s="24">
        <f t="shared" si="3"/>
        <v>0</v>
      </c>
    </row>
    <row r="26" spans="2:20" ht="15.75" x14ac:dyDescent="0.25">
      <c r="B26" s="45"/>
      <c r="C26" s="46"/>
      <c r="D26" s="47"/>
      <c r="F26" s="23"/>
      <c r="G26" s="23"/>
      <c r="I26" s="29" t="s">
        <v>86</v>
      </c>
      <c r="J26" s="59">
        <f>SQRT(G27^2+G28^2+G29^2)</f>
        <v>80.100000761582933</v>
      </c>
      <c r="L26" s="23"/>
      <c r="M26" s="23"/>
      <c r="O26" s="29" t="s">
        <v>88</v>
      </c>
      <c r="P26" s="59">
        <f>SQRT(M27^2+M28^2+M29^2)</f>
        <v>80.099974217103423</v>
      </c>
    </row>
    <row r="27" spans="2:20" ht="15.75" customHeight="1" x14ac:dyDescent="0.25">
      <c r="B27" s="45"/>
      <c r="C27" s="46"/>
      <c r="D27" s="47"/>
      <c r="F27" s="51" t="s">
        <v>85</v>
      </c>
      <c r="G27" s="24">
        <f>G24*S6-G25*S5</f>
        <v>-1.0515168056554512E-3</v>
      </c>
      <c r="L27" s="51" t="s">
        <v>85</v>
      </c>
      <c r="M27" s="24">
        <f>M24*S6-S5*M25</f>
        <v>1.0512875505219348E-3</v>
      </c>
    </row>
    <row r="28" spans="2:20" ht="15.75" customHeight="1" x14ac:dyDescent="0.25">
      <c r="B28" s="45"/>
      <c r="C28" s="46"/>
      <c r="D28" s="47"/>
      <c r="F28" s="52"/>
      <c r="G28" s="24">
        <f>G25*S4-G23*S6</f>
        <v>-80.100000705488668</v>
      </c>
      <c r="L28" s="52"/>
      <c r="M28" s="24">
        <f>M25*S4-M23*S6</f>
        <v>-80.099974161012142</v>
      </c>
    </row>
    <row r="29" spans="2:20" ht="15.75" customHeight="1" x14ac:dyDescent="0.25">
      <c r="B29" s="45"/>
      <c r="C29" s="46"/>
      <c r="D29" s="47"/>
      <c r="F29" s="53"/>
      <c r="G29" s="24">
        <f>G23*S5-G24*S4</f>
        <v>-2.8072433767468083E-3</v>
      </c>
      <c r="L29" s="53"/>
      <c r="M29" s="24">
        <f>M23*S5-S4*M24</f>
        <v>-2.8072433767468083E-3</v>
      </c>
    </row>
    <row r="30" spans="2:20" ht="15.75" thickBot="1" x14ac:dyDescent="0.3">
      <c r="B30" s="48"/>
      <c r="C30" s="49"/>
      <c r="D30" s="50"/>
    </row>
    <row r="31" spans="2:20" ht="15.75" thickTop="1" x14ac:dyDescent="0.25"/>
  </sheetData>
  <mergeCells count="19">
    <mergeCell ref="R4:R6"/>
    <mergeCell ref="B12:D20"/>
    <mergeCell ref="I13:I15"/>
    <mergeCell ref="L13:L15"/>
    <mergeCell ref="O13:O15"/>
    <mergeCell ref="R14:R16"/>
    <mergeCell ref="I17:I19"/>
    <mergeCell ref="L17:L19"/>
    <mergeCell ref="B2:D10"/>
    <mergeCell ref="I3:I5"/>
    <mergeCell ref="I7:I9"/>
    <mergeCell ref="L3:L5"/>
    <mergeCell ref="L7:L9"/>
    <mergeCell ref="O3:O5"/>
    <mergeCell ref="B22:D30"/>
    <mergeCell ref="L23:L25"/>
    <mergeCell ref="L27:L29"/>
    <mergeCell ref="F23:F25"/>
    <mergeCell ref="F27:F29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greaterThan" id="{F02DA761-64EF-477A-8662-D1DE15DDF8BC}">
            <xm:f>'Points mesurés'!$H$3+'Points mesurés'!$G$3/2</xm:f>
            <x14:dxf>
              <fill>
                <patternFill>
                  <bgColor rgb="FFFF0000"/>
                </patternFill>
              </fill>
            </x14:dxf>
          </x14:cfRule>
          <x14:cfRule type="cellIs" priority="1" operator="lessThan" id="{2DE0A962-20F3-490F-98D4-69999EFC5A79}">
            <xm:f>'Points mesurés'!$H$3-'Points mesurés'!$G$3/2</xm:f>
            <x14:dxf>
              <fill>
                <patternFill>
                  <bgColor rgb="FFFF0000"/>
                </patternFill>
              </fill>
            </x14:dxf>
          </x14:cfRule>
          <xm:sqref>J26 P26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="H16" sqref="H16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Points mesurés</vt:lpstr>
      <vt:lpstr>Clacul intermédiaire </vt:lpstr>
      <vt:lpstr>Validation des résultats</vt:lpstr>
      <vt:lpstr>Feuille de résultats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Jamaal</dc:creator>
  <cp:lastModifiedBy>Jamaal</cp:lastModifiedBy>
  <dcterms:created xsi:type="dcterms:W3CDTF">2017-05-20T11:26:31Z</dcterms:created>
  <dcterms:modified xsi:type="dcterms:W3CDTF">2017-05-27T13:14:12Z</dcterms:modified>
</cp:coreProperties>
</file>