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odeName="ThisWorkbook" autoCompressPictures="0"/>
  <bookViews>
    <workbookView xWindow="28780" yWindow="0" windowWidth="28140" windowHeight="17300" tabRatio="576"/>
  </bookViews>
  <sheets>
    <sheet name="Tarif horaire Heidelberg T" sheetId="2" r:id="rId1"/>
    <sheet name="Tarif horaire Massicot" sheetId="3" r:id="rId2"/>
    <sheet name="Tarif horaire operateur" sheetId="6" r:id="rId3"/>
    <sheet name="Papiers" sheetId="4" r:id="rId4"/>
    <sheet name="polymere &amp; flashs" sheetId="1" r:id="rId5"/>
    <sheet name="Temps d'éxé" sheetId="5" r:id="rId6"/>
    <sheet name="carte de visites" sheetId="7" r:id="rId7"/>
    <sheet name="format 10x10" sheetId="8" r:id="rId8"/>
    <sheet name="Format 10 x 21" sheetId="9" r:id="rId9"/>
    <sheet name="A6" sheetId="10" r:id="rId10"/>
    <sheet name="A5" sheetId="11" r:id="rId11"/>
    <sheet name="A4" sheetId="12" r:id="rId12"/>
  </sheets>
  <definedNames>
    <definedName name="_xlnm._FilterDatabase" localSheetId="6" hidden="1">'carte de visites'!$A$19:$B$27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3" i="7" l="1"/>
  <c r="G76" i="4"/>
  <c r="F76" i="4"/>
  <c r="E76" i="4"/>
  <c r="D76" i="4"/>
  <c r="C76" i="4"/>
  <c r="B76" i="4"/>
  <c r="G64" i="4"/>
  <c r="F64" i="4"/>
  <c r="E64" i="4"/>
  <c r="D64" i="4"/>
  <c r="C64" i="4"/>
  <c r="B64" i="4"/>
  <c r="G75" i="4"/>
  <c r="F75" i="4"/>
  <c r="E75" i="4"/>
  <c r="D75" i="4"/>
  <c r="C75" i="4"/>
  <c r="B75" i="4"/>
  <c r="G63" i="4"/>
  <c r="F63" i="4"/>
  <c r="E63" i="4"/>
  <c r="D63" i="4"/>
  <c r="C63" i="4"/>
  <c r="B63" i="4"/>
  <c r="G51" i="4"/>
  <c r="F51" i="4"/>
  <c r="E51" i="4"/>
  <c r="D51" i="4"/>
  <c r="C51" i="4"/>
  <c r="B51" i="4"/>
  <c r="G52" i="4"/>
  <c r="F52" i="4"/>
  <c r="E52" i="4"/>
  <c r="D52" i="4"/>
  <c r="C52" i="4"/>
  <c r="B52" i="4"/>
  <c r="G40" i="4"/>
  <c r="F40" i="4"/>
  <c r="E40" i="4"/>
  <c r="D40" i="4"/>
  <c r="C40" i="4"/>
  <c r="B40" i="4"/>
  <c r="G39" i="4"/>
  <c r="F39" i="4"/>
  <c r="E39" i="4"/>
  <c r="D39" i="4"/>
  <c r="C39" i="4"/>
  <c r="B39" i="4"/>
  <c r="G73" i="4"/>
  <c r="G72" i="4"/>
  <c r="G71" i="4"/>
  <c r="G70" i="4"/>
  <c r="G69" i="4"/>
  <c r="G68" i="4"/>
  <c r="F73" i="4"/>
  <c r="F72" i="4"/>
  <c r="F71" i="4"/>
  <c r="F70" i="4"/>
  <c r="F69" i="4"/>
  <c r="F68" i="4"/>
  <c r="E73" i="4"/>
  <c r="E72" i="4"/>
  <c r="E71" i="4"/>
  <c r="E70" i="4"/>
  <c r="E69" i="4"/>
  <c r="E68" i="4"/>
  <c r="D73" i="4"/>
  <c r="D72" i="4"/>
  <c r="D71" i="4"/>
  <c r="D70" i="4"/>
  <c r="D69" i="4"/>
  <c r="D68" i="4"/>
  <c r="C73" i="4"/>
  <c r="C72" i="4"/>
  <c r="C71" i="4"/>
  <c r="C70" i="4"/>
  <c r="C69" i="4"/>
  <c r="C68" i="4"/>
  <c r="B73" i="4"/>
  <c r="B72" i="4"/>
  <c r="B71" i="4"/>
  <c r="B70" i="4"/>
  <c r="B69" i="4"/>
  <c r="B68" i="4"/>
  <c r="B56" i="4"/>
  <c r="B57" i="4"/>
  <c r="B58" i="4"/>
  <c r="B59" i="4"/>
  <c r="B60" i="4"/>
  <c r="B61" i="4"/>
  <c r="F56" i="4"/>
  <c r="G61" i="4"/>
  <c r="G60" i="4"/>
  <c r="G59" i="4"/>
  <c r="G58" i="4"/>
  <c r="G57" i="4"/>
  <c r="G56" i="4"/>
  <c r="F61" i="4"/>
  <c r="F60" i="4"/>
  <c r="F59" i="4"/>
  <c r="F58" i="4"/>
  <c r="F57" i="4"/>
  <c r="E61" i="4"/>
  <c r="E60" i="4"/>
  <c r="E59" i="4"/>
  <c r="E58" i="4"/>
  <c r="E57" i="4"/>
  <c r="E56" i="4"/>
  <c r="D61" i="4"/>
  <c r="D60" i="4"/>
  <c r="D59" i="4"/>
  <c r="D58" i="4"/>
  <c r="D57" i="4"/>
  <c r="D56" i="4"/>
  <c r="C61" i="4"/>
  <c r="C60" i="4"/>
  <c r="C59" i="4"/>
  <c r="C58" i="4"/>
  <c r="C57" i="4"/>
  <c r="C56" i="4"/>
  <c r="B28" i="4"/>
  <c r="F2" i="4"/>
  <c r="B49" i="4"/>
  <c r="G28" i="4"/>
  <c r="G49" i="4"/>
  <c r="G27" i="4"/>
  <c r="G48" i="4"/>
  <c r="G26" i="4"/>
  <c r="G47" i="4"/>
  <c r="G25" i="4"/>
  <c r="G46" i="4"/>
  <c r="G24" i="4"/>
  <c r="G45" i="4"/>
  <c r="G23" i="4"/>
  <c r="G44" i="4"/>
  <c r="F28" i="4"/>
  <c r="F49" i="4"/>
  <c r="F27" i="4"/>
  <c r="F48" i="4"/>
  <c r="F26" i="4"/>
  <c r="F47" i="4"/>
  <c r="F25" i="4"/>
  <c r="F46" i="4"/>
  <c r="F24" i="4"/>
  <c r="F45" i="4"/>
  <c r="F23" i="4"/>
  <c r="F44" i="4"/>
  <c r="E28" i="4"/>
  <c r="E49" i="4"/>
  <c r="E27" i="4"/>
  <c r="E48" i="4"/>
  <c r="E26" i="4"/>
  <c r="E47" i="4"/>
  <c r="E25" i="4"/>
  <c r="E46" i="4"/>
  <c r="E24" i="4"/>
  <c r="E45" i="4"/>
  <c r="E23" i="4"/>
  <c r="E44" i="4"/>
  <c r="D28" i="4"/>
  <c r="D49" i="4"/>
  <c r="D27" i="4"/>
  <c r="D48" i="4"/>
  <c r="D26" i="4"/>
  <c r="D47" i="4"/>
  <c r="D25" i="4"/>
  <c r="D46" i="4"/>
  <c r="D24" i="4"/>
  <c r="D45" i="4"/>
  <c r="D23" i="4"/>
  <c r="D44" i="4"/>
  <c r="C28" i="4"/>
  <c r="C49" i="4"/>
  <c r="C27" i="4"/>
  <c r="C48" i="4"/>
  <c r="C26" i="4"/>
  <c r="C47" i="4"/>
  <c r="C25" i="4"/>
  <c r="C46" i="4"/>
  <c r="C24" i="4"/>
  <c r="C45" i="4"/>
  <c r="C23" i="4"/>
  <c r="C44" i="4"/>
  <c r="B27" i="4"/>
  <c r="B48" i="4"/>
  <c r="B26" i="4"/>
  <c r="B47" i="4"/>
  <c r="B25" i="4"/>
  <c r="B46" i="4"/>
  <c r="B24" i="4"/>
  <c r="B45" i="4"/>
  <c r="B23" i="4"/>
  <c r="B44" i="4"/>
  <c r="F3" i="4"/>
  <c r="G37" i="4"/>
  <c r="G36" i="4"/>
  <c r="G35" i="4"/>
  <c r="G34" i="4"/>
  <c r="G33" i="4"/>
  <c r="G32" i="4"/>
  <c r="F37" i="4"/>
  <c r="F36" i="4"/>
  <c r="F35" i="4"/>
  <c r="F34" i="4"/>
  <c r="F33" i="4"/>
  <c r="F32" i="4"/>
  <c r="E37" i="4"/>
  <c r="E36" i="4"/>
  <c r="E35" i="4"/>
  <c r="E34" i="4"/>
  <c r="E33" i="4"/>
  <c r="E32" i="4"/>
  <c r="D33" i="4"/>
  <c r="D37" i="4"/>
  <c r="D36" i="4"/>
  <c r="D35" i="4"/>
  <c r="D34" i="4"/>
  <c r="D32" i="4"/>
  <c r="C37" i="4"/>
  <c r="C36" i="4"/>
  <c r="C35" i="4"/>
  <c r="C34" i="4"/>
  <c r="C33" i="4"/>
  <c r="C32" i="4"/>
  <c r="B37" i="4"/>
  <c r="B36" i="4"/>
  <c r="B35" i="4"/>
  <c r="B34" i="4"/>
  <c r="B33" i="4"/>
  <c r="B32" i="4"/>
  <c r="C2" i="5"/>
  <c r="F2" i="5"/>
  <c r="C3" i="5"/>
  <c r="F3" i="5"/>
  <c r="C4" i="5"/>
  <c r="F4" i="5"/>
  <c r="B18" i="5"/>
  <c r="C18" i="5"/>
  <c r="C5" i="5"/>
  <c r="F5" i="5"/>
  <c r="C6" i="5"/>
  <c r="F6" i="5"/>
  <c r="C8" i="5"/>
  <c r="F8" i="5"/>
  <c r="F13" i="5"/>
  <c r="G25" i="5"/>
  <c r="G27" i="5"/>
  <c r="G11" i="11"/>
  <c r="D6" i="5"/>
  <c r="E6" i="5"/>
  <c r="E2" i="5"/>
  <c r="E3" i="5"/>
  <c r="E4" i="5"/>
  <c r="E5" i="5"/>
  <c r="E8" i="5"/>
  <c r="E13" i="5"/>
  <c r="G26" i="5"/>
  <c r="G3" i="11"/>
  <c r="G13" i="11"/>
  <c r="F25" i="5"/>
  <c r="F27" i="5"/>
  <c r="F11" i="11"/>
  <c r="F26" i="5"/>
  <c r="F3" i="11"/>
  <c r="F13" i="11"/>
  <c r="E25" i="5"/>
  <c r="E27" i="5"/>
  <c r="E11" i="11"/>
  <c r="E26" i="5"/>
  <c r="E3" i="11"/>
  <c r="E13" i="11"/>
  <c r="D25" i="5"/>
  <c r="D27" i="5"/>
  <c r="D11" i="11"/>
  <c r="D26" i="5"/>
  <c r="D3" i="11"/>
  <c r="D13" i="11"/>
  <c r="C7" i="5"/>
  <c r="C25" i="5"/>
  <c r="C27" i="5"/>
  <c r="C11" i="11"/>
  <c r="C26" i="5"/>
  <c r="C3" i="11"/>
  <c r="C13" i="11"/>
  <c r="B25" i="5"/>
  <c r="B27" i="5"/>
  <c r="B11" i="11"/>
  <c r="B26" i="5"/>
  <c r="B3" i="11"/>
  <c r="B13" i="11"/>
  <c r="D2" i="5"/>
  <c r="D3" i="5"/>
  <c r="D4" i="5"/>
  <c r="D5" i="5"/>
  <c r="D8" i="5"/>
  <c r="D13" i="5"/>
  <c r="G2" i="11"/>
  <c r="G12" i="11"/>
  <c r="F2" i="11"/>
  <c r="F12" i="11"/>
  <c r="E2" i="11"/>
  <c r="E12" i="11"/>
  <c r="D2" i="11"/>
  <c r="D12" i="11"/>
  <c r="C2" i="11"/>
  <c r="C12" i="11"/>
  <c r="B2" i="11"/>
  <c r="B12" i="11"/>
  <c r="G8" i="11"/>
  <c r="G10" i="11"/>
  <c r="F8" i="11"/>
  <c r="F10" i="11"/>
  <c r="E8" i="11"/>
  <c r="E10" i="11"/>
  <c r="D8" i="11"/>
  <c r="D10" i="11"/>
  <c r="C8" i="11"/>
  <c r="C10" i="11"/>
  <c r="B8" i="11"/>
  <c r="B10" i="11"/>
  <c r="G9" i="11"/>
  <c r="F9" i="11"/>
  <c r="E9" i="11"/>
  <c r="D9" i="11"/>
  <c r="C9" i="11"/>
  <c r="B9" i="11"/>
  <c r="G5" i="11"/>
  <c r="G7" i="11"/>
  <c r="F5" i="11"/>
  <c r="F7" i="11"/>
  <c r="E5" i="11"/>
  <c r="E7" i="11"/>
  <c r="D5" i="11"/>
  <c r="D7" i="11"/>
  <c r="C5" i="11"/>
  <c r="C7" i="11"/>
  <c r="B5" i="11"/>
  <c r="B7" i="11"/>
  <c r="G6" i="11"/>
  <c r="F6" i="11"/>
  <c r="E6" i="11"/>
  <c r="D6" i="11"/>
  <c r="C6" i="11"/>
  <c r="B6" i="11"/>
  <c r="G4" i="11"/>
  <c r="F4" i="11"/>
  <c r="E4" i="11"/>
  <c r="D4" i="11"/>
  <c r="C4" i="11"/>
  <c r="B4" i="11"/>
  <c r="G11" i="10"/>
  <c r="G3" i="10"/>
  <c r="G13" i="10"/>
  <c r="F11" i="10"/>
  <c r="F3" i="10"/>
  <c r="F13" i="10"/>
  <c r="E11" i="10"/>
  <c r="E3" i="10"/>
  <c r="E13" i="10"/>
  <c r="D11" i="10"/>
  <c r="D3" i="10"/>
  <c r="D13" i="10"/>
  <c r="C11" i="10"/>
  <c r="C3" i="10"/>
  <c r="C13" i="10"/>
  <c r="B11" i="10"/>
  <c r="B3" i="10"/>
  <c r="B13" i="10"/>
  <c r="G2" i="10"/>
  <c r="G12" i="10"/>
  <c r="F2" i="10"/>
  <c r="F12" i="10"/>
  <c r="E2" i="10"/>
  <c r="E12" i="10"/>
  <c r="D2" i="10"/>
  <c r="D12" i="10"/>
  <c r="C2" i="10"/>
  <c r="C12" i="10"/>
  <c r="B2" i="10"/>
  <c r="B12" i="10"/>
  <c r="G8" i="10"/>
  <c r="G10" i="10"/>
  <c r="F8" i="10"/>
  <c r="F10" i="10"/>
  <c r="E8" i="10"/>
  <c r="E10" i="10"/>
  <c r="D8" i="10"/>
  <c r="D10" i="10"/>
  <c r="C8" i="10"/>
  <c r="C10" i="10"/>
  <c r="B8" i="10"/>
  <c r="B10" i="10"/>
  <c r="G9" i="10"/>
  <c r="F9" i="10"/>
  <c r="E9" i="10"/>
  <c r="D9" i="10"/>
  <c r="C9" i="10"/>
  <c r="B9" i="10"/>
  <c r="G5" i="10"/>
  <c r="G7" i="10"/>
  <c r="F5" i="10"/>
  <c r="F7" i="10"/>
  <c r="E5" i="10"/>
  <c r="E7" i="10"/>
  <c r="D5" i="10"/>
  <c r="D7" i="10"/>
  <c r="C5" i="10"/>
  <c r="C7" i="10"/>
  <c r="B5" i="10"/>
  <c r="B7" i="10"/>
  <c r="G6" i="10"/>
  <c r="F6" i="10"/>
  <c r="E6" i="10"/>
  <c r="D6" i="10"/>
  <c r="C6" i="10"/>
  <c r="B6" i="10"/>
  <c r="G4" i="10"/>
  <c r="F4" i="10"/>
  <c r="E4" i="10"/>
  <c r="D4" i="10"/>
  <c r="C4" i="10"/>
  <c r="B4" i="10"/>
  <c r="G11" i="9"/>
  <c r="G3" i="9"/>
  <c r="G13" i="9"/>
  <c r="E11" i="9"/>
  <c r="E3" i="9"/>
  <c r="E13" i="9"/>
  <c r="E2" i="9"/>
  <c r="E12" i="9"/>
  <c r="D11" i="9"/>
  <c r="D2" i="9"/>
  <c r="D12" i="9"/>
  <c r="C11" i="9"/>
  <c r="C2" i="9"/>
  <c r="C12" i="9"/>
  <c r="B11" i="9"/>
  <c r="B3" i="9"/>
  <c r="B13" i="9"/>
  <c r="B2" i="9"/>
  <c r="B12" i="9"/>
  <c r="F11" i="9"/>
  <c r="G8" i="9"/>
  <c r="G2" i="9"/>
  <c r="G10" i="9"/>
  <c r="G9" i="9"/>
  <c r="F8" i="9"/>
  <c r="F3" i="9"/>
  <c r="F10" i="9"/>
  <c r="F2" i="9"/>
  <c r="F9" i="9"/>
  <c r="E8" i="9"/>
  <c r="E10" i="9"/>
  <c r="E9" i="9"/>
  <c r="D8" i="9"/>
  <c r="D3" i="9"/>
  <c r="D10" i="9"/>
  <c r="D9" i="9"/>
  <c r="C8" i="9"/>
  <c r="C3" i="9"/>
  <c r="C10" i="9"/>
  <c r="C9" i="9"/>
  <c r="B8" i="9"/>
  <c r="B10" i="9"/>
  <c r="B9" i="9"/>
  <c r="G5" i="9"/>
  <c r="G7" i="9"/>
  <c r="E5" i="9"/>
  <c r="E7" i="9"/>
  <c r="F5" i="9"/>
  <c r="F7" i="9"/>
  <c r="D5" i="9"/>
  <c r="D7" i="9"/>
  <c r="C5" i="9"/>
  <c r="C7" i="9"/>
  <c r="B5" i="9"/>
  <c r="B7" i="9"/>
  <c r="G6" i="9"/>
  <c r="F6" i="9"/>
  <c r="E6" i="9"/>
  <c r="D6" i="9"/>
  <c r="C6" i="9"/>
  <c r="B6" i="9"/>
  <c r="B2" i="7"/>
  <c r="B5" i="7"/>
  <c r="G4" i="9"/>
  <c r="E4" i="9"/>
  <c r="D4" i="9"/>
  <c r="C4" i="9"/>
  <c r="B4" i="9"/>
  <c r="F4" i="9"/>
  <c r="F13" i="9"/>
  <c r="D13" i="9"/>
  <c r="C13" i="9"/>
  <c r="G12" i="9"/>
  <c r="F12" i="9"/>
  <c r="G4" i="8"/>
  <c r="G11" i="8"/>
  <c r="G3" i="8"/>
  <c r="G13" i="8"/>
  <c r="F4" i="8"/>
  <c r="F11" i="8"/>
  <c r="F3" i="8"/>
  <c r="F13" i="8"/>
  <c r="E4" i="8"/>
  <c r="E11" i="8"/>
  <c r="E3" i="8"/>
  <c r="E13" i="8"/>
  <c r="D4" i="8"/>
  <c r="D11" i="8"/>
  <c r="D3" i="8"/>
  <c r="D13" i="8"/>
  <c r="C4" i="8"/>
  <c r="C11" i="8"/>
  <c r="C3" i="8"/>
  <c r="C13" i="8"/>
  <c r="B4" i="8"/>
  <c r="B11" i="8"/>
  <c r="B3" i="8"/>
  <c r="B13" i="8"/>
  <c r="G2" i="8"/>
  <c r="G12" i="8"/>
  <c r="F2" i="8"/>
  <c r="F12" i="8"/>
  <c r="E2" i="8"/>
  <c r="E12" i="8"/>
  <c r="D2" i="8"/>
  <c r="D12" i="8"/>
  <c r="C2" i="8"/>
  <c r="C12" i="8"/>
  <c r="B2" i="8"/>
  <c r="B12" i="8"/>
  <c r="G10" i="8"/>
  <c r="F10" i="8"/>
  <c r="E10" i="8"/>
  <c r="D10" i="8"/>
  <c r="C10" i="8"/>
  <c r="B10" i="8"/>
  <c r="G9" i="8"/>
  <c r="F9" i="8"/>
  <c r="E9" i="8"/>
  <c r="D9" i="8"/>
  <c r="C9" i="8"/>
  <c r="B9" i="8"/>
  <c r="G8" i="8"/>
  <c r="F8" i="8"/>
  <c r="E8" i="8"/>
  <c r="D8" i="8"/>
  <c r="C8" i="8"/>
  <c r="B8" i="8"/>
  <c r="G7" i="8"/>
  <c r="F7" i="8"/>
  <c r="E7" i="8"/>
  <c r="D7" i="8"/>
  <c r="C7" i="8"/>
  <c r="B7" i="8"/>
  <c r="G6" i="8"/>
  <c r="F6" i="8"/>
  <c r="E6" i="8"/>
  <c r="D6" i="8"/>
  <c r="C6" i="8"/>
  <c r="B6" i="8"/>
  <c r="G5" i="8"/>
  <c r="F5" i="8"/>
  <c r="E5" i="8"/>
  <c r="D5" i="8"/>
  <c r="C5" i="8"/>
  <c r="B5" i="8"/>
  <c r="G4" i="7"/>
  <c r="G11" i="7"/>
  <c r="G3" i="7"/>
  <c r="G13" i="7"/>
  <c r="F4" i="7"/>
  <c r="F11" i="7"/>
  <c r="F3" i="7"/>
  <c r="F13" i="7"/>
  <c r="E4" i="7"/>
  <c r="E11" i="7"/>
  <c r="E3" i="7"/>
  <c r="E13" i="7"/>
  <c r="D4" i="7"/>
  <c r="D11" i="7"/>
  <c r="D3" i="7"/>
  <c r="D13" i="7"/>
  <c r="C4" i="7"/>
  <c r="C11" i="7"/>
  <c r="C3" i="7"/>
  <c r="C13" i="7"/>
  <c r="B4" i="7"/>
  <c r="B11" i="7"/>
  <c r="B3" i="7"/>
  <c r="B13" i="7"/>
  <c r="G2" i="7"/>
  <c r="G12" i="7"/>
  <c r="F2" i="7"/>
  <c r="F12" i="7"/>
  <c r="E2" i="7"/>
  <c r="E12" i="7"/>
  <c r="D2" i="7"/>
  <c r="D12" i="7"/>
  <c r="C2" i="7"/>
  <c r="C12" i="7"/>
  <c r="B12" i="7"/>
  <c r="G8" i="7"/>
  <c r="F8" i="7"/>
  <c r="E8" i="7"/>
  <c r="D8" i="7"/>
  <c r="C8" i="7"/>
  <c r="B8" i="7"/>
  <c r="G5" i="7"/>
  <c r="F5" i="7"/>
  <c r="E5" i="7"/>
  <c r="D5" i="7"/>
  <c r="C5" i="7"/>
  <c r="G10" i="7"/>
  <c r="G9" i="7"/>
  <c r="G7" i="7"/>
  <c r="G6" i="7"/>
  <c r="F10" i="7"/>
  <c r="F9" i="7"/>
  <c r="F7" i="7"/>
  <c r="F6" i="7"/>
  <c r="E10" i="7"/>
  <c r="E9" i="7"/>
  <c r="E7" i="7"/>
  <c r="E6" i="7"/>
  <c r="D10" i="7"/>
  <c r="D9" i="7"/>
  <c r="D7" i="7"/>
  <c r="D6" i="7"/>
  <c r="C10" i="7"/>
  <c r="C9" i="7"/>
  <c r="C7" i="7"/>
  <c r="C6" i="7"/>
  <c r="B10" i="7"/>
  <c r="B9" i="7"/>
  <c r="B7" i="7"/>
  <c r="B6" i="7"/>
  <c r="H2" i="5"/>
  <c r="H3" i="5"/>
  <c r="H4" i="5"/>
  <c r="H5" i="5"/>
  <c r="H6" i="5"/>
  <c r="H8" i="5"/>
  <c r="H13" i="5"/>
  <c r="G2" i="5"/>
  <c r="G3" i="5"/>
  <c r="G4" i="5"/>
  <c r="G5" i="5"/>
  <c r="G6" i="5"/>
  <c r="G8" i="5"/>
  <c r="G13" i="5"/>
  <c r="G30" i="5"/>
  <c r="F30" i="5"/>
  <c r="E30" i="5"/>
  <c r="D30" i="5"/>
  <c r="C30" i="5"/>
  <c r="B30" i="5"/>
  <c r="G29" i="5"/>
  <c r="F29" i="5"/>
  <c r="E29" i="5"/>
  <c r="D29" i="5"/>
  <c r="C29" i="5"/>
  <c r="B29" i="5"/>
  <c r="B28" i="5"/>
  <c r="C28" i="5"/>
  <c r="D28" i="5"/>
  <c r="E28" i="5"/>
  <c r="F28" i="5"/>
  <c r="G28" i="5"/>
  <c r="B19" i="5"/>
  <c r="C19" i="5"/>
  <c r="B40" i="5"/>
  <c r="B41" i="5"/>
  <c r="B42" i="5"/>
  <c r="C10" i="5"/>
  <c r="C11" i="5"/>
  <c r="B20" i="1"/>
  <c r="G6" i="1"/>
  <c r="G5" i="1"/>
  <c r="K14" i="1"/>
  <c r="G7" i="1"/>
  <c r="G8" i="1"/>
  <c r="G49" i="1"/>
  <c r="G60" i="1"/>
  <c r="G57" i="1"/>
  <c r="G59" i="1"/>
  <c r="G54" i="1"/>
  <c r="G58" i="1"/>
  <c r="G56" i="1"/>
  <c r="G51" i="1"/>
  <c r="G55" i="1"/>
  <c r="G53" i="1"/>
  <c r="G50" i="1"/>
  <c r="G52" i="1"/>
  <c r="F6" i="1"/>
  <c r="F5" i="1"/>
  <c r="F7" i="1"/>
  <c r="F8" i="1"/>
  <c r="F49" i="1"/>
  <c r="F60" i="1"/>
  <c r="F57" i="1"/>
  <c r="F59" i="1"/>
  <c r="F54" i="1"/>
  <c r="F56" i="1"/>
  <c r="F58" i="1"/>
  <c r="F51" i="1"/>
  <c r="F55" i="1"/>
  <c r="F53" i="1"/>
  <c r="F50" i="1"/>
  <c r="F52" i="1"/>
  <c r="E6" i="1"/>
  <c r="E5" i="1"/>
  <c r="E7" i="1"/>
  <c r="E8" i="1"/>
  <c r="E49" i="1"/>
  <c r="E60" i="1"/>
  <c r="E57" i="1"/>
  <c r="E59" i="1"/>
  <c r="E54" i="1"/>
  <c r="E58" i="1"/>
  <c r="E56" i="1"/>
  <c r="E51" i="1"/>
  <c r="E55" i="1"/>
  <c r="E53" i="1"/>
  <c r="E50" i="1"/>
  <c r="E52" i="1"/>
  <c r="D6" i="1"/>
  <c r="D5" i="1"/>
  <c r="D7" i="1"/>
  <c r="D8" i="1"/>
  <c r="D49" i="1"/>
  <c r="D60" i="1"/>
  <c r="D57" i="1"/>
  <c r="D59" i="1"/>
  <c r="D54" i="1"/>
  <c r="D58" i="1"/>
  <c r="D56" i="1"/>
  <c r="D51" i="1"/>
  <c r="D55" i="1"/>
  <c r="D53" i="1"/>
  <c r="D50" i="1"/>
  <c r="D52" i="1"/>
  <c r="C6" i="1"/>
  <c r="C7" i="1"/>
  <c r="C8" i="1"/>
  <c r="C49" i="1"/>
  <c r="C60" i="1"/>
  <c r="C57" i="1"/>
  <c r="C59" i="1"/>
  <c r="C54" i="1"/>
  <c r="C56" i="1"/>
  <c r="C58" i="1"/>
  <c r="C51" i="1"/>
  <c r="C53" i="1"/>
  <c r="C55" i="1"/>
  <c r="C50" i="1"/>
  <c r="C52" i="1"/>
  <c r="B6" i="1"/>
  <c r="B7" i="1"/>
  <c r="B8" i="1"/>
  <c r="B60" i="1"/>
  <c r="B57" i="1"/>
  <c r="B59" i="1"/>
  <c r="B54" i="1"/>
  <c r="B56" i="1"/>
  <c r="B58" i="1"/>
  <c r="B51" i="1"/>
  <c r="B53" i="1"/>
  <c r="B55" i="1"/>
  <c r="B50" i="1"/>
  <c r="B52" i="1"/>
  <c r="B49" i="1"/>
  <c r="J6" i="1"/>
  <c r="B32" i="1"/>
  <c r="C32" i="1"/>
  <c r="D32" i="1"/>
  <c r="E32" i="1"/>
  <c r="F32" i="1"/>
  <c r="K6" i="1"/>
  <c r="G32" i="1"/>
  <c r="B33" i="1"/>
  <c r="C33" i="1"/>
  <c r="D33" i="1"/>
  <c r="L6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20" i="5"/>
  <c r="C20" i="5"/>
  <c r="C16" i="1"/>
  <c r="C15" i="1"/>
  <c r="B24" i="1"/>
  <c r="B22" i="1"/>
  <c r="B21" i="1"/>
  <c r="B19" i="1"/>
  <c r="B18" i="1"/>
  <c r="B17" i="1"/>
  <c r="B16" i="1"/>
  <c r="B15" i="1"/>
  <c r="N6" i="4"/>
  <c r="N7" i="4"/>
  <c r="N9" i="4"/>
  <c r="C14" i="6"/>
  <c r="B14" i="6"/>
  <c r="B11" i="6"/>
  <c r="E2" i="4"/>
  <c r="E3" i="4"/>
  <c r="F4" i="4"/>
  <c r="E4" i="4"/>
  <c r="F5" i="4"/>
  <c r="E5" i="4"/>
  <c r="J16" i="3"/>
  <c r="J14" i="3"/>
  <c r="D8" i="3"/>
  <c r="D12" i="3"/>
  <c r="J13" i="3"/>
  <c r="J12" i="3"/>
  <c r="D2" i="3"/>
  <c r="J11" i="3"/>
  <c r="J10" i="3"/>
  <c r="D11" i="2"/>
  <c r="D15" i="2"/>
  <c r="J10" i="2"/>
  <c r="J11" i="2"/>
  <c r="J12" i="2"/>
  <c r="J13" i="2"/>
  <c r="J14" i="2"/>
  <c r="J15" i="2"/>
  <c r="J16" i="2"/>
  <c r="J18" i="2"/>
</calcChain>
</file>

<file path=xl/sharedStrings.xml><?xml version="1.0" encoding="utf-8"?>
<sst xmlns="http://schemas.openxmlformats.org/spreadsheetml/2006/main" count="496" uniqueCount="192">
  <si>
    <t>Nombre d'exemplaires</t>
  </si>
  <si>
    <t>Papier</t>
  </si>
  <si>
    <t>Cartes de visite</t>
  </si>
  <si>
    <t>10 x 10 cm</t>
  </si>
  <si>
    <t>10 x 21 cm</t>
  </si>
  <si>
    <t>A6 (148 x 105 mm)</t>
  </si>
  <si>
    <t>A5 (210 x 148 mm)</t>
  </si>
  <si>
    <t xml:space="preserve">A4 (297 x 210 mm) </t>
  </si>
  <si>
    <t>TEMPS D'EXECUTION</t>
  </si>
  <si>
    <t>Reglage machine</t>
  </si>
  <si>
    <t>Calage</t>
  </si>
  <si>
    <t>Nettoyage machine</t>
  </si>
  <si>
    <t>Prepa expedition</t>
  </si>
  <si>
    <t>CAO Flash</t>
  </si>
  <si>
    <t>Recherche de teinte</t>
  </si>
  <si>
    <t>Roulage (pour 100 ex.)</t>
  </si>
  <si>
    <t>FRAIS FIXES</t>
  </si>
  <si>
    <t>Scotch cm2</t>
  </si>
  <si>
    <t>FORMAT PPP</t>
  </si>
  <si>
    <t>29,7 x 8,8</t>
  </si>
  <si>
    <t>29,7 x 14</t>
  </si>
  <si>
    <t>14 x 25</t>
  </si>
  <si>
    <t>18,8 x 14,5</t>
  </si>
  <si>
    <t>25 x 18,8</t>
  </si>
  <si>
    <t>24x 32</t>
  </si>
  <si>
    <t>SURFACE PPP cm2</t>
  </si>
  <si>
    <t>Prix PPP</t>
  </si>
  <si>
    <t>Prix scotch</t>
  </si>
  <si>
    <t>CHARGES</t>
  </si>
  <si>
    <t>MONTANT</t>
  </si>
  <si>
    <t>FREQUENCE</t>
  </si>
  <si>
    <t>Amortissement materiel</t>
  </si>
  <si>
    <t>AN</t>
  </si>
  <si>
    <t>Maintenance</t>
  </si>
  <si>
    <t>Frais fixes</t>
  </si>
  <si>
    <t>Solvant et encre</t>
  </si>
  <si>
    <t>petit outillage</t>
  </si>
  <si>
    <t>Consommables</t>
  </si>
  <si>
    <t>Operateur</t>
  </si>
  <si>
    <t>Salaire operateur</t>
  </si>
  <si>
    <t>Heures travaillées</t>
  </si>
  <si>
    <t>Heures facturées</t>
  </si>
  <si>
    <t>Nb de jours ouvrables</t>
  </si>
  <si>
    <t>MOIS</t>
  </si>
  <si>
    <t>JOUR</t>
  </si>
  <si>
    <t>Nb heure utilisation</t>
  </si>
  <si>
    <t xml:space="preserve">Prix d'achat </t>
  </si>
  <si>
    <t>Durée amortissement</t>
  </si>
  <si>
    <t>Frais financier horaires</t>
  </si>
  <si>
    <t>Amortisesment materiel horaire</t>
  </si>
  <si>
    <t>Frais fixes horaires</t>
  </si>
  <si>
    <t>Frais maintenance horaires</t>
  </si>
  <si>
    <t>Frais outillage horaires</t>
  </si>
  <si>
    <t>Frais encre &amp; solvant horaires</t>
  </si>
  <si>
    <t>Frais opérateur horaire</t>
  </si>
  <si>
    <t xml:space="preserve">TAUX HORAIRE MACHINE </t>
  </si>
  <si>
    <t>Taux d'interet amortissement (3ans)</t>
  </si>
  <si>
    <t>PAPIER</t>
  </si>
  <si>
    <t>Prix à la feuille</t>
  </si>
  <si>
    <t>Grammage</t>
  </si>
  <si>
    <t>510 g</t>
  </si>
  <si>
    <t>Gamme</t>
  </si>
  <si>
    <t>Fedrigoni</t>
  </si>
  <si>
    <t xml:space="preserve"> Old mill</t>
  </si>
  <si>
    <t>350 g</t>
  </si>
  <si>
    <t>Materica Gesso</t>
  </si>
  <si>
    <t>Sirio WW</t>
  </si>
  <si>
    <t>360 g</t>
  </si>
  <si>
    <t xml:space="preserve">700 g </t>
  </si>
  <si>
    <t>Prix au 100 feuilles</t>
  </si>
  <si>
    <t>Prix au 1000 feuilles</t>
  </si>
  <si>
    <t>Nb de formats (pré-prod) par feuilles</t>
  </si>
  <si>
    <t>Nb de formats (fini) par feuilles</t>
  </si>
  <si>
    <t>Temps (en Mn)</t>
  </si>
  <si>
    <t>Massicot pré-prod (100 ex.)</t>
  </si>
  <si>
    <t>Faconnage final (100 ex.)</t>
  </si>
  <si>
    <t>Coût horaire</t>
  </si>
  <si>
    <t>Coût horaire platine</t>
  </si>
  <si>
    <t>Coût horaire massicot</t>
  </si>
  <si>
    <t>à l'heure</t>
  </si>
  <si>
    <t>à la minute</t>
  </si>
  <si>
    <t>Loyer atelier</t>
  </si>
  <si>
    <t>Remboursement adie 1</t>
  </si>
  <si>
    <t>Remboursement adie 2</t>
  </si>
  <si>
    <t>Remboursement prets famille</t>
  </si>
  <si>
    <t>Assurance</t>
  </si>
  <si>
    <t>Banque</t>
  </si>
  <si>
    <t>Impots CFE</t>
  </si>
  <si>
    <t>papier et matieres premieres</t>
  </si>
  <si>
    <t>frais administratifs</t>
  </si>
  <si>
    <t>Taux horaire operateur</t>
  </si>
  <si>
    <t>Passes ( gache machine) par calage</t>
  </si>
  <si>
    <t>nb de feuilles</t>
  </si>
  <si>
    <t>Passes variables (% au 100 f)</t>
  </si>
  <si>
    <t>variable</t>
  </si>
  <si>
    <t>total passes 100 f</t>
  </si>
  <si>
    <t xml:space="preserve">TOTAL </t>
  </si>
  <si>
    <t>passes</t>
  </si>
  <si>
    <t xml:space="preserve">Flash </t>
  </si>
  <si>
    <t>A4</t>
  </si>
  <si>
    <t>A3</t>
  </si>
  <si>
    <t>A2</t>
  </si>
  <si>
    <t>FLASHS</t>
  </si>
  <si>
    <t>Format</t>
  </si>
  <si>
    <t>prix flash total</t>
  </si>
  <si>
    <t>1 couleur R°</t>
  </si>
  <si>
    <t>2 couleur R°</t>
  </si>
  <si>
    <t>3 couleur R°</t>
  </si>
  <si>
    <t>1 A4 + 1 A3</t>
  </si>
  <si>
    <t>1A3 + 1A4</t>
  </si>
  <si>
    <t>1 A2 + 1 A4</t>
  </si>
  <si>
    <t>1 A2 + 1 A3</t>
  </si>
  <si>
    <t>2 A2</t>
  </si>
  <si>
    <t>2 A2 + 1 A4</t>
  </si>
  <si>
    <t>3 A2</t>
  </si>
  <si>
    <t>1 A2 + 1A3</t>
  </si>
  <si>
    <t>2 A2 + 1 A3</t>
  </si>
  <si>
    <t>Cout d'imposition par format de flash</t>
  </si>
  <si>
    <t>Coût PPP par format et nb de couleur</t>
  </si>
  <si>
    <t>50 ex.</t>
  </si>
  <si>
    <t>100 ex.</t>
  </si>
  <si>
    <t>200ex.</t>
  </si>
  <si>
    <t>300ex.</t>
  </si>
  <si>
    <t>400ex.</t>
  </si>
  <si>
    <t>500ex.</t>
  </si>
  <si>
    <t xml:space="preserve">Coût massicot </t>
  </si>
  <si>
    <t>type de coupe</t>
  </si>
  <si>
    <t>frais fixes</t>
  </si>
  <si>
    <t>unités</t>
  </si>
  <si>
    <t>equerrage seul</t>
  </si>
  <si>
    <t>equerrage + coupe 2</t>
  </si>
  <si>
    <t>equerrage + coupe 3,4,5,6</t>
  </si>
  <si>
    <t>feuille</t>
  </si>
  <si>
    <t>1 couleur</t>
  </si>
  <si>
    <t>2 couleurs</t>
  </si>
  <si>
    <t>3 couleurs</t>
  </si>
  <si>
    <t>4 couleurs</t>
  </si>
  <si>
    <t>5 couleurs</t>
  </si>
  <si>
    <t>TEMPS ROULAGE par nb d'ex et couleur</t>
  </si>
  <si>
    <t>Roulage 1 couleur</t>
  </si>
  <si>
    <t>Roulage 2 couleurs</t>
  </si>
  <si>
    <t>Roulage 3 couleurs</t>
  </si>
  <si>
    <t>Roulage 4 couleurs</t>
  </si>
  <si>
    <t>Roulage 5 couleurs</t>
  </si>
  <si>
    <t>roulage 6 couleurs</t>
  </si>
  <si>
    <t>TOTAL</t>
  </si>
  <si>
    <t>Coût Éxé +roulage carte de visites</t>
  </si>
  <si>
    <t>200 ex.</t>
  </si>
  <si>
    <t>300 ex.</t>
  </si>
  <si>
    <t>400 ex.</t>
  </si>
  <si>
    <t>500 ex.</t>
  </si>
  <si>
    <t>Coût Éxé +roulageFORMAT 10x10</t>
  </si>
  <si>
    <t>1 couleur R°V°</t>
  </si>
  <si>
    <t>1 couleur R°V°+ 1 couleur V°</t>
  </si>
  <si>
    <t>2 couleur R°V°</t>
  </si>
  <si>
    <t>2 couleur R°V°+ 1 couleur V°</t>
  </si>
  <si>
    <t>1 couleur R°V°+ 2 couleur V°</t>
  </si>
  <si>
    <t>2 couleur R°V°+ 2 couleur V°</t>
  </si>
  <si>
    <t>3 couleur R°V°</t>
  </si>
  <si>
    <t>3 couleur R°V°+ 1 couleur V°</t>
  </si>
  <si>
    <t>3 couleur R°V°+ 2 couleur V°</t>
  </si>
  <si>
    <t>RECTO/VERSO</t>
  </si>
  <si>
    <t>Coef multi R°V°</t>
  </si>
  <si>
    <t>Coût Éxé +roulageFORMAT 10x21</t>
  </si>
  <si>
    <t>Coût Éxé +roulage FORMAT A6</t>
  </si>
  <si>
    <t>Coût Éxé +roulage FORMAT A5</t>
  </si>
  <si>
    <t>Coût Éxé +roulage FORMAT A4</t>
  </si>
  <si>
    <t>Coût FEDRIGONI OLD MILL 510g Par format &amp; nb exemplaires</t>
  </si>
  <si>
    <t>Coût FEDRIGONI OLD MILL 350g Par format &amp; nb exemplaires</t>
  </si>
  <si>
    <t>Coût FEDRIGONI MATERICA gesso 360g Par format &amp; nb exemplaires</t>
  </si>
  <si>
    <t>Coût FEDRIGONI SIRIO WW 700g Par format &amp; nb exemplaires</t>
  </si>
  <si>
    <t>coût feuille format pré-prod</t>
  </si>
  <si>
    <t>coût passe par calage (10 fls)</t>
  </si>
  <si>
    <t>Nombre de couleur</t>
  </si>
  <si>
    <t>Coût</t>
  </si>
  <si>
    <t>FORMATS</t>
  </si>
  <si>
    <t>CALAGES COULEURS</t>
  </si>
  <si>
    <t>Plaques PhotoPolymères</t>
  </si>
  <si>
    <t>Frais de port</t>
  </si>
  <si>
    <t>Nombre d'imposition par format de flash</t>
  </si>
  <si>
    <t>unité</t>
  </si>
  <si>
    <t>prix</t>
  </si>
  <si>
    <t xml:space="preserve">PPP </t>
  </si>
  <si>
    <t>cm2</t>
  </si>
  <si>
    <t>PRIX TOTAL PPP</t>
  </si>
  <si>
    <t>Nombre de feuilles 70*100 cm necessaires par format</t>
  </si>
  <si>
    <t>Nombres d'exemplaires voulu</t>
  </si>
  <si>
    <t>création plaque PPP</t>
  </si>
  <si>
    <t>Coef multi</t>
  </si>
  <si>
    <t>coût au 1000</t>
  </si>
  <si>
    <t xml:space="preserve">TOTAL CHARGES FIXES </t>
  </si>
  <si>
    <t>Passage 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</si>
</sst>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\ &quot;€&quot;"/>
    <numFmt numFmtId="165" formatCode="#,##0.0000000\ &quot;€&quot;"/>
    <numFmt numFmtId="166" formatCode="#,##0.00\ &quot;€&quot;"/>
    <numFmt numFmtId="167" formatCode="#,##0.00\ _€"/>
    <numFmt numFmtId="168" formatCode="#,##0.00\ &quot;€&quot;;[Red]#,##0.00\ &quot;€&quot;"/>
  </numFmts>
  <fonts count="1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20"/>
      <color theme="1"/>
      <name val="Calibri"/>
      <scheme val="minor"/>
    </font>
    <font>
      <b/>
      <sz val="11"/>
      <name val="Lucida Grande"/>
    </font>
    <font>
      <sz val="11"/>
      <name val="Lucida Grande"/>
    </font>
    <font>
      <b/>
      <sz val="12"/>
      <name val="Arial"/>
      <family val="2"/>
    </font>
    <font>
      <sz val="20"/>
      <color theme="0"/>
      <name val="Calibri"/>
      <scheme val="minor"/>
    </font>
    <font>
      <sz val="12"/>
      <color theme="0"/>
      <name val="Calibri"/>
      <family val="2"/>
      <scheme val="minor"/>
    </font>
    <font>
      <sz val="14"/>
      <color theme="0"/>
      <name val="Calibri"/>
      <scheme val="minor"/>
    </font>
    <font>
      <sz val="14"/>
      <color rgb="FFFFFFFF"/>
      <name val="Calibri"/>
      <scheme val="minor"/>
    </font>
    <font>
      <sz val="12"/>
      <color rgb="FFFFFFFF"/>
      <name val="Calibri"/>
      <family val="2"/>
      <scheme val="minor"/>
    </font>
    <font>
      <sz val="16"/>
      <color theme="1"/>
      <name val="Calibri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749992370372631"/>
        <bgColor rgb="FF000000"/>
      </patternFill>
    </fill>
    <fill>
      <patternFill patternType="solid">
        <fgColor theme="2" tint="-0.499984740745262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rgb="FFE8C622"/>
        <bgColor indexed="64"/>
      </patternFill>
    </fill>
    <fill>
      <patternFill patternType="solid">
        <fgColor rgb="FFE5DB7D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8"/>
      </left>
      <right style="medium">
        <color indexed="8"/>
      </right>
      <top style="thin">
        <color auto="1"/>
      </top>
      <bottom style="thin">
        <color indexed="8"/>
      </bottom>
      <diagonal/>
    </border>
  </borders>
  <cellStyleXfs count="14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0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0" xfId="0" applyFont="1"/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166" fontId="4" fillId="0" borderId="0" xfId="0" applyNumberFormat="1" applyFont="1"/>
    <xf numFmtId="10" fontId="4" fillId="0" borderId="0" xfId="0" applyNumberFormat="1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2" borderId="1" xfId="0" applyFill="1" applyBorder="1"/>
    <xf numFmtId="0" fontId="0" fillId="0" borderId="0" xfId="0" applyFill="1" applyBorder="1"/>
    <xf numFmtId="0" fontId="7" fillId="0" borderId="6" xfId="0" applyFont="1" applyBorder="1"/>
    <xf numFmtId="0" fontId="7" fillId="0" borderId="6" xfId="0" applyFont="1" applyBorder="1" applyAlignment="1">
      <alignment horizontal="left" wrapText="1"/>
    </xf>
    <xf numFmtId="0" fontId="8" fillId="0" borderId="7" xfId="0" applyFont="1" applyFill="1" applyBorder="1" applyAlignment="1">
      <alignment horizontal="left" wrapText="1"/>
    </xf>
    <xf numFmtId="9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 applyFill="1" applyBorder="1"/>
    <xf numFmtId="0" fontId="1" fillId="5" borderId="1" xfId="0" applyFont="1" applyFill="1" applyBorder="1"/>
    <xf numFmtId="166" fontId="0" fillId="5" borderId="0" xfId="0" applyNumberFormat="1" applyFill="1" applyBorder="1" applyAlignment="1">
      <alignment horizontal="center" vertical="center"/>
    </xf>
    <xf numFmtId="166" fontId="0" fillId="5" borderId="2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 vertical="center"/>
    </xf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1" xfId="0" applyFont="1" applyFill="1" applyBorder="1"/>
    <xf numFmtId="166" fontId="0" fillId="5" borderId="12" xfId="0" applyNumberFormat="1" applyFill="1" applyBorder="1" applyAlignment="1">
      <alignment horizontal="center"/>
    </xf>
    <xf numFmtId="166" fontId="0" fillId="5" borderId="13" xfId="0" applyNumberFormat="1" applyFill="1" applyBorder="1" applyAlignment="1">
      <alignment horizontal="center"/>
    </xf>
    <xf numFmtId="0" fontId="0" fillId="7" borderId="0" xfId="0" applyFill="1"/>
    <xf numFmtId="0" fontId="9" fillId="7" borderId="0" xfId="0" applyFont="1" applyFill="1" applyBorder="1" applyAlignment="1">
      <alignment horizontal="left" vertical="center"/>
    </xf>
    <xf numFmtId="0" fontId="0" fillId="8" borderId="0" xfId="0" applyFill="1"/>
    <xf numFmtId="0" fontId="0" fillId="9" borderId="0" xfId="0" applyFill="1"/>
    <xf numFmtId="0" fontId="9" fillId="8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0" fillId="0" borderId="0" xfId="0" applyFill="1"/>
    <xf numFmtId="166" fontId="0" fillId="11" borderId="0" xfId="0" applyNumberFormat="1" applyFont="1" applyFill="1" applyAlignment="1">
      <alignment vertical="center"/>
    </xf>
    <xf numFmtId="167" fontId="0" fillId="0" borderId="0" xfId="0" applyNumberFormat="1"/>
    <xf numFmtId="0" fontId="11" fillId="10" borderId="0" xfId="0" applyFont="1" applyFill="1" applyBorder="1" applyAlignment="1">
      <alignment horizontal="left" vertical="center"/>
    </xf>
    <xf numFmtId="0" fontId="10" fillId="10" borderId="0" xfId="0" applyFont="1" applyFill="1" applyAlignment="1">
      <alignment horizontal="center" vertical="center"/>
    </xf>
    <xf numFmtId="166" fontId="0" fillId="12" borderId="0" xfId="0" applyNumberFormat="1" applyFont="1" applyFill="1" applyAlignment="1">
      <alignment vertical="center"/>
    </xf>
    <xf numFmtId="0" fontId="0" fillId="14" borderId="0" xfId="0" applyFill="1"/>
    <xf numFmtId="0" fontId="0" fillId="16" borderId="0" xfId="0" applyFill="1"/>
    <xf numFmtId="0" fontId="0" fillId="17" borderId="0" xfId="0" applyFill="1"/>
    <xf numFmtId="166" fontId="0" fillId="18" borderId="0" xfId="0" applyNumberFormat="1" applyFont="1" applyFill="1" applyBorder="1" applyAlignment="1">
      <alignment vertical="center"/>
    </xf>
    <xf numFmtId="166" fontId="0" fillId="18" borderId="0" xfId="0" applyNumberFormat="1" applyFont="1" applyFill="1" applyAlignment="1">
      <alignment vertical="center"/>
    </xf>
    <xf numFmtId="0" fontId="0" fillId="13" borderId="0" xfId="0" applyFill="1"/>
    <xf numFmtId="166" fontId="0" fillId="19" borderId="0" xfId="0" applyNumberFormat="1" applyFont="1" applyFill="1" applyBorder="1" applyAlignment="1">
      <alignment vertical="center"/>
    </xf>
    <xf numFmtId="166" fontId="0" fillId="19" borderId="0" xfId="0" applyNumberFormat="1" applyFont="1" applyFill="1" applyAlignment="1">
      <alignment vertical="center"/>
    </xf>
    <xf numFmtId="0" fontId="11" fillId="20" borderId="0" xfId="0" applyFont="1" applyFill="1" applyBorder="1" applyAlignment="1">
      <alignment horizontal="left" vertical="center"/>
    </xf>
    <xf numFmtId="0" fontId="10" fillId="20" borderId="0" xfId="0" applyFont="1" applyFill="1" applyAlignment="1">
      <alignment horizontal="center" vertical="center"/>
    </xf>
    <xf numFmtId="0" fontId="11" fillId="21" borderId="0" xfId="0" applyFont="1" applyFill="1" applyBorder="1" applyAlignment="1">
      <alignment horizontal="left" vertical="center"/>
    </xf>
    <xf numFmtId="0" fontId="10" fillId="21" borderId="0" xfId="0" applyFont="1" applyFill="1" applyAlignment="1">
      <alignment horizontal="center" vertical="center"/>
    </xf>
    <xf numFmtId="0" fontId="0" fillId="22" borderId="0" xfId="0" applyFill="1"/>
    <xf numFmtId="166" fontId="0" fillId="5" borderId="0" xfId="0" applyNumberFormat="1" applyFont="1" applyFill="1" applyBorder="1" applyAlignment="1">
      <alignment vertical="center"/>
    </xf>
    <xf numFmtId="166" fontId="0" fillId="5" borderId="0" xfId="0" applyNumberFormat="1" applyFont="1" applyFill="1" applyAlignment="1">
      <alignment vertical="center"/>
    </xf>
    <xf numFmtId="166" fontId="0" fillId="4" borderId="0" xfId="0" applyNumberFormat="1" applyFont="1" applyFill="1" applyAlignment="1">
      <alignment vertical="center"/>
    </xf>
    <xf numFmtId="0" fontId="11" fillId="8" borderId="0" xfId="0" applyFont="1" applyFill="1" applyBorder="1" applyAlignment="1">
      <alignment horizontal="left" vertical="center"/>
    </xf>
    <xf numFmtId="0" fontId="10" fillId="8" borderId="0" xfId="0" applyFont="1" applyFill="1" applyAlignment="1">
      <alignment horizontal="center" vertical="center"/>
    </xf>
    <xf numFmtId="166" fontId="0" fillId="15" borderId="0" xfId="0" applyNumberFormat="1" applyFont="1" applyFill="1" applyBorder="1" applyAlignment="1">
      <alignment vertical="center"/>
    </xf>
    <xf numFmtId="166" fontId="0" fillId="15" borderId="0" xfId="0" applyNumberFormat="1" applyFont="1" applyFill="1" applyAlignment="1">
      <alignment vertical="center"/>
    </xf>
    <xf numFmtId="166" fontId="0" fillId="16" borderId="0" xfId="0" applyNumberFormat="1" applyFont="1" applyFill="1" applyAlignment="1">
      <alignment vertical="center"/>
    </xf>
    <xf numFmtId="0" fontId="11" fillId="23" borderId="0" xfId="0" applyFont="1" applyFill="1" applyBorder="1" applyAlignment="1">
      <alignment horizontal="left" vertical="center"/>
    </xf>
    <xf numFmtId="0" fontId="10" fillId="23" borderId="0" xfId="0" applyFont="1" applyFill="1" applyAlignment="1">
      <alignment horizontal="center" vertical="center"/>
    </xf>
    <xf numFmtId="0" fontId="0" fillId="24" borderId="0" xfId="0" applyFill="1"/>
    <xf numFmtId="166" fontId="0" fillId="25" borderId="0" xfId="0" applyNumberFormat="1" applyFont="1" applyFill="1" applyBorder="1" applyAlignment="1">
      <alignment vertical="center"/>
    </xf>
    <xf numFmtId="166" fontId="0" fillId="25" borderId="0" xfId="0" applyNumberFormat="1" applyFont="1" applyFill="1" applyAlignment="1">
      <alignment vertical="center"/>
    </xf>
    <xf numFmtId="166" fontId="0" fillId="26" borderId="0" xfId="0" applyNumberFormat="1" applyFont="1" applyFill="1" applyAlignment="1">
      <alignment vertical="center"/>
    </xf>
    <xf numFmtId="0" fontId="12" fillId="27" borderId="0" xfId="0" applyFont="1" applyFill="1" applyAlignment="1">
      <alignment horizontal="left" vertical="center"/>
    </xf>
    <xf numFmtId="0" fontId="13" fillId="27" borderId="0" xfId="0" applyFont="1" applyFill="1" applyAlignment="1">
      <alignment horizontal="center" vertical="center"/>
    </xf>
    <xf numFmtId="0" fontId="4" fillId="28" borderId="0" xfId="0" applyFont="1" applyFill="1"/>
    <xf numFmtId="166" fontId="4" fillId="29" borderId="0" xfId="0" applyNumberFormat="1" applyFont="1" applyFill="1" applyAlignment="1">
      <alignment vertical="center"/>
    </xf>
    <xf numFmtId="166" fontId="4" fillId="30" borderId="0" xfId="0" applyNumberFormat="1" applyFont="1" applyFill="1" applyAlignment="1">
      <alignment vertical="center"/>
    </xf>
    <xf numFmtId="0" fontId="14" fillId="0" borderId="0" xfId="0" applyFont="1" applyAlignment="1">
      <alignment vertical="center"/>
    </xf>
    <xf numFmtId="1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0" fillId="6" borderId="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8" fontId="0" fillId="6" borderId="0" xfId="0" applyNumberFormat="1" applyFill="1" applyAlignment="1">
      <alignment horizontal="center" vertical="center"/>
    </xf>
    <xf numFmtId="166" fontId="0" fillId="9" borderId="0" xfId="0" applyNumberFormat="1" applyFill="1" applyBorder="1" applyAlignment="1">
      <alignment horizontal="center" vertical="center"/>
    </xf>
    <xf numFmtId="166" fontId="0" fillId="9" borderId="0" xfId="0" applyNumberFormat="1" applyFill="1" applyAlignment="1">
      <alignment horizontal="center" vertical="center"/>
    </xf>
    <xf numFmtId="166" fontId="4" fillId="9" borderId="0" xfId="0" applyNumberFormat="1" applyFont="1" applyFill="1" applyAlignment="1">
      <alignment horizontal="center" vertical="center"/>
    </xf>
    <xf numFmtId="0" fontId="0" fillId="0" borderId="17" xfId="0" applyBorder="1"/>
    <xf numFmtId="0" fontId="0" fillId="14" borderId="18" xfId="0" applyFill="1" applyBorder="1"/>
    <xf numFmtId="0" fontId="0" fillId="0" borderId="20" xfId="0" applyBorder="1"/>
    <xf numFmtId="0" fontId="1" fillId="6" borderId="18" xfId="0" applyFont="1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4" borderId="19" xfId="0" applyFill="1" applyBorder="1"/>
    <xf numFmtId="0" fontId="0" fillId="6" borderId="21" xfId="0" applyFill="1" applyBorder="1"/>
    <xf numFmtId="0" fontId="0" fillId="6" borderId="8" xfId="0" applyFill="1" applyBorder="1"/>
    <xf numFmtId="0" fontId="0" fillId="6" borderId="9" xfId="0" applyFill="1" applyBorder="1"/>
    <xf numFmtId="0" fontId="14" fillId="6" borderId="9" xfId="0" applyFont="1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8" fontId="0" fillId="6" borderId="26" xfId="0" applyNumberForma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Font="1" applyFill="1" applyBorder="1"/>
    <xf numFmtId="166" fontId="0" fillId="0" borderId="0" xfId="0" applyNumberFormat="1" applyFont="1" applyFill="1" applyBorder="1" applyAlignment="1">
      <alignment vertical="center"/>
    </xf>
    <xf numFmtId="0" fontId="1" fillId="6" borderId="17" xfId="0" applyFont="1" applyFill="1" applyBorder="1" applyAlignment="1">
      <alignment horizontal="center" vertical="center"/>
    </xf>
    <xf numFmtId="166" fontId="0" fillId="9" borderId="23" xfId="0" applyNumberFormat="1" applyFill="1" applyBorder="1" applyAlignment="1">
      <alignment horizontal="center" vertical="center"/>
    </xf>
    <xf numFmtId="166" fontId="0" fillId="9" borderId="18" xfId="0" applyNumberFormat="1" applyFill="1" applyBorder="1" applyAlignment="1">
      <alignment horizontal="center" vertical="center"/>
    </xf>
    <xf numFmtId="166" fontId="0" fillId="9" borderId="26" xfId="0" applyNumberFormat="1" applyFill="1" applyBorder="1" applyAlignment="1">
      <alignment horizontal="center" vertical="center"/>
    </xf>
    <xf numFmtId="0" fontId="0" fillId="9" borderId="21" xfId="0" applyFill="1" applyBorder="1"/>
    <xf numFmtId="0" fontId="1" fillId="9" borderId="17" xfId="0" applyFont="1" applyFill="1" applyBorder="1" applyAlignment="1">
      <alignment horizontal="center" vertical="center"/>
    </xf>
    <xf numFmtId="0" fontId="0" fillId="9" borderId="8" xfId="0" applyFill="1" applyBorder="1"/>
    <xf numFmtId="0" fontId="0" fillId="9" borderId="9" xfId="0" applyFill="1" applyBorder="1"/>
    <xf numFmtId="0" fontId="14" fillId="9" borderId="9" xfId="0" applyFont="1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6" borderId="25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166" fontId="0" fillId="3" borderId="23" xfId="0" applyNumberFormat="1" applyFill="1" applyBorder="1" applyAlignment="1">
      <alignment horizontal="center" vertical="center"/>
    </xf>
    <xf numFmtId="166" fontId="0" fillId="3" borderId="26" xfId="0" applyNumberFormat="1" applyFill="1" applyBorder="1" applyAlignment="1">
      <alignment horizontal="center" vertical="center"/>
    </xf>
    <xf numFmtId="166" fontId="0" fillId="3" borderId="0" xfId="0" applyNumberFormat="1" applyFill="1" applyBorder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66" fontId="4" fillId="3" borderId="0" xfId="0" applyNumberFormat="1" applyFont="1" applyFill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2" borderId="21" xfId="0" applyFont="1" applyFill="1" applyBorder="1"/>
    <xf numFmtId="168" fontId="0" fillId="2" borderId="26" xfId="0" applyNumberFormat="1" applyFill="1" applyBorder="1" applyAlignment="1">
      <alignment horizontal="center" vertical="center"/>
    </xf>
    <xf numFmtId="168" fontId="0" fillId="2" borderId="0" xfId="0" applyNumberFormat="1" applyFill="1" applyBorder="1" applyAlignment="1">
      <alignment horizontal="center" vertical="center"/>
    </xf>
    <xf numFmtId="168" fontId="0" fillId="2" borderId="23" xfId="0" applyNumberFormat="1" applyFill="1" applyBorder="1" applyAlignment="1">
      <alignment horizontal="center" vertical="center"/>
    </xf>
    <xf numFmtId="168" fontId="0" fillId="2" borderId="22" xfId="0" applyNumberFormat="1" applyFill="1" applyBorder="1" applyAlignment="1">
      <alignment horizontal="center" vertical="center"/>
    </xf>
    <xf numFmtId="168" fontId="0" fillId="2" borderId="21" xfId="0" applyNumberFormat="1" applyFill="1" applyBorder="1" applyAlignment="1">
      <alignment horizontal="center" vertical="center"/>
    </xf>
    <xf numFmtId="168" fontId="0" fillId="2" borderId="24" xfId="0" applyNumberFormat="1" applyFill="1" applyBorder="1" applyAlignment="1">
      <alignment horizontal="center" vertical="center"/>
    </xf>
    <xf numFmtId="0" fontId="1" fillId="14" borderId="27" xfId="0" applyFont="1" applyFill="1" applyBorder="1"/>
    <xf numFmtId="0" fontId="0" fillId="3" borderId="0" xfId="0" applyFill="1" applyBorder="1"/>
    <xf numFmtId="0" fontId="0" fillId="14" borderId="21" xfId="0" applyFill="1" applyBorder="1"/>
    <xf numFmtId="0" fontId="1" fillId="31" borderId="0" xfId="0" applyFont="1" applyFill="1" applyAlignment="1">
      <alignment horizontal="center" vertical="center"/>
    </xf>
    <xf numFmtId="0" fontId="0" fillId="32" borderId="0" xfId="0" applyFill="1"/>
    <xf numFmtId="0" fontId="0" fillId="32" borderId="0" xfId="0" applyFill="1" applyAlignment="1">
      <alignment horizontal="center" vertical="center"/>
    </xf>
    <xf numFmtId="164" fontId="0" fillId="32" borderId="0" xfId="0" applyNumberFormat="1" applyFill="1"/>
    <xf numFmtId="165" fontId="0" fillId="32" borderId="0" xfId="0" applyNumberFormat="1" applyFill="1"/>
    <xf numFmtId="0" fontId="0" fillId="0" borderId="10" xfId="0" applyBorder="1"/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0" fontId="0" fillId="0" borderId="25" xfId="0" applyBorder="1"/>
    <xf numFmtId="166" fontId="0" fillId="0" borderId="25" xfId="0" applyNumberFormat="1" applyBorder="1"/>
    <xf numFmtId="0" fontId="1" fillId="0" borderId="25" xfId="0" applyFont="1" applyBorder="1"/>
    <xf numFmtId="166" fontId="1" fillId="0" borderId="25" xfId="0" applyNumberFormat="1" applyFont="1" applyBorder="1"/>
    <xf numFmtId="0" fontId="1" fillId="0" borderId="25" xfId="0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1" fillId="0" borderId="22" xfId="0" applyFont="1" applyBorder="1"/>
    <xf numFmtId="0" fontId="0" fillId="0" borderId="21" xfId="0" applyBorder="1"/>
    <xf numFmtId="0" fontId="0" fillId="0" borderId="28" xfId="0" applyBorder="1"/>
    <xf numFmtId="10" fontId="0" fillId="0" borderId="25" xfId="0" applyNumberFormat="1" applyBorder="1"/>
    <xf numFmtId="166" fontId="0" fillId="0" borderId="0" xfId="0" applyNumberFormat="1" applyBorder="1"/>
    <xf numFmtId="167" fontId="0" fillId="0" borderId="25" xfId="0" applyNumberFormat="1" applyBorder="1" applyAlignment="1">
      <alignment horizontal="center"/>
    </xf>
    <xf numFmtId="166" fontId="0" fillId="0" borderId="25" xfId="0" applyNumberFormat="1" applyBorder="1" applyAlignment="1">
      <alignment horizontal="center"/>
    </xf>
    <xf numFmtId="166" fontId="4" fillId="0" borderId="25" xfId="0" applyNumberFormat="1" applyFont="1" applyBorder="1"/>
    <xf numFmtId="166" fontId="0" fillId="4" borderId="25" xfId="0" applyNumberFormat="1" applyFill="1" applyBorder="1" applyAlignment="1">
      <alignment horizontal="center" vertical="center"/>
    </xf>
    <xf numFmtId="0" fontId="7" fillId="0" borderId="29" xfId="0" applyFont="1" applyBorder="1"/>
    <xf numFmtId="0" fontId="6" fillId="0" borderId="0" xfId="0" applyFont="1" applyBorder="1" applyAlignment="1">
      <alignment horizontal="center" vertical="center"/>
    </xf>
  </cellXfs>
  <cellStyles count="14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J18"/>
  <sheetViews>
    <sheetView tabSelected="1" showRuler="0" workbookViewId="0">
      <selection activeCell="J18" sqref="J18"/>
    </sheetView>
  </sheetViews>
  <sheetFormatPr baseColWidth="10" defaultRowHeight="15" x14ac:dyDescent="0"/>
  <cols>
    <col min="1" max="1" width="21.6640625" customWidth="1"/>
    <col min="4" max="4" width="13" style="8" customWidth="1"/>
    <col min="5" max="5" width="11.1640625" bestFit="1" customWidth="1"/>
    <col min="9" max="9" width="31.33203125" bestFit="1" customWidth="1"/>
  </cols>
  <sheetData>
    <row r="1" spans="1:10" ht="30" customHeight="1">
      <c r="A1" s="5" t="s">
        <v>28</v>
      </c>
      <c r="B1" s="5"/>
      <c r="C1" s="5"/>
      <c r="D1" s="6" t="s">
        <v>29</v>
      </c>
      <c r="E1" s="5" t="s">
        <v>30</v>
      </c>
    </row>
    <row r="2" spans="1:10">
      <c r="A2" t="s">
        <v>31</v>
      </c>
      <c r="D2" s="8">
        <v>853.2</v>
      </c>
      <c r="E2" t="s">
        <v>32</v>
      </c>
      <c r="I2" t="s">
        <v>46</v>
      </c>
      <c r="J2" s="7">
        <v>2559.6</v>
      </c>
    </row>
    <row r="3" spans="1:10">
      <c r="A3" t="s">
        <v>33</v>
      </c>
      <c r="D3" s="8">
        <v>250</v>
      </c>
      <c r="E3" t="s">
        <v>32</v>
      </c>
    </row>
    <row r="4" spans="1:10">
      <c r="A4" t="s">
        <v>34</v>
      </c>
      <c r="D4" s="8">
        <v>900.95</v>
      </c>
      <c r="E4" t="s">
        <v>43</v>
      </c>
      <c r="I4" t="s">
        <v>56</v>
      </c>
      <c r="J4" s="10">
        <v>8.5300000000000001E-2</v>
      </c>
    </row>
    <row r="5" spans="1:10">
      <c r="A5" t="s">
        <v>35</v>
      </c>
      <c r="D5" s="8">
        <v>435.82</v>
      </c>
      <c r="E5" t="s">
        <v>32</v>
      </c>
    </row>
    <row r="6" spans="1:10">
      <c r="A6" t="s">
        <v>36</v>
      </c>
      <c r="D6" s="8">
        <v>450</v>
      </c>
      <c r="E6" t="s">
        <v>32</v>
      </c>
      <c r="I6" t="s">
        <v>47</v>
      </c>
      <c r="J6">
        <v>3</v>
      </c>
    </row>
    <row r="7" spans="1:10">
      <c r="A7" t="s">
        <v>37</v>
      </c>
      <c r="D7" s="8">
        <v>76</v>
      </c>
      <c r="E7" t="s">
        <v>32</v>
      </c>
    </row>
    <row r="8" spans="1:10">
      <c r="A8" t="s">
        <v>38</v>
      </c>
      <c r="D8" s="9">
        <v>1</v>
      </c>
    </row>
    <row r="9" spans="1:10">
      <c r="A9" t="s">
        <v>39</v>
      </c>
      <c r="D9" s="8">
        <v>66000</v>
      </c>
      <c r="E9" t="s">
        <v>32</v>
      </c>
    </row>
    <row r="10" spans="1:10">
      <c r="A10" t="s">
        <v>40</v>
      </c>
      <c r="D10" s="9">
        <v>8.4</v>
      </c>
      <c r="E10" t="s">
        <v>44</v>
      </c>
      <c r="I10" t="s">
        <v>49</v>
      </c>
      <c r="J10" s="7">
        <f>J2/(D15*J6)</f>
        <v>0.55201863354037262</v>
      </c>
    </row>
    <row r="11" spans="1:10">
      <c r="A11" t="s">
        <v>41</v>
      </c>
      <c r="D11" s="9">
        <f>D10*0.8</f>
        <v>6.7200000000000006</v>
      </c>
      <c r="E11" t="s">
        <v>44</v>
      </c>
      <c r="I11" t="s">
        <v>48</v>
      </c>
      <c r="J11" s="7">
        <f>(J2/2)*(J4/D15)</f>
        <v>7.063078416149067E-2</v>
      </c>
    </row>
    <row r="12" spans="1:10">
      <c r="A12" t="s">
        <v>42</v>
      </c>
      <c r="D12" s="9">
        <v>230</v>
      </c>
      <c r="E12" t="s">
        <v>32</v>
      </c>
      <c r="I12" t="s">
        <v>50</v>
      </c>
      <c r="J12" s="7">
        <f>(D4*12)/D15</f>
        <v>6.9949534161490687</v>
      </c>
    </row>
    <row r="13" spans="1:10">
      <c r="D13"/>
      <c r="I13" t="s">
        <v>51</v>
      </c>
      <c r="J13" s="7">
        <f>D3/D15</f>
        <v>0.16174948240165629</v>
      </c>
    </row>
    <row r="14" spans="1:10">
      <c r="I14" t="s">
        <v>52</v>
      </c>
      <c r="J14" s="7">
        <f>D6/D15</f>
        <v>0.29114906832298132</v>
      </c>
    </row>
    <row r="15" spans="1:10">
      <c r="A15" t="s">
        <v>45</v>
      </c>
      <c r="D15" s="9">
        <f>D11*D12</f>
        <v>1545.6000000000001</v>
      </c>
      <c r="E15" t="s">
        <v>32</v>
      </c>
      <c r="I15" t="s">
        <v>53</v>
      </c>
      <c r="J15" s="7">
        <f>D5/D15</f>
        <v>0.28197463768115938</v>
      </c>
    </row>
    <row r="16" spans="1:10">
      <c r="I16" t="s">
        <v>54</v>
      </c>
      <c r="J16" s="7">
        <f>D9/D15</f>
        <v>42.701863354037265</v>
      </c>
    </row>
    <row r="18" spans="9:10">
      <c r="I18" t="s">
        <v>55</v>
      </c>
      <c r="J18" s="7">
        <f>SUM(J10:J16)</f>
        <v>51.054339376293996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J18"/>
  <sheetViews>
    <sheetView showRuler="0" workbookViewId="0">
      <selection activeCell="J17" sqref="J17"/>
    </sheetView>
  </sheetViews>
  <sheetFormatPr baseColWidth="10" defaultRowHeight="15" x14ac:dyDescent="0"/>
  <cols>
    <col min="1" max="1" width="21" bestFit="1" customWidth="1"/>
    <col min="4" max="4" width="10.6640625" bestFit="1" customWidth="1"/>
    <col min="5" max="5" width="11.1640625" bestFit="1" customWidth="1"/>
    <col min="9" max="9" width="31.33203125" bestFit="1" customWidth="1"/>
    <col min="10" max="10" width="11.33203125" bestFit="1" customWidth="1"/>
  </cols>
  <sheetData>
    <row r="1" spans="1:10">
      <c r="A1" s="11" t="s">
        <v>28</v>
      </c>
      <c r="B1" s="11"/>
      <c r="C1" s="11"/>
      <c r="D1" s="13" t="s">
        <v>29</v>
      </c>
      <c r="E1" s="11" t="s">
        <v>30</v>
      </c>
      <c r="F1" s="12"/>
      <c r="G1" s="12"/>
      <c r="H1" s="12"/>
      <c r="I1" s="12"/>
      <c r="J1" s="12"/>
    </row>
    <row r="2" spans="1:10">
      <c r="A2" s="12" t="s">
        <v>31</v>
      </c>
      <c r="B2" s="12"/>
      <c r="C2" s="12"/>
      <c r="D2" s="14">
        <f>J2/3</f>
        <v>1141.6000000000001</v>
      </c>
      <c r="E2" s="12" t="s">
        <v>32</v>
      </c>
      <c r="F2" s="12"/>
      <c r="G2" s="12"/>
      <c r="H2" s="12"/>
      <c r="I2" s="12" t="s">
        <v>46</v>
      </c>
      <c r="J2" s="15">
        <v>3424.8</v>
      </c>
    </row>
    <row r="3" spans="1:10">
      <c r="A3" s="12" t="s">
        <v>33</v>
      </c>
      <c r="B3" s="12"/>
      <c r="C3" s="12"/>
      <c r="D3" s="14">
        <v>1000</v>
      </c>
      <c r="E3" s="12" t="s">
        <v>32</v>
      </c>
      <c r="F3" s="12"/>
      <c r="G3" s="12"/>
      <c r="H3" s="12"/>
      <c r="I3" s="12"/>
      <c r="J3" s="12"/>
    </row>
    <row r="4" spans="1:10">
      <c r="A4" s="12" t="s">
        <v>34</v>
      </c>
      <c r="B4" s="12"/>
      <c r="C4" s="12"/>
      <c r="D4" s="14">
        <v>900.95</v>
      </c>
      <c r="E4" s="12" t="s">
        <v>43</v>
      </c>
      <c r="F4" s="12"/>
      <c r="G4" s="12"/>
      <c r="H4" s="12"/>
      <c r="I4" s="12" t="s">
        <v>56</v>
      </c>
      <c r="J4" s="16">
        <v>0.11416</v>
      </c>
    </row>
    <row r="5" spans="1:10">
      <c r="A5" s="12" t="s">
        <v>38</v>
      </c>
      <c r="B5" s="12"/>
      <c r="C5" s="12"/>
      <c r="D5" s="17">
        <v>1</v>
      </c>
      <c r="E5" s="12"/>
      <c r="F5" s="12"/>
      <c r="G5" s="12"/>
      <c r="H5" s="12"/>
      <c r="I5" s="12"/>
      <c r="J5" s="12"/>
    </row>
    <row r="6" spans="1:10">
      <c r="A6" s="12" t="s">
        <v>39</v>
      </c>
      <c r="B6" s="12"/>
      <c r="C6" s="12"/>
      <c r="D6" s="14">
        <v>66000</v>
      </c>
      <c r="E6" s="12" t="s">
        <v>32</v>
      </c>
      <c r="F6" s="12"/>
      <c r="G6" s="12"/>
      <c r="H6" s="12"/>
      <c r="I6" s="12" t="s">
        <v>47</v>
      </c>
      <c r="J6" s="12">
        <v>3</v>
      </c>
    </row>
    <row r="7" spans="1:10">
      <c r="A7" s="12" t="s">
        <v>40</v>
      </c>
      <c r="B7" s="12"/>
      <c r="C7" s="12"/>
      <c r="D7" s="17">
        <v>8.4</v>
      </c>
      <c r="E7" s="12" t="s">
        <v>44</v>
      </c>
      <c r="F7" s="12"/>
      <c r="G7" s="12"/>
      <c r="H7" s="12"/>
      <c r="I7" s="12"/>
      <c r="J7" s="12"/>
    </row>
    <row r="8" spans="1:10">
      <c r="A8" s="12" t="s">
        <v>41</v>
      </c>
      <c r="B8" s="12"/>
      <c r="C8" s="12"/>
      <c r="D8" s="17">
        <f>D7*0.8</f>
        <v>6.7200000000000006</v>
      </c>
      <c r="E8" s="12" t="s">
        <v>44</v>
      </c>
      <c r="F8" s="12"/>
      <c r="G8" s="12"/>
      <c r="H8" s="12"/>
      <c r="I8" s="12"/>
      <c r="J8" s="12"/>
    </row>
    <row r="9" spans="1:10">
      <c r="A9" s="12" t="s">
        <v>42</v>
      </c>
      <c r="B9" s="12"/>
      <c r="C9" s="12"/>
      <c r="D9" s="17">
        <v>230</v>
      </c>
      <c r="E9" s="12" t="s">
        <v>32</v>
      </c>
      <c r="F9" s="12"/>
      <c r="G9" s="12"/>
      <c r="H9" s="12"/>
      <c r="I9" s="12"/>
      <c r="J9" s="12"/>
    </row>
    <row r="10" spans="1:10">
      <c r="A10" s="12"/>
      <c r="B10" s="12"/>
      <c r="C10" s="12"/>
      <c r="D10" s="12"/>
      <c r="E10" s="12"/>
      <c r="F10" s="12"/>
      <c r="G10" s="12"/>
      <c r="H10" s="12"/>
      <c r="I10" s="12" t="s">
        <v>49</v>
      </c>
      <c r="J10" s="15">
        <f>J2/(D12*J6)</f>
        <v>0.73861283643892339</v>
      </c>
    </row>
    <row r="11" spans="1:10">
      <c r="A11" s="12"/>
      <c r="B11" s="12"/>
      <c r="C11" s="12"/>
      <c r="D11" s="14"/>
      <c r="E11" s="12"/>
      <c r="F11" s="12"/>
      <c r="G11" s="12"/>
      <c r="H11" s="12"/>
      <c r="I11" s="12" t="s">
        <v>48</v>
      </c>
      <c r="J11" s="15">
        <f>(J2/2)*(J4/D12)</f>
        <v>0.12648006211180124</v>
      </c>
    </row>
    <row r="12" spans="1:10">
      <c r="A12" s="12" t="s">
        <v>45</v>
      </c>
      <c r="B12" s="12"/>
      <c r="C12" s="12"/>
      <c r="D12" s="17">
        <f>D8*D9</f>
        <v>1545.6000000000001</v>
      </c>
      <c r="E12" s="12" t="s">
        <v>32</v>
      </c>
      <c r="F12" s="12"/>
      <c r="G12" s="12"/>
      <c r="H12" s="12"/>
      <c r="I12" s="12" t="s">
        <v>50</v>
      </c>
      <c r="J12" s="15">
        <f>(D4*12)/D12</f>
        <v>6.9949534161490687</v>
      </c>
    </row>
    <row r="13" spans="1:10">
      <c r="A13" s="12"/>
      <c r="B13" s="12"/>
      <c r="C13" s="12"/>
      <c r="D13" s="14"/>
      <c r="E13" s="12"/>
      <c r="F13" s="12"/>
      <c r="G13" s="12"/>
      <c r="H13" s="12"/>
      <c r="I13" s="12" t="s">
        <v>51</v>
      </c>
      <c r="J13" s="15">
        <f>D3/D12</f>
        <v>0.64699792960662517</v>
      </c>
    </row>
    <row r="14" spans="1:10">
      <c r="A14" s="12"/>
      <c r="B14" s="12"/>
      <c r="C14" s="12"/>
      <c r="D14" s="14"/>
      <c r="E14" s="12"/>
      <c r="F14" s="12"/>
      <c r="G14" s="12"/>
      <c r="H14" s="12"/>
      <c r="I14" s="12" t="s">
        <v>54</v>
      </c>
      <c r="J14" s="15">
        <f>D6/D12</f>
        <v>42.701863354037265</v>
      </c>
    </row>
    <row r="15" spans="1:10">
      <c r="A15" s="12"/>
      <c r="B15" s="12"/>
      <c r="C15" s="12"/>
      <c r="D15" s="14"/>
      <c r="E15" s="12"/>
      <c r="F15" s="12"/>
      <c r="G15" s="12"/>
      <c r="H15" s="12"/>
      <c r="I15" s="12"/>
      <c r="J15" s="12"/>
    </row>
    <row r="16" spans="1:10">
      <c r="F16" s="12"/>
      <c r="G16" s="12"/>
      <c r="H16" s="12"/>
      <c r="I16" s="12" t="s">
        <v>55</v>
      </c>
      <c r="J16" s="15">
        <f>SUM(J10:J14)</f>
        <v>51.208907598343686</v>
      </c>
    </row>
    <row r="17" spans="6:8">
      <c r="F17" s="12"/>
      <c r="G17" s="12"/>
      <c r="H17" s="12"/>
    </row>
    <row r="18" spans="6:8">
      <c r="F18" s="12"/>
      <c r="G18" s="12"/>
      <c r="H18" s="1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C14"/>
  <sheetViews>
    <sheetView showRuler="0" workbookViewId="0">
      <selection activeCell="A25" sqref="A25"/>
    </sheetView>
  </sheetViews>
  <sheetFormatPr baseColWidth="10" defaultRowHeight="15" x14ac:dyDescent="0"/>
  <cols>
    <col min="1" max="1" width="27.6640625" bestFit="1" customWidth="1"/>
    <col min="2" max="2" width="10.5" customWidth="1"/>
  </cols>
  <sheetData>
    <row r="1" spans="1:3" ht="24" customHeight="1">
      <c r="A1" s="178" t="s">
        <v>28</v>
      </c>
      <c r="B1" s="172"/>
    </row>
    <row r="2" spans="1:3">
      <c r="A2" s="177" t="s">
        <v>81</v>
      </c>
      <c r="B2" s="162">
        <v>180</v>
      </c>
    </row>
    <row r="3" spans="1:3">
      <c r="A3" s="23" t="s">
        <v>82</v>
      </c>
      <c r="B3" s="162">
        <v>128.12</v>
      </c>
    </row>
    <row r="4" spans="1:3">
      <c r="A4" s="23" t="s">
        <v>83</v>
      </c>
      <c r="B4" s="162">
        <v>145.83000000000001</v>
      </c>
    </row>
    <row r="5" spans="1:3">
      <c r="A5" s="23" t="s">
        <v>84</v>
      </c>
      <c r="B5" s="162">
        <v>150</v>
      </c>
    </row>
    <row r="6" spans="1:3">
      <c r="A6" s="23" t="s">
        <v>85</v>
      </c>
      <c r="B6" s="162">
        <v>44</v>
      </c>
    </row>
    <row r="7" spans="1:3">
      <c r="A7" s="23" t="s">
        <v>86</v>
      </c>
      <c r="B7" s="162">
        <v>30</v>
      </c>
    </row>
    <row r="8" spans="1:3">
      <c r="A8" s="23" t="s">
        <v>87</v>
      </c>
      <c r="B8" s="162">
        <v>23</v>
      </c>
    </row>
    <row r="9" spans="1:3">
      <c r="A9" s="24" t="s">
        <v>88</v>
      </c>
      <c r="B9" s="162">
        <v>100</v>
      </c>
    </row>
    <row r="10" spans="1:3">
      <c r="A10" s="24" t="s">
        <v>89</v>
      </c>
      <c r="B10" s="162">
        <v>100</v>
      </c>
    </row>
    <row r="11" spans="1:3" ht="23" customHeight="1">
      <c r="A11" s="25" t="s">
        <v>190</v>
      </c>
      <c r="B11" s="176">
        <f>SUM(B2:B10)</f>
        <v>900.95</v>
      </c>
    </row>
    <row r="13" spans="1:3">
      <c r="B13" s="160" t="s">
        <v>79</v>
      </c>
      <c r="C13" s="160" t="s">
        <v>80</v>
      </c>
    </row>
    <row r="14" spans="1:3">
      <c r="A14" s="163" t="s">
        <v>90</v>
      </c>
      <c r="B14" s="162">
        <f>(5500+B11)/169</f>
        <v>37.875443786982245</v>
      </c>
      <c r="C14" s="162">
        <f>B14/60</f>
        <v>0.63125739644970413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O76"/>
  <sheetViews>
    <sheetView showRuler="0" topLeftCell="A24" workbookViewId="0">
      <selection activeCell="A67" sqref="A67"/>
    </sheetView>
  </sheetViews>
  <sheetFormatPr baseColWidth="10" defaultRowHeight="15" x14ac:dyDescent="0"/>
  <cols>
    <col min="1" max="1" width="31.83203125" bestFit="1" customWidth="1"/>
    <col min="2" max="2" width="17.83203125" bestFit="1" customWidth="1"/>
    <col min="3" max="3" width="18.1640625" bestFit="1" customWidth="1"/>
    <col min="4" max="4" width="17.83203125" bestFit="1" customWidth="1"/>
    <col min="5" max="5" width="16.83203125" bestFit="1" customWidth="1"/>
    <col min="6" max="6" width="16.5" bestFit="1" customWidth="1"/>
    <col min="7" max="7" width="17" bestFit="1" customWidth="1"/>
    <col min="11" max="11" width="30.1640625" bestFit="1" customWidth="1"/>
    <col min="12" max="12" width="12.33203125" bestFit="1" customWidth="1"/>
    <col min="13" max="13" width="8" bestFit="1" customWidth="1"/>
    <col min="14" max="14" width="15.33203125" bestFit="1" customWidth="1"/>
  </cols>
  <sheetData>
    <row r="1" spans="1:15" ht="25" customHeight="1">
      <c r="A1" s="18" t="s">
        <v>57</v>
      </c>
      <c r="B1" s="18" t="s">
        <v>61</v>
      </c>
      <c r="C1" s="18" t="s">
        <v>59</v>
      </c>
      <c r="D1" s="18" t="s">
        <v>70</v>
      </c>
      <c r="E1" s="18" t="s">
        <v>69</v>
      </c>
      <c r="F1" s="18" t="s">
        <v>58</v>
      </c>
      <c r="G1" s="18"/>
    </row>
    <row r="2" spans="1:15">
      <c r="A2" s="5" t="s">
        <v>62</v>
      </c>
      <c r="B2" s="3" t="s">
        <v>63</v>
      </c>
      <c r="C2" s="5" t="s">
        <v>60</v>
      </c>
      <c r="D2" s="19">
        <v>1917</v>
      </c>
      <c r="E2" s="20">
        <f>D2/10</f>
        <v>191.7</v>
      </c>
      <c r="F2" s="20">
        <f>D2/1000</f>
        <v>1.917</v>
      </c>
      <c r="G2" s="20"/>
    </row>
    <row r="3" spans="1:15">
      <c r="A3" s="5" t="s">
        <v>62</v>
      </c>
      <c r="B3" s="5" t="s">
        <v>63</v>
      </c>
      <c r="C3" s="3" t="s">
        <v>64</v>
      </c>
      <c r="D3" s="20">
        <v>1251</v>
      </c>
      <c r="E3" s="20">
        <f>D3/10</f>
        <v>125.1</v>
      </c>
      <c r="F3" s="20">
        <f>D3/1000</f>
        <v>1.2509999999999999</v>
      </c>
      <c r="G3" s="20"/>
    </row>
    <row r="4" spans="1:15">
      <c r="A4" s="5" t="s">
        <v>62</v>
      </c>
      <c r="B4" s="5" t="s">
        <v>65</v>
      </c>
      <c r="C4" s="5" t="s">
        <v>67</v>
      </c>
      <c r="D4" s="20">
        <v>1494</v>
      </c>
      <c r="E4" s="20">
        <f>D4/10</f>
        <v>149.4</v>
      </c>
      <c r="F4" s="19">
        <f>D4/1000</f>
        <v>1.494</v>
      </c>
      <c r="G4" s="20"/>
    </row>
    <row r="5" spans="1:15">
      <c r="A5" s="5" t="s">
        <v>62</v>
      </c>
      <c r="B5" s="5" t="s">
        <v>66</v>
      </c>
      <c r="C5" s="5" t="s">
        <v>68</v>
      </c>
      <c r="D5" s="20">
        <v>3057</v>
      </c>
      <c r="E5" s="20">
        <f>D5/10</f>
        <v>305.7</v>
      </c>
      <c r="F5" s="20">
        <f>D5/1000</f>
        <v>3.0569999999999999</v>
      </c>
      <c r="G5" s="20"/>
      <c r="L5" s="2" t="s">
        <v>92</v>
      </c>
      <c r="M5" s="2" t="s">
        <v>94</v>
      </c>
      <c r="N5" t="s">
        <v>95</v>
      </c>
    </row>
    <row r="6" spans="1:15">
      <c r="A6" s="5"/>
      <c r="B6" s="5"/>
      <c r="K6" s="2" t="s">
        <v>91</v>
      </c>
      <c r="L6">
        <v>10</v>
      </c>
      <c r="N6">
        <f>L6</f>
        <v>10</v>
      </c>
    </row>
    <row r="7" spans="1:15">
      <c r="A7" s="5"/>
      <c r="B7" s="5"/>
      <c r="K7" s="2" t="s">
        <v>93</v>
      </c>
      <c r="L7">
        <v>100</v>
      </c>
      <c r="M7" s="26">
        <v>0.08</v>
      </c>
      <c r="N7">
        <f>L7*M7</f>
        <v>8</v>
      </c>
    </row>
    <row r="8" spans="1:15">
      <c r="A8" s="5"/>
      <c r="B8" s="5"/>
    </row>
    <row r="9" spans="1:15">
      <c r="A9" s="5"/>
      <c r="B9" s="5"/>
      <c r="M9" s="27" t="s">
        <v>96</v>
      </c>
      <c r="N9" s="3">
        <f>N6+N7</f>
        <v>18</v>
      </c>
      <c r="O9" t="s">
        <v>97</v>
      </c>
    </row>
    <row r="10" spans="1:15">
      <c r="A10" s="5"/>
      <c r="B10" s="5"/>
    </row>
    <row r="11" spans="1:15">
      <c r="A11" s="5"/>
      <c r="B11" s="5"/>
    </row>
    <row r="12" spans="1:15">
      <c r="A12" s="5"/>
      <c r="B12" s="5"/>
    </row>
    <row r="13" spans="1:15">
      <c r="A13" s="5"/>
      <c r="B13" s="5"/>
    </row>
    <row r="14" spans="1:15" ht="21" customHeight="1">
      <c r="B14" s="18" t="s">
        <v>2</v>
      </c>
      <c r="C14" s="18" t="s">
        <v>3</v>
      </c>
      <c r="D14" s="18" t="s">
        <v>4</v>
      </c>
      <c r="E14" s="18" t="s">
        <v>5</v>
      </c>
      <c r="F14" s="18" t="s">
        <v>6</v>
      </c>
      <c r="G14" s="18" t="s">
        <v>7</v>
      </c>
    </row>
    <row r="15" spans="1:15" ht="23" customHeight="1">
      <c r="A15" s="18" t="s">
        <v>71</v>
      </c>
      <c r="B15" s="5">
        <v>18</v>
      </c>
      <c r="C15" s="5">
        <v>15</v>
      </c>
      <c r="D15" s="5">
        <v>20</v>
      </c>
      <c r="E15" s="5">
        <v>20</v>
      </c>
      <c r="F15" s="5">
        <v>12</v>
      </c>
      <c r="G15" s="5">
        <v>8</v>
      </c>
    </row>
    <row r="16" spans="1:15" ht="22" customHeight="1">
      <c r="A16" s="18" t="s">
        <v>72</v>
      </c>
      <c r="B16" s="5">
        <v>36</v>
      </c>
      <c r="C16" s="5">
        <v>30</v>
      </c>
      <c r="D16" s="5">
        <v>20</v>
      </c>
      <c r="E16" s="5">
        <v>20</v>
      </c>
      <c r="F16" s="5">
        <v>12</v>
      </c>
      <c r="G16" s="5">
        <v>8</v>
      </c>
    </row>
    <row r="17" spans="1:7">
      <c r="A17" s="18"/>
      <c r="B17" s="5"/>
      <c r="C17" s="5"/>
      <c r="D17" s="5"/>
      <c r="E17" s="5"/>
      <c r="F17" s="5"/>
      <c r="G17" s="5"/>
    </row>
    <row r="18" spans="1:7" ht="25" customHeight="1"/>
    <row r="21" spans="1:7" ht="24" customHeight="1">
      <c r="A21" s="89" t="s">
        <v>185</v>
      </c>
    </row>
    <row r="22" spans="1:7" ht="20" customHeight="1">
      <c r="A22" s="18" t="s">
        <v>186</v>
      </c>
      <c r="B22" s="18" t="s">
        <v>2</v>
      </c>
      <c r="C22" s="18" t="s">
        <v>3</v>
      </c>
      <c r="D22" s="18" t="s">
        <v>4</v>
      </c>
      <c r="E22" s="18" t="s">
        <v>5</v>
      </c>
      <c r="F22" s="18" t="s">
        <v>6</v>
      </c>
      <c r="G22" s="18" t="s">
        <v>7</v>
      </c>
    </row>
    <row r="23" spans="1:7">
      <c r="A23" s="3">
        <v>50</v>
      </c>
      <c r="B23" s="90">
        <f>ROUNDUP((A23/B16),0)</f>
        <v>2</v>
      </c>
      <c r="C23" s="5">
        <f>ROUNDUP((A23/C16),0)</f>
        <v>2</v>
      </c>
      <c r="D23" s="5">
        <f>ROUNDUP((A23/D16),0)</f>
        <v>3</v>
      </c>
      <c r="E23" s="5">
        <f>ROUNDUP((A23/E16),0)</f>
        <v>3</v>
      </c>
      <c r="F23" s="5">
        <f>ROUNDUP((A23/F16),0)</f>
        <v>5</v>
      </c>
      <c r="G23" s="5">
        <f>ROUNDUP((A23/G16),0)</f>
        <v>7</v>
      </c>
    </row>
    <row r="24" spans="1:7">
      <c r="A24" s="3">
        <v>100</v>
      </c>
      <c r="B24" s="5">
        <f>ROUNDUP((A24/B16),0)</f>
        <v>3</v>
      </c>
      <c r="C24" s="5">
        <f>ROUNDUP((A24/C16),0)</f>
        <v>4</v>
      </c>
      <c r="D24" s="5">
        <f>ROUNDUP((A24/D16),0)</f>
        <v>5</v>
      </c>
      <c r="E24" s="5">
        <f>ROUNDUP((A24/E16),0)</f>
        <v>5</v>
      </c>
      <c r="F24" s="5">
        <f>ROUNDUP((A24/F16),0)</f>
        <v>9</v>
      </c>
      <c r="G24" s="5">
        <f>ROUNDUP((A24/G16),0)</f>
        <v>13</v>
      </c>
    </row>
    <row r="25" spans="1:7">
      <c r="A25" s="3">
        <v>200</v>
      </c>
      <c r="B25" s="5">
        <f>ROUNDUP((A25/B16),0)</f>
        <v>6</v>
      </c>
      <c r="C25" s="5">
        <f>ROUNDUP((A25/C16),0)</f>
        <v>7</v>
      </c>
      <c r="D25" s="5">
        <f>ROUNDUP((A25/D16),0)</f>
        <v>10</v>
      </c>
      <c r="E25" s="5">
        <f>ROUNDUP((A25/E16),0)</f>
        <v>10</v>
      </c>
      <c r="F25" s="5">
        <f>ROUNDUP((A25/F16),0)</f>
        <v>17</v>
      </c>
      <c r="G25" s="5">
        <f>ROUNDUP((A25/G16),0)</f>
        <v>25</v>
      </c>
    </row>
    <row r="26" spans="1:7">
      <c r="A26" s="3">
        <v>300</v>
      </c>
      <c r="B26" s="5">
        <f>ROUNDUP((A26/B16),0)</f>
        <v>9</v>
      </c>
      <c r="C26" s="5">
        <f>ROUNDUP((A26/C16),0)</f>
        <v>10</v>
      </c>
      <c r="D26" s="5">
        <f>ROUNDUP((A26/D16),0)</f>
        <v>15</v>
      </c>
      <c r="E26" s="5">
        <f>ROUNDUP((A26/E16),0)</f>
        <v>15</v>
      </c>
      <c r="F26" s="5">
        <f>ROUNDUP((A26/F16),0)</f>
        <v>25</v>
      </c>
      <c r="G26" s="5">
        <f>ROUNDUP((A26/G16),0)</f>
        <v>38</v>
      </c>
    </row>
    <row r="27" spans="1:7">
      <c r="A27" s="3">
        <v>400</v>
      </c>
      <c r="B27" s="5">
        <f>ROUNDUP((A27/B16),0)</f>
        <v>12</v>
      </c>
      <c r="C27" s="5">
        <f>ROUNDUP((A27/C16),0)</f>
        <v>14</v>
      </c>
      <c r="D27" s="5">
        <f>ROUNDUP((A27/D16),0)</f>
        <v>20</v>
      </c>
      <c r="E27" s="5">
        <f>ROUNDUP((A27/E16),0)</f>
        <v>20</v>
      </c>
      <c r="F27" s="5">
        <f>ROUNDUP((A27/F16),0)</f>
        <v>34</v>
      </c>
      <c r="G27" s="5">
        <f>ROUNDUP((A27/G16),0)</f>
        <v>50</v>
      </c>
    </row>
    <row r="28" spans="1:7">
      <c r="A28" s="3">
        <v>500</v>
      </c>
      <c r="B28" s="5">
        <f>ROUNDUP((A28/B16),0)</f>
        <v>14</v>
      </c>
      <c r="C28" s="5">
        <f>ROUNDUP((A28/C16),0)</f>
        <v>17</v>
      </c>
      <c r="D28" s="5">
        <f>ROUNDUP((A28/D16),0)</f>
        <v>25</v>
      </c>
      <c r="E28" s="5">
        <f>ROUNDUP((A28/E16),0)</f>
        <v>25</v>
      </c>
      <c r="F28" s="5">
        <f>ROUNDUP((A28/F16),0)</f>
        <v>42</v>
      </c>
      <c r="G28" s="5">
        <f>ROUNDUP((A28/G16),0)</f>
        <v>63</v>
      </c>
    </row>
    <row r="30" spans="1:7" ht="20">
      <c r="A30" s="89" t="s">
        <v>168</v>
      </c>
    </row>
    <row r="31" spans="1:7">
      <c r="A31" s="18" t="s">
        <v>186</v>
      </c>
      <c r="B31" s="18" t="s">
        <v>2</v>
      </c>
      <c r="C31" s="18" t="s">
        <v>3</v>
      </c>
      <c r="D31" s="18" t="s">
        <v>4</v>
      </c>
      <c r="E31" s="18" t="s">
        <v>5</v>
      </c>
      <c r="F31" s="18" t="s">
        <v>6</v>
      </c>
      <c r="G31" s="18" t="s">
        <v>7</v>
      </c>
    </row>
    <row r="32" spans="1:7">
      <c r="A32" s="3">
        <v>50</v>
      </c>
      <c r="B32" s="91">
        <f>B23*F3</f>
        <v>2.5019999999999998</v>
      </c>
      <c r="C32" s="91">
        <f>C23*F3</f>
        <v>2.5019999999999998</v>
      </c>
      <c r="D32" s="91">
        <f>D23*F3</f>
        <v>3.7529999999999997</v>
      </c>
      <c r="E32" s="91">
        <f>E23*F3</f>
        <v>3.7529999999999997</v>
      </c>
      <c r="F32" s="91">
        <f>F23*F3</f>
        <v>6.254999999999999</v>
      </c>
      <c r="G32" s="91">
        <f>G23*F3</f>
        <v>8.7569999999999997</v>
      </c>
    </row>
    <row r="33" spans="1:7">
      <c r="A33" s="3">
        <v>100</v>
      </c>
      <c r="B33" s="91">
        <f>B24*F3</f>
        <v>3.7529999999999997</v>
      </c>
      <c r="C33" s="91">
        <f>C24*F3</f>
        <v>5.0039999999999996</v>
      </c>
      <c r="D33" s="91">
        <f>D24*F3</f>
        <v>6.254999999999999</v>
      </c>
      <c r="E33" s="91">
        <f>E24*F3</f>
        <v>6.254999999999999</v>
      </c>
      <c r="F33" s="91">
        <f>F24*F3</f>
        <v>11.258999999999999</v>
      </c>
      <c r="G33" s="91">
        <f>G24*F3</f>
        <v>16.262999999999998</v>
      </c>
    </row>
    <row r="34" spans="1:7">
      <c r="A34" s="3">
        <v>200</v>
      </c>
      <c r="B34" s="91">
        <f>B25*F3</f>
        <v>7.5059999999999993</v>
      </c>
      <c r="C34" s="91">
        <f>C25*F3</f>
        <v>8.7569999999999997</v>
      </c>
      <c r="D34" s="91">
        <f>D25*F3</f>
        <v>12.509999999999998</v>
      </c>
      <c r="E34" s="91">
        <f>E25*F3</f>
        <v>12.509999999999998</v>
      </c>
      <c r="F34" s="91">
        <f>F25*F3</f>
        <v>21.266999999999999</v>
      </c>
      <c r="G34" s="91">
        <f>G25*F3</f>
        <v>31.274999999999999</v>
      </c>
    </row>
    <row r="35" spans="1:7">
      <c r="A35" s="3">
        <v>300</v>
      </c>
      <c r="B35" s="91">
        <f>B26*F3</f>
        <v>11.258999999999999</v>
      </c>
      <c r="C35" s="91">
        <f>C26*F3</f>
        <v>12.509999999999998</v>
      </c>
      <c r="D35" s="91">
        <f>D26*F3</f>
        <v>18.764999999999997</v>
      </c>
      <c r="E35" s="91">
        <f>E26*F3</f>
        <v>18.764999999999997</v>
      </c>
      <c r="F35" s="91">
        <f>F26*F3</f>
        <v>31.274999999999999</v>
      </c>
      <c r="G35" s="91">
        <f>G26*F3</f>
        <v>47.537999999999997</v>
      </c>
    </row>
    <row r="36" spans="1:7">
      <c r="A36" s="3">
        <v>400</v>
      </c>
      <c r="B36" s="91">
        <f>B27*F3</f>
        <v>15.011999999999999</v>
      </c>
      <c r="C36" s="91">
        <f>C27*F3</f>
        <v>17.513999999999999</v>
      </c>
      <c r="D36" s="91">
        <f>D27*F3</f>
        <v>25.019999999999996</v>
      </c>
      <c r="E36" s="91">
        <f>E27*F3</f>
        <v>25.019999999999996</v>
      </c>
      <c r="F36" s="91">
        <f>F27*F3</f>
        <v>42.533999999999999</v>
      </c>
      <c r="G36" s="91">
        <f>G27*F3</f>
        <v>62.55</v>
      </c>
    </row>
    <row r="37" spans="1:7">
      <c r="A37" s="3">
        <v>500</v>
      </c>
      <c r="B37" s="91">
        <f>B28*F3</f>
        <v>17.513999999999999</v>
      </c>
      <c r="C37" s="91">
        <f>C28*F3</f>
        <v>21.266999999999999</v>
      </c>
      <c r="D37" s="91">
        <f>D28*F3</f>
        <v>31.274999999999999</v>
      </c>
      <c r="E37" s="91">
        <f>E28*F3</f>
        <v>31.274999999999999</v>
      </c>
      <c r="F37" s="91">
        <f>F28*F3</f>
        <v>52.541999999999994</v>
      </c>
      <c r="G37" s="91">
        <f>G28*F3</f>
        <v>78.812999999999988</v>
      </c>
    </row>
    <row r="38" spans="1:7">
      <c r="A38" s="3"/>
      <c r="B38" s="91"/>
      <c r="C38" s="91"/>
      <c r="D38" s="91"/>
      <c r="E38" s="91"/>
      <c r="F38" s="91"/>
      <c r="G38" s="91"/>
    </row>
    <row r="39" spans="1:7">
      <c r="A39" s="18" t="s">
        <v>171</v>
      </c>
      <c r="B39" s="19">
        <f>F3/$B15</f>
        <v>6.9499999999999992E-2</v>
      </c>
      <c r="C39" s="19">
        <f>F3/$C15</f>
        <v>8.3399999999999988E-2</v>
      </c>
      <c r="D39" s="19">
        <f>F3/$D15</f>
        <v>6.2549999999999994E-2</v>
      </c>
      <c r="E39" s="19">
        <f>F3/$E15</f>
        <v>6.2549999999999994E-2</v>
      </c>
      <c r="F39" s="19">
        <f>F3/$F15</f>
        <v>0.10425</v>
      </c>
      <c r="G39" s="19">
        <f>F3/$G15</f>
        <v>0.15637499999999999</v>
      </c>
    </row>
    <row r="40" spans="1:7">
      <c r="A40" s="18" t="s">
        <v>172</v>
      </c>
      <c r="B40" s="19">
        <f t="shared" ref="B40:G40" si="0">B39*10</f>
        <v>0.69499999999999995</v>
      </c>
      <c r="C40" s="19">
        <f t="shared" si="0"/>
        <v>0.83399999999999985</v>
      </c>
      <c r="D40" s="19">
        <f t="shared" si="0"/>
        <v>0.62549999999999994</v>
      </c>
      <c r="E40" s="19">
        <f t="shared" si="0"/>
        <v>0.62549999999999994</v>
      </c>
      <c r="F40" s="19">
        <f t="shared" si="0"/>
        <v>1.0425</v>
      </c>
      <c r="G40" s="19">
        <f t="shared" si="0"/>
        <v>1.5637499999999998</v>
      </c>
    </row>
    <row r="42" spans="1:7" ht="20">
      <c r="A42" s="89" t="s">
        <v>167</v>
      </c>
      <c r="C42" s="89"/>
    </row>
    <row r="43" spans="1:7">
      <c r="A43" s="18" t="s">
        <v>186</v>
      </c>
      <c r="B43" s="18" t="s">
        <v>2</v>
      </c>
      <c r="C43" s="18" t="s">
        <v>3</v>
      </c>
      <c r="D43" s="18" t="s">
        <v>4</v>
      </c>
      <c r="E43" s="18" t="s">
        <v>5</v>
      </c>
      <c r="F43" s="18" t="s">
        <v>6</v>
      </c>
      <c r="G43" s="18" t="s">
        <v>7</v>
      </c>
    </row>
    <row r="44" spans="1:7">
      <c r="A44" s="3">
        <v>50</v>
      </c>
      <c r="B44" s="91">
        <f>B23*F2</f>
        <v>3.8340000000000001</v>
      </c>
      <c r="C44" s="91">
        <f>C23*F2</f>
        <v>3.8340000000000001</v>
      </c>
      <c r="D44" s="91">
        <f>D23*F2</f>
        <v>5.7510000000000003</v>
      </c>
      <c r="E44" s="91">
        <f>E23*F2</f>
        <v>5.7510000000000003</v>
      </c>
      <c r="F44" s="91">
        <f>F23*F2</f>
        <v>9.5850000000000009</v>
      </c>
      <c r="G44" s="91">
        <f>G23*F2</f>
        <v>13.419</v>
      </c>
    </row>
    <row r="45" spans="1:7">
      <c r="A45" s="3">
        <v>100</v>
      </c>
      <c r="B45" s="91">
        <f>B24*F2</f>
        <v>5.7510000000000003</v>
      </c>
      <c r="C45" s="91">
        <f>C24*F2</f>
        <v>7.6680000000000001</v>
      </c>
      <c r="D45" s="91">
        <f>D24*F2</f>
        <v>9.5850000000000009</v>
      </c>
      <c r="E45" s="91">
        <f>E24*F2</f>
        <v>9.5850000000000009</v>
      </c>
      <c r="F45" s="91">
        <f>F24*F2</f>
        <v>17.253</v>
      </c>
      <c r="G45" s="91">
        <f>G24*F2</f>
        <v>24.920999999999999</v>
      </c>
    </row>
    <row r="46" spans="1:7">
      <c r="A46" s="3">
        <v>200</v>
      </c>
      <c r="B46" s="91">
        <f>B25*F2</f>
        <v>11.502000000000001</v>
      </c>
      <c r="C46" s="91">
        <f>C25*F2</f>
        <v>13.419</v>
      </c>
      <c r="D46" s="91">
        <f>D25*F2</f>
        <v>19.170000000000002</v>
      </c>
      <c r="E46" s="91">
        <f>E25*F2</f>
        <v>19.170000000000002</v>
      </c>
      <c r="F46" s="91">
        <f>F25*F2</f>
        <v>32.588999999999999</v>
      </c>
      <c r="G46" s="91">
        <f>G25*F2</f>
        <v>47.925000000000004</v>
      </c>
    </row>
    <row r="47" spans="1:7">
      <c r="A47" s="3">
        <v>300</v>
      </c>
      <c r="B47" s="91">
        <f>B26*F2</f>
        <v>17.253</v>
      </c>
      <c r="C47" s="91">
        <f>C26*F2</f>
        <v>19.170000000000002</v>
      </c>
      <c r="D47" s="91">
        <f>D26*F2</f>
        <v>28.754999999999999</v>
      </c>
      <c r="E47" s="91">
        <f>E26*F2</f>
        <v>28.754999999999999</v>
      </c>
      <c r="F47" s="91">
        <f>F26*F2</f>
        <v>47.925000000000004</v>
      </c>
      <c r="G47" s="91">
        <f>G26*F2</f>
        <v>72.846000000000004</v>
      </c>
    </row>
    <row r="48" spans="1:7">
      <c r="A48" s="3">
        <v>400</v>
      </c>
      <c r="B48" s="91">
        <f>B27*F2</f>
        <v>23.004000000000001</v>
      </c>
      <c r="C48" s="91">
        <f>C27*F2</f>
        <v>26.838000000000001</v>
      </c>
      <c r="D48" s="91">
        <f>D27*F2</f>
        <v>38.340000000000003</v>
      </c>
      <c r="E48" s="91">
        <f>E27*F2</f>
        <v>38.340000000000003</v>
      </c>
      <c r="F48" s="91">
        <f>F27*F2</f>
        <v>65.177999999999997</v>
      </c>
      <c r="G48" s="91">
        <f>G27*F2</f>
        <v>95.850000000000009</v>
      </c>
    </row>
    <row r="49" spans="1:7">
      <c r="A49" s="3">
        <v>500</v>
      </c>
      <c r="B49" s="91">
        <f>B28*F2</f>
        <v>26.838000000000001</v>
      </c>
      <c r="C49" s="91">
        <f>C28*F2</f>
        <v>32.588999999999999</v>
      </c>
      <c r="D49" s="91">
        <f>D28*F2</f>
        <v>47.925000000000004</v>
      </c>
      <c r="E49" s="91">
        <f>E28*F2</f>
        <v>47.925000000000004</v>
      </c>
      <c r="F49" s="91">
        <f>F28*F2</f>
        <v>80.513999999999996</v>
      </c>
      <c r="G49" s="91">
        <f>G28*F2</f>
        <v>120.771</v>
      </c>
    </row>
    <row r="50" spans="1:7">
      <c r="A50" s="3"/>
      <c r="B50" s="91"/>
      <c r="C50" s="91"/>
      <c r="D50" s="91"/>
      <c r="E50" s="91"/>
      <c r="F50" s="91"/>
      <c r="G50" s="91"/>
    </row>
    <row r="51" spans="1:7">
      <c r="A51" s="18" t="s">
        <v>171</v>
      </c>
      <c r="B51" s="19">
        <f>F2/$B$15</f>
        <v>0.1065</v>
      </c>
      <c r="C51" s="19">
        <f>F2/$C$15</f>
        <v>0.1278</v>
      </c>
      <c r="D51" s="19">
        <f>F2/$D$15</f>
        <v>9.5850000000000005E-2</v>
      </c>
      <c r="E51" s="19">
        <f>F2/$E$15</f>
        <v>9.5850000000000005E-2</v>
      </c>
      <c r="F51" s="19">
        <f>F2/$F$15</f>
        <v>0.15975</v>
      </c>
      <c r="G51" s="19">
        <f>F2/$G$15</f>
        <v>0.239625</v>
      </c>
    </row>
    <row r="52" spans="1:7">
      <c r="A52" s="18" t="s">
        <v>172</v>
      </c>
      <c r="B52" s="19">
        <f t="shared" ref="B52:G52" si="1">B51*10</f>
        <v>1.0649999999999999</v>
      </c>
      <c r="C52" s="19">
        <f t="shared" si="1"/>
        <v>1.278</v>
      </c>
      <c r="D52" s="19">
        <f t="shared" si="1"/>
        <v>0.95850000000000002</v>
      </c>
      <c r="E52" s="19">
        <f t="shared" si="1"/>
        <v>0.95850000000000002</v>
      </c>
      <c r="F52" s="19">
        <f t="shared" si="1"/>
        <v>1.5975000000000001</v>
      </c>
      <c r="G52" s="19">
        <f t="shared" si="1"/>
        <v>2.3962500000000002</v>
      </c>
    </row>
    <row r="54" spans="1:7" ht="20">
      <c r="A54" s="89" t="s">
        <v>169</v>
      </c>
      <c r="C54" s="89"/>
    </row>
    <row r="55" spans="1:7">
      <c r="A55" s="18" t="s">
        <v>186</v>
      </c>
      <c r="B55" s="18" t="s">
        <v>2</v>
      </c>
      <c r="C55" s="18" t="s">
        <v>3</v>
      </c>
      <c r="D55" s="18" t="s">
        <v>4</v>
      </c>
      <c r="E55" s="18" t="s">
        <v>5</v>
      </c>
      <c r="F55" s="18" t="s">
        <v>6</v>
      </c>
      <c r="G55" s="18" t="s">
        <v>7</v>
      </c>
    </row>
    <row r="56" spans="1:7">
      <c r="A56" s="3">
        <v>50</v>
      </c>
      <c r="B56" s="91">
        <f t="shared" ref="B56:G56" si="2">B23*$F4</f>
        <v>2.988</v>
      </c>
      <c r="C56" s="91">
        <f t="shared" si="2"/>
        <v>2.988</v>
      </c>
      <c r="D56" s="91">
        <f t="shared" si="2"/>
        <v>4.4820000000000002</v>
      </c>
      <c r="E56" s="91">
        <f t="shared" si="2"/>
        <v>4.4820000000000002</v>
      </c>
      <c r="F56" s="91">
        <f t="shared" si="2"/>
        <v>7.47</v>
      </c>
      <c r="G56" s="91">
        <f t="shared" si="2"/>
        <v>10.458</v>
      </c>
    </row>
    <row r="57" spans="1:7">
      <c r="A57" s="3">
        <v>100</v>
      </c>
      <c r="B57" s="91">
        <f t="shared" ref="B57:G57" si="3">B24*$F4</f>
        <v>4.4820000000000002</v>
      </c>
      <c r="C57" s="91">
        <f t="shared" si="3"/>
        <v>5.976</v>
      </c>
      <c r="D57" s="91">
        <f t="shared" si="3"/>
        <v>7.47</v>
      </c>
      <c r="E57" s="91">
        <f t="shared" si="3"/>
        <v>7.47</v>
      </c>
      <c r="F57" s="91">
        <f t="shared" si="3"/>
        <v>13.446</v>
      </c>
      <c r="G57" s="91">
        <f t="shared" si="3"/>
        <v>19.422000000000001</v>
      </c>
    </row>
    <row r="58" spans="1:7">
      <c r="A58" s="3">
        <v>200</v>
      </c>
      <c r="B58" s="91">
        <f t="shared" ref="B58:G58" si="4">B25*$F4</f>
        <v>8.9640000000000004</v>
      </c>
      <c r="C58" s="91">
        <f t="shared" si="4"/>
        <v>10.458</v>
      </c>
      <c r="D58" s="91">
        <f t="shared" si="4"/>
        <v>14.94</v>
      </c>
      <c r="E58" s="91">
        <f t="shared" si="4"/>
        <v>14.94</v>
      </c>
      <c r="F58" s="91">
        <f t="shared" si="4"/>
        <v>25.398</v>
      </c>
      <c r="G58" s="91">
        <f t="shared" si="4"/>
        <v>37.35</v>
      </c>
    </row>
    <row r="59" spans="1:7">
      <c r="A59" s="3">
        <v>300</v>
      </c>
      <c r="B59" s="91">
        <f t="shared" ref="B59:G59" si="5">B26*$F4</f>
        <v>13.446</v>
      </c>
      <c r="C59" s="91">
        <f t="shared" si="5"/>
        <v>14.94</v>
      </c>
      <c r="D59" s="91">
        <f t="shared" si="5"/>
        <v>22.41</v>
      </c>
      <c r="E59" s="91">
        <f t="shared" si="5"/>
        <v>22.41</v>
      </c>
      <c r="F59" s="91">
        <f t="shared" si="5"/>
        <v>37.35</v>
      </c>
      <c r="G59" s="91">
        <f t="shared" si="5"/>
        <v>56.771999999999998</v>
      </c>
    </row>
    <row r="60" spans="1:7">
      <c r="A60" s="3">
        <v>400</v>
      </c>
      <c r="B60" s="91">
        <f t="shared" ref="B60:G60" si="6">B27*$F4</f>
        <v>17.928000000000001</v>
      </c>
      <c r="C60" s="91">
        <f t="shared" si="6"/>
        <v>20.916</v>
      </c>
      <c r="D60" s="91">
        <f t="shared" si="6"/>
        <v>29.88</v>
      </c>
      <c r="E60" s="91">
        <f t="shared" si="6"/>
        <v>29.88</v>
      </c>
      <c r="F60" s="91">
        <f t="shared" si="6"/>
        <v>50.795999999999999</v>
      </c>
      <c r="G60" s="91">
        <f t="shared" si="6"/>
        <v>74.7</v>
      </c>
    </row>
    <row r="61" spans="1:7">
      <c r="A61" s="3">
        <v>500</v>
      </c>
      <c r="B61" s="91">
        <f t="shared" ref="B61:G61" si="7">B28*$F4</f>
        <v>20.916</v>
      </c>
      <c r="C61" s="91">
        <f t="shared" si="7"/>
        <v>25.398</v>
      </c>
      <c r="D61" s="91">
        <f t="shared" si="7"/>
        <v>37.35</v>
      </c>
      <c r="E61" s="91">
        <f t="shared" si="7"/>
        <v>37.35</v>
      </c>
      <c r="F61" s="91">
        <f t="shared" si="7"/>
        <v>62.747999999999998</v>
      </c>
      <c r="G61" s="91">
        <f t="shared" si="7"/>
        <v>94.122</v>
      </c>
    </row>
    <row r="62" spans="1:7">
      <c r="A62" s="3"/>
      <c r="B62" s="91"/>
      <c r="C62" s="91"/>
      <c r="D62" s="91"/>
      <c r="E62" s="91"/>
      <c r="F62" s="91"/>
      <c r="G62" s="91"/>
    </row>
    <row r="63" spans="1:7">
      <c r="A63" s="18" t="s">
        <v>171</v>
      </c>
      <c r="B63" s="19">
        <f>F4/$B$15</f>
        <v>8.3000000000000004E-2</v>
      </c>
      <c r="C63" s="19">
        <f>F4/$C$15</f>
        <v>9.9599999999999994E-2</v>
      </c>
      <c r="D63" s="19">
        <f>F4/$D$15</f>
        <v>7.4700000000000003E-2</v>
      </c>
      <c r="E63" s="19">
        <f>F4/$E$15</f>
        <v>7.4700000000000003E-2</v>
      </c>
      <c r="F63" s="19">
        <f>F4/$F$15</f>
        <v>0.1245</v>
      </c>
      <c r="G63" s="19">
        <f>F4/$G$15</f>
        <v>0.18675</v>
      </c>
    </row>
    <row r="64" spans="1:7">
      <c r="A64" s="18" t="s">
        <v>172</v>
      </c>
      <c r="B64" s="19">
        <f t="shared" ref="B64:G64" si="8">B63*10</f>
        <v>0.83000000000000007</v>
      </c>
      <c r="C64" s="19">
        <f t="shared" si="8"/>
        <v>0.996</v>
      </c>
      <c r="D64" s="19">
        <f t="shared" si="8"/>
        <v>0.747</v>
      </c>
      <c r="E64" s="19">
        <f t="shared" si="8"/>
        <v>0.747</v>
      </c>
      <c r="F64" s="19">
        <f t="shared" si="8"/>
        <v>1.2450000000000001</v>
      </c>
      <c r="G64" s="19">
        <f t="shared" si="8"/>
        <v>1.8674999999999999</v>
      </c>
    </row>
    <row r="65" spans="1:7">
      <c r="C65" s="5"/>
    </row>
    <row r="66" spans="1:7" ht="20">
      <c r="A66" s="89" t="s">
        <v>170</v>
      </c>
      <c r="C66" s="89"/>
    </row>
    <row r="67" spans="1:7">
      <c r="A67" s="18" t="s">
        <v>186</v>
      </c>
      <c r="B67" s="18" t="s">
        <v>2</v>
      </c>
      <c r="C67" s="18" t="s">
        <v>3</v>
      </c>
      <c r="D67" s="18" t="s">
        <v>4</v>
      </c>
      <c r="E67" s="18" t="s">
        <v>5</v>
      </c>
      <c r="F67" s="18" t="s">
        <v>6</v>
      </c>
      <c r="G67" s="18" t="s">
        <v>7</v>
      </c>
    </row>
    <row r="68" spans="1:7">
      <c r="A68" s="3">
        <v>50</v>
      </c>
      <c r="B68" s="91">
        <f t="shared" ref="B68:G73" si="9">B23*$F$5</f>
        <v>6.1139999999999999</v>
      </c>
      <c r="C68" s="91">
        <f t="shared" si="9"/>
        <v>6.1139999999999999</v>
      </c>
      <c r="D68" s="91">
        <f t="shared" si="9"/>
        <v>9.1709999999999994</v>
      </c>
      <c r="E68" s="91">
        <f t="shared" si="9"/>
        <v>9.1709999999999994</v>
      </c>
      <c r="F68" s="91">
        <f t="shared" si="9"/>
        <v>15.285</v>
      </c>
      <c r="G68" s="91">
        <f t="shared" si="9"/>
        <v>21.399000000000001</v>
      </c>
    </row>
    <row r="69" spans="1:7">
      <c r="A69" s="3">
        <v>100</v>
      </c>
      <c r="B69" s="91">
        <f t="shared" si="9"/>
        <v>9.1709999999999994</v>
      </c>
      <c r="C69" s="91">
        <f t="shared" si="9"/>
        <v>12.228</v>
      </c>
      <c r="D69" s="91">
        <f t="shared" si="9"/>
        <v>15.285</v>
      </c>
      <c r="E69" s="91">
        <f t="shared" si="9"/>
        <v>15.285</v>
      </c>
      <c r="F69" s="91">
        <f t="shared" si="9"/>
        <v>27.512999999999998</v>
      </c>
      <c r="G69" s="91">
        <f t="shared" si="9"/>
        <v>39.741</v>
      </c>
    </row>
    <row r="70" spans="1:7">
      <c r="A70" s="3">
        <v>200</v>
      </c>
      <c r="B70" s="91">
        <f t="shared" si="9"/>
        <v>18.341999999999999</v>
      </c>
      <c r="C70" s="91">
        <f t="shared" si="9"/>
        <v>21.399000000000001</v>
      </c>
      <c r="D70" s="91">
        <f t="shared" si="9"/>
        <v>30.57</v>
      </c>
      <c r="E70" s="91">
        <f t="shared" si="9"/>
        <v>30.57</v>
      </c>
      <c r="F70" s="91">
        <f t="shared" si="9"/>
        <v>51.969000000000001</v>
      </c>
      <c r="G70" s="91">
        <f t="shared" si="9"/>
        <v>76.424999999999997</v>
      </c>
    </row>
    <row r="71" spans="1:7">
      <c r="A71" s="3">
        <v>300</v>
      </c>
      <c r="B71" s="91">
        <f t="shared" si="9"/>
        <v>27.512999999999998</v>
      </c>
      <c r="C71" s="91">
        <f t="shared" si="9"/>
        <v>30.57</v>
      </c>
      <c r="D71" s="91">
        <f t="shared" si="9"/>
        <v>45.854999999999997</v>
      </c>
      <c r="E71" s="91">
        <f t="shared" si="9"/>
        <v>45.854999999999997</v>
      </c>
      <c r="F71" s="91">
        <f t="shared" si="9"/>
        <v>76.424999999999997</v>
      </c>
      <c r="G71" s="91">
        <f t="shared" si="9"/>
        <v>116.166</v>
      </c>
    </row>
    <row r="72" spans="1:7">
      <c r="A72" s="3">
        <v>400</v>
      </c>
      <c r="B72" s="91">
        <f t="shared" si="9"/>
        <v>36.683999999999997</v>
      </c>
      <c r="C72" s="91">
        <f t="shared" si="9"/>
        <v>42.798000000000002</v>
      </c>
      <c r="D72" s="91">
        <f t="shared" si="9"/>
        <v>61.14</v>
      </c>
      <c r="E72" s="91">
        <f t="shared" si="9"/>
        <v>61.14</v>
      </c>
      <c r="F72" s="91">
        <f t="shared" si="9"/>
        <v>103.938</v>
      </c>
      <c r="G72" s="91">
        <f t="shared" si="9"/>
        <v>152.85</v>
      </c>
    </row>
    <row r="73" spans="1:7">
      <c r="A73" s="3">
        <v>500</v>
      </c>
      <c r="B73" s="91">
        <f t="shared" si="9"/>
        <v>42.798000000000002</v>
      </c>
      <c r="C73" s="91">
        <f t="shared" si="9"/>
        <v>51.969000000000001</v>
      </c>
      <c r="D73" s="91">
        <f t="shared" si="9"/>
        <v>76.424999999999997</v>
      </c>
      <c r="E73" s="91">
        <f t="shared" si="9"/>
        <v>76.424999999999997</v>
      </c>
      <c r="F73" s="91">
        <f t="shared" si="9"/>
        <v>128.39400000000001</v>
      </c>
      <c r="G73" s="91">
        <f t="shared" si="9"/>
        <v>192.59100000000001</v>
      </c>
    </row>
    <row r="75" spans="1:7">
      <c r="A75" s="18" t="s">
        <v>171</v>
      </c>
      <c r="B75" s="19">
        <f>F5/$B$15</f>
        <v>0.16983333333333334</v>
      </c>
      <c r="C75" s="19">
        <f>F5/$C$15</f>
        <v>0.20380000000000001</v>
      </c>
      <c r="D75" s="19">
        <f>F5/$D$15</f>
        <v>0.15284999999999999</v>
      </c>
      <c r="E75" s="19">
        <f>F5/$E$15</f>
        <v>0.15284999999999999</v>
      </c>
      <c r="F75" s="19">
        <f>F5/$F$15</f>
        <v>0.25474999999999998</v>
      </c>
      <c r="G75" s="19">
        <f>F5/$G$15</f>
        <v>0.38212499999999999</v>
      </c>
    </row>
    <row r="76" spans="1:7">
      <c r="A76" s="18" t="s">
        <v>172</v>
      </c>
      <c r="B76" s="19">
        <f t="shared" ref="B76:G76" si="10">B75*10</f>
        <v>1.6983333333333333</v>
      </c>
      <c r="C76" s="19">
        <f t="shared" si="10"/>
        <v>2.0380000000000003</v>
      </c>
      <c r="D76" s="19">
        <f t="shared" si="10"/>
        <v>1.5284999999999997</v>
      </c>
      <c r="E76" s="19">
        <f t="shared" si="10"/>
        <v>1.5284999999999997</v>
      </c>
      <c r="F76" s="19">
        <f t="shared" si="10"/>
        <v>2.5474999999999999</v>
      </c>
      <c r="G76" s="19">
        <f t="shared" si="10"/>
        <v>3.82125</v>
      </c>
    </row>
  </sheetData>
  <phoneticPr fontId="15" type="noConversion"/>
  <pageMargins left="0.75" right="0.75" top="1" bottom="1" header="0.5" footer="0.5"/>
  <pageSetup paperSize="9" scale="31" orientation="portrait" horizontalDpi="4294967292" verticalDpi="4294967292"/>
  <colBreaks count="1" manualBreakCount="1">
    <brk id="16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L74"/>
  <sheetViews>
    <sheetView showRuler="0" workbookViewId="0">
      <selection activeCell="H43" sqref="H43"/>
    </sheetView>
  </sheetViews>
  <sheetFormatPr baseColWidth="10" defaultRowHeight="15" x14ac:dyDescent="0"/>
  <cols>
    <col min="1" max="1" width="24.6640625" bestFit="1" customWidth="1"/>
    <col min="2" max="2" width="15.6640625" customWidth="1"/>
    <col min="3" max="3" width="16" customWidth="1"/>
    <col min="4" max="4" width="15.83203125" customWidth="1"/>
    <col min="5" max="5" width="18" customWidth="1"/>
    <col min="6" max="6" width="17.1640625" customWidth="1"/>
    <col min="7" max="7" width="17" customWidth="1"/>
    <col min="8" max="8" width="22" customWidth="1"/>
    <col min="9" max="9" width="13.1640625" bestFit="1" customWidth="1"/>
    <col min="10" max="10" width="11.5" bestFit="1" customWidth="1"/>
    <col min="11" max="11" width="20.1640625" bestFit="1" customWidth="1"/>
    <col min="12" max="12" width="21.5" bestFit="1" customWidth="1"/>
  </cols>
  <sheetData>
    <row r="1" spans="1:12" ht="16" thickBot="1"/>
    <row r="2" spans="1:12" ht="26" thickBot="1">
      <c r="A2" s="149"/>
      <c r="B2" s="50" t="s">
        <v>177</v>
      </c>
      <c r="C2" s="149"/>
      <c r="D2" s="149"/>
      <c r="E2" s="149"/>
      <c r="F2" s="149"/>
      <c r="G2" s="149"/>
      <c r="I2" s="36"/>
      <c r="J2" s="35" t="s">
        <v>102</v>
      </c>
      <c r="K2" s="37"/>
      <c r="L2" s="38"/>
    </row>
    <row r="3" spans="1:12">
      <c r="A3" s="150"/>
      <c r="B3" s="103" t="s">
        <v>2</v>
      </c>
      <c r="C3" s="111" t="s">
        <v>3</v>
      </c>
      <c r="D3" s="104" t="s">
        <v>4</v>
      </c>
      <c r="E3" s="103" t="s">
        <v>5</v>
      </c>
      <c r="F3" s="111" t="s">
        <v>6</v>
      </c>
      <c r="G3" s="104" t="s">
        <v>7</v>
      </c>
      <c r="I3" s="39" t="s">
        <v>103</v>
      </c>
      <c r="J3" s="40" t="s">
        <v>99</v>
      </c>
      <c r="K3" s="40" t="s">
        <v>100</v>
      </c>
      <c r="L3" s="41" t="s">
        <v>101</v>
      </c>
    </row>
    <row r="4" spans="1:12">
      <c r="A4" s="148" t="s">
        <v>18</v>
      </c>
      <c r="B4" s="33" t="s">
        <v>19</v>
      </c>
      <c r="C4" s="32" t="s">
        <v>20</v>
      </c>
      <c r="D4" s="137" t="s">
        <v>21</v>
      </c>
      <c r="E4" s="32" t="s">
        <v>22</v>
      </c>
      <c r="F4" s="137" t="s">
        <v>23</v>
      </c>
      <c r="G4" s="139" t="s">
        <v>24</v>
      </c>
      <c r="I4" s="29" t="s">
        <v>98</v>
      </c>
      <c r="J4" s="30">
        <v>8.2799999999999994</v>
      </c>
      <c r="K4" s="30">
        <v>12.6</v>
      </c>
      <c r="L4" s="31">
        <v>22.68</v>
      </c>
    </row>
    <row r="5" spans="1:12">
      <c r="A5" s="21" t="s">
        <v>25</v>
      </c>
      <c r="B5" s="138">
        <v>261.36</v>
      </c>
      <c r="C5" s="34">
        <v>415.8</v>
      </c>
      <c r="D5" s="138">
        <f>14*25</f>
        <v>350</v>
      </c>
      <c r="E5" s="34">
        <f>18.8*14.5</f>
        <v>272.60000000000002</v>
      </c>
      <c r="F5" s="136">
        <f>25*18.8</f>
        <v>470</v>
      </c>
      <c r="G5" s="140">
        <f>24*32</f>
        <v>768</v>
      </c>
      <c r="I5" s="29" t="s">
        <v>178</v>
      </c>
      <c r="J5" s="30">
        <v>15.48</v>
      </c>
      <c r="K5" s="30">
        <v>15.48</v>
      </c>
      <c r="L5" s="31">
        <v>15.48</v>
      </c>
    </row>
    <row r="6" spans="1:12" ht="16" thickBot="1">
      <c r="A6" s="21" t="s">
        <v>26</v>
      </c>
      <c r="B6" s="142">
        <f>B5*K13</f>
        <v>3.1363200000000004</v>
      </c>
      <c r="C6" s="143">
        <f>415.8*K13</f>
        <v>4.9896000000000003</v>
      </c>
      <c r="D6" s="142">
        <f>350*K13</f>
        <v>4.2</v>
      </c>
      <c r="E6" s="143">
        <f>272.6*K13</f>
        <v>3.2712000000000003</v>
      </c>
      <c r="F6" s="144">
        <f>470*K13</f>
        <v>5.64</v>
      </c>
      <c r="G6" s="144">
        <f>768*K13</f>
        <v>9.2160000000000011</v>
      </c>
      <c r="I6" s="42" t="s">
        <v>104</v>
      </c>
      <c r="J6" s="43">
        <f>J4+J5</f>
        <v>23.759999999999998</v>
      </c>
      <c r="K6" s="43">
        <f>K4+K5</f>
        <v>28.08</v>
      </c>
      <c r="L6" s="44">
        <f>L4+L5</f>
        <v>38.159999999999997</v>
      </c>
    </row>
    <row r="7" spans="1:12">
      <c r="A7" s="21" t="s">
        <v>27</v>
      </c>
      <c r="B7" s="142">
        <f>B5*$K$14</f>
        <v>6.6323612903225809E-3</v>
      </c>
      <c r="C7" s="143">
        <f>C5*$K$14</f>
        <v>1.0551483870967743E-2</v>
      </c>
      <c r="D7" s="142">
        <f>D5*$K$14</f>
        <v>8.8817204301075269E-3</v>
      </c>
      <c r="E7" s="143">
        <f>E5*$K$14</f>
        <v>6.9175913978494624E-3</v>
      </c>
      <c r="F7" s="144">
        <f>F5*$K$14</f>
        <v>1.1926881720430106E-2</v>
      </c>
      <c r="G7" s="144">
        <f>G5*$K$14</f>
        <v>1.9489032258064518E-2</v>
      </c>
    </row>
    <row r="8" spans="1:12">
      <c r="A8" s="141" t="s">
        <v>184</v>
      </c>
      <c r="B8" s="145">
        <f t="shared" ref="B8:G8" si="0">B6+B7</f>
        <v>3.1429523612903232</v>
      </c>
      <c r="C8" s="147">
        <f t="shared" si="0"/>
        <v>5.000151483870968</v>
      </c>
      <c r="D8" s="147">
        <f t="shared" si="0"/>
        <v>4.2088817204301074</v>
      </c>
      <c r="E8" s="146">
        <f t="shared" si="0"/>
        <v>3.2781175913978498</v>
      </c>
      <c r="F8" s="147">
        <f t="shared" si="0"/>
        <v>5.6519268817204296</v>
      </c>
      <c r="G8" s="146">
        <f t="shared" si="0"/>
        <v>9.2354890322580658</v>
      </c>
    </row>
    <row r="11" spans="1:12">
      <c r="B11" s="4"/>
      <c r="J11" s="5"/>
    </row>
    <row r="12" spans="1:12" ht="26" customHeight="1">
      <c r="A12" s="45"/>
      <c r="B12" s="46" t="s">
        <v>179</v>
      </c>
      <c r="C12" s="45"/>
      <c r="D12" s="45"/>
      <c r="E12" s="45"/>
      <c r="F12" s="45"/>
      <c r="G12" s="45"/>
      <c r="I12" s="151" t="s">
        <v>16</v>
      </c>
      <c r="J12" s="151" t="s">
        <v>180</v>
      </c>
      <c r="K12" s="151" t="s">
        <v>181</v>
      </c>
    </row>
    <row r="13" spans="1:12" ht="20">
      <c r="A13" s="106"/>
      <c r="B13" s="107"/>
      <c r="C13" s="108"/>
      <c r="D13" s="109" t="s">
        <v>175</v>
      </c>
      <c r="E13" s="108"/>
      <c r="F13" s="108"/>
      <c r="G13" s="108"/>
      <c r="I13" s="152" t="s">
        <v>182</v>
      </c>
      <c r="J13" s="153" t="s">
        <v>183</v>
      </c>
      <c r="K13" s="154">
        <v>1.2E-2</v>
      </c>
    </row>
    <row r="14" spans="1:12">
      <c r="A14" s="102" t="s">
        <v>176</v>
      </c>
      <c r="B14" s="103" t="s">
        <v>2</v>
      </c>
      <c r="C14" s="111" t="s">
        <v>3</v>
      </c>
      <c r="D14" s="104" t="s">
        <v>4</v>
      </c>
      <c r="E14" s="111" t="s">
        <v>5</v>
      </c>
      <c r="F14" s="104" t="s">
        <v>6</v>
      </c>
      <c r="G14" s="103" t="s">
        <v>7</v>
      </c>
      <c r="I14" s="152" t="s">
        <v>17</v>
      </c>
      <c r="J14" s="153" t="s">
        <v>183</v>
      </c>
      <c r="K14" s="155">
        <f>35.4/1395000</f>
        <v>2.5376344086021505E-5</v>
      </c>
    </row>
    <row r="15" spans="1:12">
      <c r="A15" s="105" t="s">
        <v>105</v>
      </c>
      <c r="B15" s="93" t="str">
        <f>J3</f>
        <v>A4</v>
      </c>
      <c r="C15" s="112" t="str">
        <f>J3</f>
        <v>A4</v>
      </c>
      <c r="D15" s="93" t="s">
        <v>99</v>
      </c>
      <c r="E15" s="112" t="s">
        <v>99</v>
      </c>
      <c r="F15" s="93" t="s">
        <v>99</v>
      </c>
      <c r="G15" s="110" t="s">
        <v>100</v>
      </c>
    </row>
    <row r="16" spans="1:12">
      <c r="A16" s="100" t="s">
        <v>106</v>
      </c>
      <c r="B16" s="94" t="str">
        <f>J3</f>
        <v>A4</v>
      </c>
      <c r="C16" s="112" t="str">
        <f>K3</f>
        <v>A3</v>
      </c>
      <c r="D16" s="94" t="s">
        <v>100</v>
      </c>
      <c r="E16" s="112" t="s">
        <v>101</v>
      </c>
      <c r="F16" s="94" t="s">
        <v>101</v>
      </c>
      <c r="G16" s="110" t="s">
        <v>101</v>
      </c>
    </row>
    <row r="17" spans="1:8">
      <c r="A17" s="100" t="s">
        <v>107</v>
      </c>
      <c r="B17" s="94" t="str">
        <f>K3</f>
        <v>A3</v>
      </c>
      <c r="C17" s="112" t="s">
        <v>109</v>
      </c>
      <c r="D17" s="94" t="s">
        <v>109</v>
      </c>
      <c r="E17" s="113" t="s">
        <v>110</v>
      </c>
      <c r="F17" s="95" t="s">
        <v>110</v>
      </c>
      <c r="G17" s="110" t="s">
        <v>115</v>
      </c>
    </row>
    <row r="18" spans="1:8">
      <c r="A18" s="100" t="s">
        <v>152</v>
      </c>
      <c r="B18" s="94" t="str">
        <f>J3</f>
        <v>A4</v>
      </c>
      <c r="C18" s="112" t="s">
        <v>100</v>
      </c>
      <c r="D18" s="94" t="s">
        <v>100</v>
      </c>
      <c r="E18" s="112" t="s">
        <v>101</v>
      </c>
      <c r="F18" s="94" t="s">
        <v>101</v>
      </c>
      <c r="G18" s="110" t="s">
        <v>101</v>
      </c>
      <c r="H18" s="51"/>
    </row>
    <row r="19" spans="1:8">
      <c r="A19" s="100" t="s">
        <v>153</v>
      </c>
      <c r="B19" s="94" t="str">
        <f>K3</f>
        <v>A3</v>
      </c>
      <c r="C19" s="112" t="s">
        <v>109</v>
      </c>
      <c r="D19" s="94" t="s">
        <v>109</v>
      </c>
      <c r="E19" s="113" t="s">
        <v>110</v>
      </c>
      <c r="F19" s="95" t="s">
        <v>110</v>
      </c>
      <c r="G19" s="110" t="s">
        <v>115</v>
      </c>
    </row>
    <row r="20" spans="1:8">
      <c r="A20" s="100" t="s">
        <v>156</v>
      </c>
      <c r="B20" s="94" t="str">
        <f>L3</f>
        <v>A2</v>
      </c>
      <c r="C20" s="112" t="s">
        <v>101</v>
      </c>
      <c r="D20" s="94" t="s">
        <v>101</v>
      </c>
      <c r="E20" s="112" t="s">
        <v>112</v>
      </c>
      <c r="F20" s="94" t="s">
        <v>112</v>
      </c>
      <c r="G20" s="110" t="s">
        <v>112</v>
      </c>
    </row>
    <row r="21" spans="1:8">
      <c r="A21" s="100" t="s">
        <v>154</v>
      </c>
      <c r="B21" s="94" t="str">
        <f>K3</f>
        <v>A3</v>
      </c>
      <c r="C21" s="112" t="s">
        <v>109</v>
      </c>
      <c r="D21" s="94" t="s">
        <v>109</v>
      </c>
      <c r="E21" s="113" t="s">
        <v>110</v>
      </c>
      <c r="F21" s="95" t="s">
        <v>110</v>
      </c>
      <c r="G21" s="114" t="s">
        <v>115</v>
      </c>
    </row>
    <row r="22" spans="1:8">
      <c r="A22" s="100" t="s">
        <v>155</v>
      </c>
      <c r="B22" s="94" t="str">
        <f>L3</f>
        <v>A2</v>
      </c>
      <c r="C22" s="112" t="s">
        <v>101</v>
      </c>
      <c r="D22" s="94" t="s">
        <v>101</v>
      </c>
      <c r="E22" s="112" t="s">
        <v>112</v>
      </c>
      <c r="F22" s="94" t="s">
        <v>112</v>
      </c>
      <c r="G22" s="110" t="s">
        <v>112</v>
      </c>
    </row>
    <row r="23" spans="1:8">
      <c r="A23" s="100" t="s">
        <v>157</v>
      </c>
      <c r="B23" s="94" t="s">
        <v>108</v>
      </c>
      <c r="C23" s="112" t="s">
        <v>110</v>
      </c>
      <c r="D23" s="94" t="s">
        <v>110</v>
      </c>
      <c r="E23" s="113" t="s">
        <v>113</v>
      </c>
      <c r="F23" s="95" t="s">
        <v>113</v>
      </c>
      <c r="G23" s="110" t="s">
        <v>116</v>
      </c>
    </row>
    <row r="24" spans="1:8">
      <c r="A24" s="100" t="s">
        <v>158</v>
      </c>
      <c r="B24" s="94" t="str">
        <f>L3</f>
        <v>A2</v>
      </c>
      <c r="C24" s="112" t="s">
        <v>101</v>
      </c>
      <c r="D24" s="94" t="s">
        <v>101</v>
      </c>
      <c r="E24" s="112" t="s">
        <v>112</v>
      </c>
      <c r="F24" s="94" t="s">
        <v>112</v>
      </c>
      <c r="G24" s="110" t="s">
        <v>112</v>
      </c>
    </row>
    <row r="25" spans="1:8">
      <c r="A25" s="100" t="s">
        <v>159</v>
      </c>
      <c r="B25" s="94" t="s">
        <v>108</v>
      </c>
      <c r="C25" s="112" t="s">
        <v>110</v>
      </c>
      <c r="D25" s="94" t="s">
        <v>110</v>
      </c>
      <c r="E25" s="113" t="s">
        <v>113</v>
      </c>
      <c r="F25" s="95" t="s">
        <v>113</v>
      </c>
      <c r="G25" s="110" t="s">
        <v>116</v>
      </c>
    </row>
    <row r="26" spans="1:8">
      <c r="A26" s="100" t="s">
        <v>160</v>
      </c>
      <c r="B26" s="94" t="s">
        <v>108</v>
      </c>
      <c r="C26" s="112" t="s">
        <v>111</v>
      </c>
      <c r="D26" s="94" t="s">
        <v>111</v>
      </c>
      <c r="E26" s="112" t="s">
        <v>114</v>
      </c>
      <c r="F26" s="94" t="s">
        <v>114</v>
      </c>
      <c r="G26" s="110" t="s">
        <v>114</v>
      </c>
    </row>
    <row r="28" spans="1:8" ht="22" customHeight="1"/>
    <row r="29" spans="1:8" ht="22" customHeight="1">
      <c r="A29" s="47"/>
      <c r="B29" s="49" t="s">
        <v>117</v>
      </c>
      <c r="C29" s="47"/>
      <c r="D29" s="47"/>
      <c r="E29" s="47"/>
      <c r="F29" s="47"/>
      <c r="G29" s="47"/>
    </row>
    <row r="30" spans="1:8" ht="26" customHeight="1">
      <c r="A30" s="122"/>
      <c r="B30" s="124"/>
      <c r="C30" s="125"/>
      <c r="D30" s="126" t="s">
        <v>175</v>
      </c>
      <c r="E30" s="125"/>
      <c r="F30" s="125"/>
      <c r="G30" s="125"/>
    </row>
    <row r="31" spans="1:8" ht="25" customHeight="1">
      <c r="A31" s="123" t="s">
        <v>176</v>
      </c>
      <c r="B31" s="127" t="s">
        <v>2</v>
      </c>
      <c r="C31" s="128" t="s">
        <v>3</v>
      </c>
      <c r="D31" s="129" t="s">
        <v>4</v>
      </c>
      <c r="E31" s="128" t="s">
        <v>5</v>
      </c>
      <c r="F31" s="130" t="s">
        <v>6</v>
      </c>
      <c r="G31" s="129" t="s">
        <v>7</v>
      </c>
    </row>
    <row r="32" spans="1:8">
      <c r="A32" s="58" t="s">
        <v>105</v>
      </c>
      <c r="B32" s="119">
        <f>$J$6</f>
        <v>23.759999999999998</v>
      </c>
      <c r="C32" s="121">
        <f>$J$6</f>
        <v>23.759999999999998</v>
      </c>
      <c r="D32" s="96">
        <f>$J$6</f>
        <v>23.759999999999998</v>
      </c>
      <c r="E32" s="121">
        <f>$J$6</f>
        <v>23.759999999999998</v>
      </c>
      <c r="F32" s="120">
        <f>$J$6</f>
        <v>23.759999999999998</v>
      </c>
      <c r="G32" s="96">
        <f>K6</f>
        <v>28.08</v>
      </c>
    </row>
    <row r="33" spans="1:7">
      <c r="A33" s="58" t="s">
        <v>106</v>
      </c>
      <c r="B33" s="119">
        <f>J6</f>
        <v>23.759999999999998</v>
      </c>
      <c r="C33" s="121">
        <f>K6</f>
        <v>28.08</v>
      </c>
      <c r="D33" s="96">
        <f>K6</f>
        <v>28.08</v>
      </c>
      <c r="E33" s="121">
        <f>L6</f>
        <v>38.159999999999997</v>
      </c>
      <c r="F33" s="120">
        <f>L6</f>
        <v>38.159999999999997</v>
      </c>
      <c r="G33" s="97">
        <f>L6</f>
        <v>38.159999999999997</v>
      </c>
    </row>
    <row r="34" spans="1:7">
      <c r="A34" s="58" t="s">
        <v>107</v>
      </c>
      <c r="B34" s="119">
        <f>K6</f>
        <v>28.08</v>
      </c>
      <c r="C34" s="121">
        <f>K6+J4</f>
        <v>36.36</v>
      </c>
      <c r="D34" s="96">
        <f>K6+J4</f>
        <v>36.36</v>
      </c>
      <c r="E34" s="121">
        <f>L6+J4</f>
        <v>46.44</v>
      </c>
      <c r="F34" s="120">
        <f>L6+J4</f>
        <v>46.44</v>
      </c>
      <c r="G34" s="97">
        <f>L6+K4</f>
        <v>50.76</v>
      </c>
    </row>
    <row r="35" spans="1:7">
      <c r="A35" s="58" t="s">
        <v>152</v>
      </c>
      <c r="B35" s="119">
        <f>J6</f>
        <v>23.759999999999998</v>
      </c>
      <c r="C35" s="121">
        <f>K6</f>
        <v>28.08</v>
      </c>
      <c r="D35" s="96">
        <f>K6</f>
        <v>28.08</v>
      </c>
      <c r="E35" s="121">
        <f>L6</f>
        <v>38.159999999999997</v>
      </c>
      <c r="F35" s="120">
        <f>L6</f>
        <v>38.159999999999997</v>
      </c>
      <c r="G35" s="97">
        <f>L6</f>
        <v>38.159999999999997</v>
      </c>
    </row>
    <row r="36" spans="1:7">
      <c r="A36" s="58" t="s">
        <v>153</v>
      </c>
      <c r="B36" s="119">
        <f>K6</f>
        <v>28.08</v>
      </c>
      <c r="C36" s="121">
        <f>K6+J4</f>
        <v>36.36</v>
      </c>
      <c r="D36" s="96">
        <f>K6+J4</f>
        <v>36.36</v>
      </c>
      <c r="E36" s="121">
        <f>L6+J4</f>
        <v>46.44</v>
      </c>
      <c r="F36" s="120">
        <f>L6+J4</f>
        <v>46.44</v>
      </c>
      <c r="G36" s="97">
        <f>L6+K4</f>
        <v>50.76</v>
      </c>
    </row>
    <row r="37" spans="1:7">
      <c r="A37" s="58" t="s">
        <v>156</v>
      </c>
      <c r="B37" s="119">
        <f>$L$6</f>
        <v>38.159999999999997</v>
      </c>
      <c r="C37" s="121">
        <f>$L$6</f>
        <v>38.159999999999997</v>
      </c>
      <c r="D37" s="96">
        <f>$L$6</f>
        <v>38.159999999999997</v>
      </c>
      <c r="E37" s="121">
        <f>(2*$L$4)+$L$5</f>
        <v>60.84</v>
      </c>
      <c r="F37" s="120">
        <f>(2*$L$4)+$L$5</f>
        <v>60.84</v>
      </c>
      <c r="G37" s="97">
        <f>(2*$L$4)+$L$5</f>
        <v>60.84</v>
      </c>
    </row>
    <row r="38" spans="1:7">
      <c r="A38" s="58" t="s">
        <v>154</v>
      </c>
      <c r="B38" s="119">
        <f>K6</f>
        <v>28.08</v>
      </c>
      <c r="C38" s="121">
        <f>K6+J4</f>
        <v>36.36</v>
      </c>
      <c r="D38" s="96">
        <f>K6+J4</f>
        <v>36.36</v>
      </c>
      <c r="E38" s="121">
        <f>L6+J4</f>
        <v>46.44</v>
      </c>
      <c r="F38" s="120">
        <f>L6+J4</f>
        <v>46.44</v>
      </c>
      <c r="G38" s="98">
        <f>L6+K4</f>
        <v>50.76</v>
      </c>
    </row>
    <row r="39" spans="1:7">
      <c r="A39" s="58" t="s">
        <v>155</v>
      </c>
      <c r="B39" s="119">
        <f>$L$6</f>
        <v>38.159999999999997</v>
      </c>
      <c r="C39" s="121">
        <f>$L$6</f>
        <v>38.159999999999997</v>
      </c>
      <c r="D39" s="96">
        <f>$L$6</f>
        <v>38.159999999999997</v>
      </c>
      <c r="E39" s="121">
        <f>(2*$L$4)+$L$5</f>
        <v>60.84</v>
      </c>
      <c r="F39" s="120">
        <f>(2*$L$4)+$L$5</f>
        <v>60.84</v>
      </c>
      <c r="G39" s="97">
        <f>(2*$L$4)+$L$5</f>
        <v>60.84</v>
      </c>
    </row>
    <row r="40" spans="1:7">
      <c r="A40" s="58" t="s">
        <v>157</v>
      </c>
      <c r="B40" s="119">
        <f>K6+J4</f>
        <v>36.36</v>
      </c>
      <c r="C40" s="121">
        <f>L6+J4</f>
        <v>46.44</v>
      </c>
      <c r="D40" s="96">
        <f>L6+J4</f>
        <v>46.44</v>
      </c>
      <c r="E40" s="121">
        <f>(2*L4)+J6</f>
        <v>69.12</v>
      </c>
      <c r="F40" s="120">
        <f>(2*L4)+J6</f>
        <v>69.12</v>
      </c>
      <c r="G40" s="97">
        <f>(2*L4)+K6</f>
        <v>73.44</v>
      </c>
    </row>
    <row r="41" spans="1:7">
      <c r="A41" s="58" t="s">
        <v>158</v>
      </c>
      <c r="B41" s="119">
        <f>L6</f>
        <v>38.159999999999997</v>
      </c>
      <c r="C41" s="121">
        <f>L6</f>
        <v>38.159999999999997</v>
      </c>
      <c r="D41" s="96">
        <f>L6</f>
        <v>38.159999999999997</v>
      </c>
      <c r="E41" s="121">
        <f>(2*L4)+L5</f>
        <v>60.84</v>
      </c>
      <c r="F41" s="120">
        <f>(2*L4+L5)</f>
        <v>60.84</v>
      </c>
      <c r="G41" s="97">
        <f>(2*L4+L5)</f>
        <v>60.84</v>
      </c>
    </row>
    <row r="42" spans="1:7">
      <c r="A42" s="58" t="s">
        <v>159</v>
      </c>
      <c r="B42" s="119">
        <f>J6+K4</f>
        <v>36.36</v>
      </c>
      <c r="C42" s="121">
        <f>L6+J4</f>
        <v>46.44</v>
      </c>
      <c r="D42" s="96">
        <f>L6+J4</f>
        <v>46.44</v>
      </c>
      <c r="E42" s="121">
        <f>J6+(2*L4)</f>
        <v>69.12</v>
      </c>
      <c r="F42" s="120">
        <f>E42</f>
        <v>69.12</v>
      </c>
      <c r="G42" s="97">
        <f>K6+(2*L4)</f>
        <v>73.44</v>
      </c>
    </row>
    <row r="43" spans="1:7">
      <c r="A43" s="58" t="s">
        <v>160</v>
      </c>
      <c r="B43" s="119">
        <f>B42</f>
        <v>36.36</v>
      </c>
      <c r="C43" s="121">
        <f>L6+K4</f>
        <v>50.76</v>
      </c>
      <c r="D43" s="96">
        <f>C43</f>
        <v>50.76</v>
      </c>
      <c r="E43" s="121">
        <f>3*L4+L5</f>
        <v>83.52</v>
      </c>
      <c r="F43" s="120">
        <f>E43</f>
        <v>83.52</v>
      </c>
      <c r="G43" s="97">
        <f>(3*L4)+L5</f>
        <v>83.52</v>
      </c>
    </row>
    <row r="46" spans="1:7" ht="25">
      <c r="A46" s="45"/>
      <c r="B46" s="46" t="s">
        <v>118</v>
      </c>
      <c r="C46" s="45"/>
      <c r="D46" s="45"/>
      <c r="E46" s="45"/>
      <c r="F46" s="45"/>
      <c r="G46" s="45"/>
    </row>
    <row r="47" spans="1:7" ht="29" customHeight="1">
      <c r="A47" s="106"/>
      <c r="B47" s="107"/>
      <c r="C47" s="108"/>
      <c r="D47" s="109" t="s">
        <v>175</v>
      </c>
      <c r="E47" s="108"/>
      <c r="F47" s="108"/>
      <c r="G47" s="108"/>
    </row>
    <row r="48" spans="1:7" ht="24" customHeight="1">
      <c r="A48" s="118" t="s">
        <v>176</v>
      </c>
      <c r="B48" s="103" t="s">
        <v>2</v>
      </c>
      <c r="C48" s="111" t="s">
        <v>3</v>
      </c>
      <c r="D48" s="104" t="s">
        <v>4</v>
      </c>
      <c r="E48" s="111" t="s">
        <v>5</v>
      </c>
      <c r="F48" s="111" t="s">
        <v>6</v>
      </c>
      <c r="G48" s="104" t="s">
        <v>7</v>
      </c>
    </row>
    <row r="49" spans="1:7">
      <c r="A49" s="57" t="s">
        <v>105</v>
      </c>
      <c r="B49" s="131">
        <f>B8</f>
        <v>3.1429523612903232</v>
      </c>
      <c r="C49" s="132">
        <f>C8</f>
        <v>5.000151483870968</v>
      </c>
      <c r="D49" s="133">
        <f>D8</f>
        <v>4.2088817204301074</v>
      </c>
      <c r="E49" s="132">
        <f>E8</f>
        <v>3.2781175913978498</v>
      </c>
      <c r="F49" s="132">
        <f>F8</f>
        <v>5.6519268817204296</v>
      </c>
      <c r="G49" s="133">
        <f>G8</f>
        <v>9.2354890322580658</v>
      </c>
    </row>
    <row r="50" spans="1:7">
      <c r="A50" s="57" t="s">
        <v>106</v>
      </c>
      <c r="B50" s="131">
        <f>2*B8</f>
        <v>6.2859047225806464</v>
      </c>
      <c r="C50" s="132">
        <f>2*C8</f>
        <v>10.000302967741936</v>
      </c>
      <c r="D50" s="134">
        <f>2*D8</f>
        <v>8.4177634408602149</v>
      </c>
      <c r="E50" s="132">
        <f>2*E49</f>
        <v>6.5562351827956995</v>
      </c>
      <c r="F50" s="132">
        <f>2*F49</f>
        <v>11.303853763440859</v>
      </c>
      <c r="G50" s="134">
        <f>2*G49</f>
        <v>18.470978064516132</v>
      </c>
    </row>
    <row r="51" spans="1:7">
      <c r="A51" s="57" t="s">
        <v>107</v>
      </c>
      <c r="B51" s="131">
        <f>3*B8</f>
        <v>9.4288570838709695</v>
      </c>
      <c r="C51" s="132">
        <f>3*C8</f>
        <v>15.000454451612903</v>
      </c>
      <c r="D51" s="134">
        <f>3*D8</f>
        <v>12.626645161290323</v>
      </c>
      <c r="E51" s="132">
        <f>3*E49</f>
        <v>9.8343527741935493</v>
      </c>
      <c r="F51" s="132">
        <f>3*F49</f>
        <v>16.95578064516129</v>
      </c>
      <c r="G51" s="134">
        <f>3*G49</f>
        <v>27.706467096774198</v>
      </c>
    </row>
    <row r="52" spans="1:7">
      <c r="A52" s="57" t="s">
        <v>152</v>
      </c>
      <c r="B52" s="131">
        <f t="shared" ref="B52:G53" si="1">B50</f>
        <v>6.2859047225806464</v>
      </c>
      <c r="C52" s="132">
        <f t="shared" si="1"/>
        <v>10.000302967741936</v>
      </c>
      <c r="D52" s="134">
        <f t="shared" si="1"/>
        <v>8.4177634408602149</v>
      </c>
      <c r="E52" s="132">
        <f t="shared" si="1"/>
        <v>6.5562351827956995</v>
      </c>
      <c r="F52" s="132">
        <f t="shared" si="1"/>
        <v>11.303853763440859</v>
      </c>
      <c r="G52" s="134">
        <f t="shared" si="1"/>
        <v>18.470978064516132</v>
      </c>
    </row>
    <row r="53" spans="1:7">
      <c r="A53" s="57" t="s">
        <v>153</v>
      </c>
      <c r="B53" s="131">
        <f t="shared" si="1"/>
        <v>9.4288570838709695</v>
      </c>
      <c r="C53" s="132">
        <f t="shared" si="1"/>
        <v>15.000454451612903</v>
      </c>
      <c r="D53" s="134">
        <f t="shared" si="1"/>
        <v>12.626645161290323</v>
      </c>
      <c r="E53" s="132">
        <f t="shared" si="1"/>
        <v>9.8343527741935493</v>
      </c>
      <c r="F53" s="132">
        <f t="shared" si="1"/>
        <v>16.95578064516129</v>
      </c>
      <c r="G53" s="134">
        <f t="shared" si="1"/>
        <v>27.706467096774198</v>
      </c>
    </row>
    <row r="54" spans="1:7">
      <c r="A54" s="57" t="s">
        <v>156</v>
      </c>
      <c r="B54" s="131">
        <f>4*B8</f>
        <v>12.571809445161293</v>
      </c>
      <c r="C54" s="132">
        <f>4*C49</f>
        <v>20.000605935483872</v>
      </c>
      <c r="D54" s="134">
        <f>4*D49</f>
        <v>16.83552688172043</v>
      </c>
      <c r="E54" s="132">
        <f>4*E49</f>
        <v>13.112470365591399</v>
      </c>
      <c r="F54" s="132">
        <f>4*F49</f>
        <v>22.607707526881718</v>
      </c>
      <c r="G54" s="134">
        <f>4*G49</f>
        <v>36.941956129032263</v>
      </c>
    </row>
    <row r="55" spans="1:7">
      <c r="A55" s="57" t="s">
        <v>154</v>
      </c>
      <c r="B55" s="131">
        <f>B53</f>
        <v>9.4288570838709695</v>
      </c>
      <c r="C55" s="132">
        <f>C53</f>
        <v>15.000454451612903</v>
      </c>
      <c r="D55" s="134">
        <f>D51</f>
        <v>12.626645161290323</v>
      </c>
      <c r="E55" s="132">
        <f>E51</f>
        <v>9.8343527741935493</v>
      </c>
      <c r="F55" s="132">
        <f>F51</f>
        <v>16.95578064516129</v>
      </c>
      <c r="G55" s="135">
        <f>G51</f>
        <v>27.706467096774198</v>
      </c>
    </row>
    <row r="56" spans="1:7">
      <c r="A56" s="57" t="s">
        <v>155</v>
      </c>
      <c r="B56" s="131">
        <f>B54</f>
        <v>12.571809445161293</v>
      </c>
      <c r="C56" s="132">
        <f>C54</f>
        <v>20.000605935483872</v>
      </c>
      <c r="D56" s="134">
        <f>D54</f>
        <v>16.83552688172043</v>
      </c>
      <c r="E56" s="132">
        <f>E54</f>
        <v>13.112470365591399</v>
      </c>
      <c r="F56" s="132">
        <f>F54</f>
        <v>22.607707526881718</v>
      </c>
      <c r="G56" s="134">
        <f>G54</f>
        <v>36.941956129032263</v>
      </c>
    </row>
    <row r="57" spans="1:7">
      <c r="A57" s="57" t="s">
        <v>157</v>
      </c>
      <c r="B57" s="131">
        <f>5*B8</f>
        <v>15.714761806451616</v>
      </c>
      <c r="C57" s="132">
        <f>5*C49</f>
        <v>25.000757419354841</v>
      </c>
      <c r="D57" s="134">
        <f>5*D49</f>
        <v>21.044408602150536</v>
      </c>
      <c r="E57" s="132">
        <f>5*E49</f>
        <v>16.390587956989251</v>
      </c>
      <c r="F57" s="132">
        <f>5*F49</f>
        <v>28.259634408602146</v>
      </c>
      <c r="G57" s="134">
        <f>5*G49</f>
        <v>46.177445161290329</v>
      </c>
    </row>
    <row r="58" spans="1:7">
      <c r="A58" s="57" t="s">
        <v>158</v>
      </c>
      <c r="B58" s="131">
        <f>B56</f>
        <v>12.571809445161293</v>
      </c>
      <c r="C58" s="132">
        <f>C56</f>
        <v>20.000605935483872</v>
      </c>
      <c r="D58" s="134">
        <f>D54</f>
        <v>16.83552688172043</v>
      </c>
      <c r="E58" s="132">
        <f>E54</f>
        <v>13.112470365591399</v>
      </c>
      <c r="F58" s="132">
        <f>F56</f>
        <v>22.607707526881718</v>
      </c>
      <c r="G58" s="134">
        <f>G54</f>
        <v>36.941956129032263</v>
      </c>
    </row>
    <row r="59" spans="1:7">
      <c r="A59" s="57" t="s">
        <v>159</v>
      </c>
      <c r="B59" s="131">
        <f>B57</f>
        <v>15.714761806451616</v>
      </c>
      <c r="C59" s="132">
        <f>C57</f>
        <v>25.000757419354841</v>
      </c>
      <c r="D59" s="134">
        <f>D57</f>
        <v>21.044408602150536</v>
      </c>
      <c r="E59" s="132">
        <f>E57</f>
        <v>16.390587956989251</v>
      </c>
      <c r="F59" s="132">
        <f>F57</f>
        <v>28.259634408602146</v>
      </c>
      <c r="G59" s="134">
        <f>G57</f>
        <v>46.177445161290329</v>
      </c>
    </row>
    <row r="60" spans="1:7">
      <c r="A60" s="57" t="s">
        <v>160</v>
      </c>
      <c r="B60" s="131">
        <f>6*B8</f>
        <v>18.857714167741939</v>
      </c>
      <c r="C60" s="132">
        <f>6*C49</f>
        <v>30.000908903225806</v>
      </c>
      <c r="D60" s="134">
        <f>6*D49</f>
        <v>25.253290322580646</v>
      </c>
      <c r="E60" s="132">
        <f>6*E49</f>
        <v>19.668705548387099</v>
      </c>
      <c r="F60" s="132">
        <f>6*F49</f>
        <v>33.911561290322581</v>
      </c>
      <c r="G60" s="134">
        <f>6*G49</f>
        <v>55.412934193548395</v>
      </c>
    </row>
    <row r="62" spans="1:7" ht="25">
      <c r="A62" s="22"/>
      <c r="B62" s="115"/>
      <c r="C62" s="22"/>
      <c r="D62" s="22"/>
      <c r="E62" s="22"/>
      <c r="F62" s="22"/>
      <c r="G62" s="22"/>
    </row>
    <row r="63" spans="1:7">
      <c r="A63" s="116"/>
      <c r="B63" s="117"/>
      <c r="C63" s="117"/>
      <c r="D63" s="117"/>
      <c r="E63" s="117"/>
      <c r="F63" s="117"/>
      <c r="G63" s="117"/>
    </row>
    <row r="64" spans="1:7" ht="27" customHeight="1">
      <c r="A64" s="116"/>
      <c r="B64" s="117"/>
      <c r="C64" s="117"/>
      <c r="D64" s="117"/>
      <c r="E64" s="117"/>
      <c r="F64" s="117"/>
      <c r="G64" s="117"/>
    </row>
    <row r="65" spans="1:7" ht="24" customHeight="1">
      <c r="A65" s="116"/>
      <c r="B65" s="117"/>
      <c r="C65" s="117"/>
      <c r="D65" s="117"/>
      <c r="E65" s="117"/>
      <c r="F65" s="117"/>
      <c r="G65" s="117"/>
    </row>
    <row r="66" spans="1:7" ht="24" customHeight="1">
      <c r="A66" s="116"/>
      <c r="B66" s="117"/>
      <c r="C66" s="117"/>
      <c r="D66" s="117"/>
      <c r="E66" s="117"/>
      <c r="F66" s="117"/>
      <c r="G66" s="117"/>
    </row>
    <row r="67" spans="1:7">
      <c r="A67" s="116"/>
      <c r="B67" s="117"/>
      <c r="C67" s="117"/>
      <c r="D67" s="117"/>
      <c r="E67" s="117"/>
      <c r="F67" s="117"/>
      <c r="G67" s="117"/>
    </row>
    <row r="68" spans="1:7">
      <c r="A68" s="116"/>
      <c r="B68" s="117"/>
      <c r="C68" s="117"/>
      <c r="D68" s="117"/>
      <c r="E68" s="117"/>
      <c r="F68" s="117"/>
      <c r="G68" s="117"/>
    </row>
    <row r="69" spans="1:7">
      <c r="A69" s="116"/>
      <c r="B69" s="117"/>
      <c r="C69" s="117"/>
      <c r="D69" s="117"/>
      <c r="E69" s="117"/>
      <c r="F69" s="117"/>
      <c r="G69" s="117"/>
    </row>
    <row r="70" spans="1:7">
      <c r="A70" s="116"/>
      <c r="B70" s="117"/>
      <c r="C70" s="117"/>
      <c r="D70" s="117"/>
      <c r="E70" s="117"/>
      <c r="F70" s="117"/>
      <c r="G70" s="117"/>
    </row>
    <row r="71" spans="1:7">
      <c r="A71" s="116"/>
      <c r="B71" s="117"/>
      <c r="C71" s="117"/>
      <c r="D71" s="117"/>
      <c r="E71" s="117"/>
      <c r="F71" s="117"/>
      <c r="G71" s="117"/>
    </row>
    <row r="72" spans="1:7">
      <c r="A72" s="116"/>
      <c r="B72" s="117"/>
      <c r="C72" s="117"/>
      <c r="D72" s="117"/>
      <c r="E72" s="117"/>
      <c r="F72" s="117"/>
      <c r="G72" s="117"/>
    </row>
    <row r="73" spans="1:7">
      <c r="A73" s="116"/>
      <c r="B73" s="117"/>
      <c r="C73" s="117"/>
      <c r="D73" s="117"/>
      <c r="E73" s="117"/>
      <c r="F73" s="117"/>
      <c r="G73" s="117"/>
    </row>
    <row r="74" spans="1:7">
      <c r="A74" s="116"/>
      <c r="B74" s="117"/>
      <c r="C74" s="117"/>
      <c r="D74" s="117"/>
      <c r="E74" s="117"/>
      <c r="F74" s="117"/>
      <c r="G74" s="117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I42"/>
  <sheetViews>
    <sheetView showRuler="0" workbookViewId="0">
      <selection activeCell="J44" sqref="J44"/>
    </sheetView>
  </sheetViews>
  <sheetFormatPr baseColWidth="10" defaultRowHeight="15" x14ac:dyDescent="0"/>
  <cols>
    <col min="1" max="1" width="34.1640625" bestFit="1" customWidth="1"/>
    <col min="2" max="2" width="22.5" bestFit="1" customWidth="1"/>
    <col min="3" max="3" width="19.6640625" bestFit="1" customWidth="1"/>
    <col min="4" max="4" width="12" bestFit="1" customWidth="1"/>
    <col min="8" max="8" width="10.83203125" customWidth="1"/>
  </cols>
  <sheetData>
    <row r="1" spans="1:8" ht="22" customHeight="1">
      <c r="A1" s="159" t="s">
        <v>8</v>
      </c>
      <c r="B1" s="160" t="s">
        <v>73</v>
      </c>
      <c r="C1" s="160" t="s">
        <v>76</v>
      </c>
      <c r="D1" s="160" t="s">
        <v>133</v>
      </c>
      <c r="E1" s="160" t="s">
        <v>134</v>
      </c>
      <c r="F1" s="160" t="s">
        <v>135</v>
      </c>
      <c r="G1" s="160" t="s">
        <v>136</v>
      </c>
      <c r="H1" s="160" t="s">
        <v>137</v>
      </c>
    </row>
    <row r="2" spans="1:8">
      <c r="A2" s="161" t="s">
        <v>14</v>
      </c>
      <c r="B2" s="157">
        <v>35</v>
      </c>
      <c r="C2" s="162">
        <f>B2*'Tarif horaire operateur'!C14</f>
        <v>22.094008875739643</v>
      </c>
      <c r="D2" s="162">
        <f>C2</f>
        <v>22.094008875739643</v>
      </c>
      <c r="E2" s="162">
        <f>C2*2</f>
        <v>44.188017751479286</v>
      </c>
      <c r="F2" s="162">
        <f>C2*3</f>
        <v>66.282026627218926</v>
      </c>
      <c r="G2" s="162">
        <f>C2*4</f>
        <v>88.376035502958572</v>
      </c>
      <c r="H2" s="162">
        <f>C2*5</f>
        <v>110.47004437869822</v>
      </c>
    </row>
    <row r="3" spans="1:8">
      <c r="A3" s="161" t="s">
        <v>13</v>
      </c>
      <c r="B3" s="157">
        <v>10</v>
      </c>
      <c r="C3" s="162">
        <f>B3*'Tarif horaire operateur'!C14</f>
        <v>6.3125739644970409</v>
      </c>
      <c r="D3" s="162">
        <f>C3</f>
        <v>6.3125739644970409</v>
      </c>
      <c r="E3" s="162">
        <f>C3*2</f>
        <v>12.625147928994082</v>
      </c>
      <c r="F3" s="162">
        <f>C3*3</f>
        <v>18.937721893491123</v>
      </c>
      <c r="G3" s="162">
        <f>C3*4</f>
        <v>25.250295857988164</v>
      </c>
      <c r="H3" s="162">
        <f>C3*5</f>
        <v>31.562869822485204</v>
      </c>
    </row>
    <row r="4" spans="1:8">
      <c r="A4" s="161" t="s">
        <v>187</v>
      </c>
      <c r="B4" s="157">
        <v>15</v>
      </c>
      <c r="C4" s="162">
        <f>B4*'Tarif horaire operateur'!C14</f>
        <v>9.4688609467455613</v>
      </c>
      <c r="D4" s="162">
        <f>C4</f>
        <v>9.4688609467455613</v>
      </c>
      <c r="E4" s="162">
        <f>C4*2</f>
        <v>18.937721893491123</v>
      </c>
      <c r="F4" s="162">
        <f>C4*3</f>
        <v>28.406582840236684</v>
      </c>
      <c r="G4" s="162">
        <f>C4*4</f>
        <v>37.875443786982245</v>
      </c>
      <c r="H4" s="162">
        <f>C4*5</f>
        <v>47.34430473372781</v>
      </c>
    </row>
    <row r="5" spans="1:8">
      <c r="A5" s="161" t="s">
        <v>9</v>
      </c>
      <c r="B5" s="157">
        <v>10</v>
      </c>
      <c r="C5" s="162">
        <f>B5*C18</f>
        <v>8.5090565627156654</v>
      </c>
      <c r="D5" s="162">
        <f>C5</f>
        <v>8.5090565627156654</v>
      </c>
      <c r="E5" s="162">
        <f>C5*2</f>
        <v>17.018113125431331</v>
      </c>
      <c r="F5" s="162">
        <f>C5*3</f>
        <v>25.527169688146998</v>
      </c>
      <c r="G5" s="162">
        <f>C5*4</f>
        <v>34.036226250862661</v>
      </c>
      <c r="H5" s="162">
        <f>C5*5</f>
        <v>42.545282813578325</v>
      </c>
    </row>
    <row r="6" spans="1:8">
      <c r="A6" s="161" t="s">
        <v>10</v>
      </c>
      <c r="B6" s="157">
        <v>20</v>
      </c>
      <c r="C6" s="162">
        <f>B6*C18</f>
        <v>17.018113125431331</v>
      </c>
      <c r="D6" s="162">
        <f>C6</f>
        <v>17.018113125431331</v>
      </c>
      <c r="E6" s="162">
        <f>D6*2</f>
        <v>34.036226250862661</v>
      </c>
      <c r="F6" s="162">
        <f>C6*3</f>
        <v>51.054339376293996</v>
      </c>
      <c r="G6" s="162">
        <f>C6*4</f>
        <v>68.072452501725323</v>
      </c>
      <c r="H6" s="162">
        <f>C6*5</f>
        <v>85.09056562715665</v>
      </c>
    </row>
    <row r="7" spans="1:8">
      <c r="A7" s="161" t="s">
        <v>15</v>
      </c>
      <c r="B7" s="157">
        <v>5</v>
      </c>
      <c r="C7" s="162">
        <f>B7*C18</f>
        <v>4.2545282813578327</v>
      </c>
      <c r="D7" s="161"/>
      <c r="E7" s="161"/>
      <c r="F7" s="161"/>
      <c r="G7" s="161"/>
      <c r="H7" s="161"/>
    </row>
    <row r="8" spans="1:8">
      <c r="A8" s="161" t="s">
        <v>11</v>
      </c>
      <c r="B8" s="157">
        <v>15</v>
      </c>
      <c r="C8" s="162">
        <f>B8*C18</f>
        <v>12.763584844073499</v>
      </c>
      <c r="D8" s="162">
        <f>C8</f>
        <v>12.763584844073499</v>
      </c>
      <c r="E8" s="162">
        <f>C8*2</f>
        <v>25.527169688146998</v>
      </c>
      <c r="F8" s="162">
        <f>C8*3</f>
        <v>38.290754532220497</v>
      </c>
      <c r="G8" s="162">
        <f>C8*4</f>
        <v>51.054339376293996</v>
      </c>
      <c r="H8" s="162">
        <f>C8*5</f>
        <v>63.817924220367495</v>
      </c>
    </row>
    <row r="9" spans="1:8">
      <c r="A9" s="163"/>
      <c r="B9" s="158"/>
      <c r="C9" s="164"/>
      <c r="D9" s="161"/>
      <c r="E9" s="161"/>
      <c r="F9" s="161"/>
      <c r="G9" s="161"/>
      <c r="H9" s="161"/>
    </row>
    <row r="10" spans="1:8">
      <c r="A10" s="161" t="s">
        <v>74</v>
      </c>
      <c r="B10" s="157">
        <v>15</v>
      </c>
      <c r="C10" s="162">
        <f>B10*C19</f>
        <v>12.802226899585921</v>
      </c>
      <c r="D10" s="161"/>
      <c r="E10" s="161"/>
      <c r="F10" s="161"/>
      <c r="G10" s="161"/>
      <c r="H10" s="161"/>
    </row>
    <row r="11" spans="1:8">
      <c r="A11" s="161" t="s">
        <v>75</v>
      </c>
      <c r="B11" s="157">
        <v>15</v>
      </c>
      <c r="C11" s="162">
        <f>B11*C19</f>
        <v>12.802226899585921</v>
      </c>
      <c r="D11" s="161"/>
      <c r="E11" s="161"/>
      <c r="F11" s="161"/>
      <c r="G11" s="161"/>
      <c r="H11" s="161"/>
    </row>
    <row r="12" spans="1:8">
      <c r="A12" s="161" t="s">
        <v>12</v>
      </c>
      <c r="B12" s="157"/>
      <c r="C12" s="162"/>
      <c r="D12" s="161"/>
      <c r="E12" s="161"/>
      <c r="F12" s="161"/>
      <c r="G12" s="161"/>
      <c r="H12" s="161"/>
    </row>
    <row r="13" spans="1:8" ht="21" customHeight="1">
      <c r="A13" s="166" t="s">
        <v>145</v>
      </c>
      <c r="B13" s="167"/>
      <c r="C13" s="156"/>
      <c r="D13" s="162">
        <f>SUM(D2:D8)</f>
        <v>76.166198319202749</v>
      </c>
      <c r="E13" s="162">
        <f>SUM(E2:E8)</f>
        <v>152.3323966384055</v>
      </c>
      <c r="F13" s="162">
        <f>SUM(F2:F8)</f>
        <v>228.49859495760822</v>
      </c>
      <c r="G13" s="162">
        <f>SUM(G2:G8)</f>
        <v>304.664793276811</v>
      </c>
      <c r="H13" s="162">
        <f>SUM(H2:H8)</f>
        <v>380.83099159601369</v>
      </c>
    </row>
    <row r="17" spans="1:9">
      <c r="B17" s="160" t="s">
        <v>79</v>
      </c>
      <c r="C17" s="160" t="s">
        <v>80</v>
      </c>
    </row>
    <row r="18" spans="1:9">
      <c r="A18" s="165" t="s">
        <v>77</v>
      </c>
      <c r="B18" s="162">
        <f>'Tarif horaire Heidelberg T'!J18</f>
        <v>51.054339376293996</v>
      </c>
      <c r="C18" s="162">
        <f>B18/60</f>
        <v>0.85090565627156656</v>
      </c>
      <c r="G18" s="168" t="s">
        <v>161</v>
      </c>
      <c r="H18" s="169"/>
      <c r="I18" s="171">
        <v>0.51</v>
      </c>
    </row>
    <row r="19" spans="1:9">
      <c r="A19" s="165" t="s">
        <v>78</v>
      </c>
      <c r="B19" s="162">
        <f>'Tarif horaire Massicot'!J16</f>
        <v>51.208907598343686</v>
      </c>
      <c r="C19" s="162">
        <f>B19/60</f>
        <v>0.85348179330572804</v>
      </c>
      <c r="G19" s="101" t="s">
        <v>188</v>
      </c>
      <c r="H19" s="99"/>
      <c r="I19" s="170">
        <v>1.514</v>
      </c>
    </row>
    <row r="20" spans="1:9">
      <c r="A20" s="163" t="s">
        <v>90</v>
      </c>
      <c r="B20" s="162">
        <f>'Tarif horaire operateur'!B14</f>
        <v>37.875443786982245</v>
      </c>
      <c r="C20" s="162">
        <f>'Tarif horaire operateur'!C14</f>
        <v>0.63125739644970413</v>
      </c>
    </row>
    <row r="24" spans="1:9" ht="31" customHeight="1">
      <c r="A24" s="159" t="s">
        <v>138</v>
      </c>
      <c r="B24" s="160" t="s">
        <v>119</v>
      </c>
      <c r="C24" s="160" t="s">
        <v>120</v>
      </c>
      <c r="D24" s="160" t="s">
        <v>121</v>
      </c>
      <c r="E24" s="160" t="s">
        <v>122</v>
      </c>
      <c r="F24" s="160" t="s">
        <v>123</v>
      </c>
      <c r="G24" s="160" t="s">
        <v>124</v>
      </c>
    </row>
    <row r="25" spans="1:9">
      <c r="A25" s="161" t="s">
        <v>139</v>
      </c>
      <c r="B25" s="162">
        <f>C25/2</f>
        <v>2.1272641406789163</v>
      </c>
      <c r="C25" s="162">
        <f>C7</f>
        <v>4.2545282813578327</v>
      </c>
      <c r="D25" s="162">
        <f>C18*(2*B7)</f>
        <v>8.5090565627156654</v>
      </c>
      <c r="E25" s="162">
        <f>C18*(3*B7)</f>
        <v>12.763584844073499</v>
      </c>
      <c r="F25" s="162">
        <f>C18*(4*B7)</f>
        <v>17.018113125431331</v>
      </c>
      <c r="G25" s="162">
        <f>C18*(5*B7)</f>
        <v>21.272641406789162</v>
      </c>
    </row>
    <row r="26" spans="1:9">
      <c r="A26" s="161" t="s">
        <v>140</v>
      </c>
      <c r="B26" s="162">
        <f t="shared" ref="B26:G26" si="0">B25*2</f>
        <v>4.2545282813578327</v>
      </c>
      <c r="C26" s="162">
        <f t="shared" si="0"/>
        <v>8.5090565627156654</v>
      </c>
      <c r="D26" s="162">
        <f t="shared" si="0"/>
        <v>17.018113125431331</v>
      </c>
      <c r="E26" s="162">
        <f t="shared" si="0"/>
        <v>25.527169688146998</v>
      </c>
      <c r="F26" s="162">
        <f t="shared" si="0"/>
        <v>34.036226250862661</v>
      </c>
      <c r="G26" s="162">
        <f t="shared" si="0"/>
        <v>42.545282813578325</v>
      </c>
    </row>
    <row r="27" spans="1:9">
      <c r="A27" s="161" t="s">
        <v>141</v>
      </c>
      <c r="B27" s="162">
        <f t="shared" ref="B27:G27" si="1">B25*3</f>
        <v>6.3817924220367495</v>
      </c>
      <c r="C27" s="162">
        <f t="shared" si="1"/>
        <v>12.763584844073499</v>
      </c>
      <c r="D27" s="162">
        <f t="shared" si="1"/>
        <v>25.527169688146998</v>
      </c>
      <c r="E27" s="162">
        <f t="shared" si="1"/>
        <v>38.290754532220497</v>
      </c>
      <c r="F27" s="162">
        <f t="shared" si="1"/>
        <v>51.054339376293996</v>
      </c>
      <c r="G27" s="162">
        <f t="shared" si="1"/>
        <v>63.817924220367487</v>
      </c>
    </row>
    <row r="28" spans="1:9">
      <c r="A28" s="161" t="s">
        <v>142</v>
      </c>
      <c r="B28" s="162">
        <f t="shared" ref="B28:G28" si="2">B25*4</f>
        <v>8.5090565627156654</v>
      </c>
      <c r="C28" s="162">
        <f t="shared" si="2"/>
        <v>17.018113125431331</v>
      </c>
      <c r="D28" s="162">
        <f t="shared" si="2"/>
        <v>34.036226250862661</v>
      </c>
      <c r="E28" s="162">
        <f t="shared" si="2"/>
        <v>51.054339376293996</v>
      </c>
      <c r="F28" s="162">
        <f t="shared" si="2"/>
        <v>68.072452501725323</v>
      </c>
      <c r="G28" s="162">
        <f t="shared" si="2"/>
        <v>85.09056562715665</v>
      </c>
    </row>
    <row r="29" spans="1:9">
      <c r="A29" s="161" t="s">
        <v>143</v>
      </c>
      <c r="B29" s="162">
        <f t="shared" ref="B29:G29" si="3">B25*5</f>
        <v>10.636320703394581</v>
      </c>
      <c r="C29" s="162">
        <f t="shared" si="3"/>
        <v>21.272641406789162</v>
      </c>
      <c r="D29" s="162">
        <f t="shared" si="3"/>
        <v>42.545282813578325</v>
      </c>
      <c r="E29" s="162">
        <f t="shared" si="3"/>
        <v>63.817924220367495</v>
      </c>
      <c r="F29" s="162">
        <f t="shared" si="3"/>
        <v>85.09056562715665</v>
      </c>
      <c r="G29" s="162">
        <f t="shared" si="3"/>
        <v>106.36320703394581</v>
      </c>
    </row>
    <row r="30" spans="1:9">
      <c r="A30" s="161" t="s">
        <v>144</v>
      </c>
      <c r="B30" s="162">
        <f t="shared" ref="B30:G30" si="4">B25*6</f>
        <v>12.763584844073499</v>
      </c>
      <c r="C30" s="162">
        <f t="shared" si="4"/>
        <v>25.527169688146998</v>
      </c>
      <c r="D30" s="162">
        <f t="shared" si="4"/>
        <v>51.054339376293996</v>
      </c>
      <c r="E30" s="162">
        <f t="shared" si="4"/>
        <v>76.581509064440993</v>
      </c>
      <c r="F30" s="162">
        <f t="shared" si="4"/>
        <v>102.10867875258799</v>
      </c>
      <c r="G30" s="162">
        <f t="shared" si="4"/>
        <v>127.63584844073497</v>
      </c>
    </row>
    <row r="31" spans="1:9" ht="15" customHeight="1"/>
    <row r="32" spans="1:9" ht="15" customHeight="1"/>
    <row r="33" spans="1:7" ht="15" customHeight="1"/>
    <row r="34" spans="1:7" ht="15" customHeight="1"/>
    <row r="35" spans="1:7">
      <c r="F35" s="53"/>
      <c r="G35" s="53"/>
    </row>
    <row r="36" spans="1:7" ht="15" customHeight="1">
      <c r="F36" s="53"/>
      <c r="G36" s="53"/>
    </row>
    <row r="38" spans="1:7" ht="27" customHeight="1">
      <c r="A38" s="165" t="s">
        <v>125</v>
      </c>
    </row>
    <row r="39" spans="1:7">
      <c r="A39" s="160" t="s">
        <v>126</v>
      </c>
      <c r="B39" s="160" t="s">
        <v>127</v>
      </c>
      <c r="C39" s="160" t="s">
        <v>128</v>
      </c>
      <c r="D39" s="160" t="s">
        <v>189</v>
      </c>
    </row>
    <row r="40" spans="1:7">
      <c r="A40" s="162" t="s">
        <v>129</v>
      </c>
      <c r="B40" s="162">
        <f>B10*C19</f>
        <v>12.802226899585921</v>
      </c>
      <c r="C40" s="173" t="s">
        <v>132</v>
      </c>
      <c r="D40" s="174">
        <v>3</v>
      </c>
    </row>
    <row r="41" spans="1:7">
      <c r="A41" s="162" t="s">
        <v>130</v>
      </c>
      <c r="B41" s="162">
        <f>25*C19</f>
        <v>21.337044832643201</v>
      </c>
      <c r="C41" s="173" t="s">
        <v>132</v>
      </c>
      <c r="D41" s="174">
        <v>8.3000000000000007</v>
      </c>
    </row>
    <row r="42" spans="1:7">
      <c r="A42" s="175" t="s">
        <v>131</v>
      </c>
      <c r="B42" s="162">
        <f>30*C19</f>
        <v>25.604453799171843</v>
      </c>
      <c r="C42" s="173" t="s">
        <v>132</v>
      </c>
      <c r="D42" s="174">
        <v>8.8000000000000007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K27"/>
  <sheetViews>
    <sheetView showRuler="0" workbookViewId="0">
      <selection activeCell="B20" sqref="B20"/>
    </sheetView>
  </sheetViews>
  <sheetFormatPr baseColWidth="10" defaultRowHeight="15" x14ac:dyDescent="0"/>
  <cols>
    <col min="1" max="1" width="33" bestFit="1" customWidth="1"/>
    <col min="2" max="2" width="16.83203125" customWidth="1"/>
    <col min="10" max="10" width="28.33203125" bestFit="1" customWidth="1"/>
  </cols>
  <sheetData>
    <row r="1" spans="1:11" ht="28" customHeight="1">
      <c r="A1" s="54" t="s">
        <v>146</v>
      </c>
      <c r="B1" s="55" t="s">
        <v>119</v>
      </c>
      <c r="C1" s="55" t="s">
        <v>120</v>
      </c>
      <c r="D1" s="55" t="s">
        <v>147</v>
      </c>
      <c r="E1" s="55" t="s">
        <v>148</v>
      </c>
      <c r="F1" s="55" t="s">
        <v>149</v>
      </c>
      <c r="G1" s="55" t="s">
        <v>150</v>
      </c>
    </row>
    <row r="2" spans="1:11">
      <c r="A2" s="59" t="s">
        <v>105</v>
      </c>
      <c r="B2" s="60">
        <f>'Temps d''éxé'!D13+('Temps d''éxé'!B25/2)</f>
        <v>77.229830389542201</v>
      </c>
      <c r="C2" s="60">
        <f>'Temps d''éxé'!D13+('Temps d''éxé'!C25/2)</f>
        <v>78.293462459881667</v>
      </c>
      <c r="D2" s="60">
        <f>'Temps d''éxé'!D13+('Temps d''éxé'!D25/2)</f>
        <v>80.420726600560585</v>
      </c>
      <c r="E2" s="60">
        <f>'Temps d''éxé'!D13+('Temps d''éxé'!E25/2)</f>
        <v>82.547990741239502</v>
      </c>
      <c r="F2" s="60">
        <f>'Temps d''éxé'!D13+('Temps d''éxé'!F25/2)</f>
        <v>84.67525488191842</v>
      </c>
      <c r="G2" s="60">
        <f>'Temps d''éxé'!D13+('Temps d''éxé'!G25/2)</f>
        <v>86.802519022597323</v>
      </c>
    </row>
    <row r="3" spans="1:11">
      <c r="A3" s="59" t="s">
        <v>106</v>
      </c>
      <c r="B3" s="61">
        <f>'Temps d''éxé'!E13+('Temps d''éxé'!B26/2)</f>
        <v>154.4596607790844</v>
      </c>
      <c r="C3" s="61">
        <f>'Temps d''éxé'!E13+('Temps d''éxé'!C26/2)</f>
        <v>156.58692491976333</v>
      </c>
      <c r="D3" s="61">
        <f>'Temps d''éxé'!E13+('Temps d''éxé'!D26/2)</f>
        <v>160.84145320112117</v>
      </c>
      <c r="E3" s="61">
        <f>'Temps d''éxé'!E13+('Temps d''éxé'!E26/2)</f>
        <v>165.095981482479</v>
      </c>
      <c r="F3" s="61">
        <f>'Temps d''éxé'!E13+('Temps d''éxé'!F26/2)</f>
        <v>169.35050976383684</v>
      </c>
      <c r="G3" s="61">
        <f>'Temps d''éxé'!E13+('Temps d''éxé'!G26/2)</f>
        <v>173.60503804519465</v>
      </c>
      <c r="J3" t="s">
        <v>173</v>
      </c>
      <c r="K3">
        <v>1</v>
      </c>
    </row>
    <row r="4" spans="1:11">
      <c r="A4" s="59" t="s">
        <v>107</v>
      </c>
      <c r="B4" s="52">
        <f>'Temps d''éxé'!F13+('Temps d''éxé'!B27/2)</f>
        <v>231.6894911686266</v>
      </c>
      <c r="C4" s="52">
        <f>'Temps d''éxé'!F13+('Temps d''éxé'!C27/2)</f>
        <v>234.88038737964496</v>
      </c>
      <c r="D4" s="52">
        <f>'Temps d''éxé'!F13+('Temps d''éxé'!D27/2)</f>
        <v>241.26217980168173</v>
      </c>
      <c r="E4" s="52">
        <f>'Temps d''éxé'!F13+('Temps d''éxé'!E27/2)</f>
        <v>247.64397222371846</v>
      </c>
      <c r="F4" s="52">
        <f>'Temps d''éxé'!F13+('Temps d''éxé'!F27/2)</f>
        <v>254.0257646457552</v>
      </c>
      <c r="G4" s="52">
        <f>'Temps d''éxé'!F13+('Temps d''éxé'!G27/2)</f>
        <v>260.40755706779197</v>
      </c>
      <c r="K4">
        <v>2</v>
      </c>
    </row>
    <row r="5" spans="1:11">
      <c r="A5" s="59" t="s">
        <v>152</v>
      </c>
      <c r="B5" s="61">
        <f>B2*'Temps d''éxé'!I19</f>
        <v>116.92596320976689</v>
      </c>
      <c r="C5" s="61">
        <f>C2*B15</f>
        <v>118.53630216426085</v>
      </c>
      <c r="D5" s="61">
        <f>D2*B15</f>
        <v>121.75698007324873</v>
      </c>
      <c r="E5" s="61">
        <f>E2*B15</f>
        <v>124.97765798223661</v>
      </c>
      <c r="F5" s="61">
        <f>F2*B15</f>
        <v>128.1983358912245</v>
      </c>
      <c r="G5" s="61">
        <f>G2*B15</f>
        <v>131.41901380021235</v>
      </c>
      <c r="K5">
        <v>3</v>
      </c>
    </row>
    <row r="6" spans="1:11">
      <c r="A6" s="59" t="s">
        <v>153</v>
      </c>
      <c r="B6" s="52">
        <f t="shared" ref="B6:G7" si="0">B3</f>
        <v>154.4596607790844</v>
      </c>
      <c r="C6" s="52">
        <f t="shared" si="0"/>
        <v>156.58692491976333</v>
      </c>
      <c r="D6" s="52">
        <f t="shared" si="0"/>
        <v>160.84145320112117</v>
      </c>
      <c r="E6" s="52">
        <f t="shared" si="0"/>
        <v>165.095981482479</v>
      </c>
      <c r="F6" s="52">
        <f t="shared" si="0"/>
        <v>169.35050976383684</v>
      </c>
      <c r="G6" s="52">
        <f t="shared" si="0"/>
        <v>173.60503804519465</v>
      </c>
    </row>
    <row r="7" spans="1:11">
      <c r="A7" s="59" t="s">
        <v>156</v>
      </c>
      <c r="B7" s="52">
        <f t="shared" si="0"/>
        <v>231.6894911686266</v>
      </c>
      <c r="C7" s="52">
        <f t="shared" si="0"/>
        <v>234.88038737964496</v>
      </c>
      <c r="D7" s="52">
        <f t="shared" si="0"/>
        <v>241.26217980168173</v>
      </c>
      <c r="E7" s="52">
        <f t="shared" si="0"/>
        <v>247.64397222371846</v>
      </c>
      <c r="F7" s="52">
        <f t="shared" si="0"/>
        <v>254.0257646457552</v>
      </c>
      <c r="G7" s="52">
        <f t="shared" si="0"/>
        <v>260.40755706779197</v>
      </c>
    </row>
    <row r="8" spans="1:11">
      <c r="A8" s="59" t="s">
        <v>154</v>
      </c>
      <c r="B8" s="61">
        <f>B3*B15</f>
        <v>233.85192641953378</v>
      </c>
      <c r="C8" s="61">
        <f>C3*B15</f>
        <v>237.07260432852169</v>
      </c>
      <c r="D8" s="61">
        <f>D3*B15</f>
        <v>243.51396014649745</v>
      </c>
      <c r="E8" s="61">
        <f>E3*B15</f>
        <v>249.95531596447321</v>
      </c>
      <c r="F8" s="61">
        <f>F3*B15</f>
        <v>256.396671782449</v>
      </c>
      <c r="G8" s="61">
        <f>G3*B15</f>
        <v>262.83802760042471</v>
      </c>
      <c r="K8" s="92"/>
    </row>
    <row r="9" spans="1:11">
      <c r="A9" s="59" t="s">
        <v>155</v>
      </c>
      <c r="B9" s="52">
        <f t="shared" ref="B9:G10" si="1">B3</f>
        <v>154.4596607790844</v>
      </c>
      <c r="C9" s="52">
        <f t="shared" si="1"/>
        <v>156.58692491976333</v>
      </c>
      <c r="D9" s="52">
        <f t="shared" si="1"/>
        <v>160.84145320112117</v>
      </c>
      <c r="E9" s="52">
        <f t="shared" si="1"/>
        <v>165.095981482479</v>
      </c>
      <c r="F9" s="52">
        <f t="shared" si="1"/>
        <v>169.35050976383684</v>
      </c>
      <c r="G9" s="52">
        <f t="shared" si="1"/>
        <v>173.60503804519465</v>
      </c>
    </row>
    <row r="10" spans="1:11">
      <c r="A10" s="59" t="s">
        <v>157</v>
      </c>
      <c r="B10" s="52">
        <f t="shared" si="1"/>
        <v>231.6894911686266</v>
      </c>
      <c r="C10" s="52">
        <f t="shared" si="1"/>
        <v>234.88038737964496</v>
      </c>
      <c r="D10" s="52">
        <f t="shared" si="1"/>
        <v>241.26217980168173</v>
      </c>
      <c r="E10" s="52">
        <f t="shared" si="1"/>
        <v>247.64397222371846</v>
      </c>
      <c r="F10" s="52">
        <f t="shared" si="1"/>
        <v>254.0257646457552</v>
      </c>
      <c r="G10" s="52">
        <f t="shared" si="1"/>
        <v>260.40755706779197</v>
      </c>
    </row>
    <row r="11" spans="1:11">
      <c r="A11" s="59" t="s">
        <v>158</v>
      </c>
      <c r="B11" s="61">
        <f>B4*B15</f>
        <v>350.77788962930066</v>
      </c>
      <c r="C11" s="61">
        <f>C4*B15</f>
        <v>355.60890649278247</v>
      </c>
      <c r="D11" s="61">
        <f>D4*B15</f>
        <v>365.27094021974614</v>
      </c>
      <c r="E11" s="61">
        <f>E4*B15</f>
        <v>374.93297394670975</v>
      </c>
      <c r="F11" s="61">
        <f>F4*B15</f>
        <v>384.59500767367336</v>
      </c>
      <c r="G11" s="61">
        <f>G4*B15</f>
        <v>394.25704140063704</v>
      </c>
    </row>
    <row r="12" spans="1:11">
      <c r="A12" s="59" t="s">
        <v>159</v>
      </c>
      <c r="B12" s="52">
        <f t="shared" ref="B12:G12" si="2">B11+B2</f>
        <v>428.00772001884286</v>
      </c>
      <c r="C12" s="52">
        <f t="shared" si="2"/>
        <v>433.90236895266412</v>
      </c>
      <c r="D12" s="52">
        <f t="shared" si="2"/>
        <v>445.69166682030675</v>
      </c>
      <c r="E12" s="52">
        <f t="shared" si="2"/>
        <v>457.48096468794927</v>
      </c>
      <c r="F12" s="52">
        <f t="shared" si="2"/>
        <v>469.27026255559178</v>
      </c>
      <c r="G12" s="52">
        <f t="shared" si="2"/>
        <v>481.05956042323436</v>
      </c>
    </row>
    <row r="13" spans="1:11">
      <c r="A13" s="59" t="s">
        <v>160</v>
      </c>
      <c r="B13" s="52">
        <f t="shared" ref="B13:G13" si="3">B11+B3</f>
        <v>505.23755040838506</v>
      </c>
      <c r="C13" s="52">
        <f t="shared" si="3"/>
        <v>512.19583141254577</v>
      </c>
      <c r="D13" s="52">
        <f t="shared" si="3"/>
        <v>526.11239342086731</v>
      </c>
      <c r="E13" s="52">
        <f t="shared" si="3"/>
        <v>540.02895542918873</v>
      </c>
      <c r="F13" s="52">
        <f t="shared" si="3"/>
        <v>553.94551743751026</v>
      </c>
      <c r="G13" s="52">
        <f t="shared" si="3"/>
        <v>567.86207944583168</v>
      </c>
      <c r="J13" t="s">
        <v>0</v>
      </c>
      <c r="K13">
        <v>50</v>
      </c>
    </row>
    <row r="14" spans="1:11">
      <c r="K14">
        <v>100</v>
      </c>
    </row>
    <row r="15" spans="1:11">
      <c r="A15" s="59" t="s">
        <v>162</v>
      </c>
      <c r="B15">
        <v>1.514</v>
      </c>
      <c r="K15">
        <v>200</v>
      </c>
    </row>
    <row r="16" spans="1:11">
      <c r="K16">
        <v>300</v>
      </c>
    </row>
    <row r="17" spans="1:11">
      <c r="K17">
        <v>400</v>
      </c>
    </row>
    <row r="18" spans="1:11">
      <c r="K18">
        <v>500</v>
      </c>
    </row>
    <row r="19" spans="1:11">
      <c r="B19" s="1" t="s">
        <v>2</v>
      </c>
      <c r="C19" t="s">
        <v>174</v>
      </c>
    </row>
    <row r="20" spans="1:11">
      <c r="A20" s="2" t="s">
        <v>0</v>
      </c>
      <c r="B20" s="1"/>
    </row>
    <row r="21" spans="1:11">
      <c r="A21" s="2" t="s">
        <v>191</v>
      </c>
    </row>
    <row r="22" spans="1:11">
      <c r="A22" s="2" t="s">
        <v>1</v>
      </c>
    </row>
    <row r="23" spans="1:11">
      <c r="A23" s="28" t="s">
        <v>96</v>
      </c>
      <c r="B23" s="22">
        <f>IF(B20=K13,,)</f>
        <v>0</v>
      </c>
    </row>
    <row r="24" spans="1:11">
      <c r="A24" s="2"/>
    </row>
    <row r="26" spans="1:11">
      <c r="A26" s="2"/>
    </row>
    <row r="27" spans="1:11">
      <c r="A27" s="2"/>
    </row>
  </sheetData>
  <dataValidations count="4">
    <dataValidation type="list" allowBlank="1" showInputMessage="1" showErrorMessage="1" sqref="B21">
      <formula1>L63:L65</formula1>
    </dataValidation>
    <dataValidation type="list" allowBlank="1" showInputMessage="1" showErrorMessage="1" sqref="B20">
      <formula1>L63:L65</formula1>
    </dataValidation>
    <dataValidation type="list" allowBlank="1" showInputMessage="1" showErrorMessage="1" sqref="B22">
      <formula1>$L$38:$L$42</formula1>
    </dataValidation>
    <dataValidation type="list" allowBlank="1" showInputMessage="1" showErrorMessage="1" sqref="B24">
      <formula1>$J$38:$J$39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G15"/>
  <sheetViews>
    <sheetView showRuler="0" workbookViewId="0">
      <selection activeCell="H16" sqref="A1:H16"/>
    </sheetView>
  </sheetViews>
  <sheetFormatPr baseColWidth="10" defaultRowHeight="15" x14ac:dyDescent="0"/>
  <cols>
    <col min="1" max="1" width="33" bestFit="1" customWidth="1"/>
  </cols>
  <sheetData>
    <row r="1" spans="1:7" ht="18">
      <c r="A1" s="65" t="s">
        <v>151</v>
      </c>
      <c r="B1" s="66" t="s">
        <v>119</v>
      </c>
      <c r="C1" s="66" t="s">
        <v>120</v>
      </c>
      <c r="D1" s="66" t="s">
        <v>147</v>
      </c>
      <c r="E1" s="66" t="s">
        <v>148</v>
      </c>
      <c r="F1" s="66" t="s">
        <v>149</v>
      </c>
      <c r="G1" s="66" t="s">
        <v>150</v>
      </c>
    </row>
    <row r="2" spans="1:7">
      <c r="A2" s="62" t="s">
        <v>105</v>
      </c>
      <c r="B2" s="63">
        <f>'Temps d''éxé'!D13+('Temps d''éxé'!B25/2)</f>
        <v>77.229830389542201</v>
      </c>
      <c r="C2" s="63">
        <f>'Temps d''éxé'!D13+('Temps d''éxé'!C25/2)</f>
        <v>78.293462459881667</v>
      </c>
      <c r="D2" s="63">
        <f>'Temps d''éxé'!D13+('Temps d''éxé'!D25/2)</f>
        <v>80.420726600560585</v>
      </c>
      <c r="E2" s="63">
        <f>'Temps d''éxé'!D13+('Temps d''éxé'!E25/2)</f>
        <v>82.547990741239502</v>
      </c>
      <c r="F2" s="63">
        <f>'Temps d''éxé'!D13+('Temps d''éxé'!F25/2)</f>
        <v>84.67525488191842</v>
      </c>
      <c r="G2" s="63">
        <f>'Temps d''éxé'!D13+('Temps d''éxé'!G25/2)</f>
        <v>86.802519022597323</v>
      </c>
    </row>
    <row r="3" spans="1:7">
      <c r="A3" s="62" t="s">
        <v>106</v>
      </c>
      <c r="B3" s="64">
        <f>'Temps d''éxé'!E13+('Temps d''éxé'!B26/2)</f>
        <v>154.4596607790844</v>
      </c>
      <c r="C3" s="64">
        <f>'Temps d''éxé'!E13+('Temps d''éxé'!C26/2)</f>
        <v>156.58692491976333</v>
      </c>
      <c r="D3" s="64">
        <f>'Temps d''éxé'!E13+('Temps d''éxé'!D26/2)</f>
        <v>160.84145320112117</v>
      </c>
      <c r="E3" s="64">
        <f>'Temps d''éxé'!E13+('Temps d''éxé'!E26/2)</f>
        <v>165.095981482479</v>
      </c>
      <c r="F3" s="64">
        <f>'Temps d''éxé'!E13+('Temps d''éxé'!F26/2)</f>
        <v>169.35050976383684</v>
      </c>
      <c r="G3" s="64">
        <f>'Temps d''éxé'!E13+('Temps d''éxé'!G26/2)</f>
        <v>173.60503804519465</v>
      </c>
    </row>
    <row r="4" spans="1:7">
      <c r="A4" s="62" t="s">
        <v>107</v>
      </c>
      <c r="B4" s="56">
        <f>'Temps d''éxé'!F13+('Temps d''éxé'!B27/2)</f>
        <v>231.6894911686266</v>
      </c>
      <c r="C4" s="56">
        <f>'Temps d''éxé'!F13+('Temps d''éxé'!C27/2)</f>
        <v>234.88038737964496</v>
      </c>
      <c r="D4" s="56">
        <f>'Temps d''éxé'!F13+('Temps d''éxé'!D27/2)</f>
        <v>241.26217980168173</v>
      </c>
      <c r="E4" s="56">
        <f>'Temps d''éxé'!F13+('Temps d''éxé'!E27/2)</f>
        <v>247.64397222371846</v>
      </c>
      <c r="F4" s="56">
        <f>'Temps d''éxé'!F13+('Temps d''éxé'!F27/2)</f>
        <v>254.0257646457552</v>
      </c>
      <c r="G4" s="56">
        <f>'Temps d''éxé'!F13+('Temps d''éxé'!G27/2)</f>
        <v>260.40755706779197</v>
      </c>
    </row>
    <row r="5" spans="1:7">
      <c r="A5" s="62" t="s">
        <v>152</v>
      </c>
      <c r="B5" s="64">
        <f>B2*'Temps d''éxé'!I19</f>
        <v>116.92596320976689</v>
      </c>
      <c r="C5" s="64">
        <f>C2*B15</f>
        <v>118.53630216426085</v>
      </c>
      <c r="D5" s="64">
        <f>D2*B15</f>
        <v>121.75698007324873</v>
      </c>
      <c r="E5" s="64">
        <f>E2*B15</f>
        <v>124.97765798223661</v>
      </c>
      <c r="F5" s="64">
        <f>F2*B15</f>
        <v>128.1983358912245</v>
      </c>
      <c r="G5" s="64">
        <f>G2*B15</f>
        <v>131.41901380021235</v>
      </c>
    </row>
    <row r="6" spans="1:7">
      <c r="A6" s="62" t="s">
        <v>153</v>
      </c>
      <c r="B6" s="56">
        <f t="shared" ref="B6:G7" si="0">B3</f>
        <v>154.4596607790844</v>
      </c>
      <c r="C6" s="56">
        <f t="shared" si="0"/>
        <v>156.58692491976333</v>
      </c>
      <c r="D6" s="56">
        <f t="shared" si="0"/>
        <v>160.84145320112117</v>
      </c>
      <c r="E6" s="56">
        <f t="shared" si="0"/>
        <v>165.095981482479</v>
      </c>
      <c r="F6" s="56">
        <f t="shared" si="0"/>
        <v>169.35050976383684</v>
      </c>
      <c r="G6" s="56">
        <f t="shared" si="0"/>
        <v>173.60503804519465</v>
      </c>
    </row>
    <row r="7" spans="1:7">
      <c r="A7" s="62" t="s">
        <v>156</v>
      </c>
      <c r="B7" s="56">
        <f t="shared" si="0"/>
        <v>231.6894911686266</v>
      </c>
      <c r="C7" s="56">
        <f t="shared" si="0"/>
        <v>234.88038737964496</v>
      </c>
      <c r="D7" s="56">
        <f t="shared" si="0"/>
        <v>241.26217980168173</v>
      </c>
      <c r="E7" s="56">
        <f t="shared" si="0"/>
        <v>247.64397222371846</v>
      </c>
      <c r="F7" s="56">
        <f t="shared" si="0"/>
        <v>254.0257646457552</v>
      </c>
      <c r="G7" s="56">
        <f t="shared" si="0"/>
        <v>260.40755706779197</v>
      </c>
    </row>
    <row r="8" spans="1:7">
      <c r="A8" s="62" t="s">
        <v>154</v>
      </c>
      <c r="B8" s="64">
        <f>B3*B15</f>
        <v>233.85192641953378</v>
      </c>
      <c r="C8" s="64">
        <f>C3*B15</f>
        <v>237.07260432852169</v>
      </c>
      <c r="D8" s="64">
        <f>D3*B15</f>
        <v>243.51396014649745</v>
      </c>
      <c r="E8" s="64">
        <f>E3*B15</f>
        <v>249.95531596447321</v>
      </c>
      <c r="F8" s="64">
        <f>F3*B15</f>
        <v>256.396671782449</v>
      </c>
      <c r="G8" s="64">
        <f>G3*B15</f>
        <v>262.83802760042471</v>
      </c>
    </row>
    <row r="9" spans="1:7">
      <c r="A9" s="62" t="s">
        <v>155</v>
      </c>
      <c r="B9" s="56">
        <f t="shared" ref="B9:G10" si="1">B3</f>
        <v>154.4596607790844</v>
      </c>
      <c r="C9" s="56">
        <f t="shared" si="1"/>
        <v>156.58692491976333</v>
      </c>
      <c r="D9" s="56">
        <f t="shared" si="1"/>
        <v>160.84145320112117</v>
      </c>
      <c r="E9" s="56">
        <f t="shared" si="1"/>
        <v>165.095981482479</v>
      </c>
      <c r="F9" s="56">
        <f t="shared" si="1"/>
        <v>169.35050976383684</v>
      </c>
      <c r="G9" s="56">
        <f t="shared" si="1"/>
        <v>173.60503804519465</v>
      </c>
    </row>
    <row r="10" spans="1:7">
      <c r="A10" s="62" t="s">
        <v>157</v>
      </c>
      <c r="B10" s="56">
        <f t="shared" si="1"/>
        <v>231.6894911686266</v>
      </c>
      <c r="C10" s="56">
        <f t="shared" si="1"/>
        <v>234.88038737964496</v>
      </c>
      <c r="D10" s="56">
        <f t="shared" si="1"/>
        <v>241.26217980168173</v>
      </c>
      <c r="E10" s="56">
        <f t="shared" si="1"/>
        <v>247.64397222371846</v>
      </c>
      <c r="F10" s="56">
        <f t="shared" si="1"/>
        <v>254.0257646457552</v>
      </c>
      <c r="G10" s="56">
        <f t="shared" si="1"/>
        <v>260.40755706779197</v>
      </c>
    </row>
    <row r="11" spans="1:7">
      <c r="A11" s="62" t="s">
        <v>158</v>
      </c>
      <c r="B11" s="64">
        <f>B4*B15</f>
        <v>350.77788962930066</v>
      </c>
      <c r="C11" s="64">
        <f>C4*B15</f>
        <v>355.60890649278247</v>
      </c>
      <c r="D11" s="64">
        <f>D4*B15</f>
        <v>365.27094021974614</v>
      </c>
      <c r="E11" s="64">
        <f>E4*B15</f>
        <v>374.93297394670975</v>
      </c>
      <c r="F11" s="64">
        <f>F4*B15</f>
        <v>384.59500767367336</v>
      </c>
      <c r="G11" s="64">
        <f>G4*B15</f>
        <v>394.25704140063704</v>
      </c>
    </row>
    <row r="12" spans="1:7">
      <c r="A12" s="62" t="s">
        <v>159</v>
      </c>
      <c r="B12" s="56">
        <f t="shared" ref="B12:G12" si="2">B11+B2</f>
        <v>428.00772001884286</v>
      </c>
      <c r="C12" s="56">
        <f t="shared" si="2"/>
        <v>433.90236895266412</v>
      </c>
      <c r="D12" s="56">
        <f t="shared" si="2"/>
        <v>445.69166682030675</v>
      </c>
      <c r="E12" s="56">
        <f t="shared" si="2"/>
        <v>457.48096468794927</v>
      </c>
      <c r="F12" s="56">
        <f t="shared" si="2"/>
        <v>469.27026255559178</v>
      </c>
      <c r="G12" s="56">
        <f t="shared" si="2"/>
        <v>481.05956042323436</v>
      </c>
    </row>
    <row r="13" spans="1:7">
      <c r="A13" s="62" t="s">
        <v>160</v>
      </c>
      <c r="B13" s="56">
        <f t="shared" ref="B13:G13" si="3">B11+B3</f>
        <v>505.23755040838506</v>
      </c>
      <c r="C13" s="56">
        <f t="shared" si="3"/>
        <v>512.19583141254577</v>
      </c>
      <c r="D13" s="56">
        <f t="shared" si="3"/>
        <v>526.11239342086731</v>
      </c>
      <c r="E13" s="56">
        <f t="shared" si="3"/>
        <v>540.02895542918873</v>
      </c>
      <c r="F13" s="56">
        <f t="shared" si="3"/>
        <v>553.94551743751026</v>
      </c>
      <c r="G13" s="56">
        <f t="shared" si="3"/>
        <v>567.86207944583168</v>
      </c>
    </row>
    <row r="15" spans="1:7">
      <c r="A15" s="62" t="s">
        <v>162</v>
      </c>
      <c r="B15">
        <v>1.514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G15"/>
  <sheetViews>
    <sheetView showRuler="0" workbookViewId="0">
      <selection activeCell="D20" sqref="D20"/>
    </sheetView>
  </sheetViews>
  <sheetFormatPr baseColWidth="10" defaultRowHeight="15" x14ac:dyDescent="0"/>
  <cols>
    <col min="1" max="1" width="32.83203125" bestFit="1" customWidth="1"/>
  </cols>
  <sheetData>
    <row r="1" spans="1:7" ht="18">
      <c r="A1" s="67" t="s">
        <v>163</v>
      </c>
      <c r="B1" s="68" t="s">
        <v>119</v>
      </c>
      <c r="C1" s="68" t="s">
        <v>120</v>
      </c>
      <c r="D1" s="68" t="s">
        <v>147</v>
      </c>
      <c r="E1" s="68" t="s">
        <v>148</v>
      </c>
      <c r="F1" s="68" t="s">
        <v>149</v>
      </c>
      <c r="G1" s="68" t="s">
        <v>150</v>
      </c>
    </row>
    <row r="2" spans="1:7">
      <c r="A2" s="69" t="s">
        <v>105</v>
      </c>
      <c r="B2" s="70">
        <f>'Temps d''éxé'!D13+'Temps d''éxé'!B25</f>
        <v>78.293462459881667</v>
      </c>
      <c r="C2" s="70">
        <f>'Temps d''éxé'!D13+'Temps d''éxé'!C25</f>
        <v>80.420726600560585</v>
      </c>
      <c r="D2" s="70">
        <f>'Temps d''éxé'!D13+'Temps d''éxé'!D25</f>
        <v>84.67525488191842</v>
      </c>
      <c r="E2" s="70">
        <f>'Temps d''éxé'!D13+'Temps d''éxé'!E25</f>
        <v>88.929783163276255</v>
      </c>
      <c r="F2" s="70">
        <f>'Temps d''éxé'!D13+'Temps d''éxé'!F25</f>
        <v>93.184311444634076</v>
      </c>
      <c r="G2" s="70">
        <f>'Temps d''éxé'!D13+'Temps d''éxé'!G25</f>
        <v>97.438839725991912</v>
      </c>
    </row>
    <row r="3" spans="1:7">
      <c r="A3" s="69" t="s">
        <v>106</v>
      </c>
      <c r="B3" s="71">
        <f>'Temps d''éxé'!E13+'Temps d''éxé'!B26</f>
        <v>156.58692491976333</v>
      </c>
      <c r="C3" s="71">
        <f>'Temps d''éxé'!E13+'Temps d''éxé'!C26</f>
        <v>160.84145320112117</v>
      </c>
      <c r="D3" s="71">
        <f>'Temps d''éxé'!E13+'Temps d''éxé'!D26</f>
        <v>169.35050976383684</v>
      </c>
      <c r="E3" s="71">
        <f>'Temps d''éxé'!E13+'Temps d''éxé'!E26</f>
        <v>177.85956632655251</v>
      </c>
      <c r="F3" s="71">
        <f>'Temps d''éxé'!E13+'Temps d''éxé'!F26</f>
        <v>186.36862288926815</v>
      </c>
      <c r="G3" s="71">
        <f>'Temps d''éxé'!E13+'Temps d''éxé'!G26</f>
        <v>194.87767945198382</v>
      </c>
    </row>
    <row r="4" spans="1:7">
      <c r="A4" s="69" t="s">
        <v>107</v>
      </c>
      <c r="B4" s="72">
        <f>'Temps d''éxé'!F13+'Temps d''éxé'!B27</f>
        <v>234.88038737964496</v>
      </c>
      <c r="C4" s="72">
        <f>'Temps d''éxé'!F13+'Temps d''éxé'!C27</f>
        <v>241.26217980168173</v>
      </c>
      <c r="D4" s="72">
        <f>'Temps d''éxé'!F13+'Temps d''éxé'!D27</f>
        <v>254.0257646457552</v>
      </c>
      <c r="E4" s="72">
        <f>'Temps d''éxé'!F13+'Temps d''éxé'!E27</f>
        <v>266.78934948982874</v>
      </c>
      <c r="F4" s="72">
        <f>'Temps d''éxé'!F13+('Temps d''éxé'!F27/2)</f>
        <v>254.0257646457552</v>
      </c>
      <c r="G4" s="72">
        <f>'Temps d''éxé'!F13+'Temps d''éxé'!G27</f>
        <v>292.31651917797569</v>
      </c>
    </row>
    <row r="5" spans="1:7">
      <c r="A5" s="69" t="s">
        <v>152</v>
      </c>
      <c r="B5" s="71">
        <f>('Temps d''éxé'!D13+(2*'Temps d''éxé'!B25))*B15</f>
        <v>121.75698007324873</v>
      </c>
      <c r="C5" s="71">
        <f>('Temps d''éxé'!D13+(2*'Temps d''éxé'!C25))*B15</f>
        <v>128.1983358912245</v>
      </c>
      <c r="D5" s="71">
        <f>('Temps d''éxé'!D13+(2*'Temps d''éxé'!D25))*B15</f>
        <v>141.081047527176</v>
      </c>
      <c r="E5" s="71">
        <f>('Temps d''éxé'!D13+(2*'Temps d''éxé'!E25))*B15</f>
        <v>153.96375916312752</v>
      </c>
      <c r="F5" s="71">
        <f>('Temps d''éxé'!D13+(2*'Temps d''éxé'!F25))*B15</f>
        <v>166.84647079907901</v>
      </c>
      <c r="G5" s="71">
        <f>('Temps d''éxé'!D13+(2*'Temps d''éxé'!G25))*B15</f>
        <v>179.72918243503054</v>
      </c>
    </row>
    <row r="6" spans="1:7">
      <c r="A6" s="69" t="s">
        <v>153</v>
      </c>
      <c r="B6" s="72">
        <f t="shared" ref="B6:G6" si="0">B5+B2</f>
        <v>200.05044253313039</v>
      </c>
      <c r="C6" s="72">
        <f t="shared" si="0"/>
        <v>208.61906249178509</v>
      </c>
      <c r="D6" s="72">
        <f t="shared" si="0"/>
        <v>225.75630240909442</v>
      </c>
      <c r="E6" s="72">
        <f t="shared" si="0"/>
        <v>242.89354232640378</v>
      </c>
      <c r="F6" s="72">
        <f t="shared" si="0"/>
        <v>260.03078224371308</v>
      </c>
      <c r="G6" s="72">
        <f t="shared" si="0"/>
        <v>277.16802216102246</v>
      </c>
    </row>
    <row r="7" spans="1:7">
      <c r="A7" s="69" t="s">
        <v>156</v>
      </c>
      <c r="B7" s="72">
        <f t="shared" ref="B7:G7" si="1">B5+B3</f>
        <v>278.34390499301207</v>
      </c>
      <c r="C7" s="72">
        <f t="shared" si="1"/>
        <v>289.0397890923457</v>
      </c>
      <c r="D7" s="72">
        <f t="shared" si="1"/>
        <v>310.43155729101284</v>
      </c>
      <c r="E7" s="72">
        <f t="shared" si="1"/>
        <v>331.82332548968003</v>
      </c>
      <c r="F7" s="72">
        <f t="shared" si="1"/>
        <v>353.21509368834717</v>
      </c>
      <c r="G7" s="72">
        <f t="shared" si="1"/>
        <v>374.60686188701436</v>
      </c>
    </row>
    <row r="8" spans="1:7">
      <c r="A8" s="69" t="s">
        <v>154</v>
      </c>
      <c r="B8" s="71">
        <f>('Temps d''éxé'!E13+(2*'Temps d''éxé'!B26))*B15</f>
        <v>243.51396014649745</v>
      </c>
      <c r="C8" s="71">
        <f>('Temps d''éxé'!E13+(2*'Temps d''éxé'!C26))*B15</f>
        <v>256.396671782449</v>
      </c>
      <c r="D8" s="71">
        <f>('Temps d''éxé'!E13+(2*'Temps d''éxé'!D26))*B15</f>
        <v>282.16209505435199</v>
      </c>
      <c r="E8" s="71">
        <f>('Temps d''éxé'!E13+(2*'Temps d''éxé'!E26))*B15</f>
        <v>307.92751832625504</v>
      </c>
      <c r="F8" s="71">
        <f>('Temps d''éxé'!E13+(2*'Temps d''éxé'!F26))*B15</f>
        <v>333.69294159815803</v>
      </c>
      <c r="G8" s="71">
        <f>('Temps d''éxé'!E13+(2*'Temps d''éxé'!G26))*B15</f>
        <v>359.45836487006108</v>
      </c>
    </row>
    <row r="9" spans="1:7">
      <c r="A9" s="69" t="s">
        <v>155</v>
      </c>
      <c r="B9" s="72">
        <f t="shared" ref="B9:G9" si="2">B8+B2</f>
        <v>321.80742260637913</v>
      </c>
      <c r="C9" s="72">
        <f t="shared" si="2"/>
        <v>336.81739838300962</v>
      </c>
      <c r="D9" s="72">
        <f t="shared" si="2"/>
        <v>366.83734993627041</v>
      </c>
      <c r="E9" s="72">
        <f t="shared" si="2"/>
        <v>396.85730148953132</v>
      </c>
      <c r="F9" s="72">
        <f t="shared" si="2"/>
        <v>426.87725304279212</v>
      </c>
      <c r="G9" s="72">
        <f t="shared" si="2"/>
        <v>456.89720459605297</v>
      </c>
    </row>
    <row r="10" spans="1:7">
      <c r="A10" s="69" t="s">
        <v>157</v>
      </c>
      <c r="B10" s="72">
        <f>B8+B3</f>
        <v>400.10088506626079</v>
      </c>
      <c r="C10" s="72">
        <f>C8+C3</f>
        <v>417.23812498357017</v>
      </c>
      <c r="D10" s="72">
        <f>D8+D3</f>
        <v>451.51260481818883</v>
      </c>
      <c r="E10" s="72">
        <f>E8+E3</f>
        <v>485.78708465280755</v>
      </c>
      <c r="F10" s="72">
        <f>F8+F3</f>
        <v>520.06156448742615</v>
      </c>
      <c r="G10" s="72">
        <f>G8+G2</f>
        <v>456.89720459605297</v>
      </c>
    </row>
    <row r="11" spans="1:7">
      <c r="A11" s="69" t="s">
        <v>158</v>
      </c>
      <c r="B11" s="71">
        <f>('Temps d''éxé'!F13+(2*'Temps d''éxé'!B27))*B15</f>
        <v>365.27094021974614</v>
      </c>
      <c r="C11" s="71">
        <f>('Temps d''éxé'!F13+(2*'Temps d''éxé'!C27))*B15</f>
        <v>384.59500767367336</v>
      </c>
      <c r="D11" s="71">
        <f>('Temps d''éxé'!F13+(2*'Temps d''éxé'!D27))*B15</f>
        <v>423.24314258152793</v>
      </c>
      <c r="E11" s="71">
        <f>('Temps d''éxé'!F13+(2*'Temps d''éxé'!E27))*B15</f>
        <v>461.89127748938256</v>
      </c>
      <c r="F11" s="71">
        <f>('Temps d''éxé'!F13+(2*'Temps d''éxé'!F27))*B15</f>
        <v>500.53941239723702</v>
      </c>
      <c r="G11" s="71">
        <f>('Temps d''éxé'!F13+(2*'Temps d''éxé'!G27))*B15</f>
        <v>539.18754730509158</v>
      </c>
    </row>
    <row r="12" spans="1:7">
      <c r="A12" s="69" t="s">
        <v>159</v>
      </c>
      <c r="B12" s="72">
        <f t="shared" ref="B12:G12" si="3">B11+B2</f>
        <v>443.56440267962779</v>
      </c>
      <c r="C12" s="72">
        <f t="shared" si="3"/>
        <v>465.01573427423398</v>
      </c>
      <c r="D12" s="72">
        <f t="shared" si="3"/>
        <v>507.91839746344635</v>
      </c>
      <c r="E12" s="72">
        <f t="shared" si="3"/>
        <v>550.82106065265884</v>
      </c>
      <c r="F12" s="72">
        <f t="shared" si="3"/>
        <v>593.72372384187111</v>
      </c>
      <c r="G12" s="72">
        <f t="shared" si="3"/>
        <v>636.62638703108348</v>
      </c>
    </row>
    <row r="13" spans="1:7">
      <c r="A13" s="69" t="s">
        <v>160</v>
      </c>
      <c r="B13" s="72">
        <f t="shared" ref="B13:G13" si="4">B11+B3</f>
        <v>521.8578651395095</v>
      </c>
      <c r="C13" s="72">
        <f t="shared" si="4"/>
        <v>545.43646087479453</v>
      </c>
      <c r="D13" s="72">
        <f t="shared" si="4"/>
        <v>592.59365234536472</v>
      </c>
      <c r="E13" s="72">
        <f t="shared" si="4"/>
        <v>639.75084381593501</v>
      </c>
      <c r="F13" s="72">
        <f t="shared" si="4"/>
        <v>686.9080352865052</v>
      </c>
      <c r="G13" s="72">
        <f t="shared" si="4"/>
        <v>734.06522675707538</v>
      </c>
    </row>
    <row r="15" spans="1:7">
      <c r="A15" s="69" t="s">
        <v>162</v>
      </c>
      <c r="B15">
        <v>1.514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G15"/>
  <sheetViews>
    <sheetView showRuler="0" workbookViewId="0">
      <selection activeCell="D18" sqref="D17:D18"/>
    </sheetView>
  </sheetViews>
  <sheetFormatPr baseColWidth="10" defaultRowHeight="15" x14ac:dyDescent="0"/>
  <cols>
    <col min="1" max="1" width="32.83203125" bestFit="1" customWidth="1"/>
  </cols>
  <sheetData>
    <row r="1" spans="1:7" ht="18">
      <c r="A1" s="73" t="s">
        <v>164</v>
      </c>
      <c r="B1" s="74" t="s">
        <v>119</v>
      </c>
      <c r="C1" s="74" t="s">
        <v>120</v>
      </c>
      <c r="D1" s="74" t="s">
        <v>147</v>
      </c>
      <c r="E1" s="74" t="s">
        <v>148</v>
      </c>
      <c r="F1" s="74" t="s">
        <v>149</v>
      </c>
      <c r="G1" s="74" t="s">
        <v>150</v>
      </c>
    </row>
    <row r="2" spans="1:7">
      <c r="A2" s="48" t="s">
        <v>105</v>
      </c>
      <c r="B2" s="75">
        <f>'Temps d''éxé'!D13+'Temps d''éxé'!B25</f>
        <v>78.293462459881667</v>
      </c>
      <c r="C2" s="75">
        <f>'Temps d''éxé'!D13+'Temps d''éxé'!C25</f>
        <v>80.420726600560585</v>
      </c>
      <c r="D2" s="75">
        <f>'Temps d''éxé'!D13+'Temps d''éxé'!D25</f>
        <v>84.67525488191842</v>
      </c>
      <c r="E2" s="75">
        <f>'Temps d''éxé'!D13+'Temps d''éxé'!E25</f>
        <v>88.929783163276255</v>
      </c>
      <c r="F2" s="75">
        <f>'Temps d''éxé'!D13+'Temps d''éxé'!F25</f>
        <v>93.184311444634076</v>
      </c>
      <c r="G2" s="75">
        <f>'Temps d''éxé'!D13+'Temps d''éxé'!G25</f>
        <v>97.438839725991912</v>
      </c>
    </row>
    <row r="3" spans="1:7">
      <c r="A3" s="48" t="s">
        <v>106</v>
      </c>
      <c r="B3" s="76">
        <f>'Temps d''éxé'!E13+'Temps d''éxé'!B26</f>
        <v>156.58692491976333</v>
      </c>
      <c r="C3" s="76">
        <f>'Temps d''éxé'!E13+'Temps d''éxé'!C26</f>
        <v>160.84145320112117</v>
      </c>
      <c r="D3" s="76">
        <f>'Temps d''éxé'!E13+'Temps d''éxé'!D26</f>
        <v>169.35050976383684</v>
      </c>
      <c r="E3" s="76">
        <f>'Temps d''éxé'!E13+'Temps d''éxé'!E26</f>
        <v>177.85956632655251</v>
      </c>
      <c r="F3" s="76">
        <f>'Temps d''éxé'!E13+'Temps d''éxé'!F26</f>
        <v>186.36862288926815</v>
      </c>
      <c r="G3" s="76">
        <f>'Temps d''éxé'!E13+'Temps d''éxé'!G26</f>
        <v>194.87767945198382</v>
      </c>
    </row>
    <row r="4" spans="1:7">
      <c r="A4" s="48" t="s">
        <v>107</v>
      </c>
      <c r="B4" s="77">
        <f>'Temps d''éxé'!F13+'Temps d''éxé'!B27</f>
        <v>234.88038737964496</v>
      </c>
      <c r="C4" s="77">
        <f>'Temps d''éxé'!F13+'Temps d''éxé'!C27</f>
        <v>241.26217980168173</v>
      </c>
      <c r="D4" s="77">
        <f>'Temps d''éxé'!F13+'Temps d''éxé'!D27</f>
        <v>254.0257646457552</v>
      </c>
      <c r="E4" s="77">
        <f>'Temps d''éxé'!F13+'Temps d''éxé'!E27</f>
        <v>266.78934948982874</v>
      </c>
      <c r="F4" s="77">
        <f>'Temps d''éxé'!F13+('Temps d''éxé'!F27/2)</f>
        <v>254.0257646457552</v>
      </c>
      <c r="G4" s="77">
        <f>'Temps d''éxé'!F13+'Temps d''éxé'!G27</f>
        <v>292.31651917797569</v>
      </c>
    </row>
    <row r="5" spans="1:7">
      <c r="A5" s="48" t="s">
        <v>152</v>
      </c>
      <c r="B5" s="76">
        <f>('Temps d''éxé'!D13+(2*'Temps d''éxé'!B25))*B15</f>
        <v>121.75698007324873</v>
      </c>
      <c r="C5" s="76">
        <f>('Temps d''éxé'!D13+(2*'Temps d''éxé'!C25))*B15</f>
        <v>128.1983358912245</v>
      </c>
      <c r="D5" s="76">
        <f>('Temps d''éxé'!D13+(2*'Temps d''éxé'!D25))*B15</f>
        <v>141.081047527176</v>
      </c>
      <c r="E5" s="76">
        <f>('Temps d''éxé'!D13+(2*'Temps d''éxé'!E25))*B15</f>
        <v>153.96375916312752</v>
      </c>
      <c r="F5" s="76">
        <f>('Temps d''éxé'!D13+(2*'Temps d''éxé'!F25))*B15</f>
        <v>166.84647079907901</v>
      </c>
      <c r="G5" s="76">
        <f>('Temps d''éxé'!D13+(2*'Temps d''éxé'!G25))*B15</f>
        <v>179.72918243503054</v>
      </c>
    </row>
    <row r="6" spans="1:7">
      <c r="A6" s="48" t="s">
        <v>153</v>
      </c>
      <c r="B6" s="77">
        <f t="shared" ref="B6:G6" si="0">B5+B2</f>
        <v>200.05044253313039</v>
      </c>
      <c r="C6" s="77">
        <f t="shared" si="0"/>
        <v>208.61906249178509</v>
      </c>
      <c r="D6" s="77">
        <f t="shared" si="0"/>
        <v>225.75630240909442</v>
      </c>
      <c r="E6" s="77">
        <f t="shared" si="0"/>
        <v>242.89354232640378</v>
      </c>
      <c r="F6" s="77">
        <f t="shared" si="0"/>
        <v>260.03078224371308</v>
      </c>
      <c r="G6" s="77">
        <f t="shared" si="0"/>
        <v>277.16802216102246</v>
      </c>
    </row>
    <row r="7" spans="1:7">
      <c r="A7" s="48" t="s">
        <v>156</v>
      </c>
      <c r="B7" s="77">
        <f t="shared" ref="B7:G7" si="1">B5+B3</f>
        <v>278.34390499301207</v>
      </c>
      <c r="C7" s="77">
        <f t="shared" si="1"/>
        <v>289.0397890923457</v>
      </c>
      <c r="D7" s="77">
        <f t="shared" si="1"/>
        <v>310.43155729101284</v>
      </c>
      <c r="E7" s="77">
        <f t="shared" si="1"/>
        <v>331.82332548968003</v>
      </c>
      <c r="F7" s="77">
        <f t="shared" si="1"/>
        <v>353.21509368834717</v>
      </c>
      <c r="G7" s="77">
        <f t="shared" si="1"/>
        <v>374.60686188701436</v>
      </c>
    </row>
    <row r="8" spans="1:7">
      <c r="A8" s="48" t="s">
        <v>154</v>
      </c>
      <c r="B8" s="76">
        <f>('Temps d''éxé'!E13+(2*'Temps d''éxé'!B26))*B15</f>
        <v>243.51396014649745</v>
      </c>
      <c r="C8" s="76">
        <f>('Temps d''éxé'!E13+(2*'Temps d''éxé'!C26))*B15</f>
        <v>256.396671782449</v>
      </c>
      <c r="D8" s="76">
        <f>('Temps d''éxé'!E13+(2*'Temps d''éxé'!D26))*B15</f>
        <v>282.16209505435199</v>
      </c>
      <c r="E8" s="76">
        <f>('Temps d''éxé'!E13+(2*'Temps d''éxé'!E26))*B15</f>
        <v>307.92751832625504</v>
      </c>
      <c r="F8" s="76">
        <f>('Temps d''éxé'!E13+(2*'Temps d''éxé'!F26))*B15</f>
        <v>333.69294159815803</v>
      </c>
      <c r="G8" s="76">
        <f>('Temps d''éxé'!E13+(2*'Temps d''éxé'!G26))*B15</f>
        <v>359.45836487006108</v>
      </c>
    </row>
    <row r="9" spans="1:7">
      <c r="A9" s="48" t="s">
        <v>155</v>
      </c>
      <c r="B9" s="77">
        <f t="shared" ref="B9:G9" si="2">B8+B2</f>
        <v>321.80742260637913</v>
      </c>
      <c r="C9" s="77">
        <f t="shared" si="2"/>
        <v>336.81739838300962</v>
      </c>
      <c r="D9" s="77">
        <f t="shared" si="2"/>
        <v>366.83734993627041</v>
      </c>
      <c r="E9" s="77">
        <f t="shared" si="2"/>
        <v>396.85730148953132</v>
      </c>
      <c r="F9" s="77">
        <f t="shared" si="2"/>
        <v>426.87725304279212</v>
      </c>
      <c r="G9" s="77">
        <f t="shared" si="2"/>
        <v>456.89720459605297</v>
      </c>
    </row>
    <row r="10" spans="1:7">
      <c r="A10" s="48" t="s">
        <v>157</v>
      </c>
      <c r="B10" s="77">
        <f>B8+B3</f>
        <v>400.10088506626079</v>
      </c>
      <c r="C10" s="77">
        <f>C8+C3</f>
        <v>417.23812498357017</v>
      </c>
      <c r="D10" s="77">
        <f>D8+D3</f>
        <v>451.51260481818883</v>
      </c>
      <c r="E10" s="77">
        <f>E8+E3</f>
        <v>485.78708465280755</v>
      </c>
      <c r="F10" s="77">
        <f>F8+F3</f>
        <v>520.06156448742615</v>
      </c>
      <c r="G10" s="77">
        <f>G8+G2</f>
        <v>456.89720459605297</v>
      </c>
    </row>
    <row r="11" spans="1:7">
      <c r="A11" s="48" t="s">
        <v>158</v>
      </c>
      <c r="B11" s="76">
        <f>('Temps d''éxé'!F13+(2*'Temps d''éxé'!B27))*B15</f>
        <v>365.27094021974614</v>
      </c>
      <c r="C11" s="76">
        <f>('Temps d''éxé'!F13+(2*'Temps d''éxé'!C27))*B15</f>
        <v>384.59500767367336</v>
      </c>
      <c r="D11" s="76">
        <f>('Temps d''éxé'!F13+(2*'Temps d''éxé'!D27))*B15</f>
        <v>423.24314258152793</v>
      </c>
      <c r="E11" s="76">
        <f>('Temps d''éxé'!F13+(2*'Temps d''éxé'!E27))*B15</f>
        <v>461.89127748938256</v>
      </c>
      <c r="F11" s="76">
        <f>('Temps d''éxé'!F13+(2*'Temps d''éxé'!F27))*B15</f>
        <v>500.53941239723702</v>
      </c>
      <c r="G11" s="76">
        <f>('Temps d''éxé'!F13+(2*'Temps d''éxé'!G27))*B15</f>
        <v>539.18754730509158</v>
      </c>
    </row>
    <row r="12" spans="1:7">
      <c r="A12" s="48" t="s">
        <v>159</v>
      </c>
      <c r="B12" s="77">
        <f t="shared" ref="B12:G12" si="3">B11+B2</f>
        <v>443.56440267962779</v>
      </c>
      <c r="C12" s="77">
        <f t="shared" si="3"/>
        <v>465.01573427423398</v>
      </c>
      <c r="D12" s="77">
        <f t="shared" si="3"/>
        <v>507.91839746344635</v>
      </c>
      <c r="E12" s="77">
        <f t="shared" si="3"/>
        <v>550.82106065265884</v>
      </c>
      <c r="F12" s="77">
        <f t="shared" si="3"/>
        <v>593.72372384187111</v>
      </c>
      <c r="G12" s="77">
        <f t="shared" si="3"/>
        <v>636.62638703108348</v>
      </c>
    </row>
    <row r="13" spans="1:7">
      <c r="A13" s="48" t="s">
        <v>160</v>
      </c>
      <c r="B13" s="77">
        <f t="shared" ref="B13:G13" si="4">B11+B3</f>
        <v>521.8578651395095</v>
      </c>
      <c r="C13" s="77">
        <f t="shared" si="4"/>
        <v>545.43646087479453</v>
      </c>
      <c r="D13" s="77">
        <f t="shared" si="4"/>
        <v>592.59365234536472</v>
      </c>
      <c r="E13" s="77">
        <f t="shared" si="4"/>
        <v>639.75084381593501</v>
      </c>
      <c r="F13" s="77">
        <f t="shared" si="4"/>
        <v>686.9080352865052</v>
      </c>
      <c r="G13" s="77">
        <f t="shared" si="4"/>
        <v>734.06522675707538</v>
      </c>
    </row>
    <row r="15" spans="1:7">
      <c r="A15" s="48" t="s">
        <v>162</v>
      </c>
      <c r="B15">
        <v>1.514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G15"/>
  <sheetViews>
    <sheetView showRuler="0" workbookViewId="0">
      <selection activeCell="D23" sqref="D23"/>
    </sheetView>
  </sheetViews>
  <sheetFormatPr baseColWidth="10" defaultRowHeight="15" x14ac:dyDescent="0"/>
  <cols>
    <col min="1" max="1" width="30.1640625" bestFit="1" customWidth="1"/>
  </cols>
  <sheetData>
    <row r="1" spans="1:7" ht="18">
      <c r="A1" s="78" t="s">
        <v>165</v>
      </c>
      <c r="B1" s="79" t="s">
        <v>119</v>
      </c>
      <c r="C1" s="79" t="s">
        <v>120</v>
      </c>
      <c r="D1" s="79" t="s">
        <v>147</v>
      </c>
      <c r="E1" s="79" t="s">
        <v>148</v>
      </c>
      <c r="F1" s="79" t="s">
        <v>149</v>
      </c>
      <c r="G1" s="79" t="s">
        <v>150</v>
      </c>
    </row>
    <row r="2" spans="1:7">
      <c r="A2" s="80" t="s">
        <v>105</v>
      </c>
      <c r="B2" s="81">
        <f>'Temps d''éxé'!D13+'Temps d''éxé'!B25</f>
        <v>78.293462459881667</v>
      </c>
      <c r="C2" s="81">
        <f>'Temps d''éxé'!D13+'Temps d''éxé'!C25</f>
        <v>80.420726600560585</v>
      </c>
      <c r="D2" s="81">
        <f>'Temps d''éxé'!D13+'Temps d''éxé'!D25</f>
        <v>84.67525488191842</v>
      </c>
      <c r="E2" s="81">
        <f>'Temps d''éxé'!D13+'Temps d''éxé'!E25</f>
        <v>88.929783163276255</v>
      </c>
      <c r="F2" s="81">
        <f>'Temps d''éxé'!D13+'Temps d''éxé'!F25</f>
        <v>93.184311444634076</v>
      </c>
      <c r="G2" s="81">
        <f>'Temps d''éxé'!D13+'Temps d''éxé'!G25</f>
        <v>97.438839725991912</v>
      </c>
    </row>
    <row r="3" spans="1:7">
      <c r="A3" s="80" t="s">
        <v>106</v>
      </c>
      <c r="B3" s="82">
        <f>'Temps d''éxé'!E13+'Temps d''éxé'!B26</f>
        <v>156.58692491976333</v>
      </c>
      <c r="C3" s="82">
        <f>'Temps d''éxé'!E13+'Temps d''éxé'!C26</f>
        <v>160.84145320112117</v>
      </c>
      <c r="D3" s="82">
        <f>'Temps d''éxé'!E13+'Temps d''éxé'!D26</f>
        <v>169.35050976383684</v>
      </c>
      <c r="E3" s="82">
        <f>'Temps d''éxé'!E13+'Temps d''éxé'!E26</f>
        <v>177.85956632655251</v>
      </c>
      <c r="F3" s="82">
        <f>'Temps d''éxé'!E13+'Temps d''éxé'!F26</f>
        <v>186.36862288926815</v>
      </c>
      <c r="G3" s="82">
        <f>'Temps d''éxé'!E13+'Temps d''éxé'!G26</f>
        <v>194.87767945198382</v>
      </c>
    </row>
    <row r="4" spans="1:7">
      <c r="A4" s="80" t="s">
        <v>107</v>
      </c>
      <c r="B4" s="83">
        <f>'Temps d''éxé'!F13+'Temps d''éxé'!B27</f>
        <v>234.88038737964496</v>
      </c>
      <c r="C4" s="83">
        <f>'Temps d''éxé'!F13+'Temps d''éxé'!C27</f>
        <v>241.26217980168173</v>
      </c>
      <c r="D4" s="83">
        <f>'Temps d''éxé'!F13+'Temps d''éxé'!D27</f>
        <v>254.0257646457552</v>
      </c>
      <c r="E4" s="83">
        <f>'Temps d''éxé'!F13+'Temps d''éxé'!E27</f>
        <v>266.78934948982874</v>
      </c>
      <c r="F4" s="83">
        <f>'Temps d''éxé'!F13+('Temps d''éxé'!F27/2)</f>
        <v>254.0257646457552</v>
      </c>
      <c r="G4" s="83">
        <f>'Temps d''éxé'!F13+'Temps d''éxé'!G27</f>
        <v>292.31651917797569</v>
      </c>
    </row>
    <row r="5" spans="1:7">
      <c r="A5" s="80" t="s">
        <v>152</v>
      </c>
      <c r="B5" s="82">
        <f>('Temps d''éxé'!D13+(2*'Temps d''éxé'!B25))*B15</f>
        <v>121.75698007324873</v>
      </c>
      <c r="C5" s="82">
        <f>('Temps d''éxé'!D13+(2*'Temps d''éxé'!C25))*B15</f>
        <v>128.1983358912245</v>
      </c>
      <c r="D5" s="82">
        <f>('Temps d''éxé'!D13+(2*'Temps d''éxé'!D25))*B15</f>
        <v>141.081047527176</v>
      </c>
      <c r="E5" s="82">
        <f>('Temps d''éxé'!D13+(2*'Temps d''éxé'!E25))*B15</f>
        <v>153.96375916312752</v>
      </c>
      <c r="F5" s="82">
        <f>('Temps d''éxé'!D13+(2*'Temps d''éxé'!F25))*B15</f>
        <v>166.84647079907901</v>
      </c>
      <c r="G5" s="82">
        <f>('Temps d''éxé'!D13+(2*'Temps d''éxé'!G25))*B15</f>
        <v>179.72918243503054</v>
      </c>
    </row>
    <row r="6" spans="1:7">
      <c r="A6" s="80" t="s">
        <v>153</v>
      </c>
      <c r="B6" s="83">
        <f t="shared" ref="B6:G6" si="0">B5+B2</f>
        <v>200.05044253313039</v>
      </c>
      <c r="C6" s="83">
        <f t="shared" si="0"/>
        <v>208.61906249178509</v>
      </c>
      <c r="D6" s="83">
        <f t="shared" si="0"/>
        <v>225.75630240909442</v>
      </c>
      <c r="E6" s="83">
        <f t="shared" si="0"/>
        <v>242.89354232640378</v>
      </c>
      <c r="F6" s="83">
        <f t="shared" si="0"/>
        <v>260.03078224371308</v>
      </c>
      <c r="G6" s="83">
        <f t="shared" si="0"/>
        <v>277.16802216102246</v>
      </c>
    </row>
    <row r="7" spans="1:7">
      <c r="A7" s="80" t="s">
        <v>156</v>
      </c>
      <c r="B7" s="83">
        <f t="shared" ref="B7:G7" si="1">B5+B3</f>
        <v>278.34390499301207</v>
      </c>
      <c r="C7" s="83">
        <f t="shared" si="1"/>
        <v>289.0397890923457</v>
      </c>
      <c r="D7" s="83">
        <f t="shared" si="1"/>
        <v>310.43155729101284</v>
      </c>
      <c r="E7" s="83">
        <f t="shared" si="1"/>
        <v>331.82332548968003</v>
      </c>
      <c r="F7" s="83">
        <f t="shared" si="1"/>
        <v>353.21509368834717</v>
      </c>
      <c r="G7" s="83">
        <f t="shared" si="1"/>
        <v>374.60686188701436</v>
      </c>
    </row>
    <row r="8" spans="1:7">
      <c r="A8" s="80" t="s">
        <v>154</v>
      </c>
      <c r="B8" s="82">
        <f>('Temps d''éxé'!E13+(2*'Temps d''éxé'!B26))*B15</f>
        <v>243.51396014649745</v>
      </c>
      <c r="C8" s="82">
        <f>('Temps d''éxé'!E13+(2*'Temps d''éxé'!C26))*B15</f>
        <v>256.396671782449</v>
      </c>
      <c r="D8" s="82">
        <f>('Temps d''éxé'!E13+(2*'Temps d''éxé'!D26))*B15</f>
        <v>282.16209505435199</v>
      </c>
      <c r="E8" s="82">
        <f>('Temps d''éxé'!E13+(2*'Temps d''éxé'!E26))*B15</f>
        <v>307.92751832625504</v>
      </c>
      <c r="F8" s="82">
        <f>('Temps d''éxé'!E13+(2*'Temps d''éxé'!F26))*B15</f>
        <v>333.69294159815803</v>
      </c>
      <c r="G8" s="82">
        <f>('Temps d''éxé'!E13+(2*'Temps d''éxé'!G26))*B15</f>
        <v>359.45836487006108</v>
      </c>
    </row>
    <row r="9" spans="1:7">
      <c r="A9" s="80" t="s">
        <v>155</v>
      </c>
      <c r="B9" s="83">
        <f t="shared" ref="B9:G9" si="2">B8+B2</f>
        <v>321.80742260637913</v>
      </c>
      <c r="C9" s="83">
        <f t="shared" si="2"/>
        <v>336.81739838300962</v>
      </c>
      <c r="D9" s="83">
        <f t="shared" si="2"/>
        <v>366.83734993627041</v>
      </c>
      <c r="E9" s="83">
        <f t="shared" si="2"/>
        <v>396.85730148953132</v>
      </c>
      <c r="F9" s="83">
        <f t="shared" si="2"/>
        <v>426.87725304279212</v>
      </c>
      <c r="G9" s="83">
        <f t="shared" si="2"/>
        <v>456.89720459605297</v>
      </c>
    </row>
    <row r="10" spans="1:7">
      <c r="A10" s="80" t="s">
        <v>157</v>
      </c>
      <c r="B10" s="83">
        <f>B8+B3</f>
        <v>400.10088506626079</v>
      </c>
      <c r="C10" s="83">
        <f>C8+C3</f>
        <v>417.23812498357017</v>
      </c>
      <c r="D10" s="83">
        <f>D8+D3</f>
        <v>451.51260481818883</v>
      </c>
      <c r="E10" s="83">
        <f>E8+E3</f>
        <v>485.78708465280755</v>
      </c>
      <c r="F10" s="83">
        <f>F8+F3</f>
        <v>520.06156448742615</v>
      </c>
      <c r="G10" s="83">
        <f>G8+G2</f>
        <v>456.89720459605297</v>
      </c>
    </row>
    <row r="11" spans="1:7">
      <c r="A11" s="80" t="s">
        <v>158</v>
      </c>
      <c r="B11" s="82">
        <f>('Temps d''éxé'!F13+(2*'Temps d''éxé'!B27))*B15</f>
        <v>365.27094021974614</v>
      </c>
      <c r="C11" s="82">
        <f>('Temps d''éxé'!F13+(2*'Temps d''éxé'!C27))*B15</f>
        <v>384.59500767367336</v>
      </c>
      <c r="D11" s="82">
        <f>('Temps d''éxé'!F13+(2*'Temps d''éxé'!D27))*B15</f>
        <v>423.24314258152793</v>
      </c>
      <c r="E11" s="82">
        <f>('Temps d''éxé'!F13+(2*'Temps d''éxé'!E27))*B15</f>
        <v>461.89127748938256</v>
      </c>
      <c r="F11" s="82">
        <f>('Temps d''éxé'!F13+(2*'Temps d''éxé'!F27))*B15</f>
        <v>500.53941239723702</v>
      </c>
      <c r="G11" s="82">
        <f>('Temps d''éxé'!F13+(2*'Temps d''éxé'!G27))*B15</f>
        <v>539.18754730509158</v>
      </c>
    </row>
    <row r="12" spans="1:7">
      <c r="A12" s="80" t="s">
        <v>159</v>
      </c>
      <c r="B12" s="83">
        <f t="shared" ref="B12:G12" si="3">B11+B2</f>
        <v>443.56440267962779</v>
      </c>
      <c r="C12" s="83">
        <f t="shared" si="3"/>
        <v>465.01573427423398</v>
      </c>
      <c r="D12" s="83">
        <f t="shared" si="3"/>
        <v>507.91839746344635</v>
      </c>
      <c r="E12" s="83">
        <f t="shared" si="3"/>
        <v>550.82106065265884</v>
      </c>
      <c r="F12" s="83">
        <f t="shared" si="3"/>
        <v>593.72372384187111</v>
      </c>
      <c r="G12" s="83">
        <f t="shared" si="3"/>
        <v>636.62638703108348</v>
      </c>
    </row>
    <row r="13" spans="1:7">
      <c r="A13" s="80" t="s">
        <v>160</v>
      </c>
      <c r="B13" s="83">
        <f t="shared" ref="B13:G13" si="4">B11+B3</f>
        <v>521.8578651395095</v>
      </c>
      <c r="C13" s="83">
        <f t="shared" si="4"/>
        <v>545.43646087479453</v>
      </c>
      <c r="D13" s="83">
        <f t="shared" si="4"/>
        <v>592.59365234536472</v>
      </c>
      <c r="E13" s="83">
        <f t="shared" si="4"/>
        <v>639.75084381593501</v>
      </c>
      <c r="F13" s="83">
        <f t="shared" si="4"/>
        <v>686.9080352865052</v>
      </c>
      <c r="G13" s="83">
        <f t="shared" si="4"/>
        <v>734.06522675707538</v>
      </c>
    </row>
    <row r="15" spans="1:7">
      <c r="A15" s="80" t="s">
        <v>162</v>
      </c>
      <c r="B15">
        <v>1.514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G15"/>
  <sheetViews>
    <sheetView showRuler="0" workbookViewId="0">
      <selection activeCell="E22" sqref="E22"/>
    </sheetView>
  </sheetViews>
  <sheetFormatPr baseColWidth="10" defaultRowHeight="15" x14ac:dyDescent="0"/>
  <cols>
    <col min="1" max="1" width="30.1640625" bestFit="1" customWidth="1"/>
  </cols>
  <sheetData>
    <row r="1" spans="1:7" ht="18">
      <c r="A1" s="84" t="s">
        <v>166</v>
      </c>
      <c r="B1" s="85" t="s">
        <v>119</v>
      </c>
      <c r="C1" s="85" t="s">
        <v>120</v>
      </c>
      <c r="D1" s="85" t="s">
        <v>147</v>
      </c>
      <c r="E1" s="85" t="s">
        <v>148</v>
      </c>
      <c r="F1" s="85" t="s">
        <v>149</v>
      </c>
      <c r="G1" s="85" t="s">
        <v>150</v>
      </c>
    </row>
    <row r="2" spans="1:7">
      <c r="A2" s="86" t="s">
        <v>105</v>
      </c>
      <c r="B2" s="87">
        <v>78.290000000000006</v>
      </c>
      <c r="C2" s="87">
        <v>80.42</v>
      </c>
      <c r="D2" s="87">
        <v>84.68</v>
      </c>
      <c r="E2" s="87">
        <v>88.93</v>
      </c>
      <c r="F2" s="87">
        <v>93.18</v>
      </c>
      <c r="G2" s="87">
        <v>97.44</v>
      </c>
    </row>
    <row r="3" spans="1:7">
      <c r="A3" s="86" t="s">
        <v>106</v>
      </c>
      <c r="B3" s="87">
        <v>156.59</v>
      </c>
      <c r="C3" s="87">
        <v>160.84</v>
      </c>
      <c r="D3" s="87">
        <v>169.35</v>
      </c>
      <c r="E3" s="87">
        <v>177.86</v>
      </c>
      <c r="F3" s="87">
        <v>186.37</v>
      </c>
      <c r="G3" s="87">
        <v>194.88</v>
      </c>
    </row>
    <row r="4" spans="1:7">
      <c r="A4" s="86" t="s">
        <v>107</v>
      </c>
      <c r="B4" s="88">
        <v>234.88</v>
      </c>
      <c r="C4" s="88">
        <v>241.26</v>
      </c>
      <c r="D4" s="88">
        <v>254.03</v>
      </c>
      <c r="E4" s="88">
        <v>266.79000000000002</v>
      </c>
      <c r="F4" s="88">
        <v>254.03</v>
      </c>
      <c r="G4" s="88">
        <v>292.32</v>
      </c>
    </row>
    <row r="5" spans="1:7">
      <c r="A5" s="86" t="s">
        <v>152</v>
      </c>
      <c r="B5" s="87">
        <v>121.76</v>
      </c>
      <c r="C5" s="87">
        <v>128.19999999999999</v>
      </c>
      <c r="D5" s="87">
        <v>141.08000000000001</v>
      </c>
      <c r="E5" s="87">
        <v>153.96</v>
      </c>
      <c r="F5" s="87">
        <v>166.85</v>
      </c>
      <c r="G5" s="87">
        <v>179.73</v>
      </c>
    </row>
    <row r="6" spans="1:7">
      <c r="A6" s="86" t="s">
        <v>153</v>
      </c>
      <c r="B6" s="88">
        <v>200.05</v>
      </c>
      <c r="C6" s="88">
        <v>208.62</v>
      </c>
      <c r="D6" s="88">
        <v>225.76</v>
      </c>
      <c r="E6" s="88">
        <v>242.89</v>
      </c>
      <c r="F6" s="88">
        <v>260.02999999999997</v>
      </c>
      <c r="G6" s="88">
        <v>277.17</v>
      </c>
    </row>
    <row r="7" spans="1:7">
      <c r="A7" s="86" t="s">
        <v>156</v>
      </c>
      <c r="B7" s="88">
        <v>278.33999999999997</v>
      </c>
      <c r="C7" s="88">
        <v>289.04000000000002</v>
      </c>
      <c r="D7" s="88">
        <v>310.43</v>
      </c>
      <c r="E7" s="88">
        <v>331.82</v>
      </c>
      <c r="F7" s="88">
        <v>353.22</v>
      </c>
      <c r="G7" s="88">
        <v>374.61</v>
      </c>
    </row>
    <row r="8" spans="1:7">
      <c r="A8" s="86" t="s">
        <v>154</v>
      </c>
      <c r="B8" s="87">
        <v>243.51</v>
      </c>
      <c r="C8" s="87">
        <v>256.39999999999998</v>
      </c>
      <c r="D8" s="87">
        <v>282.16000000000003</v>
      </c>
      <c r="E8" s="87">
        <v>307.93</v>
      </c>
      <c r="F8" s="87">
        <v>333.69</v>
      </c>
      <c r="G8" s="87">
        <v>359.46</v>
      </c>
    </row>
    <row r="9" spans="1:7">
      <c r="A9" s="86" t="s">
        <v>155</v>
      </c>
      <c r="B9" s="88">
        <v>321.81</v>
      </c>
      <c r="C9" s="88">
        <v>336.82</v>
      </c>
      <c r="D9" s="88">
        <v>366.84</v>
      </c>
      <c r="E9" s="88">
        <v>396.86</v>
      </c>
      <c r="F9" s="88">
        <v>426.88</v>
      </c>
      <c r="G9" s="88">
        <v>456.9</v>
      </c>
    </row>
    <row r="10" spans="1:7">
      <c r="A10" s="86" t="s">
        <v>157</v>
      </c>
      <c r="B10" s="88">
        <v>400.1</v>
      </c>
      <c r="C10" s="88">
        <v>417.24</v>
      </c>
      <c r="D10" s="88">
        <v>451.51</v>
      </c>
      <c r="E10" s="88">
        <v>485.79</v>
      </c>
      <c r="F10" s="88">
        <v>520.05999999999995</v>
      </c>
      <c r="G10" s="88">
        <v>456.9</v>
      </c>
    </row>
    <row r="11" spans="1:7">
      <c r="A11" s="86" t="s">
        <v>158</v>
      </c>
      <c r="B11" s="87">
        <v>365.27</v>
      </c>
      <c r="C11" s="87">
        <v>384.6</v>
      </c>
      <c r="D11" s="87">
        <v>423.24</v>
      </c>
      <c r="E11" s="87">
        <v>461.89</v>
      </c>
      <c r="F11" s="87">
        <v>500.54</v>
      </c>
      <c r="G11" s="87">
        <v>539.19000000000005</v>
      </c>
    </row>
    <row r="12" spans="1:7">
      <c r="A12" s="86" t="s">
        <v>159</v>
      </c>
      <c r="B12" s="88">
        <v>443.56</v>
      </c>
      <c r="C12" s="88">
        <v>465.02</v>
      </c>
      <c r="D12" s="88">
        <v>507.92</v>
      </c>
      <c r="E12" s="88">
        <v>550.82000000000005</v>
      </c>
      <c r="F12" s="88">
        <v>593.72</v>
      </c>
      <c r="G12" s="88">
        <v>636.63</v>
      </c>
    </row>
    <row r="13" spans="1:7">
      <c r="A13" s="86" t="s">
        <v>160</v>
      </c>
      <c r="B13" s="88">
        <v>521.86</v>
      </c>
      <c r="C13" s="88">
        <v>545.44000000000005</v>
      </c>
      <c r="D13" s="88">
        <v>592.59</v>
      </c>
      <c r="E13" s="88">
        <v>639.75</v>
      </c>
      <c r="F13" s="88">
        <v>686.91</v>
      </c>
      <c r="G13" s="88">
        <v>734.07</v>
      </c>
    </row>
    <row r="14" spans="1:7">
      <c r="A14" s="12"/>
      <c r="B14" s="12"/>
      <c r="C14" s="12"/>
      <c r="D14" s="12"/>
      <c r="E14" s="12"/>
      <c r="F14" s="12"/>
      <c r="G14" s="12"/>
    </row>
    <row r="15" spans="1:7">
      <c r="A15" s="86" t="s">
        <v>162</v>
      </c>
      <c r="B15" s="12">
        <v>1.514</v>
      </c>
      <c r="C15" s="12"/>
      <c r="D15" s="12"/>
      <c r="E15" s="12"/>
      <c r="F15" s="12"/>
      <c r="G15" s="1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Tarif horaire Heidelberg T</vt:lpstr>
      <vt:lpstr>Tarif horaire Massicot</vt:lpstr>
      <vt:lpstr>Tarif horaire operateur</vt:lpstr>
      <vt:lpstr>Papiers</vt:lpstr>
      <vt:lpstr>polymere &amp; flashs</vt:lpstr>
      <vt:lpstr>Temps d'éxé</vt:lpstr>
      <vt:lpstr>carte de visites</vt:lpstr>
      <vt:lpstr>format 10x10</vt:lpstr>
      <vt:lpstr>Format 10 x 21</vt:lpstr>
      <vt:lpstr>A6</vt:lpstr>
      <vt:lpstr>A5</vt:lpstr>
      <vt:lpstr>A4</vt:lpstr>
    </vt:vector>
  </TitlesOfParts>
  <Company>zdass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blabla jack</dc:creator>
  <cp:lastModifiedBy>blabla jack</cp:lastModifiedBy>
  <dcterms:created xsi:type="dcterms:W3CDTF">2017-01-31T13:48:01Z</dcterms:created>
  <dcterms:modified xsi:type="dcterms:W3CDTF">2017-02-20T12:27:14Z</dcterms:modified>
</cp:coreProperties>
</file>