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20496" windowHeight="8112" xr2:uid="{00000000-000D-0000-FFFF-FFFF00000000}"/>
  </bookViews>
  <sheets>
    <sheet name="planning 2017" sheetId="1" r:id="rId1"/>
    <sheet name="résultat 2017" sheetId="4" r:id="rId2"/>
    <sheet name="bases de donnée" sheetId="3" r:id="rId3"/>
  </sheets>
  <definedNames>
    <definedName name="gérald">'bases de donnée'!$D$20:$D$29</definedName>
    <definedName name="gérald1">'bases de donnée'!$D$20:$E$29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2" i="1"/>
  <c r="J13" i="1"/>
  <c r="J14" i="1"/>
  <c r="J15" i="1"/>
  <c r="J16" i="1"/>
  <c r="J17" i="1"/>
  <c r="J18" i="1"/>
  <c r="O5" i="3" l="1"/>
  <c r="M18" i="1"/>
  <c r="M17" i="1"/>
  <c r="M16" i="1"/>
  <c r="M15" i="1"/>
  <c r="M14" i="1"/>
  <c r="M13" i="1"/>
  <c r="M12" i="1" l="1"/>
  <c r="L12" i="1" s="1"/>
  <c r="L13" i="1" s="1"/>
  <c r="M10" i="1"/>
  <c r="M9" i="1"/>
  <c r="M8" i="1"/>
  <c r="M7" i="1"/>
  <c r="M6" i="1"/>
  <c r="M5" i="1"/>
  <c r="M4" i="1"/>
  <c r="L4" i="1" l="1"/>
  <c r="L5" i="1" s="1"/>
  <c r="D12" i="1"/>
  <c r="K12" i="1"/>
  <c r="M25" i="4" l="1"/>
  <c r="C5" i="4"/>
  <c r="C4" i="4"/>
  <c r="C12" i="4"/>
  <c r="D12" i="4" s="1"/>
  <c r="C6" i="4"/>
  <c r="M26" i="4" s="1"/>
  <c r="C13" i="4"/>
  <c r="D13" i="4" s="1"/>
  <c r="C14" i="4"/>
  <c r="D14" i="4" s="1"/>
  <c r="C7" i="4"/>
  <c r="C8" i="4"/>
  <c r="C9" i="4"/>
  <c r="C10" i="4"/>
  <c r="C11" i="4" l="1"/>
  <c r="C15" i="4" s="1"/>
  <c r="D11" i="4"/>
  <c r="Q13" i="4" s="1"/>
  <c r="G6" i="4" l="1"/>
  <c r="H6" i="4" s="1"/>
  <c r="I6" i="4" l="1"/>
  <c r="K6" i="4"/>
  <c r="M6" i="4" l="1"/>
  <c r="L6" i="4"/>
  <c r="B13" i="1"/>
  <c r="D13" i="1"/>
  <c r="D14" i="1" s="1"/>
  <c r="D15" i="1" s="1"/>
  <c r="D16" i="1" s="1"/>
  <c r="D17" i="1" s="1"/>
  <c r="D18" i="1" s="1"/>
  <c r="L9" i="1" l="1"/>
  <c r="L17" i="1"/>
  <c r="K4" i="1" l="1"/>
  <c r="K5" i="1" s="1"/>
  <c r="K6" i="1" s="1"/>
  <c r="K7" i="1" l="1"/>
  <c r="K8" i="1" l="1"/>
  <c r="L22" i="4" l="1"/>
  <c r="M22" i="4" s="1"/>
  <c r="K9" i="1"/>
  <c r="K10" i="1" l="1"/>
  <c r="L10" i="1" s="1"/>
  <c r="L7" i="1" l="1"/>
  <c r="L23" i="4" l="1"/>
  <c r="M23" i="4" s="1"/>
  <c r="L24" i="4"/>
  <c r="M24" i="4" s="1"/>
  <c r="E27" i="3" l="1"/>
  <c r="E26" i="3"/>
  <c r="E28" i="3"/>
  <c r="E23" i="3"/>
  <c r="E22" i="3"/>
  <c r="K13" i="1" l="1"/>
  <c r="D4" i="4" l="1"/>
  <c r="Q4" i="4" s="1"/>
  <c r="Q6" i="4" l="1"/>
  <c r="K14" i="1"/>
  <c r="K15" i="1" l="1"/>
  <c r="K16" i="1" l="1"/>
  <c r="K17" i="1" l="1"/>
  <c r="K18" i="1" l="1"/>
  <c r="G4" i="4" s="1"/>
  <c r="K14" i="4" l="1"/>
  <c r="M14" i="4" s="1"/>
  <c r="K12" i="4"/>
  <c r="M12" i="4" s="1"/>
  <c r="K15" i="4"/>
  <c r="I4" i="4"/>
  <c r="G8" i="4"/>
  <c r="H8" i="4" s="1"/>
  <c r="Q5" i="4"/>
  <c r="G13" i="4"/>
  <c r="G9" i="4"/>
  <c r="G11" i="4"/>
  <c r="G15" i="4"/>
  <c r="G14" i="4"/>
  <c r="H4" i="4"/>
  <c r="G5" i="4"/>
  <c r="G7" i="4"/>
  <c r="G10" i="4"/>
  <c r="G12" i="4"/>
  <c r="L15" i="1"/>
  <c r="L18" i="1"/>
  <c r="Q7" i="4" s="1"/>
  <c r="K4" i="4" l="1"/>
  <c r="M4" i="4" s="1"/>
  <c r="K11" i="4"/>
  <c r="M11" i="4" s="1"/>
  <c r="K9" i="4"/>
  <c r="M9" i="4" s="1"/>
  <c r="K13" i="4"/>
  <c r="M13" i="4" s="1"/>
  <c r="K8" i="4"/>
  <c r="M8" i="4" s="1"/>
  <c r="K10" i="4"/>
  <c r="M10" i="4" s="1"/>
  <c r="K7" i="4"/>
  <c r="M7" i="4" s="1"/>
  <c r="K5" i="4"/>
  <c r="M5" i="4" s="1"/>
  <c r="M15" i="4"/>
  <c r="I10" i="4"/>
  <c r="I7" i="4"/>
  <c r="I5" i="4"/>
  <c r="I15" i="4"/>
  <c r="L15" i="4"/>
  <c r="I12" i="4"/>
  <c r="L12" i="4"/>
  <c r="I14" i="4"/>
  <c r="L14" i="4"/>
  <c r="I11" i="4"/>
  <c r="I9" i="4"/>
  <c r="I13" i="4"/>
  <c r="I8" i="4"/>
  <c r="G16" i="4"/>
  <c r="H12" i="4"/>
  <c r="H10" i="4"/>
  <c r="H7" i="4"/>
  <c r="H5" i="4"/>
  <c r="H14" i="4"/>
  <c r="H11" i="4"/>
  <c r="H9" i="4"/>
  <c r="H13" i="4"/>
  <c r="H15" i="4"/>
  <c r="Q17" i="4"/>
  <c r="Q18" i="4"/>
  <c r="L10" i="4" l="1"/>
  <c r="I16" i="4"/>
  <c r="Q20" i="4"/>
  <c r="L4" i="4"/>
  <c r="L9" i="4"/>
  <c r="L5" i="4"/>
  <c r="L13" i="4"/>
  <c r="L11" i="4"/>
  <c r="L8" i="4"/>
  <c r="L7" i="4"/>
  <c r="K16" i="4"/>
  <c r="L21" i="4" s="1"/>
  <c r="M16" i="4"/>
  <c r="M21" i="4" s="1"/>
  <c r="M27" i="4" s="1"/>
  <c r="Q8" i="4"/>
  <c r="Q21" i="4" l="1"/>
</calcChain>
</file>

<file path=xl/sharedStrings.xml><?xml version="1.0" encoding="utf-8"?>
<sst xmlns="http://schemas.openxmlformats.org/spreadsheetml/2006/main" count="124" uniqueCount="87">
  <si>
    <t>pause</t>
  </si>
  <si>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</si>
  <si>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</si>
  <si>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</si>
  <si>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</si>
  <si>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</si>
  <si>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</si>
  <si>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</si>
  <si>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</si>
  <si>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</si>
  <si>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</si>
  <si>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</si>
  <si>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</si>
  <si>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</si>
  <si>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</si>
  <si>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</si>
  <si>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</si>
  <si>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</si>
  <si>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</si>
  <si>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</si>
  <si>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</si>
  <si>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</si>
  <si>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</si>
  <si>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</si>
  <si>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</si>
  <si>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</si>
  <si>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</si>
  <si>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récup 2016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</si>
  <si>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</si>
  <si>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</si>
  <si>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</si>
  <si>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</si>
  <si>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</si>
  <si>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</si>
  <si>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</si>
  <si>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</si>
  <si>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</si>
  <si>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</si>
  <si>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</si>
  <si>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H dimanche</t>
  </si>
  <si>
    <t>H nuit</t>
  </si>
  <si>
    <t>semaine</t>
  </si>
  <si>
    <t xml:space="preserve">H dimanche </t>
  </si>
  <si>
    <t>H Jour</t>
  </si>
  <si>
    <t>H férié travaillé</t>
  </si>
  <si>
    <t>H semaine</t>
  </si>
  <si>
    <t>HS hc de</t>
  </si>
  <si>
    <t>récup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</si>
  <si>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</si>
  <si>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</si>
  <si>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</si>
  <si>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</si>
  <si>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</si>
  <si>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</si>
  <si>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</si>
  <si>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</si>
  <si>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</si>
  <si>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</si>
  <si>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</si>
  <si>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</si>
  <si>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 sup +36 réel</t>
  </si>
  <si>
    <t>congé 1/2 jour</t>
  </si>
  <si>
    <t xml:space="preserve">hc de </t>
  </si>
  <si>
    <t>congé</t>
  </si>
  <si>
    <t>jours</t>
  </si>
  <si>
    <t>heures</t>
  </si>
  <si>
    <t xml:space="preserve">résultat </t>
  </si>
  <si>
    <t xml:space="preserve"> hedbomadaire</t>
  </si>
  <si>
    <t>heure  sup mois</t>
  </si>
  <si>
    <t>annuel</t>
  </si>
  <si>
    <t xml:space="preserve">jour </t>
  </si>
  <si>
    <t>amplitude jour</t>
  </si>
  <si>
    <t>perte suite à la réglementation 2008</t>
  </si>
  <si>
    <t>perte</t>
  </si>
  <si>
    <t>H sup + 36 en heures</t>
  </si>
  <si>
    <t>hs  semaine</t>
  </si>
  <si>
    <t>HS + 36</t>
  </si>
  <si>
    <t xml:space="preserve">H férié travaillé </t>
  </si>
  <si>
    <t>HS  2016</t>
  </si>
  <si>
    <t>résutat 2017</t>
  </si>
  <si>
    <t>récup pris en 2017</t>
  </si>
  <si>
    <t>résultat travail</t>
  </si>
  <si>
    <t xml:space="preserve">h sup de récup </t>
  </si>
  <si>
    <t>résultat en jours</t>
  </si>
  <si>
    <t xml:space="preserve">j semaine </t>
  </si>
  <si>
    <t>jour semaine maximun</t>
  </si>
  <si>
    <t>H semaine hc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</si>
</sst>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40C]d\-m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Fill="1" applyBorder="1"/>
    <xf numFmtId="0" fontId="1" fillId="0" borderId="0" xfId="0" applyFont="1" applyFill="1" applyBorder="1"/>
    <xf numFmtId="164" fontId="4" fillId="0" borderId="1" xfId="0" applyNumberFormat="1" applyFont="1" applyFill="1" applyBorder="1" applyAlignment="1">
      <alignment horizontal="center"/>
    </xf>
    <xf numFmtId="2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4" fillId="2" borderId="11" xfId="0" applyFont="1" applyFill="1" applyBorder="1"/>
    <xf numFmtId="0" fontId="4" fillId="2" borderId="12" xfId="0" applyFont="1" applyFill="1" applyBorder="1" applyAlignment="1">
      <alignment horizontal="right"/>
    </xf>
    <xf numFmtId="0" fontId="4" fillId="2" borderId="7" xfId="0" applyFont="1" applyFill="1" applyBorder="1"/>
    <xf numFmtId="0" fontId="4" fillId="2" borderId="8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/>
    </xf>
    <xf numFmtId="164" fontId="4" fillId="2" borderId="8" xfId="0" applyNumberFormat="1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0" fillId="2" borderId="8" xfId="0" applyFont="1" applyFill="1" applyBorder="1" applyAlignment="1">
      <alignment horizontal="right"/>
    </xf>
    <xf numFmtId="0" fontId="4" fillId="2" borderId="9" xfId="0" applyFont="1" applyFill="1" applyBorder="1"/>
    <xf numFmtId="0" fontId="0" fillId="2" borderId="10" xfId="0" applyFont="1" applyFill="1" applyBorder="1" applyAlignment="1">
      <alignment horizontal="right"/>
    </xf>
    <xf numFmtId="0" fontId="1" fillId="0" borderId="0" xfId="0" applyFont="1" applyBorder="1"/>
    <xf numFmtId="0" fontId="0" fillId="4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/>
    <xf numFmtId="0" fontId="0" fillId="5" borderId="4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/>
    </xf>
    <xf numFmtId="165" fontId="0" fillId="0" borderId="3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4" fontId="0" fillId="0" borderId="0" xfId="0" applyNumberFormat="1"/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164" fontId="1" fillId="3" borderId="2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1" fillId="0" borderId="9" xfId="0" applyFont="1" applyFill="1" applyBorder="1"/>
    <xf numFmtId="0" fontId="0" fillId="0" borderId="10" xfId="0" applyFont="1" applyFill="1" applyBorder="1" applyAlignment="1">
      <alignment horizontal="right"/>
    </xf>
    <xf numFmtId="0" fontId="1" fillId="0" borderId="3" xfId="0" applyFont="1" applyFill="1" applyBorder="1"/>
    <xf numFmtId="0" fontId="0" fillId="0" borderId="2" xfId="0" applyFont="1" applyFill="1" applyBorder="1" applyAlignment="1">
      <alignment horizontal="right"/>
    </xf>
    <xf numFmtId="0" fontId="0" fillId="0" borderId="3" xfId="0" applyBorder="1"/>
    <xf numFmtId="0" fontId="0" fillId="0" borderId="2" xfId="0" applyBorder="1" applyAlignment="1">
      <alignment horizontal="right"/>
    </xf>
    <xf numFmtId="0" fontId="0" fillId="0" borderId="0" xfId="0" applyFont="1"/>
    <xf numFmtId="164" fontId="1" fillId="0" borderId="4" xfId="0" applyNumberFormat="1" applyFont="1" applyFill="1" applyBorder="1" applyAlignment="1">
      <alignment horizontal="center"/>
    </xf>
    <xf numFmtId="0" fontId="0" fillId="0" borderId="0" xfId="0" applyFont="1" applyBorder="1"/>
    <xf numFmtId="165" fontId="0" fillId="5" borderId="1" xfId="0" applyNumberFormat="1" applyFon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1" fontId="0" fillId="5" borderId="1" xfId="0" applyNumberFormat="1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164" fontId="0" fillId="5" borderId="5" xfId="0" applyNumberFormat="1" applyFont="1" applyFill="1" applyBorder="1" applyAlignment="1">
      <alignment horizontal="center"/>
    </xf>
    <xf numFmtId="0" fontId="0" fillId="0" borderId="0" xfId="0" applyFont="1" applyFill="1" applyBorder="1"/>
    <xf numFmtId="165" fontId="0" fillId="4" borderId="1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64" fontId="0" fillId="4" borderId="5" xfId="0" applyNumberFormat="1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9" borderId="6" xfId="0" applyNumberFormat="1" applyFont="1" applyFill="1" applyBorder="1" applyAlignment="1">
      <alignment horizontal="center"/>
    </xf>
    <xf numFmtId="164" fontId="0" fillId="5" borderId="3" xfId="0" applyNumberFormat="1" applyFont="1" applyFill="1" applyBorder="1" applyAlignment="1">
      <alignment horizontal="center" vertical="center"/>
    </xf>
    <xf numFmtId="20" fontId="0" fillId="0" borderId="0" xfId="0" applyNumberFormat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6" xfId="0" applyBorder="1"/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NumberFormat="1" applyFont="1" applyBorder="1" applyAlignment="1">
      <alignment horizontal="right" vertical="center"/>
    </xf>
    <xf numFmtId="164" fontId="0" fillId="5" borderId="3" xfId="0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" fontId="0" fillId="3" borderId="6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2:N19"/>
  <sheetViews>
    <sheetView tabSelected="1" zoomScale="75" zoomScaleNormal="75" workbookViewId="0">
      <selection activeCell="N9" sqref="N9"/>
    </sheetView>
  </sheetViews>
  <sheetFormatPr baseColWidth="10" defaultColWidth="11.5546875" defaultRowHeight="14.4" x14ac:dyDescent="0.3"/>
  <cols>
    <col min="1" max="1" width="10" style="1" customWidth="1"/>
    <col min="2" max="2" width="9.6640625" style="1" customWidth="1"/>
    <col min="3" max="3" width="13.109375" style="1" customWidth="1"/>
    <col min="4" max="4" width="14.6640625" style="9" customWidth="1"/>
    <col min="5" max="5" width="16.88671875" style="9" customWidth="1"/>
    <col min="6" max="6" width="2.44140625" style="1" customWidth="1"/>
    <col min="7" max="7" width="7.33203125" style="1" customWidth="1"/>
    <col min="8" max="8" width="9.5546875" style="1" customWidth="1"/>
    <col min="9" max="9" width="8.88671875" style="1" customWidth="1"/>
    <col min="10" max="10" width="7.6640625" style="1" customWidth="1"/>
    <col min="11" max="11" width="12.5546875" style="1" customWidth="1"/>
    <col min="12" max="12" width="15" style="1" customWidth="1"/>
    <col min="13" max="14" width="13.6640625" style="4" customWidth="1"/>
    <col min="15" max="16384" width="11.5546875" style="1"/>
  </cols>
  <sheetData>
    <row r="2" spans="2:14" x14ac:dyDescent="0.3">
      <c r="C2" s="29" t="s">
        <v>2</v>
      </c>
      <c r="D2" s="29" t="s">
        <v>1</v>
      </c>
      <c r="E2" s="30"/>
      <c r="F2" s="29"/>
      <c r="G2" s="26" t="s">
        <v>26</v>
      </c>
      <c r="H2" s="27" t="s">
        <v>0</v>
      </c>
      <c r="I2" s="26" t="s">
        <v>25</v>
      </c>
      <c r="J2" s="28" t="s">
        <v>43</v>
      </c>
      <c r="K2" s="30" t="s">
        <v>75</v>
      </c>
      <c r="L2" s="26"/>
      <c r="M2" s="26" t="s">
        <v>84</v>
      </c>
      <c r="N2" s="54"/>
    </row>
    <row r="3" spans="2:14" s="20" customFormat="1" x14ac:dyDescent="0.3">
      <c r="B3" s="73"/>
      <c r="L3" s="77"/>
      <c r="M3" s="114"/>
      <c r="N3" s="54"/>
    </row>
    <row r="4" spans="2:14" x14ac:dyDescent="0.3">
      <c r="B4" s="25" t="s">
        <v>41</v>
      </c>
      <c r="C4" s="25" t="s">
        <v>6</v>
      </c>
      <c r="D4" s="74"/>
      <c r="E4" s="41" t="s">
        <v>30</v>
      </c>
      <c r="F4" s="75"/>
      <c r="G4" s="31">
        <v>0.375</v>
      </c>
      <c r="H4" s="32"/>
      <c r="I4" s="31">
        <v>0.70833333333333337</v>
      </c>
      <c r="J4" s="76">
        <f>IF(OR(E4="férié travaillé",E4="travail"),(I4-G4+IF(G4&gt;I4,1)-H4),INDEX('bases de donnée'!$E$20:'bases de donnée'!$E$29,MATCH(E4,gérald,0)))</f>
        <v>0.33333333333333337</v>
      </c>
      <c r="K4" s="108">
        <f>J4</f>
        <v>0.33333333333333337</v>
      </c>
      <c r="L4" s="112">
        <f>SUM(M4:M10)</f>
        <v>1</v>
      </c>
      <c r="M4" s="109">
        <f t="shared" ref="M4:M10" si="0">IF(AND(G4&lt;&gt;"",I4&lt;&gt;""),1,0+(N(I3)&lt;N(G3)))</f>
        <v>1</v>
      </c>
      <c r="N4" s="54"/>
    </row>
    <row r="5" spans="2:14" s="4" customFormat="1" x14ac:dyDescent="0.3">
      <c r="B5" s="79">
        <v>0</v>
      </c>
      <c r="C5" s="25" t="s">
        <v>7</v>
      </c>
      <c r="D5" s="74"/>
      <c r="E5" s="41" t="s">
        <v>31</v>
      </c>
      <c r="F5" s="80"/>
      <c r="G5" s="31"/>
      <c r="H5" s="32"/>
      <c r="I5" s="31"/>
      <c r="J5" s="76">
        <f>IF(OR(E5="férié travaillé",E5="travail"),(I5-G5+IF(G5&gt;I5,1)-H5),INDEX('bases de donnée'!$E$20:'bases de donnée'!$E$29,MATCH(E5,gérald,0)))</f>
        <v>0.3</v>
      </c>
      <c r="K5" s="93">
        <f t="shared" ref="K5:K10" si="1">K4+J5</f>
        <v>0.6333333333333333</v>
      </c>
      <c r="L5" s="111">
        <f>IF(SUM(L4-'bases de donnée'!E$5)&lt;0,0,SUM(L4-'bases de donnée'!E$5))</f>
        <v>0</v>
      </c>
      <c r="M5" s="109">
        <f t="shared" si="0"/>
        <v>0</v>
      </c>
      <c r="N5" s="54"/>
    </row>
    <row r="6" spans="2:14" x14ac:dyDescent="0.3">
      <c r="B6" s="71"/>
      <c r="C6" s="25" t="s">
        <v>8</v>
      </c>
      <c r="D6" s="74"/>
      <c r="E6" s="41" t="s">
        <v>32</v>
      </c>
      <c r="F6" s="80"/>
      <c r="G6" s="31"/>
      <c r="H6" s="32"/>
      <c r="I6" s="31"/>
      <c r="J6" s="76">
        <f>IF(OR(E6="férié travaillé",E6="travail"),(I6-G6+IF(G6&gt;I6,1)-H6),INDEX('bases de donnée'!$E$20:'bases de donnée'!$E$29,MATCH(E6,gérald,0)))</f>
        <v>0.3</v>
      </c>
      <c r="K6" s="88">
        <f t="shared" si="1"/>
        <v>0.93333333333333335</v>
      </c>
      <c r="L6" s="113" t="s">
        <v>45</v>
      </c>
      <c r="M6" s="109">
        <f t="shared" si="0"/>
        <v>0</v>
      </c>
      <c r="N6" s="54"/>
    </row>
    <row r="7" spans="2:14" x14ac:dyDescent="0.3">
      <c r="B7" s="71"/>
      <c r="C7" s="25" t="s">
        <v>9</v>
      </c>
      <c r="D7" s="74"/>
      <c r="E7" s="41" t="s">
        <v>35</v>
      </c>
      <c r="F7" s="80"/>
      <c r="G7" s="31"/>
      <c r="H7" s="32"/>
      <c r="I7" s="31"/>
      <c r="J7" s="76">
        <f>IF(OR(E7="férié travaillé",E7="travail"),(I7-G7+IF(G7&gt;I7,1)-H7),INDEX('bases de donnée'!$E$20:'bases de donnée'!$E$29,MATCH(E7,gérald,0)))</f>
        <v>0.3</v>
      </c>
      <c r="K7" s="88">
        <f t="shared" si="1"/>
        <v>1.2333333333333334</v>
      </c>
      <c r="L7" s="92">
        <f>K10</f>
        <v>1.5333333333333334</v>
      </c>
      <c r="M7" s="109">
        <f t="shared" si="0"/>
        <v>0</v>
      </c>
      <c r="N7" s="54"/>
    </row>
    <row r="8" spans="2:14" x14ac:dyDescent="0.3">
      <c r="B8" s="71"/>
      <c r="C8" s="25" t="s">
        <v>3</v>
      </c>
      <c r="D8" s="74"/>
      <c r="E8" s="41" t="s">
        <v>37</v>
      </c>
      <c r="F8" s="80"/>
      <c r="G8" s="31"/>
      <c r="H8" s="32"/>
      <c r="I8" s="31"/>
      <c r="J8" s="76">
        <f>IF(OR(E8="férié travaillé",E8="travail"),(I8-G8+IF(G8&gt;I8,1)-H8),INDEX('bases de donnée'!$E$20:'bases de donnée'!$E$29,MATCH(E8,gérald,0)))</f>
        <v>0.3</v>
      </c>
      <c r="K8" s="88">
        <f t="shared" si="1"/>
        <v>1.5333333333333334</v>
      </c>
      <c r="L8" s="24" t="s">
        <v>86</v>
      </c>
      <c r="M8" s="109">
        <f t="shared" si="0"/>
        <v>0</v>
      </c>
      <c r="N8" s="54"/>
    </row>
    <row r="9" spans="2:14" x14ac:dyDescent="0.3">
      <c r="B9" s="82"/>
      <c r="C9" s="25" t="s">
        <v>4</v>
      </c>
      <c r="D9" s="74"/>
      <c r="E9" s="41" t="s">
        <v>29</v>
      </c>
      <c r="F9" s="80"/>
      <c r="G9" s="31"/>
      <c r="H9" s="32"/>
      <c r="I9" s="31"/>
      <c r="J9" s="76">
        <f>IF(OR(E9="férié travaillé",E9="travail"),(I9-G9+IF(G9&gt;I9,1)-H9),INDEX('bases de donnée'!$E$20:'bases de donnée'!$E$29,MATCH(E9,gérald,0)))</f>
        <v>0</v>
      </c>
      <c r="K9" s="88">
        <f t="shared" si="1"/>
        <v>1.5333333333333334</v>
      </c>
      <c r="L9" s="81">
        <f>'bases de donnée'!E$9</f>
        <v>2</v>
      </c>
      <c r="M9" s="109">
        <f t="shared" si="0"/>
        <v>0</v>
      </c>
      <c r="N9" s="54"/>
    </row>
    <row r="10" spans="2:14" x14ac:dyDescent="0.3">
      <c r="B10" s="71"/>
      <c r="C10" s="25" t="s">
        <v>5</v>
      </c>
      <c r="D10" s="74">
        <v>41274</v>
      </c>
      <c r="E10" s="41" t="s">
        <v>29</v>
      </c>
      <c r="F10" s="87"/>
      <c r="G10" s="31"/>
      <c r="H10" s="32"/>
      <c r="I10" s="31"/>
      <c r="J10" s="76">
        <f>IF(OR(E10="férié travaillé",E10="travail"),(I10-G10+IF(G10&gt;I10,1)-H10),INDEX('bases de donnée'!$E$20:'bases de donnée'!$E$29,MATCH(E10,gérald,0)))</f>
        <v>0</v>
      </c>
      <c r="K10" s="88">
        <f t="shared" si="1"/>
        <v>1.5333333333333334</v>
      </c>
      <c r="L10" s="78">
        <f>IF(SUM(K10-'bases de donnée'!E$9)&lt;0,0,SUM(K10-'bases de donnée'!E$9))</f>
        <v>0</v>
      </c>
      <c r="M10" s="109">
        <f t="shared" si="0"/>
        <v>0</v>
      </c>
      <c r="N10" s="54"/>
    </row>
    <row r="11" spans="2:14" s="4" customFormat="1" x14ac:dyDescent="0.3">
      <c r="B11" s="82"/>
      <c r="C11" s="36"/>
      <c r="D11" s="102"/>
      <c r="E11" s="102"/>
      <c r="F11" s="36"/>
      <c r="G11" s="103"/>
      <c r="H11" s="104"/>
      <c r="I11" s="103"/>
      <c r="J11" s="77"/>
      <c r="K11" s="105"/>
      <c r="L11" s="77"/>
    </row>
    <row r="12" spans="2:14" x14ac:dyDescent="0.3">
      <c r="B12" s="21" t="s">
        <v>41</v>
      </c>
      <c r="C12" s="21" t="s">
        <v>6</v>
      </c>
      <c r="D12" s="83">
        <f>D10+1</f>
        <v>41275</v>
      </c>
      <c r="E12" s="41" t="s">
        <v>29</v>
      </c>
      <c r="F12" s="75"/>
      <c r="G12" s="31"/>
      <c r="H12" s="32"/>
      <c r="I12" s="31"/>
      <c r="J12" s="84">
        <f>IF(OR(E12="férié travaillé",E12="travail"),(I12-G12+IF(G12&gt;I12,1)-H12),INDEX('bases de donnée'!$E$20:'bases de donnée'!$E$29,MATCH(E12,gérald,0)))</f>
        <v>0</v>
      </c>
      <c r="K12" s="84">
        <f>J12</f>
        <v>0</v>
      </c>
      <c r="L12" s="112">
        <f>SUM(M12:M18)</f>
        <v>4</v>
      </c>
      <c r="M12" s="109">
        <f>IF(AND(G12&lt;&gt;"",I12&lt;&gt;""),1,0+(N(I10)&lt;N(G10)))</f>
        <v>0</v>
      </c>
      <c r="N12" s="54"/>
    </row>
    <row r="13" spans="2:14" x14ac:dyDescent="0.3">
      <c r="B13" s="85">
        <f>B$5+1</f>
        <v>1</v>
      </c>
      <c r="C13" s="21" t="s">
        <v>7</v>
      </c>
      <c r="D13" s="83">
        <f>D12+1</f>
        <v>41276</v>
      </c>
      <c r="E13" s="41" t="s">
        <v>30</v>
      </c>
      <c r="F13" s="80"/>
      <c r="G13" s="31">
        <v>0.375</v>
      </c>
      <c r="H13" s="32"/>
      <c r="I13" s="31">
        <v>0.70833333333333337</v>
      </c>
      <c r="J13" s="84">
        <f>IF(OR(E13="férié travaillé",E13="travail"),(I13-G13+IF(G13&gt;I13,1)-H13),INDEX('bases de donnée'!$E$20:'bases de donnée'!$E$29,MATCH(E13,gérald,0)))</f>
        <v>0.33333333333333337</v>
      </c>
      <c r="K13" s="89">
        <f t="shared" ref="K13:K18" si="2">K12+J13</f>
        <v>0.33333333333333337</v>
      </c>
      <c r="L13" s="111">
        <f>IF(SUM(L12-'bases de donnée'!E$5)&lt;0,0,SUM(L12-'bases de donnée'!E$5))</f>
        <v>0</v>
      </c>
      <c r="M13" s="109">
        <f t="shared" ref="M13:M18" si="3">IF(AND(G13&lt;&gt;"",I13&lt;&gt;""),1,0+(N(I12)&lt;N(G12)))</f>
        <v>1</v>
      </c>
      <c r="N13" s="54"/>
    </row>
    <row r="14" spans="2:14" x14ac:dyDescent="0.3">
      <c r="B14" s="71"/>
      <c r="C14" s="21" t="s">
        <v>8</v>
      </c>
      <c r="D14" s="83">
        <f t="shared" ref="D14:D18" si="4">D13+1</f>
        <v>41277</v>
      </c>
      <c r="E14" s="41" t="s">
        <v>38</v>
      </c>
      <c r="F14" s="80"/>
      <c r="G14" s="31">
        <v>0.36458333333333331</v>
      </c>
      <c r="H14" s="32"/>
      <c r="I14" s="31">
        <v>0.71875</v>
      </c>
      <c r="J14" s="84">
        <f>IF(OR(E14="férié travaillé",E14="travail"),(I14-G14+IF(G14&gt;I14,1)-H14),INDEX('bases de donnée'!$E$20:'bases de donnée'!$E$29,MATCH(E14,gérald,0)))</f>
        <v>0.35416666666666669</v>
      </c>
      <c r="K14" s="89">
        <f t="shared" si="2"/>
        <v>0.6875</v>
      </c>
      <c r="L14" s="61" t="s">
        <v>45</v>
      </c>
      <c r="M14" s="109">
        <f t="shared" si="3"/>
        <v>1</v>
      </c>
      <c r="N14" s="54"/>
    </row>
    <row r="15" spans="2:14" x14ac:dyDescent="0.3">
      <c r="B15" s="71"/>
      <c r="C15" s="21" t="s">
        <v>9</v>
      </c>
      <c r="D15" s="83">
        <f t="shared" si="4"/>
        <v>41278</v>
      </c>
      <c r="E15" s="41" t="s">
        <v>30</v>
      </c>
      <c r="F15" s="80"/>
      <c r="G15" s="31">
        <v>0.40625</v>
      </c>
      <c r="H15" s="32"/>
      <c r="I15" s="31">
        <v>0.76041666666666696</v>
      </c>
      <c r="J15" s="84">
        <f>IF(OR(E15="férié travaillé",E15="travail"),(I15-G15+IF(G15&gt;I15,1)-H15),INDEX('bases de donnée'!$E$20:'bases de donnée'!$E$29,MATCH(E15,gérald,0)))</f>
        <v>0.35416666666666696</v>
      </c>
      <c r="K15" s="89">
        <f t="shared" si="2"/>
        <v>1.041666666666667</v>
      </c>
      <c r="L15" s="92">
        <f>K18</f>
        <v>1.395833333333333</v>
      </c>
      <c r="M15" s="109">
        <f t="shared" si="3"/>
        <v>1</v>
      </c>
      <c r="N15" s="54"/>
    </row>
    <row r="16" spans="2:14" x14ac:dyDescent="0.3">
      <c r="B16" s="71"/>
      <c r="C16" s="21" t="s">
        <v>3</v>
      </c>
      <c r="D16" s="83">
        <f t="shared" si="4"/>
        <v>41279</v>
      </c>
      <c r="E16" s="41" t="s">
        <v>30</v>
      </c>
      <c r="F16" s="80"/>
      <c r="G16" s="31">
        <v>0.44791666666666702</v>
      </c>
      <c r="H16" s="32"/>
      <c r="I16" s="31">
        <v>0.80208333333333304</v>
      </c>
      <c r="J16" s="84">
        <f>IF(OR(E16="férié travaillé",E16="travail"),(I16-G16+IF(G16&gt;I16,1)-H16),INDEX('bases de donnée'!$E$20:'bases de donnée'!$E$29,MATCH(E16,gérald,0)))</f>
        <v>0.35416666666666602</v>
      </c>
      <c r="K16" s="89">
        <f t="shared" si="2"/>
        <v>1.395833333333333</v>
      </c>
      <c r="L16" s="35" t="s">
        <v>46</v>
      </c>
      <c r="M16" s="109">
        <f t="shared" si="3"/>
        <v>1</v>
      </c>
      <c r="N16" s="54"/>
    </row>
    <row r="17" spans="2:14" x14ac:dyDescent="0.3">
      <c r="B17" s="82"/>
      <c r="C17" s="21" t="s">
        <v>4</v>
      </c>
      <c r="D17" s="83">
        <f t="shared" si="4"/>
        <v>41280</v>
      </c>
      <c r="E17" s="41" t="s">
        <v>29</v>
      </c>
      <c r="F17" s="80"/>
      <c r="G17" s="31"/>
      <c r="H17" s="32"/>
      <c r="I17" s="31"/>
      <c r="J17" s="84">
        <f>IF(OR(E17="férié travaillé",E17="travail"),(I17-G17+IF(G17&gt;I17,1)-H17),INDEX('bases de donnée'!$E$20:'bases de donnée'!$E$29,MATCH(E17,gérald,0)))</f>
        <v>0</v>
      </c>
      <c r="K17" s="89">
        <f t="shared" si="2"/>
        <v>1.395833333333333</v>
      </c>
      <c r="L17" s="86">
        <f>'bases de donnée'!E$9</f>
        <v>2</v>
      </c>
      <c r="M17" s="109">
        <f t="shared" si="3"/>
        <v>0</v>
      </c>
      <c r="N17" s="54"/>
    </row>
    <row r="18" spans="2:14" x14ac:dyDescent="0.3">
      <c r="B18" s="71"/>
      <c r="C18" s="21" t="s">
        <v>5</v>
      </c>
      <c r="D18" s="83">
        <f t="shared" si="4"/>
        <v>41281</v>
      </c>
      <c r="E18" s="41" t="s">
        <v>29</v>
      </c>
      <c r="F18" s="87"/>
      <c r="G18" s="31"/>
      <c r="H18" s="32"/>
      <c r="I18" s="31"/>
      <c r="J18" s="84">
        <f>IF(OR(E18="férié travaillé",E18="travail"),(I18-G18+IF(G18&gt;I18,1)-H18),INDEX('bases de donnée'!$E$20:'bases de donnée'!$E$29,MATCH(E18,gérald,0)))</f>
        <v>0</v>
      </c>
      <c r="K18" s="89">
        <f t="shared" si="2"/>
        <v>1.395833333333333</v>
      </c>
      <c r="L18" s="78">
        <f>IF(SUM(K18-'bases de donnée'!E$9)&lt;0,0,SUM(K18-'bases de donnée'!E$9))</f>
        <v>0</v>
      </c>
      <c r="M18" s="109">
        <f t="shared" si="3"/>
        <v>0</v>
      </c>
      <c r="N18" s="54"/>
    </row>
    <row r="19" spans="2:14" s="4" customFormat="1" x14ac:dyDescent="0.3">
      <c r="B19" s="82"/>
      <c r="C19" s="36"/>
      <c r="D19" s="102"/>
      <c r="E19" s="102"/>
      <c r="F19" s="36"/>
      <c r="G19" s="103"/>
      <c r="H19" s="104"/>
      <c r="I19" s="103"/>
      <c r="J19" s="77"/>
      <c r="K19" s="105"/>
      <c r="L19" s="77"/>
      <c r="M19" s="54"/>
      <c r="N19" s="54"/>
    </row>
  </sheetData>
  <dataValidations count="1">
    <dataValidation type="list" allowBlank="1" showInputMessage="1" showErrorMessage="1" sqref="E4:E19" xr:uid="{00000000-0002-0000-0000-000000000000}">
      <formula1>gérald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37"/>
  <sheetViews>
    <sheetView zoomScale="75" zoomScaleNormal="75" workbookViewId="0">
      <selection activeCell="D25" sqref="D25"/>
    </sheetView>
  </sheetViews>
  <sheetFormatPr baseColWidth="10" defaultRowHeight="14.4" x14ac:dyDescent="0.3"/>
  <cols>
    <col min="1" max="1" width="9" customWidth="1"/>
    <col min="2" max="2" width="16.5546875" customWidth="1"/>
    <col min="3" max="3" width="10.21875" customWidth="1"/>
    <col min="4" max="4" width="10.109375" customWidth="1"/>
    <col min="5" max="5" width="12.5546875" customWidth="1"/>
    <col min="6" max="6" width="15.109375" customWidth="1"/>
    <col min="7" max="7" width="14.33203125" customWidth="1"/>
    <col min="8" max="8" width="8.33203125" customWidth="1"/>
    <col min="9" max="9" width="19.5546875" customWidth="1"/>
    <col min="10" max="10" width="7.33203125" customWidth="1"/>
    <col min="11" max="11" width="18.109375" customWidth="1"/>
    <col min="12" max="12" width="19.33203125" customWidth="1"/>
    <col min="13" max="13" width="15" customWidth="1"/>
    <col min="14" max="14" width="13.33203125" customWidth="1"/>
    <col min="15" max="15" width="8.6640625" customWidth="1"/>
    <col min="16" max="16" width="21.33203125" customWidth="1"/>
    <col min="17" max="17" width="13.33203125" customWidth="1"/>
  </cols>
  <sheetData>
    <row r="2" spans="1:18" x14ac:dyDescent="0.3">
      <c r="A2" s="56"/>
      <c r="C2" s="20"/>
      <c r="F2" s="45"/>
      <c r="H2" s="45"/>
      <c r="J2" s="45"/>
      <c r="R2" s="1"/>
    </row>
    <row r="3" spans="1:18" x14ac:dyDescent="0.3">
      <c r="A3" s="56"/>
      <c r="B3" s="44"/>
      <c r="C3" s="58" t="s">
        <v>64</v>
      </c>
      <c r="D3" s="58" t="s">
        <v>65</v>
      </c>
      <c r="F3" s="4"/>
      <c r="G3" s="47" t="s">
        <v>60</v>
      </c>
      <c r="H3" s="47" t="s">
        <v>62</v>
      </c>
      <c r="I3" s="53" t="s">
        <v>47</v>
      </c>
      <c r="L3" s="53" t="s">
        <v>73</v>
      </c>
      <c r="M3" s="46" t="s">
        <v>47</v>
      </c>
      <c r="N3" s="36"/>
      <c r="O3" s="69"/>
      <c r="P3" s="70" t="s">
        <v>81</v>
      </c>
      <c r="Q3" s="53" t="s">
        <v>62</v>
      </c>
      <c r="R3" s="2"/>
    </row>
    <row r="4" spans="1:18" x14ac:dyDescent="0.3">
      <c r="A4" s="56"/>
      <c r="B4" s="106" t="s">
        <v>30</v>
      </c>
      <c r="C4" s="43">
        <f>COUNTIF('planning 2017'!$E$10:$E$19,B4)</f>
        <v>3</v>
      </c>
      <c r="D4" s="55">
        <f>SUM('planning 2017'!J10:J19)-D11</f>
        <v>1.395833333333333</v>
      </c>
      <c r="F4" s="46" t="s">
        <v>48</v>
      </c>
      <c r="G4" s="8" t="e">
        <f>SUM('planning 2017'!#REF!)</f>
        <v>#REF!</v>
      </c>
      <c r="H4" s="33" t="e">
        <f>IF(SUM(G4-'bases de donnée'!F$11)&gt;0,0,SUM(G4-'bases de donnée'!F$11))</f>
        <v>#REF!</v>
      </c>
      <c r="I4" s="52" t="e">
        <f>IF(G4&lt;0.625,G4*'bases de donnée'!$E$13,(0.583333*'bases de donnée'!$E$13)+(G4-0.583333)*'bases de donnée'!$E$14)*24</f>
        <v>#REF!</v>
      </c>
      <c r="K4" s="8" t="e">
        <f>SUM('planning 2017'!#REF!)</f>
        <v>#REF!</v>
      </c>
      <c r="L4" s="60" t="e">
        <f t="shared" ref="L4:L15" si="0">G4-K4</f>
        <v>#REF!</v>
      </c>
      <c r="M4" s="8" t="e">
        <f>IF(K4&lt;0.625,K4*'bases de donnée'!$E$13,(0.583333*'bases de donnée'!$E$13)+(K4-0.583333)*'bases de donnée'!$E$14)*24</f>
        <v>#REF!</v>
      </c>
      <c r="N4" s="3"/>
      <c r="O4" s="67"/>
      <c r="P4" s="68" t="s">
        <v>69</v>
      </c>
      <c r="Q4" s="63">
        <f>IF(SUM(D4-'bases de donnée'!E$2)&lt;0,0,SUM(D4-'bases de donnée'!E$2))</f>
        <v>0</v>
      </c>
      <c r="R4" s="2"/>
    </row>
    <row r="5" spans="1:18" x14ac:dyDescent="0.3">
      <c r="A5" s="56"/>
      <c r="B5" s="107" t="s">
        <v>29</v>
      </c>
      <c r="C5" s="43">
        <f>COUNTIF('planning 2017'!$E$10:$E$19,B5)</f>
        <v>4</v>
      </c>
      <c r="F5" s="46" t="s">
        <v>49</v>
      </c>
      <c r="G5" s="8" t="e">
        <f>SUM('planning 2017'!#REF!)</f>
        <v>#REF!</v>
      </c>
      <c r="H5" s="33" t="e">
        <f>IF(SUM(G5-'bases de donnée'!F$11)&gt;0,0,SUM(G5-'bases de donnée'!F$11))</f>
        <v>#REF!</v>
      </c>
      <c r="I5" s="52" t="e">
        <f>IF(G5&lt;0.625,G5*'bases de donnée'!$E$13,(0.583333*'bases de donnée'!$E$13)+(G5-0.583333)*'bases de donnée'!$E$14)*24</f>
        <v>#REF!</v>
      </c>
      <c r="K5" s="8" t="e">
        <f>SUM('planning 2017'!#REF!)</f>
        <v>#REF!</v>
      </c>
      <c r="L5" s="60" t="e">
        <f t="shared" si="0"/>
        <v>#REF!</v>
      </c>
      <c r="M5" s="8" t="e">
        <f>IF(K5&lt;0.625,K5*'bases de donnée'!$E$13,(0.583333*'bases de donnée'!$E$13)+(K5-0.583333)*'bases de donnée'!$E$14)*24</f>
        <v>#REF!</v>
      </c>
      <c r="N5" s="49"/>
      <c r="O5" s="67"/>
      <c r="P5" s="68" t="s">
        <v>70</v>
      </c>
      <c r="Q5" s="63" t="e">
        <f>SUM('planning 2017'!#REF!)</f>
        <v>#REF!</v>
      </c>
      <c r="R5" s="2"/>
    </row>
    <row r="6" spans="1:18" x14ac:dyDescent="0.3">
      <c r="B6" s="106" t="s">
        <v>31</v>
      </c>
      <c r="C6" s="43">
        <f>COUNTIF('planning 2017'!$E$10:$E$19,B6)</f>
        <v>0</v>
      </c>
      <c r="F6" s="46" t="s">
        <v>50</v>
      </c>
      <c r="G6" s="8" t="e">
        <f>SUM('planning 2017'!#REF!)</f>
        <v>#REF!</v>
      </c>
      <c r="H6" s="33" t="e">
        <f>IF(SUM(G6-'bases de donnée'!F$11)&gt;0,0,SUM(G6-'bases de donnée'!F$11))</f>
        <v>#REF!</v>
      </c>
      <c r="I6" s="52" t="e">
        <f>IF(G6&lt;0.625,G6*'bases de donnée'!$E$13,(0.583333*'bases de donnée'!$E$13)+(G6-0.583333)*'bases de donnée'!$E$14)*24</f>
        <v>#REF!</v>
      </c>
      <c r="K6" s="8" t="e">
        <f>SUM('planning 2017'!#REF!)</f>
        <v>#REF!</v>
      </c>
      <c r="L6" s="60" t="e">
        <f t="shared" si="0"/>
        <v>#REF!</v>
      </c>
      <c r="M6" s="8" t="e">
        <f>IF(K6&lt;0.625,K6*'bases de donnée'!$E$13,(0.583333*'bases de donnée'!$E$13)+(K6-0.583333)*'bases de donnée'!$E$14)*24</f>
        <v>#REF!</v>
      </c>
      <c r="N6" s="3"/>
      <c r="O6" s="67"/>
      <c r="P6" s="68" t="s">
        <v>71</v>
      </c>
      <c r="Q6" s="63" t="e">
        <f>SUM('planning 2017'!#REF!)</f>
        <v>#REF!</v>
      </c>
      <c r="R6" s="2"/>
    </row>
    <row r="7" spans="1:18" x14ac:dyDescent="0.3">
      <c r="B7" s="106" t="s">
        <v>35</v>
      </c>
      <c r="C7" s="43">
        <f>COUNTIF('planning 2017'!$E$10:$E$19,B7)</f>
        <v>0</v>
      </c>
      <c r="F7" s="46" t="s">
        <v>51</v>
      </c>
      <c r="G7" s="8" t="e">
        <f>SUM('planning 2017'!#REF!)</f>
        <v>#REF!</v>
      </c>
      <c r="H7" s="33" t="e">
        <f>IF(SUM(G7-'bases de donnée'!F$11)&gt;0,0,SUM(G7-'bases de donnée'!F$11))</f>
        <v>#REF!</v>
      </c>
      <c r="I7" s="52" t="e">
        <f>IF(G7&lt;0.625,G7*'bases de donnée'!$E$13,(0.583333*'bases de donnée'!$E$13)+(G7-0.583333)*'bases de donnée'!$E$14)*24</f>
        <v>#REF!</v>
      </c>
      <c r="K7" s="8" t="e">
        <f>SUM('planning 2017'!#REF!)</f>
        <v>#REF!</v>
      </c>
      <c r="L7" s="60" t="e">
        <f t="shared" si="0"/>
        <v>#REF!</v>
      </c>
      <c r="M7" s="8" t="e">
        <f>IF(K7&lt;0.625,K7*'bases de donnée'!$E$13,(0.583333*'bases de donnée'!$E$13)+(K7-0.583333)*'bases de donnée'!$E$14)*24</f>
        <v>#REF!</v>
      </c>
      <c r="N7" s="3"/>
      <c r="O7" s="67"/>
      <c r="P7" s="68" t="s">
        <v>67</v>
      </c>
      <c r="Q7" s="63" t="e">
        <f>SUM('planning 2017'!L10+'planning 2017'!L18+'planning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2017'!#REF!)</f>
        <v>#REF!</v>
      </c>
      <c r="R7" s="2"/>
    </row>
    <row r="8" spans="1:18" x14ac:dyDescent="0.3">
      <c r="B8" s="106" t="s">
        <v>36</v>
      </c>
      <c r="C8" s="43">
        <f>COUNTIF('planning 2017'!$E$10:$E$19,B8)</f>
        <v>0</v>
      </c>
      <c r="F8" s="46" t="s">
        <v>52</v>
      </c>
      <c r="G8" s="8" t="e">
        <f>SUM('planning 2017'!#REF!)</f>
        <v>#REF!</v>
      </c>
      <c r="H8" s="33" t="e">
        <f>IF(SUM(G8-'bases de donnée'!F$11)&gt;0,0,SUM(G8-'bases de donnée'!F$11))</f>
        <v>#REF!</v>
      </c>
      <c r="I8" s="52" t="e">
        <f>IF(G8&lt;0.625,G8*'bases de donnée'!$E$13,(0.583333*'bases de donnée'!$E$13)+(G8-0.583333)*'bases de donnée'!$E$14)*24</f>
        <v>#REF!</v>
      </c>
      <c r="K8" s="8" t="e">
        <f>SUM('planning 2017'!#REF!)</f>
        <v>#REF!</v>
      </c>
      <c r="L8" s="60" t="e">
        <f t="shared" si="0"/>
        <v>#REF!</v>
      </c>
      <c r="M8" s="8" t="e">
        <f>IF(K8&lt;0.625,K8*'bases de donnée'!$E$13,(0.583333*'bases de donnée'!$E$13)+(K8-0.583333)*'bases de donnée'!$E$14)*24</f>
        <v>#REF!</v>
      </c>
      <c r="N8" s="3"/>
      <c r="O8" s="65"/>
      <c r="P8" s="66" t="s">
        <v>68</v>
      </c>
      <c r="Q8" s="63" t="e">
        <f>SUM(H4:H16)</f>
        <v>#REF!</v>
      </c>
      <c r="R8" s="2"/>
    </row>
    <row r="9" spans="1:18" x14ac:dyDescent="0.3">
      <c r="B9" s="106" t="s">
        <v>37</v>
      </c>
      <c r="C9" s="43">
        <f>COUNTIF('planning 2017'!$E$10:$E$19,B9)</f>
        <v>0</v>
      </c>
      <c r="F9" s="46" t="s">
        <v>53</v>
      </c>
      <c r="G9" s="8" t="e">
        <f>SUM('planning 2017'!#REF!)</f>
        <v>#REF!</v>
      </c>
      <c r="H9" s="33" t="e">
        <f>IF(SUM(G9-'bases de donnée'!F$11)&gt;0,0,SUM(G9-'bases de donnée'!F$11))</f>
        <v>#REF!</v>
      </c>
      <c r="I9" s="52" t="e">
        <f>IF(G9&lt;0.625,G9*'bases de donnée'!$E$13,(0.583333*'bases de donnée'!$E$13)+(G9-0.583333)*'bases de donnée'!$E$14)*24</f>
        <v>#REF!</v>
      </c>
      <c r="K9" s="8" t="e">
        <f>SUM('planning 2017'!#REF!)</f>
        <v>#REF!</v>
      </c>
      <c r="L9" s="60" t="e">
        <f t="shared" si="0"/>
        <v>#REF!</v>
      </c>
      <c r="M9" s="8" t="e">
        <f>IF(K9&lt;0.625,K9*'bases de donnée'!$E$13,(0.583333*'bases de donnée'!$E$13)+(K9-0.583333)*'bases de donnée'!$E$14)*24</f>
        <v>#REF!</v>
      </c>
      <c r="N9" s="3"/>
      <c r="O9" s="22"/>
      <c r="P9" s="64"/>
      <c r="R9" s="2"/>
    </row>
    <row r="10" spans="1:18" x14ac:dyDescent="0.3">
      <c r="B10" s="106" t="s">
        <v>38</v>
      </c>
      <c r="C10" s="43">
        <f>COUNTIF('planning 2017'!$E$10:$E$19,B10)</f>
        <v>1</v>
      </c>
      <c r="D10" s="22"/>
      <c r="F10" s="46" t="s">
        <v>54</v>
      </c>
      <c r="G10" s="8" t="e">
        <f>SUM('planning 2017'!#REF!)</f>
        <v>#REF!</v>
      </c>
      <c r="H10" s="33" t="e">
        <f>IF(SUM(G10-'bases de donnée'!F$11)&gt;0,0,SUM(G10-'bases de donnée'!F$11))</f>
        <v>#REF!</v>
      </c>
      <c r="I10" s="52" t="e">
        <f>IF(G10&lt;0.625,G10*'bases de donnée'!$E$13,(0.583333*'bases de donnée'!$E$13)+(G10-0.583333)*'bases de donnée'!$E$14)*24</f>
        <v>#REF!</v>
      </c>
      <c r="K10" s="8" t="e">
        <f>SUM('planning 2017'!#REF!)</f>
        <v>#REF!</v>
      </c>
      <c r="L10" s="60" t="e">
        <f t="shared" si="0"/>
        <v>#REF!</v>
      </c>
      <c r="M10" s="8" t="e">
        <f>IF(K10&lt;0.625,K10*'bases de donnée'!$E$13,(0.583333*'bases de donnée'!$E$13)+(K10-0.583333)*'bases de donnée'!$E$14)*24</f>
        <v>#REF!</v>
      </c>
      <c r="N10" s="3"/>
      <c r="O10" s="22"/>
      <c r="P10" s="22"/>
      <c r="Q10" s="22"/>
      <c r="R10" s="2"/>
    </row>
    <row r="11" spans="1:18" x14ac:dyDescent="0.3">
      <c r="B11" s="62" t="s">
        <v>63</v>
      </c>
      <c r="C11" s="51">
        <f>C12+C13+C14</f>
        <v>0</v>
      </c>
      <c r="D11" s="52">
        <f>D12+D13+D14</f>
        <v>0</v>
      </c>
      <c r="F11" s="46" t="s">
        <v>55</v>
      </c>
      <c r="G11" s="8" t="e">
        <f>SUM('planning 2017'!#REF!)</f>
        <v>#REF!</v>
      </c>
      <c r="H11" s="33" t="e">
        <f>IF(SUM(G11-'bases de donnée'!F$11)&gt;0,0,SUM(G11-'bases de donnée'!F$11))</f>
        <v>#REF!</v>
      </c>
      <c r="I11" s="52" t="e">
        <f>IF(G11&lt;0.625,G11*'bases de donnée'!$E$13,(0.583333*'bases de donnée'!$E$13)+(G11-0.583333)*'bases de donnée'!$E$14)*24</f>
        <v>#REF!</v>
      </c>
      <c r="K11" s="8" t="e">
        <f>SUM('planning 2017'!#REF!)</f>
        <v>#REF!</v>
      </c>
      <c r="L11" s="60" t="e">
        <f t="shared" si="0"/>
        <v>#REF!</v>
      </c>
      <c r="M11" s="8" t="e">
        <f>IF(K11&lt;0.625,K11*'bases de donnée'!$E$13,(0.583333*'bases de donnée'!$E$13)+(K11-0.583333)*'bases de donnée'!$E$14)*24</f>
        <v>#REF!</v>
      </c>
      <c r="N11" s="3"/>
      <c r="O11" s="22"/>
      <c r="P11" s="22"/>
      <c r="Q11" s="22"/>
      <c r="R11" s="2"/>
    </row>
    <row r="12" spans="1:18" x14ac:dyDescent="0.3">
      <c r="B12" s="106" t="s">
        <v>32</v>
      </c>
      <c r="C12" s="48">
        <f>COUNTIF('planning 2017'!$E$10:$E$19,B12)</f>
        <v>0</v>
      </c>
      <c r="D12" s="5">
        <f>C12*'bases de donnée'!E4</f>
        <v>0</v>
      </c>
      <c r="F12" s="46" t="s">
        <v>56</v>
      </c>
      <c r="G12" s="8" t="e">
        <f>SUM('planning 2017'!#REF!)</f>
        <v>#REF!</v>
      </c>
      <c r="H12" s="33" t="e">
        <f>IF(SUM(G12-'bases de donnée'!F$11)&gt;0,0,SUM(G12-'bases de donnée'!F$11))</f>
        <v>#REF!</v>
      </c>
      <c r="I12" s="52" t="e">
        <f>IF(G12&lt;0.625,G12*'bases de donnée'!$E$13,(0.583333*'bases de donnée'!$E$13)+(G12-0.583333)*'bases de donnée'!$E$14)*24</f>
        <v>#REF!</v>
      </c>
      <c r="K12" s="8" t="e">
        <f>SUM('planning 2017'!#REF!)</f>
        <v>#REF!</v>
      </c>
      <c r="L12" s="60" t="e">
        <f t="shared" si="0"/>
        <v>#REF!</v>
      </c>
      <c r="M12" s="8" t="e">
        <f>IF(K12&lt;0.625,K12*'bases de donnée'!$E$13,(0.583333*'bases de donnée'!$E$13)+(K12-0.583333)*'bases de donnée'!$E$14)*24</f>
        <v>#REF!</v>
      </c>
      <c r="P12" s="62" t="s">
        <v>63</v>
      </c>
      <c r="Q12" s="53" t="s">
        <v>62</v>
      </c>
      <c r="R12" s="2"/>
    </row>
    <row r="13" spans="1:18" ht="15" customHeight="1" x14ac:dyDescent="0.4">
      <c r="B13" s="106" t="s">
        <v>61</v>
      </c>
      <c r="C13" s="48">
        <f>COUNTIF('planning 2017'!$E$10:$E$19,B13)</f>
        <v>0</v>
      </c>
      <c r="D13" s="53">
        <f>C13*'bases de donnée'!E24</f>
        <v>0</v>
      </c>
      <c r="F13" s="46" t="s">
        <v>57</v>
      </c>
      <c r="G13" s="8" t="e">
        <f>SUM('planning 2017'!#REF!)</f>
        <v>#REF!</v>
      </c>
      <c r="H13" s="33" t="e">
        <f>IF(SUM(G13-'bases de donnée'!F$11)&gt;0,0,SUM(G13-'bases de donnée'!F$11))</f>
        <v>#REF!</v>
      </c>
      <c r="I13" s="52" t="e">
        <f>IF(G13&lt;0.625,G13*'bases de donnée'!$E$13,(0.583333*'bases de donnée'!$E$13)+(G13-0.583333)*'bases de donnée'!$E$14)*24</f>
        <v>#REF!</v>
      </c>
      <c r="K13" s="8" t="e">
        <f>SUM('planning 2017'!#REF!)</f>
        <v>#REF!</v>
      </c>
      <c r="L13" s="60" t="e">
        <f t="shared" si="0"/>
        <v>#REF!</v>
      </c>
      <c r="M13" s="8" t="e">
        <f>IF(K13&lt;0.625,K13*'bases de donnée'!$E$13,(0.583333*'bases de donnée'!$E$13)+(K13-0.583333)*'bases de donnée'!$E$14)*24</f>
        <v>#REF!</v>
      </c>
      <c r="O13" s="90"/>
      <c r="Q13" s="91">
        <f>IF(SUM(D11-'bases de donnée'!E$12)&lt;0,0,SUM(D11-'bases de donnée'!E$12))</f>
        <v>0</v>
      </c>
      <c r="R13" s="2"/>
    </row>
    <row r="14" spans="1:18" ht="15" customHeight="1" x14ac:dyDescent="0.3">
      <c r="B14" s="106" t="s">
        <v>34</v>
      </c>
      <c r="C14" s="48">
        <f>COUNTIF('planning 2017'!$E$10:$E$19,B14)</f>
        <v>0</v>
      </c>
      <c r="D14" s="5">
        <f>C14*'bases de donnée'!E25</f>
        <v>0</v>
      </c>
      <c r="F14" s="46" t="s">
        <v>58</v>
      </c>
      <c r="G14" s="8" t="e">
        <f>SUM('planning 2017'!#REF!)</f>
        <v>#REF!</v>
      </c>
      <c r="H14" s="33" t="e">
        <f>IF(SUM(G14-'bases de donnée'!F$11)&gt;0,0,SUM(G14-'bases de donnée'!F$11))</f>
        <v>#REF!</v>
      </c>
      <c r="I14" s="52" t="e">
        <f>IF(G14&lt;0.625,G14*'bases de donnée'!$E$13,(0.583333*'bases de donnée'!$E$13)+(G14-0.583333)*'bases de donnée'!$E$14)*24</f>
        <v>#REF!</v>
      </c>
      <c r="K14" s="8" t="e">
        <f>SUM('planning 2017'!#REF!)</f>
        <v>#REF!</v>
      </c>
      <c r="L14" s="60" t="e">
        <f t="shared" si="0"/>
        <v>#REF!</v>
      </c>
      <c r="M14" s="8" t="e">
        <f>IF(K14&lt;0.625,K14*'bases de donnée'!$E$13,(0.583333*'bases de donnée'!$E$13)+(K14-0.583333)*'bases de donnée'!$E$14)*24</f>
        <v>#REF!</v>
      </c>
      <c r="R14" s="2"/>
    </row>
    <row r="15" spans="1:18" x14ac:dyDescent="0.3">
      <c r="B15" s="62" t="s">
        <v>83</v>
      </c>
      <c r="C15" s="59">
        <f>C4+C11+C5+C6+C7+C8+C9+C10</f>
        <v>8</v>
      </c>
      <c r="F15" s="46" t="s">
        <v>59</v>
      </c>
      <c r="G15" s="8" t="e">
        <f>SUM('planning 2017'!#REF!)</f>
        <v>#REF!</v>
      </c>
      <c r="H15" s="33" t="e">
        <f>IF(SUM(G15-'bases de donnée'!F$11)&gt;0,0,SUM(G15-'bases de donnée'!F$11))</f>
        <v>#REF!</v>
      </c>
      <c r="I15" s="52" t="e">
        <f>IF(G15&lt;0.625,G15*'bases de donnée'!$E$13,(0.583333*'bases de donnée'!$E$13)+(G15-0.583333)*'bases de donnée'!$E$14)*24</f>
        <v>#REF!</v>
      </c>
      <c r="K15" s="72" t="e">
        <f>SUM('planning 2017'!#REF!)</f>
        <v>#REF!</v>
      </c>
      <c r="L15" s="60" t="e">
        <f t="shared" si="0"/>
        <v>#REF!</v>
      </c>
      <c r="M15" s="8" t="e">
        <f>IF(K15&lt;0.625,K15*'bases de donnée'!$E$13,(0.583333*'bases de donnée'!$E$13)+(K15-0.583333)*'bases de donnée'!$E$14)*24</f>
        <v>#REF!</v>
      </c>
      <c r="R15" s="2"/>
    </row>
    <row r="16" spans="1:18" x14ac:dyDescent="0.3">
      <c r="D16" s="22"/>
      <c r="E16" s="39"/>
      <c r="F16" s="42" t="s">
        <v>66</v>
      </c>
      <c r="G16" s="52" t="e">
        <f>SUM(G4:G15)</f>
        <v>#REF!</v>
      </c>
      <c r="H16" s="101"/>
      <c r="I16" s="52" t="e">
        <f>SUM(I4:I15)</f>
        <v>#REF!</v>
      </c>
      <c r="K16" s="52" t="e">
        <f>SUM(K4:K15)</f>
        <v>#REF!</v>
      </c>
      <c r="M16" s="8" t="e">
        <f>SUM(M4:M14)</f>
        <v>#REF!</v>
      </c>
      <c r="O16" s="1"/>
      <c r="P16" s="69"/>
      <c r="Q16" s="68" t="s">
        <v>72</v>
      </c>
      <c r="R16" s="2"/>
    </row>
    <row r="17" spans="5:24" x14ac:dyDescent="0.3">
      <c r="E17" s="2"/>
      <c r="F17" s="2"/>
      <c r="G17" s="38"/>
      <c r="P17" s="57" t="s">
        <v>42</v>
      </c>
      <c r="Q17" s="34" t="e">
        <f>SUM('planning 2017'!#REF!)</f>
        <v>#REF!</v>
      </c>
      <c r="R17" s="37"/>
    </row>
    <row r="18" spans="5:24" x14ac:dyDescent="0.3">
      <c r="E18" s="36"/>
      <c r="F18" s="36"/>
      <c r="G18" s="22"/>
      <c r="P18" s="47" t="s">
        <v>44</v>
      </c>
      <c r="Q18" s="60" t="e">
        <f>SUM('planning 2017'!#REF!)</f>
        <v>#REF!</v>
      </c>
      <c r="R18" s="37"/>
    </row>
    <row r="19" spans="5:24" x14ac:dyDescent="0.3">
      <c r="E19" s="2"/>
      <c r="F19" s="2"/>
      <c r="G19" s="1"/>
      <c r="R19" s="37"/>
    </row>
    <row r="20" spans="5:24" x14ac:dyDescent="0.3">
      <c r="K20" s="95" t="s">
        <v>47</v>
      </c>
      <c r="P20" s="47" t="s">
        <v>74</v>
      </c>
      <c r="Q20" s="60" t="e">
        <f>SUM('planning 2017'!#REF!)</f>
        <v>#REF!</v>
      </c>
      <c r="R20" s="37"/>
    </row>
    <row r="21" spans="5:24" x14ac:dyDescent="0.3">
      <c r="K21" s="53" t="s">
        <v>76</v>
      </c>
      <c r="L21" s="52" t="e">
        <f>K16</f>
        <v>#REF!</v>
      </c>
      <c r="M21" s="52" t="e">
        <f>M16</f>
        <v>#REF!</v>
      </c>
      <c r="P21" s="47" t="s">
        <v>82</v>
      </c>
      <c r="Q21" s="33" t="e">
        <f>SUM(I16-M16)</f>
        <v>#REF!</v>
      </c>
      <c r="R21" s="37"/>
    </row>
    <row r="22" spans="5:24" x14ac:dyDescent="0.3">
      <c r="K22" s="53" t="s">
        <v>40</v>
      </c>
      <c r="L22" s="52" t="e">
        <f>SUM('planning 2017'!#REF!)</f>
        <v>#REF!</v>
      </c>
      <c r="M22" s="52" t="e">
        <f>SUM(L22*'bases de donnée'!E16)*24</f>
        <v>#REF!</v>
      </c>
      <c r="P22" s="2"/>
      <c r="Q22" s="40"/>
      <c r="R22" s="37"/>
    </row>
    <row r="23" spans="5:24" x14ac:dyDescent="0.3">
      <c r="G23" s="94"/>
      <c r="K23" s="53" t="s">
        <v>39</v>
      </c>
      <c r="L23" s="52" t="e">
        <f>SUM('planning 2017'!#REF!)</f>
        <v>#REF!</v>
      </c>
      <c r="M23" s="52" t="e">
        <f>SUM(L23*'bases de donnée'!E17)</f>
        <v>#REF!</v>
      </c>
      <c r="P23" s="2"/>
      <c r="Q23" s="40"/>
      <c r="R23" s="37"/>
    </row>
    <row r="24" spans="5:24" x14ac:dyDescent="0.3">
      <c r="G24" s="50"/>
      <c r="K24" s="53" t="s">
        <v>77</v>
      </c>
      <c r="L24" s="98" t="e">
        <f>SUM('planning 2017'!#REF!)</f>
        <v>#REF!</v>
      </c>
      <c r="M24" s="52" t="e">
        <f>SUM(L24*'bases de donnée'!E18)</f>
        <v>#REF!</v>
      </c>
      <c r="O24" s="2"/>
      <c r="P24" s="2"/>
      <c r="Q24" s="40"/>
      <c r="R24" s="37"/>
    </row>
    <row r="25" spans="5:24" x14ac:dyDescent="0.3">
      <c r="K25" s="96" t="s">
        <v>78</v>
      </c>
      <c r="L25" s="99"/>
      <c r="M25" s="97">
        <f>'bases de donnée'!E19</f>
        <v>15.130555555555555</v>
      </c>
      <c r="O25" s="2"/>
      <c r="P25" s="2"/>
      <c r="Q25" s="40"/>
      <c r="R25" s="37"/>
    </row>
    <row r="26" spans="5:24" x14ac:dyDescent="0.3">
      <c r="K26" s="96" t="s">
        <v>80</v>
      </c>
      <c r="L26" s="100"/>
      <c r="M26" s="97">
        <f>SUM(C6*'bases de donnée'!E4)</f>
        <v>0</v>
      </c>
      <c r="O26" s="2"/>
      <c r="P26" s="2"/>
      <c r="Q26" s="40"/>
      <c r="R26" s="37"/>
    </row>
    <row r="27" spans="5:24" x14ac:dyDescent="0.3">
      <c r="L27" s="53" t="s">
        <v>79</v>
      </c>
      <c r="M27" s="52" t="e">
        <f>SUM(M21+M22+M23+M24+M25-M26)</f>
        <v>#REF!</v>
      </c>
      <c r="O27" s="2"/>
      <c r="P27" s="2"/>
      <c r="Q27" s="40"/>
      <c r="R27" s="37"/>
    </row>
    <row r="28" spans="5:24" x14ac:dyDescent="0.3">
      <c r="J28" s="22"/>
      <c r="O28" s="2"/>
      <c r="P28" s="2"/>
      <c r="Q28" s="40"/>
      <c r="R28" s="37"/>
    </row>
    <row r="29" spans="5:24" x14ac:dyDescent="0.3">
      <c r="G29" s="2"/>
      <c r="H29" s="2"/>
      <c r="I29" s="2"/>
      <c r="J29" s="22"/>
      <c r="O29" s="2"/>
      <c r="P29" s="2"/>
      <c r="Q29" s="40"/>
      <c r="R29" s="37"/>
    </row>
    <row r="30" spans="5:24" x14ac:dyDescent="0.3">
      <c r="G30" s="1"/>
      <c r="H30" s="2"/>
      <c r="I30" s="2"/>
      <c r="J30" s="22"/>
      <c r="L30" s="1"/>
      <c r="M30" s="1"/>
      <c r="N30" s="2"/>
      <c r="O30" s="2"/>
      <c r="P30" s="2"/>
      <c r="Q30" s="40"/>
      <c r="R30" s="37"/>
      <c r="S30" s="22"/>
      <c r="T30" s="1"/>
      <c r="U30" s="2"/>
      <c r="V30" s="2"/>
      <c r="W30" s="2"/>
      <c r="X30" s="2"/>
    </row>
    <row r="31" spans="5:24" x14ac:dyDescent="0.3">
      <c r="J31" s="22"/>
      <c r="L31" s="1"/>
      <c r="M31" s="1"/>
      <c r="N31" s="2"/>
      <c r="O31" s="2"/>
    </row>
    <row r="32" spans="5:24" x14ac:dyDescent="0.3">
      <c r="J32" s="22"/>
      <c r="K32" s="1"/>
      <c r="L32" s="1"/>
      <c r="M32" s="1"/>
      <c r="N32" s="2"/>
      <c r="O32" s="2"/>
    </row>
    <row r="33" spans="1:15" x14ac:dyDescent="0.3">
      <c r="J33" s="22"/>
      <c r="K33" s="1"/>
      <c r="L33" s="1"/>
      <c r="M33" s="1"/>
      <c r="N33" s="2"/>
      <c r="O33" s="2"/>
    </row>
    <row r="37" spans="1:15" x14ac:dyDescent="0.3">
      <c r="A37" s="22"/>
      <c r="B37" s="1"/>
      <c r="C37" s="1"/>
      <c r="D37" s="1"/>
      <c r="E37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2:V37"/>
  <sheetViews>
    <sheetView zoomScale="75" zoomScaleNormal="75" workbookViewId="0">
      <selection activeCell="E6" sqref="E6"/>
    </sheetView>
  </sheetViews>
  <sheetFormatPr baseColWidth="10" defaultColWidth="11.44140625" defaultRowHeight="14.4" x14ac:dyDescent="0.3"/>
  <cols>
    <col min="1" max="1" width="6.33203125" style="2" customWidth="1"/>
    <col min="2" max="2" width="8.5546875" style="2" customWidth="1"/>
    <col min="3" max="3" width="14.5546875" style="2" customWidth="1"/>
    <col min="4" max="4" width="21.6640625" style="2" customWidth="1"/>
    <col min="5" max="5" width="13.6640625" style="2" customWidth="1"/>
    <col min="6" max="6" width="9.109375" style="2" customWidth="1"/>
    <col min="7" max="7" width="3.88671875" style="2" customWidth="1"/>
    <col min="8" max="8" width="18.33203125" style="2" customWidth="1"/>
    <col min="9" max="9" width="10.6640625" style="2" customWidth="1"/>
    <col min="10" max="11" width="11.44140625" style="2"/>
    <col min="12" max="12" width="13.33203125" style="2" customWidth="1"/>
    <col min="13" max="13" width="15" style="2" customWidth="1"/>
    <col min="14" max="15" width="11.44140625" style="2"/>
    <col min="16" max="16" width="12.33203125" style="2" customWidth="1"/>
    <col min="17" max="17" width="14.5546875" style="2" customWidth="1"/>
    <col min="18" max="16384" width="11.44140625" style="2"/>
  </cols>
  <sheetData>
    <row r="2" spans="2:15" x14ac:dyDescent="0.3">
      <c r="B2" s="3"/>
      <c r="C2" s="10"/>
      <c r="D2" s="11" t="s">
        <v>28</v>
      </c>
      <c r="E2" s="5">
        <v>66.125</v>
      </c>
    </row>
    <row r="3" spans="2:15" x14ac:dyDescent="0.3">
      <c r="B3" s="3"/>
      <c r="C3" s="12"/>
      <c r="D3" s="13" t="s">
        <v>13</v>
      </c>
      <c r="E3" s="6">
        <v>0.5</v>
      </c>
    </row>
    <row r="4" spans="2:15" x14ac:dyDescent="0.3">
      <c r="B4" s="3"/>
      <c r="C4" s="12"/>
      <c r="D4" s="14" t="s">
        <v>19</v>
      </c>
      <c r="E4" s="5">
        <v>0.3</v>
      </c>
    </row>
    <row r="5" spans="2:15" x14ac:dyDescent="0.3">
      <c r="B5" s="3"/>
      <c r="C5" s="12"/>
      <c r="D5" s="17" t="s">
        <v>85</v>
      </c>
      <c r="E5" s="110">
        <v>6</v>
      </c>
      <c r="O5" s="2">
        <f>IF(SUM(O4-'bases de donnée'!E$5)&lt;0,0,SUM(O4-'bases de donnée'!E$5))</f>
        <v>0</v>
      </c>
    </row>
    <row r="6" spans="2:15" x14ac:dyDescent="0.3">
      <c r="B6" s="3"/>
      <c r="C6" s="12"/>
      <c r="D6" s="14" t="s">
        <v>14</v>
      </c>
      <c r="E6" s="6">
        <v>0.41666666666666669</v>
      </c>
    </row>
    <row r="7" spans="2:15" x14ac:dyDescent="0.3">
      <c r="B7" s="3"/>
      <c r="C7" s="12"/>
      <c r="D7" s="14" t="s">
        <v>16</v>
      </c>
      <c r="E7" s="6">
        <v>0.45833333333333331</v>
      </c>
    </row>
    <row r="8" spans="2:15" x14ac:dyDescent="0.3">
      <c r="B8" s="3"/>
      <c r="C8" s="12"/>
      <c r="D8" s="14" t="s">
        <v>18</v>
      </c>
      <c r="E8" s="5">
        <v>1.5</v>
      </c>
    </row>
    <row r="9" spans="2:15" x14ac:dyDescent="0.3">
      <c r="B9" s="3"/>
      <c r="C9" s="12"/>
      <c r="D9" s="14" t="s">
        <v>10</v>
      </c>
      <c r="E9" s="5">
        <v>2</v>
      </c>
    </row>
    <row r="10" spans="2:15" x14ac:dyDescent="0.3">
      <c r="B10" s="3"/>
      <c r="C10" s="12"/>
      <c r="D10" s="14" t="s">
        <v>11</v>
      </c>
      <c r="E10" s="5">
        <v>1.4583333333333333</v>
      </c>
    </row>
    <row r="11" spans="2:15" x14ac:dyDescent="0.3">
      <c r="B11" s="3"/>
      <c r="C11" s="12"/>
      <c r="D11" s="14" t="s">
        <v>12</v>
      </c>
      <c r="E11" s="5">
        <v>1.0416666666666667</v>
      </c>
    </row>
    <row r="12" spans="2:15" x14ac:dyDescent="0.3">
      <c r="B12" s="3"/>
      <c r="C12" s="12"/>
      <c r="D12" s="14" t="s">
        <v>20</v>
      </c>
      <c r="E12" s="5">
        <v>10.125</v>
      </c>
    </row>
    <row r="13" spans="2:15" x14ac:dyDescent="0.3">
      <c r="B13" s="3"/>
      <c r="C13" s="12"/>
      <c r="D13" s="15" t="s">
        <v>21</v>
      </c>
      <c r="E13" s="5">
        <v>5.2083333333333336E-2</v>
      </c>
    </row>
    <row r="14" spans="2:15" x14ac:dyDescent="0.3">
      <c r="B14" s="3"/>
      <c r="C14" s="12"/>
      <c r="D14" s="14" t="s">
        <v>22</v>
      </c>
      <c r="E14" s="5">
        <v>6.25E-2</v>
      </c>
    </row>
    <row r="15" spans="2:15" x14ac:dyDescent="0.3">
      <c r="B15" s="3"/>
      <c r="C15" s="12"/>
      <c r="D15" s="14" t="s">
        <v>24</v>
      </c>
      <c r="E15" s="7">
        <v>21</v>
      </c>
    </row>
    <row r="16" spans="2:15" x14ac:dyDescent="0.3">
      <c r="B16" s="3"/>
      <c r="C16" s="12"/>
      <c r="D16" s="14" t="s">
        <v>15</v>
      </c>
      <c r="E16" s="5">
        <v>0.10416666666666667</v>
      </c>
    </row>
    <row r="17" spans="1:20" x14ac:dyDescent="0.3">
      <c r="B17" s="3"/>
      <c r="C17" s="12"/>
      <c r="D17" s="14" t="s">
        <v>17</v>
      </c>
      <c r="E17" s="5">
        <v>8.3333333333333329E-2</v>
      </c>
    </row>
    <row r="18" spans="1:20" x14ac:dyDescent="0.3">
      <c r="B18" s="3"/>
      <c r="C18" s="12"/>
      <c r="D18" s="14" t="s">
        <v>23</v>
      </c>
      <c r="E18" s="5">
        <v>8.3333333333333329E-2</v>
      </c>
    </row>
    <row r="19" spans="1:20" x14ac:dyDescent="0.3">
      <c r="B19" s="3"/>
      <c r="C19" s="12"/>
      <c r="D19" s="14" t="s">
        <v>27</v>
      </c>
      <c r="E19" s="5">
        <v>15.130555555555555</v>
      </c>
    </row>
    <row r="20" spans="1:20" x14ac:dyDescent="0.3">
      <c r="A20" s="3"/>
      <c r="B20" s="3"/>
      <c r="C20" s="16"/>
      <c r="D20" s="17" t="s">
        <v>29</v>
      </c>
      <c r="E20" s="8">
        <v>0</v>
      </c>
    </row>
    <row r="21" spans="1:20" x14ac:dyDescent="0.3">
      <c r="B21" s="3"/>
      <c r="C21" s="12"/>
      <c r="D21" s="17" t="s">
        <v>30</v>
      </c>
      <c r="E21" s="8">
        <v>0</v>
      </c>
    </row>
    <row r="22" spans="1:20" x14ac:dyDescent="0.3">
      <c r="B22" s="3"/>
      <c r="C22" s="12"/>
      <c r="D22" s="17" t="s">
        <v>31</v>
      </c>
      <c r="E22" s="8">
        <f>E4</f>
        <v>0.3</v>
      </c>
    </row>
    <row r="23" spans="1:20" x14ac:dyDescent="0.3">
      <c r="B23" s="3"/>
      <c r="C23" s="12"/>
      <c r="D23" s="17" t="s">
        <v>32</v>
      </c>
      <c r="E23" s="8">
        <f>E4</f>
        <v>0.3</v>
      </c>
    </row>
    <row r="24" spans="1:20" x14ac:dyDescent="0.3">
      <c r="B24" s="3"/>
      <c r="C24" s="12"/>
      <c r="D24" s="17" t="s">
        <v>33</v>
      </c>
      <c r="E24" s="8">
        <v>0.16388888888888889</v>
      </c>
    </row>
    <row r="25" spans="1:20" x14ac:dyDescent="0.3">
      <c r="B25" s="3"/>
      <c r="C25" s="12"/>
      <c r="D25" s="17" t="s">
        <v>34</v>
      </c>
      <c r="E25" s="8">
        <v>0.22500000000000001</v>
      </c>
    </row>
    <row r="26" spans="1:20" x14ac:dyDescent="0.3">
      <c r="B26" s="3"/>
      <c r="C26" s="12"/>
      <c r="D26" s="17" t="s">
        <v>35</v>
      </c>
      <c r="E26" s="8">
        <f>E4</f>
        <v>0.3</v>
      </c>
    </row>
    <row r="27" spans="1:20" x14ac:dyDescent="0.3">
      <c r="B27" s="3"/>
      <c r="C27" s="12"/>
      <c r="D27" s="17" t="s">
        <v>36</v>
      </c>
      <c r="E27" s="8">
        <f>E4</f>
        <v>0.3</v>
      </c>
    </row>
    <row r="28" spans="1:20" x14ac:dyDescent="0.3">
      <c r="B28" s="3"/>
      <c r="C28" s="12"/>
      <c r="D28" s="17" t="s">
        <v>37</v>
      </c>
      <c r="E28" s="8">
        <f>E4</f>
        <v>0.3</v>
      </c>
    </row>
    <row r="29" spans="1:20" x14ac:dyDescent="0.3">
      <c r="B29" s="3"/>
      <c r="C29" s="18"/>
      <c r="D29" s="19" t="s">
        <v>38</v>
      </c>
      <c r="E29" s="8">
        <v>0</v>
      </c>
    </row>
    <row r="31" spans="1:20" x14ac:dyDescent="0.3">
      <c r="I31" s="1"/>
      <c r="J31" s="1"/>
      <c r="Q31" s="40"/>
      <c r="R31" s="37"/>
      <c r="S31" s="22"/>
      <c r="T31" s="1"/>
    </row>
    <row r="32" spans="1:20" x14ac:dyDescent="0.3">
      <c r="I32" s="1"/>
      <c r="J32" s="1"/>
      <c r="K32" s="1"/>
      <c r="L32" s="1"/>
      <c r="M32" s="1"/>
      <c r="N32" s="1"/>
      <c r="O32" s="1"/>
      <c r="Q32" s="40"/>
      <c r="R32" s="37"/>
      <c r="S32" s="22"/>
      <c r="T32" s="1"/>
    </row>
    <row r="33" spans="9:22" x14ac:dyDescent="0.3">
      <c r="I33" s="1"/>
      <c r="J33" s="1"/>
      <c r="K33" s="1"/>
      <c r="L33" s="1"/>
      <c r="M33" s="1"/>
      <c r="N33" s="1"/>
      <c r="O33" s="1"/>
      <c r="Q33" s="40"/>
      <c r="R33" s="37"/>
      <c r="S33" s="22"/>
      <c r="T33" s="1"/>
    </row>
    <row r="34" spans="9:22" x14ac:dyDescent="0.3">
      <c r="I34" s="23"/>
      <c r="J34" s="1"/>
      <c r="K34" s="1"/>
      <c r="L34" s="1"/>
      <c r="M34" s="1"/>
      <c r="N34" s="1"/>
      <c r="O34" s="1"/>
      <c r="Q34" s="40"/>
      <c r="R34" s="37"/>
      <c r="S34" s="22"/>
      <c r="T34" s="1"/>
    </row>
    <row r="35" spans="9:22" x14ac:dyDescent="0.3">
      <c r="I35" s="23"/>
      <c r="J35" s="23"/>
      <c r="K35" s="23"/>
      <c r="L35" s="1"/>
      <c r="M35" s="1"/>
      <c r="N35" s="1"/>
      <c r="O35" s="1"/>
      <c r="Q35" s="40"/>
      <c r="R35" s="37"/>
      <c r="S35" s="22"/>
      <c r="T35" s="1"/>
      <c r="U35" s="1"/>
      <c r="V35" s="1"/>
    </row>
    <row r="36" spans="9:22" x14ac:dyDescent="0.3">
      <c r="I36" s="1"/>
      <c r="J36" s="1"/>
      <c r="K36" s="1"/>
      <c r="L36" s="1"/>
      <c r="M36" s="1"/>
      <c r="N36" s="1"/>
      <c r="O36" s="1"/>
      <c r="Q36" s="40"/>
      <c r="R36" s="37"/>
      <c r="S36" s="22"/>
      <c r="T36" s="1"/>
      <c r="U36" s="1"/>
      <c r="V36" s="1"/>
    </row>
    <row r="37" spans="9:22" x14ac:dyDescent="0.3">
      <c r="Q37" s="4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2017</vt:lpstr>
      <vt:lpstr>résultat 2017</vt:lpstr>
      <vt:lpstr>bases de donnée</vt:lpstr>
      <vt:lpstr>gérald</vt:lpstr>
      <vt:lpstr>gérald1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2018-01-10T20:50:07Z</dcterms:modified>
</cp:coreProperties>
</file>