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geral\Desktop\"/>
    </mc:Choice>
  </mc:AlternateContent>
  <xr:revisionPtr revIDLastSave="0" documentId="13_ncr:1_{6A0D5903-5257-434B-8E1E-C06DB1A14291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planning " sheetId="1" r:id="rId1"/>
    <sheet name="bases de donnée" sheetId="3" r:id="rId2"/>
  </sheets>
  <definedNames>
    <definedName name="_xlnm._FilterDatabase" localSheetId="0" hidden="1">'planning '!$B$5:$E$11</definedName>
    <definedName name="gérald">'bases de donnée'!$D$20:$D$29</definedName>
    <definedName name="gérald1">'bases de donnée'!$D$20:$E$29</definedName>
    <definedName name="gerald2">'bases de donnée'!$D$20:$D$32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5" i="1" l="1"/>
  <c r="F10" i="1"/>
  <c r="F11" i="1"/>
  <c r="D5" i="1" l="1"/>
  <c r="C5" i="1" l="1"/>
  <c r="D6" i="1"/>
  <c r="F5" i="1"/>
  <c r="F6" i="1" l="1"/>
  <c r="D7" i="1"/>
  <c r="C6" i="1"/>
  <c r="Q6" i="1"/>
  <c r="Q7" i="1"/>
  <c r="Q8" i="1"/>
  <c r="Q9" i="1"/>
  <c r="Q10" i="1"/>
  <c r="Q11" i="1"/>
  <c r="D8" i="1" l="1"/>
  <c r="F7" i="1"/>
  <c r="C7" i="1"/>
  <c r="D9" i="1" l="1"/>
  <c r="F8" i="1"/>
  <c r="C8" i="1"/>
  <c r="L10" i="1"/>
  <c r="L11" i="1"/>
  <c r="J10" i="1"/>
  <c r="J11" i="1"/>
  <c r="D10" i="1" l="1"/>
  <c r="D11" i="1" s="1"/>
  <c r="F9" i="1"/>
  <c r="C9" i="1"/>
  <c r="E32" i="3"/>
  <c r="E30" i="3"/>
  <c r="C11" i="1" l="1"/>
  <c r="C10" i="1"/>
  <c r="O5" i="3" l="1"/>
  <c r="P5" i="1" l="1"/>
  <c r="P6" i="1" s="1"/>
  <c r="M11" i="1" l="1"/>
  <c r="P10" i="1"/>
  <c r="M10" i="1"/>
  <c r="K10" i="1"/>
  <c r="K11" i="1" l="1"/>
  <c r="E27" i="3" l="1"/>
  <c r="E26" i="3"/>
  <c r="E28" i="3"/>
  <c r="E23" i="3"/>
  <c r="E22" i="3"/>
  <c r="J5" i="1" l="1"/>
  <c r="L5" i="1"/>
  <c r="M5" i="1" s="1"/>
  <c r="J8" i="1"/>
  <c r="K8" i="1" s="1"/>
  <c r="J7" i="1"/>
  <c r="K7" i="1" s="1"/>
  <c r="L8" i="1"/>
  <c r="M8" i="1" s="1"/>
  <c r="L7" i="1"/>
  <c r="M7" i="1" s="1"/>
  <c r="J6" i="1"/>
  <c r="L6" i="1"/>
  <c r="M6" i="1" s="1"/>
  <c r="L9" i="1"/>
  <c r="M9" i="1" s="1"/>
  <c r="J9" i="1"/>
  <c r="K5" i="1" l="1"/>
  <c r="O5" i="1"/>
  <c r="K6" i="1"/>
  <c r="O6" i="1"/>
  <c r="K9" i="1"/>
  <c r="O7" i="1" l="1"/>
  <c r="O8" i="1" l="1"/>
  <c r="O9" i="1" s="1"/>
  <c r="O10" i="1" l="1"/>
  <c r="O11" i="1" l="1"/>
  <c r="P11" i="1" l="1"/>
  <c r="P8" i="1"/>
</calcChain>
</file>

<file path=xl/sharedStrings.xml><?xml version="1.0" encoding="utf-8"?>
<sst xmlns="http://schemas.openxmlformats.org/spreadsheetml/2006/main" count="56" uniqueCount="47">
  <si>
    <t>pause</t>
  </si>
  <si>
    <t>date</t>
  </si>
  <si>
    <t>jour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</si>
  <si>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</si>
  <si>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</si>
  <si>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</si>
  <si>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</si>
  <si>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</si>
  <si>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</si>
  <si>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</si>
  <si>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</si>
  <si>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</si>
  <si>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 xml:space="preserve">heure jour </t>
  </si>
  <si>
    <t>congés</t>
  </si>
  <si>
    <t>heures sup  1 à 14</t>
  </si>
  <si>
    <t>heures sup 15 à 25</t>
  </si>
  <si>
    <t>Férié travaillé</t>
  </si>
  <si>
    <t xml:space="preserve">début H nuit </t>
  </si>
  <si>
    <t>Fin</t>
  </si>
  <si>
    <t>Début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</si>
  <si>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</si>
  <si>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</si>
  <si>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</si>
  <si>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</si>
  <si>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</si>
  <si>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</si>
  <si>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congé 5h24</t>
  </si>
  <si>
    <t>arrêt maladie</t>
  </si>
  <si>
    <t>arrêt travail</t>
  </si>
  <si>
    <t xml:space="preserve">férié </t>
  </si>
  <si>
    <t>férié travaillé</t>
  </si>
  <si>
    <t>H Jour</t>
  </si>
  <si>
    <t>H amp</t>
  </si>
  <si>
    <t>H semaine</t>
  </si>
  <si>
    <t>hc de</t>
  </si>
  <si>
    <t>hs  semaine</t>
  </si>
  <si>
    <t xml:space="preserve">j semaine </t>
  </si>
  <si>
    <t>jour semaine maximun</t>
  </si>
  <si>
    <t>H semaine hc de</t>
  </si>
  <si>
    <t xml:space="preserve">hc de repos </t>
  </si>
  <si>
    <t>congé de naissance</t>
  </si>
  <si>
    <t>congé parentale</t>
  </si>
  <si>
    <t>congé parentale week end</t>
  </si>
  <si>
    <t>année</t>
  </si>
  <si>
    <t>mois</t>
  </si>
  <si>
    <t>fin</t>
  </si>
  <si>
    <t>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</si>
</sst>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"/>
    <numFmt numFmtId="165" formatCode="[$-40C]d\-mmm;@"/>
    <numFmt numFmtId="166" formatCode="d\ &quot;j.&quot;dd/mm/yy\ hh:mm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B9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0" fontId="4" fillId="3" borderId="9" xfId="0" applyFont="1" applyFill="1" applyBorder="1"/>
    <xf numFmtId="0" fontId="4" fillId="3" borderId="7" xfId="0" applyFont="1" applyFill="1" applyBorder="1"/>
    <xf numFmtId="0" fontId="4" fillId="3" borderId="7" xfId="0" applyFont="1" applyFill="1" applyBorder="1" applyAlignment="1">
      <alignment horizontal="right"/>
    </xf>
    <xf numFmtId="0" fontId="4" fillId="3" borderId="8" xfId="0" applyFont="1" applyFill="1" applyBorder="1"/>
    <xf numFmtId="164" fontId="1" fillId="0" borderId="0" xfId="0" applyNumberFormat="1" applyFont="1"/>
    <xf numFmtId="164" fontId="3" fillId="5" borderId="1" xfId="0" applyNumberFormat="1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16" fontId="1" fillId="0" borderId="0" xfId="0" applyNumberFormat="1" applyFont="1" applyAlignment="1">
      <alignment horizontal="center"/>
    </xf>
    <xf numFmtId="165" fontId="0" fillId="0" borderId="3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5" fontId="0" fillId="5" borderId="1" xfId="0" applyNumberFormat="1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64" fontId="0" fillId="5" borderId="1" xfId="0" applyNumberFormat="1" applyFill="1" applyBorder="1" applyAlignment="1">
      <alignment horizontal="center" vertical="center"/>
    </xf>
    <xf numFmtId="164" fontId="0" fillId="8" borderId="6" xfId="0" applyNumberFormat="1" applyFill="1" applyBorder="1" applyAlignment="1">
      <alignment horizontal="center"/>
    </xf>
    <xf numFmtId="164" fontId="0" fillId="5" borderId="3" xfId="0" applyNumberForma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5" borderId="6" xfId="0" applyNumberFormat="1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1" fontId="0" fillId="4" borderId="6" xfId="0" applyNumberForma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3" fillId="6" borderId="10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5" borderId="3" xfId="0" applyFill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0" fontId="4" fillId="3" borderId="0" xfId="0" applyFont="1" applyFill="1" applyAlignment="1">
      <alignment horizontal="right"/>
    </xf>
    <xf numFmtId="0" fontId="4" fillId="3" borderId="0" xfId="0" applyFont="1" applyFill="1" applyAlignment="1">
      <alignment horizontal="right" vertical="center"/>
    </xf>
    <xf numFmtId="0" fontId="0" fillId="3" borderId="0" xfId="0" applyFill="1" applyAlignment="1">
      <alignment horizontal="right"/>
    </xf>
    <xf numFmtId="164" fontId="4" fillId="3" borderId="0" xfId="0" applyNumberFormat="1" applyFont="1" applyFill="1" applyAlignment="1">
      <alignment horizontal="right"/>
    </xf>
    <xf numFmtId="0" fontId="4" fillId="0" borderId="1" xfId="0" applyFont="1" applyBorder="1" applyAlignment="1">
      <alignment horizontal="center"/>
    </xf>
    <xf numFmtId="20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right"/>
    </xf>
    <xf numFmtId="164" fontId="3" fillId="6" borderId="1" xfId="0" applyNumberFormat="1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6" fontId="0" fillId="0" borderId="1" xfId="0" applyNumberFormat="1" applyFill="1" applyBorder="1" applyAlignment="1">
      <alignment horizontal="center"/>
    </xf>
    <xf numFmtId="2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A7E8F1"/>
      <color rgb="FF705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3:R16"/>
  <sheetViews>
    <sheetView tabSelected="1" zoomScale="80" zoomScaleNormal="80" workbookViewId="0">
      <selection activeCell="G21" sqref="G21"/>
    </sheetView>
  </sheetViews>
  <sheetFormatPr baseColWidth="10" defaultColWidth="11.5703125" defaultRowHeight="15" x14ac:dyDescent="0.25"/>
  <cols>
    <col min="1" max="1" width="2.42578125" style="2" customWidth="1"/>
    <col min="2" max="2" width="9.7109375" style="2" customWidth="1"/>
    <col min="3" max="3" width="13.140625" style="2" customWidth="1"/>
    <col min="4" max="4" width="14.7109375" style="2" customWidth="1"/>
    <col min="5" max="5" width="28.42578125" style="2" customWidth="1"/>
    <col min="6" max="6" width="20.85546875" style="2" customWidth="1"/>
    <col min="7" max="7" width="8.140625" style="2" customWidth="1"/>
    <col min="8" max="8" width="9.5703125" style="2" customWidth="1"/>
    <col min="9" max="9" width="8.85546875" style="2" customWidth="1"/>
    <col min="10" max="10" width="7.7109375" style="2" customWidth="1"/>
    <col min="11" max="11" width="7.5703125" style="2" customWidth="1"/>
    <col min="12" max="12" width="8" style="2" customWidth="1"/>
    <col min="13" max="13" width="7.28515625" style="2" customWidth="1"/>
    <col min="14" max="14" width="14.42578125" style="2" customWidth="1"/>
    <col min="15" max="15" width="13.28515625" style="2" customWidth="1"/>
    <col min="16" max="16" width="17.140625" style="2" customWidth="1"/>
    <col min="17" max="17" width="11.7109375" style="2" customWidth="1"/>
    <col min="18" max="18" width="3.5703125" style="2" customWidth="1"/>
    <col min="19" max="16384" width="11.5703125" style="2"/>
  </cols>
  <sheetData>
    <row r="3" spans="2:18" ht="15.75" customHeight="1" x14ac:dyDescent="0.25"/>
    <row r="4" spans="2:18" ht="15.75" customHeight="1" thickBot="1" x14ac:dyDescent="0.3">
      <c r="C4" s="14" t="s">
        <v>2</v>
      </c>
      <c r="D4" s="14" t="s">
        <v>1</v>
      </c>
      <c r="E4" s="15"/>
      <c r="F4" s="61"/>
      <c r="G4" s="62" t="s">
        <v>19</v>
      </c>
      <c r="H4" s="12" t="s">
        <v>0</v>
      </c>
      <c r="I4" s="13" t="s">
        <v>18</v>
      </c>
      <c r="J4" s="13" t="s">
        <v>31</v>
      </c>
      <c r="K4" s="42" t="s">
        <v>34</v>
      </c>
      <c r="L4" s="13" t="s">
        <v>32</v>
      </c>
      <c r="M4" s="58" t="s">
        <v>34</v>
      </c>
      <c r="N4" s="11" t="s">
        <v>39</v>
      </c>
      <c r="O4" s="15" t="s">
        <v>35</v>
      </c>
      <c r="P4" s="11"/>
      <c r="Q4" s="11" t="s">
        <v>36</v>
      </c>
    </row>
    <row r="5" spans="2:18" ht="15.75" thickBot="1" x14ac:dyDescent="0.3">
      <c r="B5" s="59" t="s">
        <v>2</v>
      </c>
      <c r="C5" s="45" t="str">
        <f>TEXT(D5,"jjjj")</f>
        <v>mercredi</v>
      </c>
      <c r="D5" s="47">
        <f>DATE('bases de donnée'!E2,B8,B6)</f>
        <v>42369</v>
      </c>
      <c r="E5" s="46" t="s">
        <v>23</v>
      </c>
      <c r="F5" s="64" t="str">
        <f>IF(AND(G5="",I5=""),"",D5+I5)</f>
        <v/>
      </c>
      <c r="G5" s="63"/>
      <c r="H5" s="44"/>
      <c r="I5" s="44"/>
      <c r="J5" s="25">
        <f>IF(OR(E5="férié travaillé",E5="travail"),(I5-G5+IF(G5&gt;I5,1)-H5),INDEX('bases de donnée'!$E$20:'bases de donnée'!$E$32,MATCH(E5,gerald2,0)))</f>
        <v>0.30833333333333335</v>
      </c>
      <c r="K5" s="16">
        <f>IF(SUM(J5-'bases de donnée'!E$7)&lt;0,0,SUM(J5-'bases de donnée'!E$7))</f>
        <v>0</v>
      </c>
      <c r="L5" s="9">
        <f>IF(OR(E5="férié travaillé",E5="travail"),I5-G5+IF(G5&gt;I5,1),INDEX('bases de donnée'!$E$20:'bases de donnée'!$E$32,MATCH(E5,gerald2,0)))</f>
        <v>0.30833333333333335</v>
      </c>
      <c r="M5" s="17">
        <f>IF(SUM(L5-'bases de donnée'!E$4)&lt;0,0,SUM(L5-'bases de donnée'!E$4))</f>
        <v>0</v>
      </c>
      <c r="N5" s="41">
        <v>0</v>
      </c>
      <c r="O5" s="36">
        <f>J5</f>
        <v>0.30833333333333335</v>
      </c>
      <c r="P5" s="39">
        <f>SUM(Q5:Q11)</f>
        <v>5</v>
      </c>
      <c r="Q5" s="37">
        <f t="shared" ref="Q5:Q11" si="0">IF(AND(G5&lt;&gt;"",I5&lt;&gt;""),1,0+OR(N(I4)&lt;N(G4),E5="récupération",E5="congé 1 jour",E5="congé 1/2 jour ",E5="congé 5h24",E5="arrêt maladie",E5="arrêt travail",E5="férié ",E5="congé parentale",E5="congé de naissance"))</f>
        <v>1</v>
      </c>
      <c r="R5" s="22"/>
    </row>
    <row r="6" spans="2:18" x14ac:dyDescent="0.25">
      <c r="B6" s="60">
        <v>1</v>
      </c>
      <c r="C6" s="45" t="str">
        <f t="shared" ref="C6:C11" si="1">TEXT(D6,"jjjj")</f>
        <v>jeudi</v>
      </c>
      <c r="D6" s="35">
        <f>D5+1</f>
        <v>42370</v>
      </c>
      <c r="E6" s="21" t="s">
        <v>23</v>
      </c>
      <c r="F6" s="64" t="str">
        <f t="shared" ref="F6:F11" si="2">IF(AND(G6="",I6=""),"",D6+I6)</f>
        <v/>
      </c>
      <c r="G6" s="63"/>
      <c r="H6" s="44"/>
      <c r="I6" s="44"/>
      <c r="J6" s="25">
        <f>IF(OR(E6="férié travaillé",E6="travail"),(I6-G6+IF(G6&gt;I6,1)-H6),INDEX('bases de donnée'!$E$20:'bases de donnée'!$E$32,MATCH(E6,gerald2,0)))</f>
        <v>0.30833333333333335</v>
      </c>
      <c r="K6" s="16">
        <f>IF(SUM(J6-'bases de donnée'!E$7)&lt;0,0,SUM(J6-'bases de donnée'!E$7))</f>
        <v>0</v>
      </c>
      <c r="L6" s="9">
        <f>IF(OR(E6="férié travaillé",E6="travail"),I6-G6+IF(G6&gt;I6,1),INDEX('bases de donnée'!$E$20:'bases de donnée'!$E$32,MATCH(E6,gerald2,0)))</f>
        <v>0.30833333333333335</v>
      </c>
      <c r="M6" s="17">
        <f>IF(SUM(L6-'bases de donnée'!E$4)&lt;0,0,SUM(L6-'bases de donnée'!E$4))</f>
        <v>0</v>
      </c>
      <c r="N6" s="41">
        <v>0</v>
      </c>
      <c r="O6" s="30">
        <f t="shared" ref="O6:O11" si="3">O5+J6</f>
        <v>0.6166666666666667</v>
      </c>
      <c r="P6" s="38">
        <f>IF(SUM(P5-'bases de donnée'!E$6)&lt;0,0,SUM(P5-'bases de donnée'!E$6))</f>
        <v>0</v>
      </c>
      <c r="Q6" s="37">
        <f t="shared" si="0"/>
        <v>1</v>
      </c>
      <c r="R6" s="22"/>
    </row>
    <row r="7" spans="2:18" x14ac:dyDescent="0.25">
      <c r="B7" s="59" t="s">
        <v>44</v>
      </c>
      <c r="C7" s="45" t="str">
        <f t="shared" si="1"/>
        <v>vendredi</v>
      </c>
      <c r="D7" s="24">
        <f t="shared" ref="D7:D11" si="4">D6+1</f>
        <v>42371</v>
      </c>
      <c r="E7" s="21" t="s">
        <v>23</v>
      </c>
      <c r="F7" s="64" t="str">
        <f t="shared" si="2"/>
        <v/>
      </c>
      <c r="G7" s="63"/>
      <c r="H7" s="44"/>
      <c r="I7" s="44"/>
      <c r="J7" s="25">
        <f>IF(OR(E7="férié travaillé",E7="travail"),(I7-G7+IF(G7&gt;I7,1)-H7),INDEX('bases de donnée'!$E$20:'bases de donnée'!$E$32,MATCH(E7,gerald2,0)))</f>
        <v>0.30833333333333335</v>
      </c>
      <c r="K7" s="16">
        <f>IF(SUM(J7-'bases de donnée'!E$7)&lt;0,0,SUM(J7-'bases de donnée'!E$7))</f>
        <v>0</v>
      </c>
      <c r="L7" s="9">
        <f>IF(OR(E7="férié travaillé",E7="travail"),I7-G7+IF(G7&gt;I7,1),INDEX('bases de donnée'!$E$20:'bases de donnée'!$E$32,MATCH(E7,gerald2,0)))</f>
        <v>0.30833333333333335</v>
      </c>
      <c r="M7" s="17">
        <f>IF(SUM(L7-'bases de donnée'!E$4)&lt;0,0,SUM(L7-'bases de donnée'!E$4))</f>
        <v>0</v>
      </c>
      <c r="N7" s="41">
        <v>0</v>
      </c>
      <c r="O7" s="28">
        <f t="shared" si="3"/>
        <v>0.92500000000000004</v>
      </c>
      <c r="P7" s="40" t="s">
        <v>33</v>
      </c>
      <c r="Q7" s="37">
        <f t="shared" si="0"/>
        <v>1</v>
      </c>
      <c r="R7" s="22"/>
    </row>
    <row r="8" spans="2:18" x14ac:dyDescent="0.25">
      <c r="B8" s="60">
        <v>1</v>
      </c>
      <c r="C8" s="45" t="str">
        <f t="shared" si="1"/>
        <v>samedi</v>
      </c>
      <c r="D8" s="24">
        <f>D7+1</f>
        <v>42372</v>
      </c>
      <c r="E8" s="21" t="s">
        <v>23</v>
      </c>
      <c r="F8" s="64" t="str">
        <f t="shared" si="2"/>
        <v/>
      </c>
      <c r="G8" s="63"/>
      <c r="H8" s="44"/>
      <c r="I8" s="44"/>
      <c r="J8" s="25">
        <f>IF(OR(E8="férié travaillé",E8="travail"),(I8-G8+IF(G8&gt;I8,1)-H8),INDEX('bases de donnée'!$E$20:'bases de donnée'!$E$32,MATCH(E8,gerald2,0)))</f>
        <v>0.30833333333333335</v>
      </c>
      <c r="K8" s="16">
        <f>IF(SUM(J8-'bases de donnée'!E$7)&lt;0,0,SUM(J8-'bases de donnée'!E$7))</f>
        <v>0</v>
      </c>
      <c r="L8" s="9">
        <f>IF(OR(E8="férié travaillé",E8="travail"),I8-G8+IF(G8&gt;I8,1),INDEX('bases de donnée'!$E$20:'bases de donnée'!$E$32,MATCH(E8,gerald2,0)))</f>
        <v>0.30833333333333335</v>
      </c>
      <c r="M8" s="17">
        <f>IF(SUM(L8-'bases de donnée'!E$4)&lt;0,0,SUM(L8-'bases de donnée'!E$4))</f>
        <v>0</v>
      </c>
      <c r="N8" s="41">
        <v>0</v>
      </c>
      <c r="O8" s="28">
        <f t="shared" si="3"/>
        <v>1.2333333333333334</v>
      </c>
      <c r="P8" s="29">
        <f>O11</f>
        <v>1.5416666666666667</v>
      </c>
      <c r="Q8" s="37">
        <f t="shared" si="0"/>
        <v>1</v>
      </c>
      <c r="R8" s="22"/>
    </row>
    <row r="9" spans="2:18" x14ac:dyDescent="0.25">
      <c r="B9"/>
      <c r="C9" s="45" t="str">
        <f t="shared" si="1"/>
        <v>dimanche</v>
      </c>
      <c r="D9" s="24">
        <f t="shared" si="4"/>
        <v>42373</v>
      </c>
      <c r="E9" s="21" t="s">
        <v>23</v>
      </c>
      <c r="F9" s="64" t="str">
        <f t="shared" si="2"/>
        <v/>
      </c>
      <c r="G9" s="63"/>
      <c r="H9" s="44"/>
      <c r="I9" s="44"/>
      <c r="J9" s="25">
        <f>IF(OR(E9="férié travaillé",E9="travail"),(I9-G9+IF(G9&gt;I9,1)-H9),INDEX('bases de donnée'!$E$20:'bases de donnée'!$E$32,MATCH(E9,gerald2,0)))</f>
        <v>0.30833333333333335</v>
      </c>
      <c r="K9" s="16">
        <f>IF(SUM(J9-'bases de donnée'!E$7)&lt;0,0,SUM(J9-'bases de donnée'!E$7))</f>
        <v>0</v>
      </c>
      <c r="L9" s="9">
        <f>IF(OR(E9="férié travaillé",E9="travail"),I9-G9+IF(G9&gt;I9,1),INDEX('bases de donnée'!$E$20:'bases de donnée'!$E$32,MATCH(E9,gerald2,0)))</f>
        <v>0.30833333333333335</v>
      </c>
      <c r="M9" s="17">
        <f>IF(SUM(L9-'bases de donnée'!E$4)&lt;0,0,SUM(L9-'bases de donnée'!E$4))</f>
        <v>0</v>
      </c>
      <c r="N9" s="41">
        <v>0</v>
      </c>
      <c r="O9" s="28">
        <f t="shared" si="3"/>
        <v>1.5416666666666667</v>
      </c>
      <c r="P9" s="10" t="s">
        <v>38</v>
      </c>
      <c r="Q9" s="37">
        <f t="shared" si="0"/>
        <v>1</v>
      </c>
      <c r="R9" s="22"/>
    </row>
    <row r="10" spans="2:18" x14ac:dyDescent="0.25">
      <c r="B10"/>
      <c r="C10" s="45" t="str">
        <f t="shared" si="1"/>
        <v>lundi</v>
      </c>
      <c r="D10" s="24">
        <f t="shared" si="4"/>
        <v>42374</v>
      </c>
      <c r="E10" s="21" t="s">
        <v>21</v>
      </c>
      <c r="F10" s="64" t="str">
        <f t="shared" si="2"/>
        <v/>
      </c>
      <c r="G10" s="63"/>
      <c r="H10" s="44"/>
      <c r="I10" s="44"/>
      <c r="J10" s="25">
        <f>IF(OR(E10="férié travaillé",E10="travail"),(I10-G10+IF(G10&gt;I10,1)-H10),INDEX('bases de donnée'!$E$20:'bases de donnée'!$E$32,MATCH(E10,gerald2,0)))</f>
        <v>0</v>
      </c>
      <c r="K10" s="16">
        <f>IF(SUM(J10-'bases de donnée'!E$7)&lt;0,0,SUM(J10-'bases de donnée'!E$7))</f>
        <v>0</v>
      </c>
      <c r="L10" s="9">
        <f>IF(OR(E10="férié travaillé",E10="travail"),I10-G10+IF(G10&gt;I10,1),INDEX('bases de donnée'!$E$20:'bases de donnée'!$E$32,MATCH(E10,gerald2,0)))</f>
        <v>0</v>
      </c>
      <c r="M10" s="17">
        <f>IF(SUM(L10-'bases de donnée'!E$4)&lt;0,0,SUM(L10-'bases de donnée'!E$4))</f>
        <v>0</v>
      </c>
      <c r="N10" s="41">
        <v>0</v>
      </c>
      <c r="O10" s="28">
        <f t="shared" si="3"/>
        <v>1.5416666666666667</v>
      </c>
      <c r="P10" s="27">
        <f>'bases de donnée'!E$10</f>
        <v>2</v>
      </c>
      <c r="Q10" s="37">
        <f t="shared" si="0"/>
        <v>0</v>
      </c>
      <c r="R10" s="22"/>
    </row>
    <row r="11" spans="2:18" x14ac:dyDescent="0.25">
      <c r="B11"/>
      <c r="C11" s="45" t="str">
        <f t="shared" si="1"/>
        <v>mardi</v>
      </c>
      <c r="D11" s="24">
        <f t="shared" si="4"/>
        <v>42375</v>
      </c>
      <c r="E11" s="21" t="s">
        <v>21</v>
      </c>
      <c r="F11" s="64" t="str">
        <f t="shared" si="2"/>
        <v/>
      </c>
      <c r="G11" s="63"/>
      <c r="H11" s="44"/>
      <c r="I11" s="44"/>
      <c r="J11" s="25">
        <f>IF(OR(E11="férié travaillé",E11="travail"),(I11-G11+IF(G11&gt;I11,1)-H11),INDEX('bases de donnée'!$E$20:'bases de donnée'!$E$32,MATCH(E11,gerald2,0)))</f>
        <v>0</v>
      </c>
      <c r="K11" s="16">
        <f>IF(SUM(J11-'bases de donnée'!E$7)&lt;0,0,SUM(J11-'bases de donnée'!E$7))</f>
        <v>0</v>
      </c>
      <c r="L11" s="9">
        <f>IF(OR(E11="férié travaillé",E11="travail"),I11-G11+IF(G11&gt;I11,1),INDEX('bases de donnée'!$E$20:'bases de donnée'!$E$32,MATCH(E11,gerald2,0)))</f>
        <v>0</v>
      </c>
      <c r="M11" s="17">
        <f>IF(SUM(L11-'bases de donnée'!E$4)&lt;0,0,SUM(L11-'bases de donnée'!E$4))</f>
        <v>0</v>
      </c>
      <c r="N11" s="41">
        <v>0</v>
      </c>
      <c r="O11" s="28">
        <f t="shared" si="3"/>
        <v>1.5416666666666667</v>
      </c>
      <c r="P11" s="23">
        <f>IF(SUM(O11-'bases de donnée'!E$10)&lt;0,0,SUM(O11-'bases de donnée'!E$10))</f>
        <v>0</v>
      </c>
      <c r="Q11" s="37">
        <f t="shared" si="0"/>
        <v>0</v>
      </c>
      <c r="R11" s="22"/>
    </row>
    <row r="12" spans="2:18" x14ac:dyDescent="0.25">
      <c r="B12"/>
      <c r="C12" s="18"/>
      <c r="D12" s="31"/>
      <c r="E12" s="31"/>
      <c r="F12" s="18"/>
      <c r="G12" s="26"/>
      <c r="H12" s="26"/>
      <c r="I12" s="26"/>
      <c r="J12" s="26"/>
      <c r="K12" s="33"/>
      <c r="L12" s="32"/>
      <c r="M12" s="32"/>
      <c r="N12" s="32"/>
      <c r="O12" s="34"/>
      <c r="P12" s="26"/>
    </row>
    <row r="14" spans="2:18" ht="15.75" customHeight="1" x14ac:dyDescent="0.25"/>
    <row r="15" spans="2:18" x14ac:dyDescent="0.25">
      <c r="I15" s="2" t="s">
        <v>46</v>
      </c>
      <c r="J15" s="65">
        <v>0.375</v>
      </c>
    </row>
    <row r="16" spans="2:18" x14ac:dyDescent="0.25">
      <c r="I16" s="2" t="s">
        <v>45</v>
      </c>
      <c r="J16" s="65">
        <v>0.68333333333333324</v>
      </c>
    </row>
  </sheetData>
  <dataValidations count="2">
    <dataValidation type="list" allowBlank="1" showInputMessage="1" showErrorMessage="1" sqref="E12" xr:uid="{00000000-0002-0000-0000-000000000000}">
      <formula1>gérald</formula1>
    </dataValidation>
    <dataValidation type="list" allowBlank="1" showInputMessage="1" showErrorMessage="1" sqref="E5:E11" xr:uid="{9A451A42-28BE-4DE2-AE90-7E8130358878}">
      <formula1>gerald2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C2:V36"/>
  <sheetViews>
    <sheetView zoomScale="75" zoomScaleNormal="75" workbookViewId="0">
      <selection activeCell="H30" sqref="H30"/>
    </sheetView>
  </sheetViews>
  <sheetFormatPr baseColWidth="10" defaultColWidth="11.42578125" defaultRowHeight="15" x14ac:dyDescent="0.25"/>
  <cols>
    <col min="1" max="1" width="6.28515625" style="3" customWidth="1"/>
    <col min="2" max="2" width="8.5703125" style="3" customWidth="1"/>
    <col min="3" max="3" width="14.5703125" style="3" customWidth="1"/>
    <col min="4" max="4" width="21.7109375" style="3" customWidth="1"/>
    <col min="5" max="5" width="13.7109375" style="3" customWidth="1"/>
    <col min="6" max="6" width="9.140625" style="3" customWidth="1"/>
    <col min="7" max="7" width="3.85546875" style="3" customWidth="1"/>
    <col min="8" max="8" width="18.28515625" style="3" customWidth="1"/>
    <col min="9" max="9" width="10.7109375" style="3" customWidth="1"/>
    <col min="10" max="11" width="11.42578125" style="3"/>
    <col min="12" max="12" width="13.28515625" style="3" customWidth="1"/>
    <col min="13" max="13" width="15" style="3" customWidth="1"/>
    <col min="14" max="15" width="11.42578125" style="3"/>
    <col min="16" max="16" width="12.28515625" style="3" customWidth="1"/>
    <col min="17" max="17" width="14.5703125" style="3" customWidth="1"/>
    <col min="18" max="16384" width="11.42578125" style="3"/>
  </cols>
  <sheetData>
    <row r="2" spans="3:15" x14ac:dyDescent="0.25">
      <c r="C2" s="4"/>
      <c r="D2" s="56" t="s">
        <v>43</v>
      </c>
      <c r="E2" s="52">
        <v>2020</v>
      </c>
    </row>
    <row r="3" spans="3:15" x14ac:dyDescent="0.25">
      <c r="C3" s="5"/>
      <c r="D3" s="48" t="s">
        <v>20</v>
      </c>
      <c r="E3" s="43">
        <v>65.833333333333329</v>
      </c>
    </row>
    <row r="4" spans="3:15" x14ac:dyDescent="0.25">
      <c r="C4" s="5"/>
      <c r="D4" s="49" t="s">
        <v>6</v>
      </c>
      <c r="E4" s="53">
        <v>0.5</v>
      </c>
    </row>
    <row r="5" spans="3:15" x14ac:dyDescent="0.25">
      <c r="C5" s="5"/>
      <c r="D5" s="48" t="s">
        <v>12</v>
      </c>
      <c r="E5" s="43">
        <v>0.30833333333333335</v>
      </c>
      <c r="O5" s="3">
        <f>IF(SUM(O4-'bases de donnée'!E$6)&lt;0,0,SUM(O4-'bases de donnée'!E$6))</f>
        <v>0</v>
      </c>
    </row>
    <row r="6" spans="3:15" x14ac:dyDescent="0.25">
      <c r="C6" s="5"/>
      <c r="D6" s="50" t="s">
        <v>37</v>
      </c>
      <c r="E6" s="54">
        <v>6</v>
      </c>
    </row>
    <row r="7" spans="3:15" x14ac:dyDescent="0.25">
      <c r="C7" s="5"/>
      <c r="D7" s="48" t="s">
        <v>7</v>
      </c>
      <c r="E7" s="53">
        <v>0.41666666666666669</v>
      </c>
    </row>
    <row r="8" spans="3:15" x14ac:dyDescent="0.25">
      <c r="C8" s="5"/>
      <c r="D8" s="48" t="s">
        <v>9</v>
      </c>
      <c r="E8" s="53">
        <v>0.45833333333333331</v>
      </c>
    </row>
    <row r="9" spans="3:15" x14ac:dyDescent="0.25">
      <c r="C9" s="5"/>
      <c r="D9" s="48" t="s">
        <v>11</v>
      </c>
      <c r="E9" s="43">
        <v>1.5</v>
      </c>
    </row>
    <row r="10" spans="3:15" x14ac:dyDescent="0.25">
      <c r="C10" s="5"/>
      <c r="D10" s="48" t="s">
        <v>3</v>
      </c>
      <c r="E10" s="43">
        <v>2</v>
      </c>
    </row>
    <row r="11" spans="3:15" x14ac:dyDescent="0.25">
      <c r="C11" s="5"/>
      <c r="D11" s="48" t="s">
        <v>4</v>
      </c>
      <c r="E11" s="43">
        <v>1.4583333333333333</v>
      </c>
    </row>
    <row r="12" spans="3:15" x14ac:dyDescent="0.25">
      <c r="C12" s="5"/>
      <c r="D12" s="48" t="s">
        <v>5</v>
      </c>
      <c r="E12" s="43">
        <v>1.0416666666666667</v>
      </c>
    </row>
    <row r="13" spans="3:15" x14ac:dyDescent="0.25">
      <c r="C13" s="5"/>
      <c r="D13" s="48" t="s">
        <v>13</v>
      </c>
      <c r="E13" s="43">
        <v>10.125</v>
      </c>
    </row>
    <row r="14" spans="3:15" x14ac:dyDescent="0.25">
      <c r="C14" s="5"/>
      <c r="D14" s="51" t="s">
        <v>14</v>
      </c>
      <c r="E14" s="43">
        <v>5.2083333333333336E-2</v>
      </c>
    </row>
    <row r="15" spans="3:15" x14ac:dyDescent="0.25">
      <c r="C15" s="5"/>
      <c r="D15" s="48" t="s">
        <v>15</v>
      </c>
      <c r="E15" s="43">
        <v>6.25E-2</v>
      </c>
    </row>
    <row r="16" spans="3:15" x14ac:dyDescent="0.25">
      <c r="C16" s="5"/>
      <c r="D16" s="48" t="s">
        <v>17</v>
      </c>
      <c r="E16" s="52">
        <v>21</v>
      </c>
    </row>
    <row r="17" spans="3:20" x14ac:dyDescent="0.25">
      <c r="C17" s="5"/>
      <c r="D17" s="48" t="s">
        <v>8</v>
      </c>
      <c r="E17" s="43">
        <v>0.10416666666666667</v>
      </c>
    </row>
    <row r="18" spans="3:20" x14ac:dyDescent="0.25">
      <c r="C18" s="5"/>
      <c r="D18" s="48" t="s">
        <v>10</v>
      </c>
      <c r="E18" s="43">
        <v>8.3333333333333329E-2</v>
      </c>
    </row>
    <row r="19" spans="3:20" x14ac:dyDescent="0.25">
      <c r="C19" s="5"/>
      <c r="D19" s="48" t="s">
        <v>16</v>
      </c>
      <c r="E19" s="43">
        <v>8.3333333333333329E-2</v>
      </c>
    </row>
    <row r="20" spans="3:20" x14ac:dyDescent="0.25">
      <c r="C20" s="6"/>
      <c r="D20" s="50" t="s">
        <v>21</v>
      </c>
      <c r="E20" s="55">
        <v>0</v>
      </c>
    </row>
    <row r="21" spans="3:20" x14ac:dyDescent="0.25">
      <c r="C21" s="5"/>
      <c r="D21" s="50" t="s">
        <v>22</v>
      </c>
      <c r="E21" s="55">
        <v>0</v>
      </c>
    </row>
    <row r="22" spans="3:20" x14ac:dyDescent="0.25">
      <c r="C22" s="5"/>
      <c r="D22" s="50" t="s">
        <v>23</v>
      </c>
      <c r="E22" s="55">
        <f>E5</f>
        <v>0.30833333333333335</v>
      </c>
    </row>
    <row r="23" spans="3:20" x14ac:dyDescent="0.25">
      <c r="C23" s="5"/>
      <c r="D23" s="50" t="s">
        <v>24</v>
      </c>
      <c r="E23" s="55">
        <f>E5</f>
        <v>0.30833333333333335</v>
      </c>
    </row>
    <row r="24" spans="3:20" x14ac:dyDescent="0.25">
      <c r="C24" s="5"/>
      <c r="D24" s="50" t="s">
        <v>25</v>
      </c>
      <c r="E24" s="55">
        <v>0.16388888888888889</v>
      </c>
    </row>
    <row r="25" spans="3:20" x14ac:dyDescent="0.25">
      <c r="C25" s="5"/>
      <c r="D25" s="50" t="s">
        <v>26</v>
      </c>
      <c r="E25" s="55">
        <v>0.22500000000000001</v>
      </c>
    </row>
    <row r="26" spans="3:20" x14ac:dyDescent="0.25">
      <c r="C26" s="5"/>
      <c r="D26" s="50" t="s">
        <v>27</v>
      </c>
      <c r="E26" s="55">
        <f>E5</f>
        <v>0.30833333333333335</v>
      </c>
    </row>
    <row r="27" spans="3:20" x14ac:dyDescent="0.25">
      <c r="C27" s="5"/>
      <c r="D27" s="50" t="s">
        <v>28</v>
      </c>
      <c r="E27" s="55">
        <f>E5</f>
        <v>0.30833333333333335</v>
      </c>
    </row>
    <row r="28" spans="3:20" x14ac:dyDescent="0.25">
      <c r="C28" s="5"/>
      <c r="D28" s="50" t="s">
        <v>29</v>
      </c>
      <c r="E28" s="55">
        <f>E5</f>
        <v>0.30833333333333335</v>
      </c>
    </row>
    <row r="29" spans="3:20" x14ac:dyDescent="0.25">
      <c r="C29" s="5"/>
      <c r="D29" s="50" t="s">
        <v>30</v>
      </c>
      <c r="E29" s="55">
        <v>0</v>
      </c>
    </row>
    <row r="30" spans="3:20" x14ac:dyDescent="0.25">
      <c r="C30" s="5"/>
      <c r="D30" s="50" t="s">
        <v>41</v>
      </c>
      <c r="E30" s="43">
        <f>E5</f>
        <v>0.30833333333333335</v>
      </c>
      <c r="I30" s="2"/>
      <c r="J30" s="2"/>
      <c r="Q30" s="20"/>
      <c r="R30" s="19"/>
      <c r="S30" s="1"/>
      <c r="T30" s="2"/>
    </row>
    <row r="31" spans="3:20" x14ac:dyDescent="0.25">
      <c r="C31" s="5"/>
      <c r="D31" s="50" t="s">
        <v>42</v>
      </c>
      <c r="E31" s="43">
        <v>0</v>
      </c>
      <c r="I31" s="2"/>
      <c r="J31" s="2"/>
      <c r="K31" s="2"/>
      <c r="L31" s="2"/>
      <c r="M31" s="2"/>
      <c r="N31" s="2"/>
      <c r="O31" s="2"/>
      <c r="Q31" s="20"/>
      <c r="R31" s="19"/>
      <c r="S31" s="1"/>
      <c r="T31" s="2"/>
    </row>
    <row r="32" spans="3:20" x14ac:dyDescent="0.25">
      <c r="C32" s="7"/>
      <c r="D32" s="57" t="s">
        <v>40</v>
      </c>
      <c r="E32" s="43">
        <f>E5</f>
        <v>0.30833333333333335</v>
      </c>
      <c r="I32" s="2"/>
      <c r="J32" s="2"/>
      <c r="K32" s="2"/>
      <c r="L32" s="2"/>
      <c r="M32" s="2"/>
      <c r="N32" s="2"/>
      <c r="O32" s="2"/>
      <c r="Q32" s="20"/>
      <c r="R32" s="19"/>
      <c r="S32" s="1"/>
      <c r="T32" s="2"/>
    </row>
    <row r="33" spans="9:22" x14ac:dyDescent="0.25">
      <c r="I33" s="8"/>
      <c r="J33" s="2"/>
      <c r="K33" s="2"/>
      <c r="L33" s="2"/>
      <c r="M33" s="2"/>
      <c r="N33" s="2"/>
      <c r="O33" s="2"/>
      <c r="Q33" s="20"/>
      <c r="R33" s="19"/>
      <c r="S33" s="1"/>
      <c r="T33" s="2"/>
    </row>
    <row r="34" spans="9:22" x14ac:dyDescent="0.25">
      <c r="I34" s="8"/>
      <c r="J34" s="8"/>
      <c r="K34" s="8"/>
      <c r="L34" s="2"/>
      <c r="M34" s="2"/>
      <c r="N34" s="2"/>
      <c r="O34" s="2"/>
      <c r="Q34" s="20"/>
      <c r="R34" s="19"/>
      <c r="S34" s="1"/>
      <c r="T34" s="2"/>
      <c r="U34" s="2"/>
      <c r="V34" s="2"/>
    </row>
    <row r="35" spans="9:22" x14ac:dyDescent="0.25">
      <c r="I35" s="2"/>
      <c r="J35" s="2"/>
      <c r="K35" s="2"/>
      <c r="L35" s="2"/>
      <c r="M35" s="2"/>
      <c r="N35" s="2"/>
      <c r="O35" s="2"/>
      <c r="Q35" s="20"/>
      <c r="R35" s="19"/>
      <c r="S35" s="1"/>
      <c r="T35" s="2"/>
      <c r="U35" s="2"/>
      <c r="V35" s="2"/>
    </row>
    <row r="36" spans="9:22" x14ac:dyDescent="0.25">
      <c r="Q36" s="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planning </vt:lpstr>
      <vt:lpstr>bases de donnée</vt:lpstr>
      <vt:lpstr>gérald</vt:lpstr>
      <vt:lpstr>gérald1</vt:lpstr>
      <vt:lpstr>gerald2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gerald mauritius</cp:lastModifiedBy>
  <dcterms:created xsi:type="dcterms:W3CDTF">2016-10-24T13:04:51Z</dcterms:created>
  <dcterms:modified xsi:type="dcterms:W3CDTF">2019-12-06T11:59:15Z</dcterms:modified>
</cp:coreProperties>
</file>