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ate1904="1" codeName="ThisWorkbook"/>
  <mc:AlternateContent xmlns:mc="http://schemas.openxmlformats.org/markup-compatibility/2006">
    <mc:Choice Requires="x15">
      <x15ac:absPath xmlns:x15ac="http://schemas.microsoft.com/office/spreadsheetml/2010/11/ac" url="C:\Users\victorine\Desktop\"/>
    </mc:Choice>
  </mc:AlternateContent>
  <xr:revisionPtr revIDLastSave="0" documentId="8_{A5C5CABE-4FF5-4332-8CAF-56FAD5C8FA0E}" xr6:coauthVersionLast="45" xr6:coauthVersionMax="45" xr10:uidLastSave="{00000000-0000-0000-0000-000000000000}"/>
  <bookViews>
    <workbookView xWindow="-108" yWindow="-108" windowWidth="23256" windowHeight="13176" xr2:uid="{00000000-000D-0000-FFFF-FFFF00000000}"/>
  </bookViews>
  <sheets>
    <sheet name="planning " sheetId="1" r:id="rId1"/>
    <sheet name="résultat " sheetId="4" r:id="rId2"/>
    <sheet name="bases de donnée" sheetId="3" r:id="rId3"/>
  </sheets>
  <definedNames>
    <definedName name="_xlnm._FilterDatabase" localSheetId="0" hidden="1">'planning '!$B$5:$E$11</definedName>
    <definedName name="gérald">'bases de donnée'!$D$20:$D$29</definedName>
    <definedName name="gérald1">'bases de donnée'!$D$20:$E$29</definedName>
    <definedName name="gerald2">'bases de donnée'!$D$20:$D$32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409" i="1" l="1"/>
  <c r="J75" i="1" l="1"/>
  <c r="K75" i="1" s="1"/>
  <c r="G11" i="4" l="1"/>
  <c r="G9" i="4"/>
  <c r="G10" i="4"/>
  <c r="G5" i="4"/>
  <c r="G4" i="4"/>
  <c r="G3" i="4"/>
  <c r="C10" i="4"/>
  <c r="C9" i="4"/>
  <c r="C7" i="4"/>
  <c r="C8" i="4"/>
  <c r="C6" i="4"/>
  <c r="C5" i="4"/>
  <c r="C4" i="4"/>
  <c r="Q435" i="1" l="1"/>
  <c r="Q434" i="1"/>
  <c r="Q433" i="1"/>
  <c r="Q432" i="1"/>
  <c r="Q431" i="1"/>
  <c r="Q430" i="1"/>
  <c r="Q429" i="1"/>
  <c r="Q427" i="1"/>
  <c r="Q426" i="1"/>
  <c r="Q425" i="1"/>
  <c r="Q424" i="1"/>
  <c r="Q423" i="1"/>
  <c r="Q422" i="1"/>
  <c r="Q421" i="1"/>
  <c r="Q419" i="1"/>
  <c r="Q418" i="1"/>
  <c r="Q417" i="1"/>
  <c r="Q416" i="1"/>
  <c r="Q415" i="1"/>
  <c r="Q414" i="1"/>
  <c r="Q413" i="1"/>
  <c r="Q411" i="1"/>
  <c r="Q410" i="1"/>
  <c r="Q409" i="1"/>
  <c r="Q408" i="1"/>
  <c r="Q407" i="1"/>
  <c r="Q406" i="1"/>
  <c r="Q405" i="1"/>
  <c r="Q403" i="1"/>
  <c r="Q402" i="1"/>
  <c r="Q401" i="1"/>
  <c r="Q400" i="1"/>
  <c r="Q399" i="1"/>
  <c r="Q398" i="1"/>
  <c r="Q397" i="1"/>
  <c r="Q395" i="1"/>
  <c r="Q394" i="1"/>
  <c r="Q393" i="1"/>
  <c r="Q392" i="1"/>
  <c r="Q391" i="1"/>
  <c r="Q390" i="1"/>
  <c r="Q389" i="1"/>
  <c r="Q387" i="1"/>
  <c r="Q386" i="1"/>
  <c r="Q385" i="1"/>
  <c r="Q384" i="1"/>
  <c r="Q383" i="1"/>
  <c r="Q382" i="1"/>
  <c r="Q381" i="1"/>
  <c r="Q379" i="1"/>
  <c r="Q378" i="1"/>
  <c r="Q377" i="1"/>
  <c r="Q376" i="1"/>
  <c r="Q375" i="1"/>
  <c r="Q374" i="1"/>
  <c r="Q373" i="1"/>
  <c r="Q371" i="1"/>
  <c r="Q370" i="1"/>
  <c r="Q369" i="1"/>
  <c r="Q368" i="1"/>
  <c r="Q367" i="1"/>
  <c r="Q366" i="1"/>
  <c r="Q365" i="1"/>
  <c r="Q363" i="1"/>
  <c r="Q362" i="1"/>
  <c r="Q361" i="1"/>
  <c r="Q360" i="1"/>
  <c r="Q359" i="1"/>
  <c r="Q358" i="1"/>
  <c r="Q357" i="1"/>
  <c r="Q355" i="1"/>
  <c r="Q354" i="1"/>
  <c r="Q353" i="1"/>
  <c r="Q352" i="1"/>
  <c r="Q351" i="1"/>
  <c r="Q350" i="1"/>
  <c r="Q349" i="1"/>
  <c r="Q347" i="1"/>
  <c r="Q346" i="1"/>
  <c r="Q345" i="1"/>
  <c r="Q344" i="1"/>
  <c r="Q343" i="1"/>
  <c r="Q342" i="1"/>
  <c r="Q341" i="1"/>
  <c r="Q339" i="1"/>
  <c r="Q338" i="1"/>
  <c r="Q337" i="1"/>
  <c r="Q336" i="1"/>
  <c r="Q335" i="1"/>
  <c r="Q334" i="1"/>
  <c r="Q333" i="1"/>
  <c r="Q331" i="1"/>
  <c r="Q330" i="1"/>
  <c r="Q329" i="1"/>
  <c r="Q328" i="1"/>
  <c r="Q327" i="1"/>
  <c r="Q326" i="1"/>
  <c r="Q325" i="1"/>
  <c r="Q323" i="1"/>
  <c r="Q322" i="1"/>
  <c r="Q321" i="1"/>
  <c r="Q320" i="1"/>
  <c r="Q319" i="1"/>
  <c r="Q318" i="1"/>
  <c r="Q317" i="1"/>
  <c r="Q315" i="1"/>
  <c r="Q314" i="1"/>
  <c r="Q313" i="1"/>
  <c r="Q312" i="1"/>
  <c r="Q311" i="1"/>
  <c r="Q310" i="1"/>
  <c r="Q309" i="1"/>
  <c r="Q307" i="1"/>
  <c r="Q306" i="1"/>
  <c r="Q305" i="1"/>
  <c r="Q304" i="1"/>
  <c r="Q303" i="1"/>
  <c r="Q302" i="1"/>
  <c r="Q301" i="1"/>
  <c r="Q299" i="1"/>
  <c r="Q298" i="1"/>
  <c r="Q297" i="1"/>
  <c r="Q296" i="1"/>
  <c r="Q295" i="1"/>
  <c r="Q294" i="1"/>
  <c r="Q293" i="1"/>
  <c r="Q291" i="1"/>
  <c r="Q290" i="1"/>
  <c r="Q289" i="1"/>
  <c r="Q288" i="1"/>
  <c r="Q287" i="1"/>
  <c r="Q286" i="1"/>
  <c r="Q285" i="1"/>
  <c r="Q283" i="1"/>
  <c r="Q282" i="1"/>
  <c r="Q281" i="1"/>
  <c r="Q280" i="1"/>
  <c r="Q279" i="1"/>
  <c r="Q278" i="1"/>
  <c r="Q277" i="1"/>
  <c r="Q275" i="1"/>
  <c r="Q274" i="1"/>
  <c r="Q273" i="1"/>
  <c r="Q272" i="1"/>
  <c r="Q271" i="1"/>
  <c r="Q270" i="1"/>
  <c r="Q269" i="1"/>
  <c r="Q267" i="1"/>
  <c r="Q266" i="1"/>
  <c r="Q265" i="1"/>
  <c r="Q264" i="1"/>
  <c r="Q263" i="1"/>
  <c r="Q262" i="1"/>
  <c r="Q261" i="1"/>
  <c r="Q259" i="1"/>
  <c r="Q258" i="1"/>
  <c r="Q257" i="1"/>
  <c r="Q256" i="1"/>
  <c r="Q255" i="1"/>
  <c r="Q254" i="1"/>
  <c r="Q253" i="1"/>
  <c r="Q251" i="1"/>
  <c r="Q250" i="1"/>
  <c r="Q249" i="1"/>
  <c r="Q248" i="1"/>
  <c r="Q247" i="1"/>
  <c r="Q246" i="1"/>
  <c r="Q245" i="1"/>
  <c r="Q243" i="1"/>
  <c r="Q242" i="1"/>
  <c r="Q241" i="1"/>
  <c r="Q240" i="1"/>
  <c r="Q239" i="1"/>
  <c r="Q238" i="1"/>
  <c r="Q237" i="1"/>
  <c r="Q235" i="1"/>
  <c r="Q234" i="1"/>
  <c r="Q233" i="1"/>
  <c r="Q232" i="1"/>
  <c r="Q231" i="1"/>
  <c r="Q230" i="1"/>
  <c r="Q229" i="1"/>
  <c r="Q227" i="1"/>
  <c r="Q226" i="1"/>
  <c r="Q225" i="1"/>
  <c r="Q224" i="1"/>
  <c r="Q223" i="1"/>
  <c r="Q222" i="1"/>
  <c r="Q221" i="1"/>
  <c r="Q219" i="1"/>
  <c r="Q218" i="1"/>
  <c r="Q217" i="1"/>
  <c r="Q216" i="1"/>
  <c r="Q215" i="1"/>
  <c r="Q214" i="1"/>
  <c r="Q213" i="1"/>
  <c r="Q211" i="1"/>
  <c r="Q210" i="1"/>
  <c r="Q209" i="1"/>
  <c r="Q208" i="1"/>
  <c r="Q207" i="1"/>
  <c r="Q206" i="1"/>
  <c r="Q205" i="1"/>
  <c r="Q203" i="1"/>
  <c r="Q202" i="1"/>
  <c r="Q201" i="1"/>
  <c r="Q200" i="1"/>
  <c r="Q199" i="1"/>
  <c r="Q198" i="1"/>
  <c r="Q197" i="1"/>
  <c r="Q195" i="1"/>
  <c r="Q194" i="1"/>
  <c r="Q193" i="1"/>
  <c r="Q192" i="1"/>
  <c r="Q191" i="1"/>
  <c r="Q190" i="1"/>
  <c r="Q189" i="1"/>
  <c r="Q187" i="1"/>
  <c r="Q186" i="1"/>
  <c r="Q184" i="1"/>
  <c r="Q183" i="1"/>
  <c r="Q182" i="1"/>
  <c r="Q181" i="1"/>
  <c r="Q179" i="1"/>
  <c r="Q178" i="1"/>
  <c r="Q177" i="1"/>
  <c r="Q176" i="1"/>
  <c r="Q175" i="1"/>
  <c r="Q174" i="1"/>
  <c r="Q173" i="1"/>
  <c r="Q171" i="1"/>
  <c r="Q170" i="1"/>
  <c r="Q169" i="1"/>
  <c r="Q168" i="1"/>
  <c r="Q167" i="1"/>
  <c r="Q166" i="1"/>
  <c r="Q165" i="1"/>
  <c r="Q163" i="1"/>
  <c r="Q162" i="1"/>
  <c r="Q161" i="1"/>
  <c r="Q160" i="1"/>
  <c r="Q159" i="1"/>
  <c r="Q158" i="1"/>
  <c r="Q157" i="1"/>
  <c r="Q155" i="1"/>
  <c r="Q154" i="1"/>
  <c r="Q153" i="1"/>
  <c r="Q152" i="1"/>
  <c r="Q151" i="1"/>
  <c r="Q150" i="1"/>
  <c r="Q149" i="1"/>
  <c r="Q147" i="1"/>
  <c r="Q146" i="1"/>
  <c r="Q145" i="1"/>
  <c r="Q144" i="1"/>
  <c r="Q143" i="1"/>
  <c r="Q142" i="1"/>
  <c r="Q141" i="1"/>
  <c r="Q139" i="1"/>
  <c r="Q138" i="1"/>
  <c r="Q137" i="1"/>
  <c r="Q136" i="1"/>
  <c r="Q135" i="1"/>
  <c r="Q134" i="1"/>
  <c r="Q133" i="1"/>
  <c r="Q131" i="1"/>
  <c r="Q130" i="1"/>
  <c r="Q129" i="1"/>
  <c r="Q128" i="1"/>
  <c r="Q127" i="1"/>
  <c r="Q126" i="1"/>
  <c r="Q125" i="1"/>
  <c r="Q123" i="1"/>
  <c r="Q122" i="1"/>
  <c r="Q121" i="1"/>
  <c r="Q120" i="1"/>
  <c r="Q119" i="1"/>
  <c r="Q118" i="1"/>
  <c r="Q117" i="1"/>
  <c r="Q115" i="1"/>
  <c r="Q114" i="1"/>
  <c r="Q113" i="1"/>
  <c r="Q112" i="1"/>
  <c r="Q111" i="1"/>
  <c r="Q110" i="1"/>
  <c r="Q109" i="1"/>
  <c r="Q107" i="1"/>
  <c r="Q106" i="1"/>
  <c r="Q105" i="1"/>
  <c r="Q104" i="1"/>
  <c r="Q103" i="1"/>
  <c r="Q102" i="1"/>
  <c r="Q101" i="1"/>
  <c r="Q99" i="1"/>
  <c r="Q98" i="1"/>
  <c r="Q97" i="1"/>
  <c r="Q96" i="1"/>
  <c r="Q95" i="1"/>
  <c r="Q94" i="1"/>
  <c r="Q93" i="1"/>
  <c r="Q91" i="1"/>
  <c r="Q90" i="1"/>
  <c r="Q89" i="1"/>
  <c r="Q88" i="1"/>
  <c r="Q87" i="1"/>
  <c r="Q86" i="1"/>
  <c r="Q85" i="1"/>
  <c r="Q83" i="1"/>
  <c r="Q82" i="1"/>
  <c r="Q81" i="1"/>
  <c r="Q80" i="1"/>
  <c r="Q79" i="1"/>
  <c r="Q78" i="1"/>
  <c r="Q77" i="1"/>
  <c r="Q75" i="1"/>
  <c r="Q74" i="1"/>
  <c r="Q73" i="1"/>
  <c r="Q72" i="1"/>
  <c r="Q71" i="1"/>
  <c r="Q70" i="1"/>
  <c r="Q69" i="1"/>
  <c r="Q67" i="1"/>
  <c r="Q66" i="1"/>
  <c r="Q65" i="1"/>
  <c r="Q64" i="1"/>
  <c r="Q63" i="1"/>
  <c r="Q62" i="1"/>
  <c r="Q61" i="1"/>
  <c r="Q59" i="1"/>
  <c r="Q58" i="1"/>
  <c r="Q57" i="1"/>
  <c r="Q56" i="1"/>
  <c r="Q55" i="1"/>
  <c r="Q54" i="1"/>
  <c r="Q53" i="1"/>
  <c r="Q51" i="1"/>
  <c r="Q50" i="1"/>
  <c r="Q49" i="1"/>
  <c r="Q48" i="1"/>
  <c r="Q47" i="1"/>
  <c r="Q46" i="1"/>
  <c r="Q45" i="1"/>
  <c r="Q43" i="1"/>
  <c r="Q42" i="1"/>
  <c r="Q41" i="1"/>
  <c r="Q40" i="1"/>
  <c r="Q39" i="1"/>
  <c r="Q38" i="1"/>
  <c r="Q37" i="1"/>
  <c r="Q35" i="1"/>
  <c r="Q34" i="1"/>
  <c r="Q33" i="1"/>
  <c r="Q32" i="1"/>
  <c r="Q31" i="1"/>
  <c r="Q30" i="1"/>
  <c r="Q29" i="1"/>
  <c r="Q27" i="1"/>
  <c r="Q26" i="1"/>
  <c r="Q25" i="1"/>
  <c r="Q24" i="1"/>
  <c r="Q23" i="1"/>
  <c r="Q22" i="1"/>
  <c r="Q21" i="1"/>
  <c r="Q19" i="1"/>
  <c r="Q18" i="1"/>
  <c r="Q17" i="1"/>
  <c r="Q16" i="1"/>
  <c r="Q15" i="1"/>
  <c r="Q14" i="1"/>
  <c r="Q13" i="1"/>
  <c r="Q6" i="1"/>
  <c r="Q7" i="1"/>
  <c r="Q8" i="1"/>
  <c r="Q9" i="1"/>
  <c r="Q10" i="1"/>
  <c r="Q11" i="1"/>
  <c r="Q5" i="1"/>
  <c r="D23" i="4" l="1"/>
  <c r="H4" i="4"/>
  <c r="H5" i="4"/>
  <c r="J5" i="1"/>
  <c r="K5" i="1" s="1"/>
  <c r="L435" i="1"/>
  <c r="M435" i="1" s="1"/>
  <c r="J435" i="1"/>
  <c r="K435" i="1" s="1"/>
  <c r="L434" i="1"/>
  <c r="M434" i="1" s="1"/>
  <c r="J434" i="1"/>
  <c r="K434" i="1" s="1"/>
  <c r="L433" i="1"/>
  <c r="M433" i="1" s="1"/>
  <c r="J433" i="1"/>
  <c r="K433" i="1" s="1"/>
  <c r="L432" i="1"/>
  <c r="M432" i="1" s="1"/>
  <c r="J432" i="1"/>
  <c r="K432" i="1" s="1"/>
  <c r="L431" i="1"/>
  <c r="M431" i="1" s="1"/>
  <c r="J431" i="1"/>
  <c r="K431" i="1" s="1"/>
  <c r="L430" i="1"/>
  <c r="M430" i="1" s="1"/>
  <c r="J430" i="1"/>
  <c r="K430" i="1" s="1"/>
  <c r="L429" i="1"/>
  <c r="M429" i="1" s="1"/>
  <c r="J429" i="1"/>
  <c r="K429" i="1" s="1"/>
  <c r="L427" i="1"/>
  <c r="M427" i="1" s="1"/>
  <c r="J427" i="1"/>
  <c r="K427" i="1" s="1"/>
  <c r="L426" i="1"/>
  <c r="M426" i="1" s="1"/>
  <c r="J426" i="1"/>
  <c r="K426" i="1" s="1"/>
  <c r="L419" i="1"/>
  <c r="M419" i="1" s="1"/>
  <c r="J419" i="1"/>
  <c r="K419" i="1" s="1"/>
  <c r="L418" i="1"/>
  <c r="M418" i="1" s="1"/>
  <c r="J418" i="1"/>
  <c r="K418" i="1" s="1"/>
  <c r="L411" i="1"/>
  <c r="M411" i="1" s="1"/>
  <c r="J411" i="1"/>
  <c r="K411" i="1" s="1"/>
  <c r="L410" i="1"/>
  <c r="M410" i="1" s="1"/>
  <c r="J410" i="1"/>
  <c r="K410" i="1" s="1"/>
  <c r="L408" i="1"/>
  <c r="M408" i="1" s="1"/>
  <c r="J408" i="1"/>
  <c r="K408" i="1" s="1"/>
  <c r="L407" i="1"/>
  <c r="M407" i="1" s="1"/>
  <c r="J407" i="1"/>
  <c r="K407" i="1" s="1"/>
  <c r="L406" i="1"/>
  <c r="M406" i="1" s="1"/>
  <c r="J406" i="1"/>
  <c r="K406" i="1" s="1"/>
  <c r="L405" i="1"/>
  <c r="M405" i="1" s="1"/>
  <c r="J405" i="1"/>
  <c r="K405" i="1" s="1"/>
  <c r="L403" i="1"/>
  <c r="M403" i="1" s="1"/>
  <c r="J403" i="1"/>
  <c r="K403" i="1" s="1"/>
  <c r="L402" i="1"/>
  <c r="M402" i="1" s="1"/>
  <c r="J402" i="1"/>
  <c r="K402" i="1" s="1"/>
  <c r="L401" i="1"/>
  <c r="M401" i="1" s="1"/>
  <c r="J401" i="1"/>
  <c r="K401" i="1" s="1"/>
  <c r="L400" i="1"/>
  <c r="M400" i="1" s="1"/>
  <c r="J400" i="1"/>
  <c r="K400" i="1" s="1"/>
  <c r="L399" i="1"/>
  <c r="M399" i="1" s="1"/>
  <c r="J399" i="1"/>
  <c r="K399" i="1" s="1"/>
  <c r="L398" i="1"/>
  <c r="M398" i="1" s="1"/>
  <c r="J398" i="1"/>
  <c r="K398" i="1" s="1"/>
  <c r="L397" i="1"/>
  <c r="M397" i="1" s="1"/>
  <c r="J397" i="1"/>
  <c r="K397" i="1" s="1"/>
  <c r="L395" i="1"/>
  <c r="M395" i="1" s="1"/>
  <c r="J395" i="1"/>
  <c r="K395" i="1" s="1"/>
  <c r="L394" i="1"/>
  <c r="M394" i="1" s="1"/>
  <c r="J394" i="1"/>
  <c r="K394" i="1" s="1"/>
  <c r="L393" i="1"/>
  <c r="M393" i="1" s="1"/>
  <c r="J393" i="1"/>
  <c r="K393" i="1" s="1"/>
  <c r="L392" i="1"/>
  <c r="M392" i="1" s="1"/>
  <c r="J392" i="1"/>
  <c r="K392" i="1" s="1"/>
  <c r="L391" i="1"/>
  <c r="M391" i="1" s="1"/>
  <c r="J391" i="1"/>
  <c r="K391" i="1" s="1"/>
  <c r="L390" i="1"/>
  <c r="M390" i="1" s="1"/>
  <c r="J390" i="1"/>
  <c r="K390" i="1" s="1"/>
  <c r="L389" i="1"/>
  <c r="M389" i="1" s="1"/>
  <c r="J389" i="1"/>
  <c r="K389" i="1" s="1"/>
  <c r="L387" i="1"/>
  <c r="M387" i="1" s="1"/>
  <c r="J387" i="1"/>
  <c r="K387" i="1" s="1"/>
  <c r="L386" i="1"/>
  <c r="M386" i="1" s="1"/>
  <c r="J386" i="1"/>
  <c r="K386" i="1" s="1"/>
  <c r="L385" i="1"/>
  <c r="M385" i="1" s="1"/>
  <c r="J385" i="1"/>
  <c r="K385" i="1" s="1"/>
  <c r="L384" i="1"/>
  <c r="M384" i="1" s="1"/>
  <c r="J384" i="1"/>
  <c r="K384" i="1" s="1"/>
  <c r="L383" i="1"/>
  <c r="M383" i="1" s="1"/>
  <c r="J383" i="1"/>
  <c r="K383" i="1" s="1"/>
  <c r="L382" i="1"/>
  <c r="M382" i="1" s="1"/>
  <c r="J382" i="1"/>
  <c r="K382" i="1" s="1"/>
  <c r="L381" i="1"/>
  <c r="M381" i="1" s="1"/>
  <c r="J381" i="1"/>
  <c r="K381" i="1" s="1"/>
  <c r="L379" i="1"/>
  <c r="M379" i="1" s="1"/>
  <c r="J379" i="1"/>
  <c r="K379" i="1" s="1"/>
  <c r="L378" i="1"/>
  <c r="M378" i="1" s="1"/>
  <c r="J378" i="1"/>
  <c r="K378" i="1" s="1"/>
  <c r="L377" i="1"/>
  <c r="M377" i="1" s="1"/>
  <c r="J377" i="1"/>
  <c r="K377" i="1" s="1"/>
  <c r="L376" i="1"/>
  <c r="M376" i="1" s="1"/>
  <c r="J376" i="1"/>
  <c r="K376" i="1" s="1"/>
  <c r="L375" i="1"/>
  <c r="M375" i="1" s="1"/>
  <c r="J375" i="1"/>
  <c r="K375" i="1" s="1"/>
  <c r="L374" i="1"/>
  <c r="M374" i="1" s="1"/>
  <c r="J374" i="1"/>
  <c r="K374" i="1" s="1"/>
  <c r="L373" i="1"/>
  <c r="M373" i="1" s="1"/>
  <c r="J373" i="1"/>
  <c r="K373" i="1" s="1"/>
  <c r="L371" i="1"/>
  <c r="M371" i="1" s="1"/>
  <c r="J371" i="1"/>
  <c r="K371" i="1" s="1"/>
  <c r="L370" i="1"/>
  <c r="M370" i="1" s="1"/>
  <c r="J370" i="1"/>
  <c r="K370" i="1" s="1"/>
  <c r="L368" i="1"/>
  <c r="M368" i="1" s="1"/>
  <c r="J368" i="1"/>
  <c r="K368" i="1" s="1"/>
  <c r="L367" i="1"/>
  <c r="M367" i="1" s="1"/>
  <c r="J367" i="1"/>
  <c r="K367" i="1" s="1"/>
  <c r="L366" i="1"/>
  <c r="M366" i="1" s="1"/>
  <c r="J366" i="1"/>
  <c r="K366" i="1" s="1"/>
  <c r="L363" i="1"/>
  <c r="M363" i="1" s="1"/>
  <c r="J363" i="1"/>
  <c r="K363" i="1" s="1"/>
  <c r="L362" i="1"/>
  <c r="M362" i="1" s="1"/>
  <c r="J362" i="1"/>
  <c r="K362" i="1" s="1"/>
  <c r="L360" i="1"/>
  <c r="M360" i="1" s="1"/>
  <c r="J360" i="1"/>
  <c r="K360" i="1" s="1"/>
  <c r="L359" i="1"/>
  <c r="M359" i="1" s="1"/>
  <c r="J359" i="1"/>
  <c r="K359" i="1" s="1"/>
  <c r="L357" i="1"/>
  <c r="M357" i="1" s="1"/>
  <c r="J357" i="1"/>
  <c r="K357" i="1" s="1"/>
  <c r="L355" i="1"/>
  <c r="M355" i="1" s="1"/>
  <c r="J355" i="1"/>
  <c r="K355" i="1" s="1"/>
  <c r="L354" i="1"/>
  <c r="M354" i="1" s="1"/>
  <c r="J354" i="1"/>
  <c r="K354" i="1" s="1"/>
  <c r="L352" i="1"/>
  <c r="M352" i="1" s="1"/>
  <c r="J352" i="1"/>
  <c r="K352" i="1" s="1"/>
  <c r="L351" i="1"/>
  <c r="M351" i="1" s="1"/>
  <c r="J351" i="1"/>
  <c r="K351" i="1" s="1"/>
  <c r="L350" i="1"/>
  <c r="M350" i="1" s="1"/>
  <c r="J350" i="1"/>
  <c r="K350" i="1" s="1"/>
  <c r="L349" i="1"/>
  <c r="M349" i="1" s="1"/>
  <c r="J349" i="1"/>
  <c r="K349" i="1" s="1"/>
  <c r="L347" i="1"/>
  <c r="M347" i="1" s="1"/>
  <c r="J347" i="1"/>
  <c r="K347" i="1" s="1"/>
  <c r="L346" i="1"/>
  <c r="M346" i="1" s="1"/>
  <c r="J346" i="1"/>
  <c r="K346" i="1" s="1"/>
  <c r="L345" i="1"/>
  <c r="M345" i="1" s="1"/>
  <c r="J345" i="1"/>
  <c r="K345" i="1" s="1"/>
  <c r="L344" i="1"/>
  <c r="M344" i="1" s="1"/>
  <c r="J344" i="1"/>
  <c r="K344" i="1" s="1"/>
  <c r="L343" i="1"/>
  <c r="M343" i="1" s="1"/>
  <c r="J343" i="1"/>
  <c r="K343" i="1" s="1"/>
  <c r="L342" i="1"/>
  <c r="M342" i="1" s="1"/>
  <c r="J342" i="1"/>
  <c r="K342" i="1" s="1"/>
  <c r="L341" i="1"/>
  <c r="M341" i="1" s="1"/>
  <c r="J341" i="1"/>
  <c r="K341" i="1" s="1"/>
  <c r="L339" i="1"/>
  <c r="M339" i="1" s="1"/>
  <c r="J339" i="1"/>
  <c r="K339" i="1" s="1"/>
  <c r="L338" i="1"/>
  <c r="M338" i="1" s="1"/>
  <c r="J338" i="1"/>
  <c r="K338" i="1" s="1"/>
  <c r="L337" i="1"/>
  <c r="M337" i="1" s="1"/>
  <c r="J337" i="1"/>
  <c r="K337" i="1" s="1"/>
  <c r="L336" i="1"/>
  <c r="M336" i="1" s="1"/>
  <c r="J336" i="1"/>
  <c r="K336" i="1" s="1"/>
  <c r="L335" i="1"/>
  <c r="M335" i="1" s="1"/>
  <c r="J335" i="1"/>
  <c r="K335" i="1" s="1"/>
  <c r="L334" i="1"/>
  <c r="M334" i="1" s="1"/>
  <c r="J334" i="1"/>
  <c r="K334" i="1" s="1"/>
  <c r="L333" i="1"/>
  <c r="M333" i="1" s="1"/>
  <c r="J333" i="1"/>
  <c r="K333" i="1" s="1"/>
  <c r="L331" i="1"/>
  <c r="M331" i="1" s="1"/>
  <c r="J331" i="1"/>
  <c r="K331" i="1" s="1"/>
  <c r="L330" i="1"/>
  <c r="M330" i="1" s="1"/>
  <c r="J330" i="1"/>
  <c r="K330" i="1" s="1"/>
  <c r="L329" i="1"/>
  <c r="M329" i="1" s="1"/>
  <c r="J329" i="1"/>
  <c r="K329" i="1" s="1"/>
  <c r="L328" i="1"/>
  <c r="M328" i="1" s="1"/>
  <c r="J328" i="1"/>
  <c r="K328" i="1" s="1"/>
  <c r="L327" i="1"/>
  <c r="M327" i="1" s="1"/>
  <c r="J327" i="1"/>
  <c r="K327" i="1" s="1"/>
  <c r="L326" i="1"/>
  <c r="M326" i="1" s="1"/>
  <c r="J326" i="1"/>
  <c r="K326" i="1" s="1"/>
  <c r="L325" i="1"/>
  <c r="M325" i="1" s="1"/>
  <c r="J325" i="1"/>
  <c r="K325" i="1" s="1"/>
  <c r="L323" i="1"/>
  <c r="M323" i="1" s="1"/>
  <c r="J323" i="1"/>
  <c r="K323" i="1" s="1"/>
  <c r="L322" i="1"/>
  <c r="M322" i="1" s="1"/>
  <c r="J322" i="1"/>
  <c r="K322" i="1" s="1"/>
  <c r="L321" i="1"/>
  <c r="M321" i="1" s="1"/>
  <c r="J321" i="1"/>
  <c r="K321" i="1" s="1"/>
  <c r="L320" i="1"/>
  <c r="M320" i="1" s="1"/>
  <c r="J320" i="1"/>
  <c r="K320" i="1" s="1"/>
  <c r="L319" i="1"/>
  <c r="M319" i="1" s="1"/>
  <c r="J319" i="1"/>
  <c r="K319" i="1" s="1"/>
  <c r="L318" i="1"/>
  <c r="M318" i="1" s="1"/>
  <c r="J318" i="1"/>
  <c r="K318" i="1" s="1"/>
  <c r="L317" i="1"/>
  <c r="M317" i="1" s="1"/>
  <c r="J317" i="1"/>
  <c r="K317" i="1" s="1"/>
  <c r="L315" i="1"/>
  <c r="M315" i="1" s="1"/>
  <c r="J315" i="1"/>
  <c r="K315" i="1" s="1"/>
  <c r="L314" i="1"/>
  <c r="M314" i="1" s="1"/>
  <c r="J314" i="1"/>
  <c r="K314" i="1" s="1"/>
  <c r="L313" i="1"/>
  <c r="M313" i="1" s="1"/>
  <c r="J313" i="1"/>
  <c r="K313" i="1" s="1"/>
  <c r="L312" i="1"/>
  <c r="M312" i="1" s="1"/>
  <c r="J312" i="1"/>
  <c r="K312" i="1" s="1"/>
  <c r="L311" i="1"/>
  <c r="M311" i="1" s="1"/>
  <c r="J311" i="1"/>
  <c r="K311" i="1" s="1"/>
  <c r="L309" i="1"/>
  <c r="M309" i="1" s="1"/>
  <c r="J309" i="1"/>
  <c r="K309" i="1" s="1"/>
  <c r="L307" i="1"/>
  <c r="M307" i="1" s="1"/>
  <c r="J307" i="1"/>
  <c r="K307" i="1" s="1"/>
  <c r="L306" i="1"/>
  <c r="M306" i="1" s="1"/>
  <c r="J306" i="1"/>
  <c r="K306" i="1" s="1"/>
  <c r="L305" i="1"/>
  <c r="M305" i="1" s="1"/>
  <c r="J305" i="1"/>
  <c r="K305" i="1" s="1"/>
  <c r="L304" i="1"/>
  <c r="M304" i="1" s="1"/>
  <c r="J304" i="1"/>
  <c r="K304" i="1" s="1"/>
  <c r="L303" i="1"/>
  <c r="M303" i="1" s="1"/>
  <c r="J303" i="1"/>
  <c r="K303" i="1" s="1"/>
  <c r="L302" i="1"/>
  <c r="M302" i="1" s="1"/>
  <c r="J302" i="1"/>
  <c r="K302" i="1" s="1"/>
  <c r="L301" i="1"/>
  <c r="M301" i="1" s="1"/>
  <c r="J301" i="1"/>
  <c r="K301" i="1" s="1"/>
  <c r="L299" i="1"/>
  <c r="M299" i="1" s="1"/>
  <c r="J299" i="1"/>
  <c r="K299" i="1" s="1"/>
  <c r="L298" i="1"/>
  <c r="M298" i="1" s="1"/>
  <c r="J298" i="1"/>
  <c r="K298" i="1" s="1"/>
  <c r="L297" i="1"/>
  <c r="M297" i="1" s="1"/>
  <c r="J297" i="1"/>
  <c r="K297" i="1" s="1"/>
  <c r="L296" i="1"/>
  <c r="M296" i="1" s="1"/>
  <c r="J296" i="1"/>
  <c r="K296" i="1" s="1"/>
  <c r="L295" i="1"/>
  <c r="M295" i="1" s="1"/>
  <c r="J295" i="1"/>
  <c r="K295" i="1" s="1"/>
  <c r="L291" i="1"/>
  <c r="M291" i="1" s="1"/>
  <c r="J291" i="1"/>
  <c r="K291" i="1" s="1"/>
  <c r="L290" i="1"/>
  <c r="M290" i="1" s="1"/>
  <c r="J290" i="1"/>
  <c r="K290" i="1" s="1"/>
  <c r="L283" i="1"/>
  <c r="M283" i="1" s="1"/>
  <c r="J283" i="1"/>
  <c r="K283" i="1" s="1"/>
  <c r="L282" i="1"/>
  <c r="M282" i="1" s="1"/>
  <c r="J282" i="1"/>
  <c r="K282" i="1" s="1"/>
  <c r="L275" i="1"/>
  <c r="M275" i="1" s="1"/>
  <c r="J275" i="1"/>
  <c r="K275" i="1" s="1"/>
  <c r="L274" i="1"/>
  <c r="M274" i="1" s="1"/>
  <c r="J274" i="1"/>
  <c r="K274" i="1" s="1"/>
  <c r="L267" i="1"/>
  <c r="M267" i="1" s="1"/>
  <c r="J267" i="1"/>
  <c r="K267" i="1" s="1"/>
  <c r="L266" i="1"/>
  <c r="M266" i="1" s="1"/>
  <c r="J266" i="1"/>
  <c r="K266" i="1" s="1"/>
  <c r="L259" i="1"/>
  <c r="M259" i="1" s="1"/>
  <c r="J259" i="1"/>
  <c r="K259" i="1" s="1"/>
  <c r="L258" i="1"/>
  <c r="M258" i="1" s="1"/>
  <c r="J258" i="1"/>
  <c r="K258" i="1" s="1"/>
  <c r="L251" i="1"/>
  <c r="M251" i="1" s="1"/>
  <c r="J251" i="1"/>
  <c r="K251" i="1" s="1"/>
  <c r="L250" i="1"/>
  <c r="M250" i="1" s="1"/>
  <c r="J250" i="1"/>
  <c r="K250" i="1" s="1"/>
  <c r="L243" i="1"/>
  <c r="M243" i="1" s="1"/>
  <c r="J243" i="1"/>
  <c r="K243" i="1" s="1"/>
  <c r="L242" i="1"/>
  <c r="M242" i="1" s="1"/>
  <c r="J242" i="1"/>
  <c r="K242" i="1" s="1"/>
  <c r="L235" i="1"/>
  <c r="M235" i="1" s="1"/>
  <c r="J235" i="1"/>
  <c r="K235" i="1" s="1"/>
  <c r="L234" i="1"/>
  <c r="M234" i="1" s="1"/>
  <c r="J234" i="1"/>
  <c r="K234" i="1" s="1"/>
  <c r="L227" i="1"/>
  <c r="M227" i="1" s="1"/>
  <c r="J227" i="1"/>
  <c r="K227" i="1" s="1"/>
  <c r="L226" i="1"/>
  <c r="M226" i="1" s="1"/>
  <c r="J226" i="1"/>
  <c r="K226" i="1" s="1"/>
  <c r="L223" i="1"/>
  <c r="M223" i="1" s="1"/>
  <c r="J223" i="1"/>
  <c r="K223" i="1" s="1"/>
  <c r="L219" i="1"/>
  <c r="M219" i="1" s="1"/>
  <c r="J219" i="1"/>
  <c r="K219" i="1" s="1"/>
  <c r="L218" i="1"/>
  <c r="M218" i="1" s="1"/>
  <c r="J218" i="1"/>
  <c r="K218" i="1" s="1"/>
  <c r="L217" i="1"/>
  <c r="M217" i="1" s="1"/>
  <c r="J217" i="1"/>
  <c r="K217" i="1" s="1"/>
  <c r="L216" i="1"/>
  <c r="M216" i="1" s="1"/>
  <c r="J216" i="1"/>
  <c r="K216" i="1" s="1"/>
  <c r="L215" i="1"/>
  <c r="M215" i="1" s="1"/>
  <c r="J215" i="1"/>
  <c r="K215" i="1" s="1"/>
  <c r="L214" i="1"/>
  <c r="M214" i="1" s="1"/>
  <c r="J214" i="1"/>
  <c r="K214" i="1" s="1"/>
  <c r="L213" i="1"/>
  <c r="M213" i="1" s="1"/>
  <c r="J213" i="1"/>
  <c r="K213" i="1" s="1"/>
  <c r="L211" i="1"/>
  <c r="M211" i="1" s="1"/>
  <c r="J211" i="1"/>
  <c r="K211" i="1" s="1"/>
  <c r="L210" i="1"/>
  <c r="M210" i="1" s="1"/>
  <c r="J210" i="1"/>
  <c r="K210" i="1" s="1"/>
  <c r="L209" i="1"/>
  <c r="M209" i="1" s="1"/>
  <c r="J209" i="1"/>
  <c r="K209" i="1" s="1"/>
  <c r="L208" i="1"/>
  <c r="M208" i="1" s="1"/>
  <c r="J208" i="1"/>
  <c r="K208" i="1" s="1"/>
  <c r="L207" i="1"/>
  <c r="M207" i="1" s="1"/>
  <c r="J207" i="1"/>
  <c r="K207" i="1" s="1"/>
  <c r="L206" i="1"/>
  <c r="M206" i="1" s="1"/>
  <c r="J206" i="1"/>
  <c r="K206" i="1" s="1"/>
  <c r="L205" i="1"/>
  <c r="M205" i="1" s="1"/>
  <c r="J205" i="1"/>
  <c r="K205" i="1" s="1"/>
  <c r="L203" i="1"/>
  <c r="M203" i="1" s="1"/>
  <c r="J203" i="1"/>
  <c r="K203" i="1" s="1"/>
  <c r="L202" i="1"/>
  <c r="M202" i="1" s="1"/>
  <c r="J202" i="1"/>
  <c r="K202" i="1" s="1"/>
  <c r="L201" i="1"/>
  <c r="M201" i="1" s="1"/>
  <c r="J201" i="1"/>
  <c r="K201" i="1" s="1"/>
  <c r="L200" i="1"/>
  <c r="M200" i="1" s="1"/>
  <c r="J200" i="1"/>
  <c r="K200" i="1" s="1"/>
  <c r="L199" i="1"/>
  <c r="M199" i="1" s="1"/>
  <c r="J199" i="1"/>
  <c r="K199" i="1" s="1"/>
  <c r="L198" i="1"/>
  <c r="M198" i="1" s="1"/>
  <c r="J198" i="1"/>
  <c r="K198" i="1" s="1"/>
  <c r="L197" i="1"/>
  <c r="M197" i="1" s="1"/>
  <c r="J197" i="1"/>
  <c r="K197" i="1" s="1"/>
  <c r="L195" i="1"/>
  <c r="M195" i="1" s="1"/>
  <c r="J195" i="1"/>
  <c r="K195" i="1" s="1"/>
  <c r="L194" i="1"/>
  <c r="M194" i="1" s="1"/>
  <c r="J194" i="1"/>
  <c r="K194" i="1" s="1"/>
  <c r="L193" i="1"/>
  <c r="M193" i="1" s="1"/>
  <c r="J193" i="1"/>
  <c r="K193" i="1" s="1"/>
  <c r="L192" i="1"/>
  <c r="M192" i="1" s="1"/>
  <c r="J192" i="1"/>
  <c r="K192" i="1" s="1"/>
  <c r="L191" i="1"/>
  <c r="M191" i="1" s="1"/>
  <c r="J191" i="1"/>
  <c r="K191" i="1" s="1"/>
  <c r="L190" i="1"/>
  <c r="M190" i="1" s="1"/>
  <c r="J190" i="1"/>
  <c r="K190" i="1" s="1"/>
  <c r="L187" i="1"/>
  <c r="M187" i="1" s="1"/>
  <c r="J187" i="1"/>
  <c r="K187" i="1" s="1"/>
  <c r="L186" i="1"/>
  <c r="M186" i="1" s="1"/>
  <c r="J186" i="1"/>
  <c r="K186" i="1" s="1"/>
  <c r="L185" i="1"/>
  <c r="M185" i="1" s="1"/>
  <c r="J185" i="1"/>
  <c r="K185" i="1" s="1"/>
  <c r="L184" i="1"/>
  <c r="M184" i="1" s="1"/>
  <c r="J184" i="1"/>
  <c r="K184" i="1" s="1"/>
  <c r="L183" i="1"/>
  <c r="M183" i="1" s="1"/>
  <c r="J183" i="1"/>
  <c r="K183" i="1" s="1"/>
  <c r="L182" i="1"/>
  <c r="M182" i="1" s="1"/>
  <c r="J182" i="1"/>
  <c r="K182" i="1" s="1"/>
  <c r="L181" i="1"/>
  <c r="M181" i="1" s="1"/>
  <c r="J181" i="1"/>
  <c r="K181" i="1" s="1"/>
  <c r="L179" i="1"/>
  <c r="M179" i="1" s="1"/>
  <c r="J179" i="1"/>
  <c r="K179" i="1" s="1"/>
  <c r="L178" i="1"/>
  <c r="M178" i="1" s="1"/>
  <c r="J178" i="1"/>
  <c r="K178" i="1" s="1"/>
  <c r="L175" i="1"/>
  <c r="M175" i="1" s="1"/>
  <c r="J175" i="1"/>
  <c r="K175" i="1" s="1"/>
  <c r="L173" i="1"/>
  <c r="M173" i="1" s="1"/>
  <c r="J173" i="1"/>
  <c r="K173" i="1" s="1"/>
  <c r="L171" i="1"/>
  <c r="M171" i="1" s="1"/>
  <c r="J171" i="1"/>
  <c r="K171" i="1" s="1"/>
  <c r="L170" i="1"/>
  <c r="M170" i="1" s="1"/>
  <c r="J170" i="1"/>
  <c r="K170" i="1" s="1"/>
  <c r="L169" i="1"/>
  <c r="M169" i="1" s="1"/>
  <c r="J169" i="1"/>
  <c r="K169" i="1" s="1"/>
  <c r="L168" i="1"/>
  <c r="M168" i="1" s="1"/>
  <c r="J168" i="1"/>
  <c r="K168" i="1" s="1"/>
  <c r="L167" i="1"/>
  <c r="M167" i="1" s="1"/>
  <c r="J167" i="1"/>
  <c r="K167" i="1" s="1"/>
  <c r="L166" i="1"/>
  <c r="M166" i="1" s="1"/>
  <c r="J166" i="1"/>
  <c r="K166" i="1" s="1"/>
  <c r="L163" i="1"/>
  <c r="M163" i="1" s="1"/>
  <c r="J163" i="1"/>
  <c r="K163" i="1" s="1"/>
  <c r="L162" i="1"/>
  <c r="M162" i="1" s="1"/>
  <c r="J162" i="1"/>
  <c r="K162" i="1" s="1"/>
  <c r="L157" i="1"/>
  <c r="M157" i="1" s="1"/>
  <c r="J157" i="1"/>
  <c r="K157" i="1" s="1"/>
  <c r="L155" i="1"/>
  <c r="M155" i="1" s="1"/>
  <c r="J155" i="1"/>
  <c r="K155" i="1" s="1"/>
  <c r="L154" i="1"/>
  <c r="M154" i="1" s="1"/>
  <c r="J154" i="1"/>
  <c r="K154" i="1" s="1"/>
  <c r="L153" i="1"/>
  <c r="M153" i="1" s="1"/>
  <c r="J153" i="1"/>
  <c r="K153" i="1" s="1"/>
  <c r="L150" i="1"/>
  <c r="M150" i="1" s="1"/>
  <c r="J150" i="1"/>
  <c r="K150" i="1" s="1"/>
  <c r="L149" i="1"/>
  <c r="M149" i="1" s="1"/>
  <c r="J149" i="1"/>
  <c r="K149" i="1" s="1"/>
  <c r="L147" i="1"/>
  <c r="M147" i="1" s="1"/>
  <c r="J147" i="1"/>
  <c r="K147" i="1" s="1"/>
  <c r="L146" i="1"/>
  <c r="M146" i="1" s="1"/>
  <c r="J146" i="1"/>
  <c r="K146" i="1" s="1"/>
  <c r="L145" i="1"/>
  <c r="M145" i="1" s="1"/>
  <c r="J145" i="1"/>
  <c r="K145" i="1" s="1"/>
  <c r="L144" i="1"/>
  <c r="M144" i="1" s="1"/>
  <c r="J144" i="1"/>
  <c r="K144" i="1" s="1"/>
  <c r="L142" i="1"/>
  <c r="M142" i="1" s="1"/>
  <c r="J142" i="1"/>
  <c r="K142" i="1" s="1"/>
  <c r="L141" i="1"/>
  <c r="M141" i="1" s="1"/>
  <c r="J141" i="1"/>
  <c r="K141" i="1" s="1"/>
  <c r="L139" i="1"/>
  <c r="M139" i="1" s="1"/>
  <c r="J139" i="1"/>
  <c r="K139" i="1" s="1"/>
  <c r="L138" i="1"/>
  <c r="M138" i="1" s="1"/>
  <c r="J138" i="1"/>
  <c r="K138" i="1" s="1"/>
  <c r="L137" i="1"/>
  <c r="M137" i="1" s="1"/>
  <c r="J137" i="1"/>
  <c r="K137" i="1" s="1"/>
  <c r="L136" i="1"/>
  <c r="M136" i="1" s="1"/>
  <c r="J136" i="1"/>
  <c r="K136" i="1" s="1"/>
  <c r="L135" i="1"/>
  <c r="M135" i="1" s="1"/>
  <c r="J135" i="1"/>
  <c r="K135" i="1" s="1"/>
  <c r="L134" i="1"/>
  <c r="M134" i="1" s="1"/>
  <c r="J134" i="1"/>
  <c r="K134" i="1" s="1"/>
  <c r="L131" i="1"/>
  <c r="M131" i="1" s="1"/>
  <c r="J131" i="1"/>
  <c r="K131" i="1" s="1"/>
  <c r="L130" i="1"/>
  <c r="M130" i="1" s="1"/>
  <c r="J130" i="1"/>
  <c r="K130" i="1" s="1"/>
  <c r="L129" i="1"/>
  <c r="M129" i="1" s="1"/>
  <c r="J129" i="1"/>
  <c r="K129" i="1" s="1"/>
  <c r="L128" i="1"/>
  <c r="M128" i="1" s="1"/>
  <c r="J128" i="1"/>
  <c r="K128" i="1" s="1"/>
  <c r="L125" i="1"/>
  <c r="M125" i="1" s="1"/>
  <c r="J125" i="1"/>
  <c r="K125" i="1" s="1"/>
  <c r="L123" i="1"/>
  <c r="M123" i="1" s="1"/>
  <c r="J123" i="1"/>
  <c r="K123" i="1" s="1"/>
  <c r="L122" i="1"/>
  <c r="M122" i="1" s="1"/>
  <c r="J122" i="1"/>
  <c r="K122" i="1" s="1"/>
  <c r="L121" i="1"/>
  <c r="M121" i="1" s="1"/>
  <c r="J121" i="1"/>
  <c r="K121" i="1" s="1"/>
  <c r="L120" i="1"/>
  <c r="M120" i="1" s="1"/>
  <c r="J120" i="1"/>
  <c r="K120" i="1" s="1"/>
  <c r="L119" i="1"/>
  <c r="M119" i="1" s="1"/>
  <c r="J119" i="1"/>
  <c r="K119" i="1" s="1"/>
  <c r="L118" i="1"/>
  <c r="M118" i="1" s="1"/>
  <c r="J118" i="1"/>
  <c r="K118" i="1" s="1"/>
  <c r="L117" i="1"/>
  <c r="M117" i="1" s="1"/>
  <c r="J117" i="1"/>
  <c r="K117" i="1" s="1"/>
  <c r="L115" i="1"/>
  <c r="M115" i="1" s="1"/>
  <c r="J115" i="1"/>
  <c r="K115" i="1" s="1"/>
  <c r="L114" i="1"/>
  <c r="M114" i="1" s="1"/>
  <c r="J114" i="1"/>
  <c r="K114" i="1" s="1"/>
  <c r="L113" i="1"/>
  <c r="M113" i="1" s="1"/>
  <c r="J113" i="1"/>
  <c r="K113" i="1" s="1"/>
  <c r="L112" i="1"/>
  <c r="M112" i="1" s="1"/>
  <c r="J112" i="1"/>
  <c r="K112" i="1" s="1"/>
  <c r="L111" i="1"/>
  <c r="M111" i="1" s="1"/>
  <c r="J111" i="1"/>
  <c r="K111" i="1" s="1"/>
  <c r="L107" i="1"/>
  <c r="M107" i="1" s="1"/>
  <c r="J107" i="1"/>
  <c r="K107" i="1" s="1"/>
  <c r="L106" i="1"/>
  <c r="M106" i="1" s="1"/>
  <c r="J106" i="1"/>
  <c r="K106" i="1" s="1"/>
  <c r="L105" i="1"/>
  <c r="M105" i="1" s="1"/>
  <c r="J105" i="1"/>
  <c r="K105" i="1" s="1"/>
  <c r="L104" i="1"/>
  <c r="M104" i="1" s="1"/>
  <c r="J104" i="1"/>
  <c r="K104" i="1" s="1"/>
  <c r="L103" i="1"/>
  <c r="M103" i="1" s="1"/>
  <c r="J103" i="1"/>
  <c r="K103" i="1" s="1"/>
  <c r="L102" i="1"/>
  <c r="M102" i="1" s="1"/>
  <c r="J102" i="1"/>
  <c r="K102" i="1" s="1"/>
  <c r="L101" i="1"/>
  <c r="M101" i="1" s="1"/>
  <c r="J101" i="1"/>
  <c r="K101" i="1" s="1"/>
  <c r="L99" i="1"/>
  <c r="M99" i="1" s="1"/>
  <c r="J99" i="1"/>
  <c r="K99" i="1" s="1"/>
  <c r="L98" i="1"/>
  <c r="M98" i="1" s="1"/>
  <c r="J98" i="1"/>
  <c r="K98" i="1" s="1"/>
  <c r="L97" i="1"/>
  <c r="M97" i="1" s="1"/>
  <c r="J97" i="1"/>
  <c r="K97" i="1" s="1"/>
  <c r="L96" i="1"/>
  <c r="M96" i="1" s="1"/>
  <c r="J96" i="1"/>
  <c r="K96" i="1" s="1"/>
  <c r="L95" i="1"/>
  <c r="M95" i="1" s="1"/>
  <c r="J95" i="1"/>
  <c r="K95" i="1" s="1"/>
  <c r="L94" i="1"/>
  <c r="M94" i="1" s="1"/>
  <c r="J94" i="1"/>
  <c r="K94" i="1" s="1"/>
  <c r="L93" i="1"/>
  <c r="M93" i="1" s="1"/>
  <c r="J93" i="1"/>
  <c r="K93" i="1" s="1"/>
  <c r="L91" i="1"/>
  <c r="M91" i="1" s="1"/>
  <c r="J91" i="1"/>
  <c r="K91" i="1" s="1"/>
  <c r="L90" i="1"/>
  <c r="M90" i="1" s="1"/>
  <c r="J90" i="1"/>
  <c r="K90" i="1" s="1"/>
  <c r="L89" i="1"/>
  <c r="M89" i="1" s="1"/>
  <c r="J89" i="1"/>
  <c r="K89" i="1" s="1"/>
  <c r="L88" i="1"/>
  <c r="M88" i="1" s="1"/>
  <c r="J88" i="1"/>
  <c r="K88" i="1" s="1"/>
  <c r="L87" i="1"/>
  <c r="M87" i="1" s="1"/>
  <c r="J87" i="1"/>
  <c r="K87" i="1" s="1"/>
  <c r="L86" i="1"/>
  <c r="M86" i="1" s="1"/>
  <c r="J86" i="1"/>
  <c r="K86" i="1" s="1"/>
  <c r="L85" i="1"/>
  <c r="M85" i="1" s="1"/>
  <c r="J85" i="1"/>
  <c r="K85" i="1" s="1"/>
  <c r="L83" i="1"/>
  <c r="M83" i="1" s="1"/>
  <c r="J83" i="1"/>
  <c r="K83" i="1" s="1"/>
  <c r="L82" i="1"/>
  <c r="M82" i="1" s="1"/>
  <c r="J82" i="1"/>
  <c r="K82" i="1" s="1"/>
  <c r="L81" i="1"/>
  <c r="M81" i="1" s="1"/>
  <c r="J81" i="1"/>
  <c r="K81" i="1" s="1"/>
  <c r="L80" i="1"/>
  <c r="M80" i="1" s="1"/>
  <c r="J80" i="1"/>
  <c r="K80" i="1" s="1"/>
  <c r="L79" i="1"/>
  <c r="M79" i="1" s="1"/>
  <c r="J79" i="1"/>
  <c r="K79" i="1" s="1"/>
  <c r="L78" i="1"/>
  <c r="M78" i="1" s="1"/>
  <c r="J78" i="1"/>
  <c r="K78" i="1" s="1"/>
  <c r="L77" i="1"/>
  <c r="M77" i="1" s="1"/>
  <c r="J77" i="1"/>
  <c r="K77" i="1" s="1"/>
  <c r="L75" i="1"/>
  <c r="M75" i="1" s="1"/>
  <c r="L74" i="1"/>
  <c r="M74" i="1" s="1"/>
  <c r="J74" i="1"/>
  <c r="K74" i="1" s="1"/>
  <c r="L73" i="1"/>
  <c r="M73" i="1" s="1"/>
  <c r="J73" i="1"/>
  <c r="K73" i="1" s="1"/>
  <c r="L72" i="1"/>
  <c r="M72" i="1" s="1"/>
  <c r="J72" i="1"/>
  <c r="K72" i="1" s="1"/>
  <c r="L71" i="1"/>
  <c r="M71" i="1" s="1"/>
  <c r="J71" i="1"/>
  <c r="K71" i="1" s="1"/>
  <c r="L67" i="1"/>
  <c r="M67" i="1" s="1"/>
  <c r="J67" i="1"/>
  <c r="K67" i="1" s="1"/>
  <c r="L66" i="1"/>
  <c r="M66" i="1" s="1"/>
  <c r="J66" i="1"/>
  <c r="K66" i="1" s="1"/>
  <c r="L65" i="1"/>
  <c r="M65" i="1" s="1"/>
  <c r="J65" i="1"/>
  <c r="K65" i="1" s="1"/>
  <c r="L64" i="1"/>
  <c r="M64" i="1" s="1"/>
  <c r="J64" i="1"/>
  <c r="K64" i="1" s="1"/>
  <c r="L63" i="1"/>
  <c r="M63" i="1" s="1"/>
  <c r="J63" i="1"/>
  <c r="K63" i="1" s="1"/>
  <c r="L62" i="1"/>
  <c r="M62" i="1" s="1"/>
  <c r="J62" i="1"/>
  <c r="K62" i="1" s="1"/>
  <c r="L61" i="1"/>
  <c r="M61" i="1" s="1"/>
  <c r="J61" i="1"/>
  <c r="K61" i="1" s="1"/>
  <c r="L59" i="1"/>
  <c r="M59" i="1" s="1"/>
  <c r="J59" i="1"/>
  <c r="K59" i="1" s="1"/>
  <c r="L58" i="1"/>
  <c r="M58" i="1" s="1"/>
  <c r="J58" i="1"/>
  <c r="K58" i="1" s="1"/>
  <c r="L57" i="1"/>
  <c r="M57" i="1" s="1"/>
  <c r="J57" i="1"/>
  <c r="K57" i="1" s="1"/>
  <c r="L56" i="1"/>
  <c r="M56" i="1" s="1"/>
  <c r="J56" i="1"/>
  <c r="K56" i="1" s="1"/>
  <c r="L55" i="1"/>
  <c r="M55" i="1" s="1"/>
  <c r="J55" i="1"/>
  <c r="K55" i="1" s="1"/>
  <c r="L54" i="1"/>
  <c r="M54" i="1" s="1"/>
  <c r="J54" i="1"/>
  <c r="K54" i="1" s="1"/>
  <c r="L53" i="1"/>
  <c r="M53" i="1" s="1"/>
  <c r="J53" i="1"/>
  <c r="K53" i="1" s="1"/>
  <c r="L51" i="1"/>
  <c r="M51" i="1" s="1"/>
  <c r="J51" i="1"/>
  <c r="K51" i="1" s="1"/>
  <c r="L50" i="1"/>
  <c r="M50" i="1" s="1"/>
  <c r="J50" i="1"/>
  <c r="K50" i="1" s="1"/>
  <c r="L49" i="1"/>
  <c r="M49" i="1" s="1"/>
  <c r="J49" i="1"/>
  <c r="K49" i="1" s="1"/>
  <c r="L48" i="1"/>
  <c r="M48" i="1" s="1"/>
  <c r="J48" i="1"/>
  <c r="K48" i="1" s="1"/>
  <c r="L47" i="1"/>
  <c r="M47" i="1" s="1"/>
  <c r="J47" i="1"/>
  <c r="K47" i="1" s="1"/>
  <c r="L46" i="1"/>
  <c r="M46" i="1" s="1"/>
  <c r="J46" i="1"/>
  <c r="K46" i="1" s="1"/>
  <c r="L45" i="1"/>
  <c r="M45" i="1" s="1"/>
  <c r="J45" i="1"/>
  <c r="K45" i="1" s="1"/>
  <c r="L43" i="1"/>
  <c r="M43" i="1" s="1"/>
  <c r="J43" i="1"/>
  <c r="K43" i="1" s="1"/>
  <c r="L42" i="1"/>
  <c r="M42" i="1" s="1"/>
  <c r="J42" i="1"/>
  <c r="K42" i="1" s="1"/>
  <c r="L41" i="1"/>
  <c r="M41" i="1" s="1"/>
  <c r="J41" i="1"/>
  <c r="K41" i="1" s="1"/>
  <c r="L40" i="1"/>
  <c r="M40" i="1" s="1"/>
  <c r="J40" i="1"/>
  <c r="K40" i="1" s="1"/>
  <c r="L39" i="1"/>
  <c r="M39" i="1" s="1"/>
  <c r="J39" i="1"/>
  <c r="K39" i="1" s="1"/>
  <c r="L38" i="1"/>
  <c r="M38" i="1" s="1"/>
  <c r="J38" i="1"/>
  <c r="K38" i="1" s="1"/>
  <c r="L37" i="1"/>
  <c r="M37" i="1" s="1"/>
  <c r="J37" i="1"/>
  <c r="K37" i="1" s="1"/>
  <c r="L35" i="1"/>
  <c r="M35" i="1" s="1"/>
  <c r="J35" i="1"/>
  <c r="K35" i="1" s="1"/>
  <c r="L34" i="1"/>
  <c r="M34" i="1" s="1"/>
  <c r="J34" i="1"/>
  <c r="K34" i="1" s="1"/>
  <c r="L33" i="1"/>
  <c r="M33" i="1" s="1"/>
  <c r="J33" i="1"/>
  <c r="K33" i="1" s="1"/>
  <c r="L32" i="1"/>
  <c r="M32" i="1" s="1"/>
  <c r="J32" i="1"/>
  <c r="K32" i="1" s="1"/>
  <c r="L31" i="1"/>
  <c r="M31" i="1" s="1"/>
  <c r="J31" i="1"/>
  <c r="K31" i="1" s="1"/>
  <c r="L30" i="1"/>
  <c r="M30" i="1" s="1"/>
  <c r="J30" i="1"/>
  <c r="K30" i="1" s="1"/>
  <c r="L29" i="1"/>
  <c r="M29" i="1" s="1"/>
  <c r="J29" i="1"/>
  <c r="K29" i="1" s="1"/>
  <c r="L27" i="1"/>
  <c r="M27" i="1" s="1"/>
  <c r="J27" i="1"/>
  <c r="K27" i="1" s="1"/>
  <c r="L26" i="1"/>
  <c r="M26" i="1" s="1"/>
  <c r="J26" i="1"/>
  <c r="K26" i="1" s="1"/>
  <c r="L25" i="1"/>
  <c r="M25" i="1" s="1"/>
  <c r="J25" i="1"/>
  <c r="K25" i="1" s="1"/>
  <c r="L24" i="1"/>
  <c r="M24" i="1" s="1"/>
  <c r="J24" i="1"/>
  <c r="K24" i="1" s="1"/>
  <c r="L23" i="1"/>
  <c r="M23" i="1" s="1"/>
  <c r="J23" i="1"/>
  <c r="K23" i="1" s="1"/>
  <c r="L22" i="1"/>
  <c r="M22" i="1" s="1"/>
  <c r="J22" i="1"/>
  <c r="K22" i="1" s="1"/>
  <c r="L21" i="1"/>
  <c r="M21" i="1" s="1"/>
  <c r="J21" i="1"/>
  <c r="K21" i="1" s="1"/>
  <c r="L19" i="1"/>
  <c r="M19" i="1" s="1"/>
  <c r="J19" i="1"/>
  <c r="K19" i="1" s="1"/>
  <c r="L18" i="1"/>
  <c r="M18" i="1" s="1"/>
  <c r="J18" i="1"/>
  <c r="K18" i="1" s="1"/>
  <c r="G6" i="4" l="1"/>
  <c r="G13" i="4"/>
  <c r="G12" i="4"/>
  <c r="L10" i="1"/>
  <c r="L11" i="1"/>
  <c r="L5" i="1"/>
  <c r="J10" i="1"/>
  <c r="J11" i="1"/>
  <c r="C12" i="4" l="1"/>
  <c r="E32" i="3"/>
  <c r="E30" i="3"/>
  <c r="J294" i="1" l="1"/>
  <c r="K294" i="1" s="1"/>
  <c r="J293" i="1"/>
  <c r="K293" i="1" s="1"/>
  <c r="J286" i="1"/>
  <c r="K286" i="1" s="1"/>
  <c r="J285" i="1"/>
  <c r="K285" i="1" s="1"/>
  <c r="L294" i="1"/>
  <c r="M294" i="1" s="1"/>
  <c r="L293" i="1"/>
  <c r="M293" i="1" s="1"/>
  <c r="L286" i="1"/>
  <c r="M286" i="1" s="1"/>
  <c r="L285" i="1"/>
  <c r="M285" i="1" s="1"/>
  <c r="H24" i="4"/>
  <c r="D6" i="1" l="1"/>
  <c r="D7" i="1" s="1"/>
  <c r="D8" i="1" s="1"/>
  <c r="D9" i="1" s="1"/>
  <c r="D10" i="1" s="1"/>
  <c r="D11" i="1" s="1"/>
  <c r="U435" i="1" l="1"/>
  <c r="S435" i="1"/>
  <c r="X435" i="1" s="1"/>
  <c r="U434" i="1"/>
  <c r="S434" i="1"/>
  <c r="X434" i="1" s="1"/>
  <c r="P434" i="1"/>
  <c r="U433" i="1"/>
  <c r="S433" i="1"/>
  <c r="X433" i="1" s="1"/>
  <c r="U432" i="1"/>
  <c r="S432" i="1"/>
  <c r="X432" i="1" s="1"/>
  <c r="U431" i="1"/>
  <c r="S431" i="1"/>
  <c r="X431" i="1" s="1"/>
  <c r="U430" i="1"/>
  <c r="S430" i="1"/>
  <c r="X430" i="1" s="1"/>
  <c r="U429" i="1"/>
  <c r="S429" i="1"/>
  <c r="X429" i="1" s="1"/>
  <c r="P429" i="1"/>
  <c r="P430" i="1" s="1"/>
  <c r="S421" i="1"/>
  <c r="X421" i="1" s="1"/>
  <c r="U421" i="1"/>
  <c r="P421" i="1"/>
  <c r="P422" i="1" s="1"/>
  <c r="S422" i="1"/>
  <c r="X422" i="1" s="1"/>
  <c r="U422" i="1"/>
  <c r="S423" i="1"/>
  <c r="U423" i="1"/>
  <c r="X423" i="1"/>
  <c r="S424" i="1"/>
  <c r="X424" i="1" s="1"/>
  <c r="U424" i="1"/>
  <c r="S425" i="1"/>
  <c r="X425" i="1" s="1"/>
  <c r="U425" i="1"/>
  <c r="P426" i="1"/>
  <c r="S426" i="1"/>
  <c r="X426" i="1" s="1"/>
  <c r="U426" i="1"/>
  <c r="S427" i="1"/>
  <c r="X427" i="1" s="1"/>
  <c r="T427" i="1"/>
  <c r="U427" i="1"/>
  <c r="Z421" i="1" l="1"/>
  <c r="AA421" i="1" s="1"/>
  <c r="AE421" i="1" s="1"/>
  <c r="Z426" i="1"/>
  <c r="AD426" i="1" s="1"/>
  <c r="Y427" i="1"/>
  <c r="Z432" i="1"/>
  <c r="AD432" i="1" s="1"/>
  <c r="Z431" i="1"/>
  <c r="AD431" i="1" s="1"/>
  <c r="Z425" i="1"/>
  <c r="AD425" i="1" s="1"/>
  <c r="Z424" i="1"/>
  <c r="AD424" i="1" s="1"/>
  <c r="Z423" i="1"/>
  <c r="AD423" i="1" s="1"/>
  <c r="Z422" i="1"/>
  <c r="AD422" i="1" s="1"/>
  <c r="Z427" i="1"/>
  <c r="AD427" i="1" s="1"/>
  <c r="AC427" i="1"/>
  <c r="O429" i="1"/>
  <c r="O430" i="1" s="1"/>
  <c r="Z429" i="1"/>
  <c r="AD429" i="1" s="1"/>
  <c r="T435" i="1"/>
  <c r="Z435" i="1" s="1"/>
  <c r="AD435" i="1" s="1"/>
  <c r="Z430" i="1"/>
  <c r="AD430" i="1" s="1"/>
  <c r="Z433" i="1"/>
  <c r="AD433" i="1" s="1"/>
  <c r="Z434" i="1"/>
  <c r="AD434" i="1" s="1"/>
  <c r="AD421" i="1" l="1"/>
  <c r="AA429" i="1"/>
  <c r="AE429" i="1" s="1"/>
  <c r="Y435" i="1"/>
  <c r="AC435" i="1" s="1"/>
  <c r="V430" i="1"/>
  <c r="O431" i="1"/>
  <c r="AA430" i="1" l="1"/>
  <c r="AE430" i="1" s="1"/>
  <c r="O432" i="1"/>
  <c r="V431" i="1"/>
  <c r="AA431" i="1" l="1"/>
  <c r="AE431" i="1" s="1"/>
  <c r="O433" i="1"/>
  <c r="V432" i="1"/>
  <c r="AA432" i="1" l="1"/>
  <c r="AE432" i="1" s="1"/>
  <c r="V433" i="1"/>
  <c r="O434" i="1"/>
  <c r="P413" i="1"/>
  <c r="P414" i="1" s="1"/>
  <c r="P405" i="1"/>
  <c r="P406" i="1" s="1"/>
  <c r="P397" i="1"/>
  <c r="P398" i="1" s="1"/>
  <c r="P389" i="1"/>
  <c r="P390" i="1" s="1"/>
  <c r="P373" i="1"/>
  <c r="P374" i="1" s="1"/>
  <c r="P365" i="1"/>
  <c r="P366" i="1" s="1"/>
  <c r="P357" i="1"/>
  <c r="P358" i="1" s="1"/>
  <c r="P349" i="1"/>
  <c r="P350" i="1" s="1"/>
  <c r="P341" i="1"/>
  <c r="P342" i="1" s="1"/>
  <c r="P333" i="1"/>
  <c r="P334" i="1" s="1"/>
  <c r="P325" i="1"/>
  <c r="P326" i="1" s="1"/>
  <c r="P317" i="1"/>
  <c r="P318" i="1" s="1"/>
  <c r="P309" i="1"/>
  <c r="P310" i="1" s="1"/>
  <c r="P301" i="1"/>
  <c r="P302" i="1" s="1"/>
  <c r="P293" i="1"/>
  <c r="P294" i="1" s="1"/>
  <c r="P285" i="1"/>
  <c r="P286" i="1" s="1"/>
  <c r="P277" i="1"/>
  <c r="P278" i="1" s="1"/>
  <c r="P269" i="1"/>
  <c r="P270" i="1" s="1"/>
  <c r="P261" i="1"/>
  <c r="P262" i="1" s="1"/>
  <c r="P253" i="1"/>
  <c r="P254" i="1" s="1"/>
  <c r="P245" i="1"/>
  <c r="P246" i="1" s="1"/>
  <c r="P237" i="1"/>
  <c r="P238" i="1" s="1"/>
  <c r="P229" i="1"/>
  <c r="P230" i="1" s="1"/>
  <c r="P221" i="1"/>
  <c r="P222" i="1" s="1"/>
  <c r="P213" i="1"/>
  <c r="P214" i="1" s="1"/>
  <c r="P205" i="1"/>
  <c r="P206" i="1" s="1"/>
  <c r="P197" i="1"/>
  <c r="P198" i="1" s="1"/>
  <c r="P189" i="1"/>
  <c r="P190" i="1" s="1"/>
  <c r="P181" i="1"/>
  <c r="P182" i="1" s="1"/>
  <c r="P173" i="1"/>
  <c r="P174" i="1" s="1"/>
  <c r="P165" i="1"/>
  <c r="P166" i="1" s="1"/>
  <c r="P157" i="1"/>
  <c r="P158" i="1" s="1"/>
  <c r="P149" i="1"/>
  <c r="P150" i="1" s="1"/>
  <c r="P141" i="1"/>
  <c r="P142" i="1" s="1"/>
  <c r="P133" i="1"/>
  <c r="P134" i="1" s="1"/>
  <c r="P125" i="1"/>
  <c r="P126" i="1" s="1"/>
  <c r="P117" i="1"/>
  <c r="P118" i="1" s="1"/>
  <c r="P109" i="1"/>
  <c r="P110" i="1" s="1"/>
  <c r="P101" i="1"/>
  <c r="P102" i="1" s="1"/>
  <c r="P93" i="1"/>
  <c r="P94" i="1" s="1"/>
  <c r="P85" i="1"/>
  <c r="P86" i="1" s="1"/>
  <c r="P77" i="1"/>
  <c r="P78" i="1" s="1"/>
  <c r="P69" i="1"/>
  <c r="P70" i="1" s="1"/>
  <c r="P61" i="1"/>
  <c r="P62" i="1" s="1"/>
  <c r="P53" i="1"/>
  <c r="P54" i="1" s="1"/>
  <c r="P45" i="1"/>
  <c r="P46" i="1" s="1"/>
  <c r="P37" i="1"/>
  <c r="P38" i="1" s="1"/>
  <c r="P29" i="1"/>
  <c r="P30" i="1" s="1"/>
  <c r="P21" i="1"/>
  <c r="P22" i="1" s="1"/>
  <c r="O5" i="3"/>
  <c r="V434" i="1" l="1"/>
  <c r="O435" i="1"/>
  <c r="AA433" i="1"/>
  <c r="AE433" i="1" s="1"/>
  <c r="P13" i="1"/>
  <c r="P14" i="1" s="1"/>
  <c r="P435" i="1" l="1"/>
  <c r="V435" i="1"/>
  <c r="P432" i="1"/>
  <c r="AA434" i="1"/>
  <c r="AE434" i="1" s="1"/>
  <c r="P5" i="1"/>
  <c r="P6" i="1" s="1"/>
  <c r="H21" i="4" s="1"/>
  <c r="O181" i="1"/>
  <c r="S181" i="1"/>
  <c r="X181" i="1" s="1"/>
  <c r="U181" i="1"/>
  <c r="D13" i="1"/>
  <c r="S13" i="1"/>
  <c r="X13" i="1" s="1"/>
  <c r="U13" i="1"/>
  <c r="AA435" i="1" l="1"/>
  <c r="AE435" i="1" s="1"/>
  <c r="Z181" i="1"/>
  <c r="AD181" i="1" s="1"/>
  <c r="Z13" i="1"/>
  <c r="AA13" i="1" s="1"/>
  <c r="AE13" i="1" s="1"/>
  <c r="H3" i="4"/>
  <c r="H6" i="4" s="1"/>
  <c r="H23" i="4" l="1"/>
  <c r="AA181" i="1"/>
  <c r="AE181" i="1" s="1"/>
  <c r="AD13" i="1"/>
  <c r="U419" i="1"/>
  <c r="S419" i="1"/>
  <c r="X419" i="1" s="1"/>
  <c r="T419" i="1"/>
  <c r="U418" i="1"/>
  <c r="S418" i="1"/>
  <c r="X418" i="1" s="1"/>
  <c r="P418" i="1"/>
  <c r="U417" i="1"/>
  <c r="S417" i="1"/>
  <c r="X417" i="1" s="1"/>
  <c r="U416" i="1"/>
  <c r="S416" i="1"/>
  <c r="X416" i="1" s="1"/>
  <c r="U415" i="1"/>
  <c r="S415" i="1"/>
  <c r="X415" i="1" s="1"/>
  <c r="U414" i="1"/>
  <c r="S414" i="1"/>
  <c r="X414" i="1" s="1"/>
  <c r="U413" i="1"/>
  <c r="S413" i="1"/>
  <c r="X413" i="1" s="1"/>
  <c r="U411" i="1"/>
  <c r="S411" i="1"/>
  <c r="X411" i="1" s="1"/>
  <c r="T411" i="1"/>
  <c r="U410" i="1"/>
  <c r="S410" i="1"/>
  <c r="X410" i="1" s="1"/>
  <c r="P410" i="1"/>
  <c r="U409" i="1"/>
  <c r="S409" i="1"/>
  <c r="X409" i="1" s="1"/>
  <c r="U408" i="1"/>
  <c r="S408" i="1"/>
  <c r="X408" i="1" s="1"/>
  <c r="U407" i="1"/>
  <c r="S407" i="1"/>
  <c r="X407" i="1" s="1"/>
  <c r="U406" i="1"/>
  <c r="S406" i="1"/>
  <c r="X406" i="1" s="1"/>
  <c r="U405" i="1"/>
  <c r="S405" i="1"/>
  <c r="X405" i="1" s="1"/>
  <c r="U403" i="1"/>
  <c r="S403" i="1"/>
  <c r="X403" i="1" s="1"/>
  <c r="T403" i="1"/>
  <c r="U402" i="1"/>
  <c r="S402" i="1"/>
  <c r="X402" i="1" s="1"/>
  <c r="P402" i="1"/>
  <c r="U401" i="1"/>
  <c r="S401" i="1"/>
  <c r="X401" i="1" s="1"/>
  <c r="U400" i="1"/>
  <c r="S400" i="1"/>
  <c r="X400" i="1" s="1"/>
  <c r="U399" i="1"/>
  <c r="S399" i="1"/>
  <c r="X399" i="1" s="1"/>
  <c r="U398" i="1"/>
  <c r="S398" i="1"/>
  <c r="X398" i="1" s="1"/>
  <c r="U397" i="1"/>
  <c r="S397" i="1"/>
  <c r="X397" i="1" s="1"/>
  <c r="U395" i="1"/>
  <c r="S395" i="1"/>
  <c r="X395" i="1" s="1"/>
  <c r="T395" i="1"/>
  <c r="U394" i="1"/>
  <c r="S394" i="1"/>
  <c r="X394" i="1" s="1"/>
  <c r="P394" i="1"/>
  <c r="U393" i="1"/>
  <c r="S393" i="1"/>
  <c r="X393" i="1" s="1"/>
  <c r="U392" i="1"/>
  <c r="S392" i="1"/>
  <c r="X392" i="1" s="1"/>
  <c r="U391" i="1"/>
  <c r="S391" i="1"/>
  <c r="X391" i="1" s="1"/>
  <c r="U390" i="1"/>
  <c r="S390" i="1"/>
  <c r="X390" i="1" s="1"/>
  <c r="U389" i="1"/>
  <c r="S389" i="1"/>
  <c r="X389" i="1" s="1"/>
  <c r="O389" i="1"/>
  <c r="U387" i="1"/>
  <c r="S387" i="1"/>
  <c r="X387" i="1" s="1"/>
  <c r="T387" i="1"/>
  <c r="U386" i="1"/>
  <c r="S386" i="1"/>
  <c r="X386" i="1" s="1"/>
  <c r="P386" i="1"/>
  <c r="U385" i="1"/>
  <c r="S385" i="1"/>
  <c r="X385" i="1" s="1"/>
  <c r="U384" i="1"/>
  <c r="S384" i="1"/>
  <c r="X384" i="1" s="1"/>
  <c r="U383" i="1"/>
  <c r="S383" i="1"/>
  <c r="X383" i="1" s="1"/>
  <c r="U382" i="1"/>
  <c r="S382" i="1"/>
  <c r="X382" i="1" s="1"/>
  <c r="U381" i="1"/>
  <c r="S381" i="1"/>
  <c r="X381" i="1" s="1"/>
  <c r="U379" i="1"/>
  <c r="S379" i="1"/>
  <c r="X379" i="1" s="1"/>
  <c r="T379" i="1"/>
  <c r="U378" i="1"/>
  <c r="S378" i="1"/>
  <c r="X378" i="1" s="1"/>
  <c r="P378" i="1"/>
  <c r="U377" i="1"/>
  <c r="S377" i="1"/>
  <c r="X377" i="1" s="1"/>
  <c r="U376" i="1"/>
  <c r="S376" i="1"/>
  <c r="X376" i="1" s="1"/>
  <c r="U375" i="1"/>
  <c r="S375" i="1"/>
  <c r="X375" i="1" s="1"/>
  <c r="U374" i="1"/>
  <c r="S374" i="1"/>
  <c r="X374" i="1" s="1"/>
  <c r="U373" i="1"/>
  <c r="S373" i="1"/>
  <c r="X373" i="1" s="1"/>
  <c r="U371" i="1"/>
  <c r="S371" i="1"/>
  <c r="X371" i="1" s="1"/>
  <c r="T371" i="1"/>
  <c r="U370" i="1"/>
  <c r="S370" i="1"/>
  <c r="X370" i="1" s="1"/>
  <c r="P370" i="1"/>
  <c r="U369" i="1"/>
  <c r="S369" i="1"/>
  <c r="X369" i="1" s="1"/>
  <c r="U368" i="1"/>
  <c r="S368" i="1"/>
  <c r="X368" i="1" s="1"/>
  <c r="U367" i="1"/>
  <c r="S367" i="1"/>
  <c r="X367" i="1" s="1"/>
  <c r="U366" i="1"/>
  <c r="S366" i="1"/>
  <c r="X366" i="1" s="1"/>
  <c r="U365" i="1"/>
  <c r="S365" i="1"/>
  <c r="X365" i="1" s="1"/>
  <c r="U363" i="1"/>
  <c r="S363" i="1"/>
  <c r="X363" i="1" s="1"/>
  <c r="T363" i="1"/>
  <c r="U362" i="1"/>
  <c r="S362" i="1"/>
  <c r="X362" i="1" s="1"/>
  <c r="P362" i="1"/>
  <c r="U361" i="1"/>
  <c r="S361" i="1"/>
  <c r="X361" i="1" s="1"/>
  <c r="U360" i="1"/>
  <c r="S360" i="1"/>
  <c r="X360" i="1" s="1"/>
  <c r="U359" i="1"/>
  <c r="S359" i="1"/>
  <c r="X359" i="1" s="1"/>
  <c r="U358" i="1"/>
  <c r="S358" i="1"/>
  <c r="X358" i="1" s="1"/>
  <c r="U357" i="1"/>
  <c r="S357" i="1"/>
  <c r="X357" i="1" s="1"/>
  <c r="O357" i="1"/>
  <c r="U355" i="1"/>
  <c r="S355" i="1"/>
  <c r="X355" i="1" s="1"/>
  <c r="T355" i="1"/>
  <c r="U354" i="1"/>
  <c r="S354" i="1"/>
  <c r="X354" i="1" s="1"/>
  <c r="P354" i="1"/>
  <c r="U353" i="1"/>
  <c r="S353" i="1"/>
  <c r="X353" i="1" s="1"/>
  <c r="U352" i="1"/>
  <c r="S352" i="1"/>
  <c r="X352" i="1" s="1"/>
  <c r="U351" i="1"/>
  <c r="S351" i="1"/>
  <c r="X351" i="1" s="1"/>
  <c r="U350" i="1"/>
  <c r="S350" i="1"/>
  <c r="X350" i="1" s="1"/>
  <c r="U349" i="1"/>
  <c r="S349" i="1"/>
  <c r="X349" i="1" s="1"/>
  <c r="U347" i="1"/>
  <c r="S347" i="1"/>
  <c r="X347" i="1" s="1"/>
  <c r="T347" i="1"/>
  <c r="U346" i="1"/>
  <c r="S346" i="1"/>
  <c r="X346" i="1" s="1"/>
  <c r="P346" i="1"/>
  <c r="U345" i="1"/>
  <c r="S345" i="1"/>
  <c r="X345" i="1" s="1"/>
  <c r="U344" i="1"/>
  <c r="S344" i="1"/>
  <c r="X344" i="1" s="1"/>
  <c r="U343" i="1"/>
  <c r="S343" i="1"/>
  <c r="X343" i="1" s="1"/>
  <c r="U342" i="1"/>
  <c r="S342" i="1"/>
  <c r="X342" i="1" s="1"/>
  <c r="U341" i="1"/>
  <c r="S341" i="1"/>
  <c r="X341" i="1" s="1"/>
  <c r="O341" i="1"/>
  <c r="O342" i="1" s="1"/>
  <c r="U339" i="1"/>
  <c r="S339" i="1"/>
  <c r="X339" i="1" s="1"/>
  <c r="T339" i="1"/>
  <c r="U338" i="1"/>
  <c r="S338" i="1"/>
  <c r="X338" i="1" s="1"/>
  <c r="P338" i="1"/>
  <c r="U337" i="1"/>
  <c r="S337" i="1"/>
  <c r="X337" i="1" s="1"/>
  <c r="U336" i="1"/>
  <c r="S336" i="1"/>
  <c r="X336" i="1" s="1"/>
  <c r="U335" i="1"/>
  <c r="S335" i="1"/>
  <c r="X335" i="1" s="1"/>
  <c r="U334" i="1"/>
  <c r="S334" i="1"/>
  <c r="X334" i="1" s="1"/>
  <c r="U333" i="1"/>
  <c r="S333" i="1"/>
  <c r="X333" i="1" s="1"/>
  <c r="U331" i="1"/>
  <c r="S331" i="1"/>
  <c r="X331" i="1" s="1"/>
  <c r="T331" i="1"/>
  <c r="U330" i="1"/>
  <c r="S330" i="1"/>
  <c r="X330" i="1" s="1"/>
  <c r="P330" i="1"/>
  <c r="U329" i="1"/>
  <c r="S329" i="1"/>
  <c r="X329" i="1" s="1"/>
  <c r="U328" i="1"/>
  <c r="S328" i="1"/>
  <c r="X328" i="1" s="1"/>
  <c r="U327" i="1"/>
  <c r="S327" i="1"/>
  <c r="X327" i="1" s="1"/>
  <c r="U326" i="1"/>
  <c r="S326" i="1"/>
  <c r="X326" i="1" s="1"/>
  <c r="U325" i="1"/>
  <c r="S325" i="1"/>
  <c r="X325" i="1" s="1"/>
  <c r="O325" i="1"/>
  <c r="U323" i="1"/>
  <c r="S323" i="1"/>
  <c r="X323" i="1" s="1"/>
  <c r="T323" i="1"/>
  <c r="U322" i="1"/>
  <c r="S322" i="1"/>
  <c r="X322" i="1" s="1"/>
  <c r="P322" i="1"/>
  <c r="U321" i="1"/>
  <c r="S321" i="1"/>
  <c r="X321" i="1" s="1"/>
  <c r="U320" i="1"/>
  <c r="S320" i="1"/>
  <c r="X320" i="1" s="1"/>
  <c r="U319" i="1"/>
  <c r="S319" i="1"/>
  <c r="X319" i="1" s="1"/>
  <c r="U318" i="1"/>
  <c r="S318" i="1"/>
  <c r="X318" i="1" s="1"/>
  <c r="U317" i="1"/>
  <c r="S317" i="1"/>
  <c r="X317" i="1" s="1"/>
  <c r="U315" i="1"/>
  <c r="S315" i="1"/>
  <c r="X315" i="1" s="1"/>
  <c r="T315" i="1"/>
  <c r="U314" i="1"/>
  <c r="S314" i="1"/>
  <c r="X314" i="1" s="1"/>
  <c r="P314" i="1"/>
  <c r="U313" i="1"/>
  <c r="S313" i="1"/>
  <c r="X313" i="1" s="1"/>
  <c r="U312" i="1"/>
  <c r="S312" i="1"/>
  <c r="X312" i="1" s="1"/>
  <c r="U311" i="1"/>
  <c r="S311" i="1"/>
  <c r="X311" i="1" s="1"/>
  <c r="U310" i="1"/>
  <c r="S310" i="1"/>
  <c r="X310" i="1" s="1"/>
  <c r="U309" i="1"/>
  <c r="S309" i="1"/>
  <c r="X309" i="1" s="1"/>
  <c r="U307" i="1"/>
  <c r="S307" i="1"/>
  <c r="X307" i="1" s="1"/>
  <c r="T307" i="1"/>
  <c r="U306" i="1"/>
  <c r="S306" i="1"/>
  <c r="X306" i="1" s="1"/>
  <c r="P306" i="1"/>
  <c r="U305" i="1"/>
  <c r="S305" i="1"/>
  <c r="X305" i="1" s="1"/>
  <c r="U304" i="1"/>
  <c r="S304" i="1"/>
  <c r="X304" i="1" s="1"/>
  <c r="U303" i="1"/>
  <c r="S303" i="1"/>
  <c r="X303" i="1" s="1"/>
  <c r="U302" i="1"/>
  <c r="S302" i="1"/>
  <c r="X302" i="1" s="1"/>
  <c r="U301" i="1"/>
  <c r="S301" i="1"/>
  <c r="X301" i="1" s="1"/>
  <c r="U299" i="1"/>
  <c r="S299" i="1"/>
  <c r="X299" i="1" s="1"/>
  <c r="T299" i="1"/>
  <c r="U298" i="1"/>
  <c r="S298" i="1"/>
  <c r="X298" i="1" s="1"/>
  <c r="P298" i="1"/>
  <c r="U297" i="1"/>
  <c r="S297" i="1"/>
  <c r="X297" i="1" s="1"/>
  <c r="U296" i="1"/>
  <c r="S296" i="1"/>
  <c r="X296" i="1" s="1"/>
  <c r="U295" i="1"/>
  <c r="S295" i="1"/>
  <c r="X295" i="1" s="1"/>
  <c r="U294" i="1"/>
  <c r="S294" i="1"/>
  <c r="X294" i="1" s="1"/>
  <c r="U293" i="1"/>
  <c r="S293" i="1"/>
  <c r="X293" i="1" s="1"/>
  <c r="O293" i="1"/>
  <c r="U291" i="1"/>
  <c r="S291" i="1"/>
  <c r="X291" i="1" s="1"/>
  <c r="T291" i="1"/>
  <c r="U290" i="1"/>
  <c r="S290" i="1"/>
  <c r="X290" i="1" s="1"/>
  <c r="P290" i="1"/>
  <c r="U289" i="1"/>
  <c r="S289" i="1"/>
  <c r="X289" i="1" s="1"/>
  <c r="U288" i="1"/>
  <c r="S288" i="1"/>
  <c r="X288" i="1" s="1"/>
  <c r="U287" i="1"/>
  <c r="S287" i="1"/>
  <c r="X287" i="1" s="1"/>
  <c r="U286" i="1"/>
  <c r="S286" i="1"/>
  <c r="X286" i="1" s="1"/>
  <c r="U285" i="1"/>
  <c r="S285" i="1"/>
  <c r="X285" i="1" s="1"/>
  <c r="U283" i="1"/>
  <c r="S283" i="1"/>
  <c r="X283" i="1" s="1"/>
  <c r="T283" i="1"/>
  <c r="U282" i="1"/>
  <c r="S282" i="1"/>
  <c r="X282" i="1" s="1"/>
  <c r="P282" i="1"/>
  <c r="U281" i="1"/>
  <c r="S281" i="1"/>
  <c r="X281" i="1" s="1"/>
  <c r="U280" i="1"/>
  <c r="S280" i="1"/>
  <c r="X280" i="1" s="1"/>
  <c r="U279" i="1"/>
  <c r="S279" i="1"/>
  <c r="X279" i="1" s="1"/>
  <c r="U278" i="1"/>
  <c r="S278" i="1"/>
  <c r="X278" i="1" s="1"/>
  <c r="U277" i="1"/>
  <c r="S277" i="1"/>
  <c r="X277" i="1" s="1"/>
  <c r="U275" i="1"/>
  <c r="S275" i="1"/>
  <c r="X275" i="1" s="1"/>
  <c r="T275" i="1"/>
  <c r="U274" i="1"/>
  <c r="S274" i="1"/>
  <c r="X274" i="1" s="1"/>
  <c r="P274" i="1"/>
  <c r="U273" i="1"/>
  <c r="S273" i="1"/>
  <c r="X273" i="1" s="1"/>
  <c r="U272" i="1"/>
  <c r="S272" i="1"/>
  <c r="X272" i="1" s="1"/>
  <c r="U271" i="1"/>
  <c r="S271" i="1"/>
  <c r="X271" i="1" s="1"/>
  <c r="U270" i="1"/>
  <c r="S270" i="1"/>
  <c r="X270" i="1" s="1"/>
  <c r="U269" i="1"/>
  <c r="S269" i="1"/>
  <c r="X269" i="1" s="1"/>
  <c r="U267" i="1"/>
  <c r="S267" i="1"/>
  <c r="X267" i="1" s="1"/>
  <c r="T267" i="1"/>
  <c r="U266" i="1"/>
  <c r="S266" i="1"/>
  <c r="X266" i="1" s="1"/>
  <c r="P266" i="1"/>
  <c r="U265" i="1"/>
  <c r="S265" i="1"/>
  <c r="X265" i="1" s="1"/>
  <c r="U264" i="1"/>
  <c r="S264" i="1"/>
  <c r="X264" i="1" s="1"/>
  <c r="U263" i="1"/>
  <c r="S263" i="1"/>
  <c r="X263" i="1" s="1"/>
  <c r="U262" i="1"/>
  <c r="S262" i="1"/>
  <c r="X262" i="1" s="1"/>
  <c r="U261" i="1"/>
  <c r="S261" i="1"/>
  <c r="X261" i="1" s="1"/>
  <c r="U259" i="1"/>
  <c r="S259" i="1"/>
  <c r="X259" i="1" s="1"/>
  <c r="U258" i="1"/>
  <c r="S258" i="1"/>
  <c r="X258" i="1" s="1"/>
  <c r="P258" i="1"/>
  <c r="U257" i="1"/>
  <c r="S257" i="1"/>
  <c r="X257" i="1" s="1"/>
  <c r="U256" i="1"/>
  <c r="S256" i="1"/>
  <c r="X256" i="1" s="1"/>
  <c r="U255" i="1"/>
  <c r="S255" i="1"/>
  <c r="X255" i="1" s="1"/>
  <c r="U254" i="1"/>
  <c r="S254" i="1"/>
  <c r="X254" i="1" s="1"/>
  <c r="U253" i="1"/>
  <c r="S253" i="1"/>
  <c r="X253" i="1" s="1"/>
  <c r="U251" i="1"/>
  <c r="S251" i="1"/>
  <c r="X251" i="1" s="1"/>
  <c r="T251" i="1"/>
  <c r="U250" i="1"/>
  <c r="S250" i="1"/>
  <c r="X250" i="1" s="1"/>
  <c r="P250" i="1"/>
  <c r="U249" i="1"/>
  <c r="S249" i="1"/>
  <c r="X249" i="1" s="1"/>
  <c r="U248" i="1"/>
  <c r="S248" i="1"/>
  <c r="X248" i="1" s="1"/>
  <c r="U247" i="1"/>
  <c r="S247" i="1"/>
  <c r="X247" i="1" s="1"/>
  <c r="U246" i="1"/>
  <c r="S246" i="1"/>
  <c r="X246" i="1" s="1"/>
  <c r="U245" i="1"/>
  <c r="S245" i="1"/>
  <c r="X245" i="1" s="1"/>
  <c r="U243" i="1"/>
  <c r="S243" i="1"/>
  <c r="X243" i="1" s="1"/>
  <c r="T243" i="1"/>
  <c r="U242" i="1"/>
  <c r="S242" i="1"/>
  <c r="X242" i="1" s="1"/>
  <c r="P242" i="1"/>
  <c r="U241" i="1"/>
  <c r="S241" i="1"/>
  <c r="X241" i="1" s="1"/>
  <c r="U240" i="1"/>
  <c r="S240" i="1"/>
  <c r="X240" i="1" s="1"/>
  <c r="U239" i="1"/>
  <c r="S239" i="1"/>
  <c r="X239" i="1" s="1"/>
  <c r="U238" i="1"/>
  <c r="S238" i="1"/>
  <c r="X238" i="1" s="1"/>
  <c r="U237" i="1"/>
  <c r="S237" i="1"/>
  <c r="X237" i="1" s="1"/>
  <c r="U235" i="1"/>
  <c r="S235" i="1"/>
  <c r="X235" i="1" s="1"/>
  <c r="U234" i="1"/>
  <c r="S234" i="1"/>
  <c r="X234" i="1" s="1"/>
  <c r="P234" i="1"/>
  <c r="U233" i="1"/>
  <c r="S233" i="1"/>
  <c r="X233" i="1" s="1"/>
  <c r="U232" i="1"/>
  <c r="S232" i="1"/>
  <c r="X232" i="1" s="1"/>
  <c r="U231" i="1"/>
  <c r="S231" i="1"/>
  <c r="X231" i="1" s="1"/>
  <c r="U230" i="1"/>
  <c r="S230" i="1"/>
  <c r="X230" i="1" s="1"/>
  <c r="U229" i="1"/>
  <c r="S229" i="1"/>
  <c r="X229" i="1" s="1"/>
  <c r="U227" i="1"/>
  <c r="S227" i="1"/>
  <c r="X227" i="1" s="1"/>
  <c r="T227" i="1"/>
  <c r="U226" i="1"/>
  <c r="S226" i="1"/>
  <c r="X226" i="1" s="1"/>
  <c r="P226" i="1"/>
  <c r="U225" i="1"/>
  <c r="S225" i="1"/>
  <c r="X225" i="1" s="1"/>
  <c r="U224" i="1"/>
  <c r="S224" i="1"/>
  <c r="X224" i="1" s="1"/>
  <c r="U223" i="1"/>
  <c r="S223" i="1"/>
  <c r="X223" i="1" s="1"/>
  <c r="U222" i="1"/>
  <c r="S222" i="1"/>
  <c r="X222" i="1" s="1"/>
  <c r="U221" i="1"/>
  <c r="S221" i="1"/>
  <c r="X221" i="1" s="1"/>
  <c r="U219" i="1"/>
  <c r="S219" i="1"/>
  <c r="X219" i="1" s="1"/>
  <c r="T219" i="1"/>
  <c r="U218" i="1"/>
  <c r="S218" i="1"/>
  <c r="X218" i="1" s="1"/>
  <c r="P218" i="1"/>
  <c r="U217" i="1"/>
  <c r="S217" i="1"/>
  <c r="X217" i="1" s="1"/>
  <c r="U216" i="1"/>
  <c r="S216" i="1"/>
  <c r="X216" i="1" s="1"/>
  <c r="U215" i="1"/>
  <c r="S215" i="1"/>
  <c r="X215" i="1" s="1"/>
  <c r="U214" i="1"/>
  <c r="S214" i="1"/>
  <c r="X214" i="1" s="1"/>
  <c r="U213" i="1"/>
  <c r="S213" i="1"/>
  <c r="X213" i="1" s="1"/>
  <c r="O213" i="1"/>
  <c r="O214" i="1" s="1"/>
  <c r="U211" i="1"/>
  <c r="S211" i="1"/>
  <c r="X211" i="1" s="1"/>
  <c r="T211" i="1"/>
  <c r="U210" i="1"/>
  <c r="S210" i="1"/>
  <c r="X210" i="1" s="1"/>
  <c r="P210" i="1"/>
  <c r="U209" i="1"/>
  <c r="S209" i="1"/>
  <c r="X209" i="1" s="1"/>
  <c r="U208" i="1"/>
  <c r="S208" i="1"/>
  <c r="X208" i="1" s="1"/>
  <c r="U207" i="1"/>
  <c r="S207" i="1"/>
  <c r="X207" i="1" s="1"/>
  <c r="U206" i="1"/>
  <c r="S206" i="1"/>
  <c r="X206" i="1" s="1"/>
  <c r="U205" i="1"/>
  <c r="S205" i="1"/>
  <c r="X205" i="1" s="1"/>
  <c r="U203" i="1"/>
  <c r="S203" i="1"/>
  <c r="X203" i="1" s="1"/>
  <c r="T203" i="1"/>
  <c r="U202" i="1"/>
  <c r="S202" i="1"/>
  <c r="X202" i="1" s="1"/>
  <c r="P202" i="1"/>
  <c r="U201" i="1"/>
  <c r="S201" i="1"/>
  <c r="X201" i="1" s="1"/>
  <c r="U200" i="1"/>
  <c r="S200" i="1"/>
  <c r="X200" i="1" s="1"/>
  <c r="U199" i="1"/>
  <c r="S199" i="1"/>
  <c r="X199" i="1" s="1"/>
  <c r="U198" i="1"/>
  <c r="S198" i="1"/>
  <c r="X198" i="1" s="1"/>
  <c r="U197" i="1"/>
  <c r="S197" i="1"/>
  <c r="X197" i="1" s="1"/>
  <c r="O197" i="1"/>
  <c r="O198" i="1" s="1"/>
  <c r="U195" i="1"/>
  <c r="S195" i="1"/>
  <c r="X195" i="1" s="1"/>
  <c r="T195" i="1"/>
  <c r="U194" i="1"/>
  <c r="S194" i="1"/>
  <c r="X194" i="1" s="1"/>
  <c r="P194" i="1"/>
  <c r="U193" i="1"/>
  <c r="S193" i="1"/>
  <c r="X193" i="1" s="1"/>
  <c r="U192" i="1"/>
  <c r="S192" i="1"/>
  <c r="X192" i="1" s="1"/>
  <c r="U191" i="1"/>
  <c r="S191" i="1"/>
  <c r="X191" i="1" s="1"/>
  <c r="U190" i="1"/>
  <c r="S190" i="1"/>
  <c r="X190" i="1" s="1"/>
  <c r="U189" i="1"/>
  <c r="S189" i="1"/>
  <c r="X189" i="1" s="1"/>
  <c r="U187" i="1"/>
  <c r="S187" i="1"/>
  <c r="X187" i="1" s="1"/>
  <c r="T187" i="1"/>
  <c r="U186" i="1"/>
  <c r="S186" i="1"/>
  <c r="X186" i="1" s="1"/>
  <c r="P186" i="1"/>
  <c r="U185" i="1"/>
  <c r="S185" i="1"/>
  <c r="X185" i="1" s="1"/>
  <c r="U184" i="1"/>
  <c r="S184" i="1"/>
  <c r="X184" i="1" s="1"/>
  <c r="U183" i="1"/>
  <c r="S183" i="1"/>
  <c r="X183" i="1" s="1"/>
  <c r="U182" i="1"/>
  <c r="S182" i="1"/>
  <c r="X182" i="1" s="1"/>
  <c r="U179" i="1"/>
  <c r="S179" i="1"/>
  <c r="X179" i="1" s="1"/>
  <c r="T179" i="1"/>
  <c r="U178" i="1"/>
  <c r="S178" i="1"/>
  <c r="X178" i="1" s="1"/>
  <c r="P178" i="1"/>
  <c r="U177" i="1"/>
  <c r="S177" i="1"/>
  <c r="X177" i="1" s="1"/>
  <c r="U176" i="1"/>
  <c r="S176" i="1"/>
  <c r="X176" i="1" s="1"/>
  <c r="U175" i="1"/>
  <c r="S175" i="1"/>
  <c r="X175" i="1" s="1"/>
  <c r="U174" i="1"/>
  <c r="S174" i="1"/>
  <c r="X174" i="1" s="1"/>
  <c r="U173" i="1"/>
  <c r="S173" i="1"/>
  <c r="X173" i="1" s="1"/>
  <c r="U171" i="1"/>
  <c r="S171" i="1"/>
  <c r="X171" i="1" s="1"/>
  <c r="T171" i="1"/>
  <c r="U170" i="1"/>
  <c r="S170" i="1"/>
  <c r="X170" i="1" s="1"/>
  <c r="P170" i="1"/>
  <c r="U169" i="1"/>
  <c r="S169" i="1"/>
  <c r="X169" i="1" s="1"/>
  <c r="U168" i="1"/>
  <c r="S168" i="1"/>
  <c r="X168" i="1" s="1"/>
  <c r="U167" i="1"/>
  <c r="S167" i="1"/>
  <c r="X167" i="1" s="1"/>
  <c r="U166" i="1"/>
  <c r="S166" i="1"/>
  <c r="X166" i="1" s="1"/>
  <c r="U165" i="1"/>
  <c r="S165" i="1"/>
  <c r="X165" i="1" s="1"/>
  <c r="U163" i="1"/>
  <c r="S163" i="1"/>
  <c r="X163" i="1" s="1"/>
  <c r="T163" i="1"/>
  <c r="U162" i="1"/>
  <c r="S162" i="1"/>
  <c r="X162" i="1" s="1"/>
  <c r="P162" i="1"/>
  <c r="U161" i="1"/>
  <c r="S161" i="1"/>
  <c r="X161" i="1" s="1"/>
  <c r="U160" i="1"/>
  <c r="S160" i="1"/>
  <c r="X160" i="1" s="1"/>
  <c r="U159" i="1"/>
  <c r="S159" i="1"/>
  <c r="X159" i="1" s="1"/>
  <c r="U158" i="1"/>
  <c r="S158" i="1"/>
  <c r="X158" i="1" s="1"/>
  <c r="U157" i="1"/>
  <c r="S157" i="1"/>
  <c r="X157" i="1" s="1"/>
  <c r="U155" i="1"/>
  <c r="S155" i="1"/>
  <c r="X155" i="1" s="1"/>
  <c r="T155" i="1"/>
  <c r="U154" i="1"/>
  <c r="S154" i="1"/>
  <c r="X154" i="1" s="1"/>
  <c r="P154" i="1"/>
  <c r="U153" i="1"/>
  <c r="S153" i="1"/>
  <c r="X153" i="1" s="1"/>
  <c r="U152" i="1"/>
  <c r="S152" i="1"/>
  <c r="X152" i="1" s="1"/>
  <c r="U151" i="1"/>
  <c r="S151" i="1"/>
  <c r="X151" i="1" s="1"/>
  <c r="U150" i="1"/>
  <c r="S150" i="1"/>
  <c r="X150" i="1" s="1"/>
  <c r="U149" i="1"/>
  <c r="S149" i="1"/>
  <c r="X149" i="1" s="1"/>
  <c r="U147" i="1"/>
  <c r="S147" i="1"/>
  <c r="X147" i="1" s="1"/>
  <c r="T147" i="1"/>
  <c r="U146" i="1"/>
  <c r="S146" i="1"/>
  <c r="X146" i="1" s="1"/>
  <c r="P146" i="1"/>
  <c r="U145" i="1"/>
  <c r="S145" i="1"/>
  <c r="X145" i="1" s="1"/>
  <c r="U144" i="1"/>
  <c r="S144" i="1"/>
  <c r="X144" i="1" s="1"/>
  <c r="U143" i="1"/>
  <c r="S143" i="1"/>
  <c r="X143" i="1" s="1"/>
  <c r="U142" i="1"/>
  <c r="S142" i="1"/>
  <c r="X142" i="1" s="1"/>
  <c r="U141" i="1"/>
  <c r="S141" i="1"/>
  <c r="X141" i="1" s="1"/>
  <c r="U139" i="1"/>
  <c r="S139" i="1"/>
  <c r="X139" i="1" s="1"/>
  <c r="T139" i="1"/>
  <c r="U138" i="1"/>
  <c r="S138" i="1"/>
  <c r="X138" i="1" s="1"/>
  <c r="P138" i="1"/>
  <c r="U137" i="1"/>
  <c r="S137" i="1"/>
  <c r="X137" i="1" s="1"/>
  <c r="U136" i="1"/>
  <c r="S136" i="1"/>
  <c r="X136" i="1" s="1"/>
  <c r="U135" i="1"/>
  <c r="S135" i="1"/>
  <c r="X135" i="1" s="1"/>
  <c r="U134" i="1"/>
  <c r="S134" i="1"/>
  <c r="X134" i="1" s="1"/>
  <c r="U133" i="1"/>
  <c r="S133" i="1"/>
  <c r="X133" i="1" s="1"/>
  <c r="U131" i="1"/>
  <c r="S131" i="1"/>
  <c r="X131" i="1" s="1"/>
  <c r="T131" i="1"/>
  <c r="U130" i="1"/>
  <c r="S130" i="1"/>
  <c r="X130" i="1" s="1"/>
  <c r="P130" i="1"/>
  <c r="U129" i="1"/>
  <c r="S129" i="1"/>
  <c r="X129" i="1" s="1"/>
  <c r="U128" i="1"/>
  <c r="S128" i="1"/>
  <c r="X128" i="1" s="1"/>
  <c r="U127" i="1"/>
  <c r="S127" i="1"/>
  <c r="X127" i="1" s="1"/>
  <c r="U126" i="1"/>
  <c r="S126" i="1"/>
  <c r="X126" i="1" s="1"/>
  <c r="U125" i="1"/>
  <c r="S125" i="1"/>
  <c r="X125" i="1" s="1"/>
  <c r="U123" i="1"/>
  <c r="S123" i="1"/>
  <c r="X123" i="1" s="1"/>
  <c r="T123" i="1"/>
  <c r="U122" i="1"/>
  <c r="S122" i="1"/>
  <c r="X122" i="1" s="1"/>
  <c r="P122" i="1"/>
  <c r="U121" i="1"/>
  <c r="S121" i="1"/>
  <c r="X121" i="1" s="1"/>
  <c r="U120" i="1"/>
  <c r="S120" i="1"/>
  <c r="X120" i="1" s="1"/>
  <c r="U119" i="1"/>
  <c r="S119" i="1"/>
  <c r="X119" i="1" s="1"/>
  <c r="U118" i="1"/>
  <c r="S118" i="1"/>
  <c r="X118" i="1" s="1"/>
  <c r="U117" i="1"/>
  <c r="S117" i="1"/>
  <c r="X117" i="1" s="1"/>
  <c r="U115" i="1"/>
  <c r="S115" i="1"/>
  <c r="X115" i="1" s="1"/>
  <c r="U114" i="1"/>
  <c r="S114" i="1"/>
  <c r="X114" i="1" s="1"/>
  <c r="P114" i="1"/>
  <c r="U113" i="1"/>
  <c r="S113" i="1"/>
  <c r="X113" i="1" s="1"/>
  <c r="U112" i="1"/>
  <c r="S112" i="1"/>
  <c r="X112" i="1" s="1"/>
  <c r="U111" i="1"/>
  <c r="S111" i="1"/>
  <c r="X111" i="1" s="1"/>
  <c r="U110" i="1"/>
  <c r="S110" i="1"/>
  <c r="X110" i="1" s="1"/>
  <c r="U109" i="1"/>
  <c r="S109" i="1"/>
  <c r="X109" i="1" s="1"/>
  <c r="U107" i="1"/>
  <c r="S107" i="1"/>
  <c r="X107" i="1" s="1"/>
  <c r="T107" i="1"/>
  <c r="U106" i="1"/>
  <c r="S106" i="1"/>
  <c r="X106" i="1" s="1"/>
  <c r="P106" i="1"/>
  <c r="U105" i="1"/>
  <c r="S105" i="1"/>
  <c r="X105" i="1" s="1"/>
  <c r="U104" i="1"/>
  <c r="S104" i="1"/>
  <c r="X104" i="1" s="1"/>
  <c r="U103" i="1"/>
  <c r="S103" i="1"/>
  <c r="X103" i="1" s="1"/>
  <c r="U102" i="1"/>
  <c r="S102" i="1"/>
  <c r="X102" i="1" s="1"/>
  <c r="U101" i="1"/>
  <c r="S101" i="1"/>
  <c r="X101" i="1" s="1"/>
  <c r="U99" i="1"/>
  <c r="S99" i="1"/>
  <c r="X99" i="1" s="1"/>
  <c r="T99" i="1"/>
  <c r="U98" i="1"/>
  <c r="S98" i="1"/>
  <c r="X98" i="1" s="1"/>
  <c r="P98" i="1"/>
  <c r="U97" i="1"/>
  <c r="S97" i="1"/>
  <c r="X97" i="1" s="1"/>
  <c r="U96" i="1"/>
  <c r="S96" i="1"/>
  <c r="X96" i="1" s="1"/>
  <c r="U95" i="1"/>
  <c r="S95" i="1"/>
  <c r="X95" i="1" s="1"/>
  <c r="U94" i="1"/>
  <c r="S94" i="1"/>
  <c r="X94" i="1" s="1"/>
  <c r="U93" i="1"/>
  <c r="S93" i="1"/>
  <c r="X93" i="1" s="1"/>
  <c r="U91" i="1"/>
  <c r="S91" i="1"/>
  <c r="X91" i="1" s="1"/>
  <c r="T91" i="1"/>
  <c r="U90" i="1"/>
  <c r="S90" i="1"/>
  <c r="X90" i="1" s="1"/>
  <c r="P90" i="1"/>
  <c r="U89" i="1"/>
  <c r="S89" i="1"/>
  <c r="X89" i="1" s="1"/>
  <c r="U88" i="1"/>
  <c r="S88" i="1"/>
  <c r="X88" i="1" s="1"/>
  <c r="U87" i="1"/>
  <c r="S87" i="1"/>
  <c r="X87" i="1" s="1"/>
  <c r="U86" i="1"/>
  <c r="S86" i="1"/>
  <c r="X86" i="1" s="1"/>
  <c r="U85" i="1"/>
  <c r="S85" i="1"/>
  <c r="X85" i="1" s="1"/>
  <c r="U83" i="1"/>
  <c r="S83" i="1"/>
  <c r="X83" i="1" s="1"/>
  <c r="U82" i="1"/>
  <c r="S82" i="1"/>
  <c r="X82" i="1" s="1"/>
  <c r="P82" i="1"/>
  <c r="U81" i="1"/>
  <c r="S81" i="1"/>
  <c r="X81" i="1" s="1"/>
  <c r="U80" i="1"/>
  <c r="S80" i="1"/>
  <c r="X80" i="1" s="1"/>
  <c r="U79" i="1"/>
  <c r="S79" i="1"/>
  <c r="X79" i="1" s="1"/>
  <c r="U78" i="1"/>
  <c r="S78" i="1"/>
  <c r="X78" i="1" s="1"/>
  <c r="U77" i="1"/>
  <c r="S77" i="1"/>
  <c r="X77" i="1" s="1"/>
  <c r="U75" i="1"/>
  <c r="S75" i="1"/>
  <c r="X75" i="1" s="1"/>
  <c r="T75" i="1"/>
  <c r="U74" i="1"/>
  <c r="S74" i="1"/>
  <c r="X74" i="1" s="1"/>
  <c r="P74" i="1"/>
  <c r="U73" i="1"/>
  <c r="S73" i="1"/>
  <c r="X73" i="1" s="1"/>
  <c r="U72" i="1"/>
  <c r="S72" i="1"/>
  <c r="X72" i="1" s="1"/>
  <c r="U71" i="1"/>
  <c r="S71" i="1"/>
  <c r="X71" i="1" s="1"/>
  <c r="U70" i="1"/>
  <c r="S70" i="1"/>
  <c r="X70" i="1" s="1"/>
  <c r="U69" i="1"/>
  <c r="S69" i="1"/>
  <c r="X69" i="1" s="1"/>
  <c r="U67" i="1"/>
  <c r="S67" i="1"/>
  <c r="X67" i="1" s="1"/>
  <c r="T67" i="1"/>
  <c r="U66" i="1"/>
  <c r="S66" i="1"/>
  <c r="X66" i="1" s="1"/>
  <c r="P66" i="1"/>
  <c r="U65" i="1"/>
  <c r="S65" i="1"/>
  <c r="X65" i="1" s="1"/>
  <c r="U64" i="1"/>
  <c r="S64" i="1"/>
  <c r="X64" i="1" s="1"/>
  <c r="U63" i="1"/>
  <c r="S63" i="1"/>
  <c r="X63" i="1" s="1"/>
  <c r="U62" i="1"/>
  <c r="S62" i="1"/>
  <c r="X62" i="1" s="1"/>
  <c r="U61" i="1"/>
  <c r="S61" i="1"/>
  <c r="X61" i="1" s="1"/>
  <c r="S53" i="1"/>
  <c r="X53" i="1" s="1"/>
  <c r="U53" i="1"/>
  <c r="S54" i="1"/>
  <c r="X54" i="1" s="1"/>
  <c r="U54" i="1"/>
  <c r="S55" i="1"/>
  <c r="X55" i="1" s="1"/>
  <c r="U55" i="1"/>
  <c r="S56" i="1"/>
  <c r="X56" i="1" s="1"/>
  <c r="U56" i="1"/>
  <c r="S57" i="1"/>
  <c r="X57" i="1" s="1"/>
  <c r="U57" i="1"/>
  <c r="P58" i="1"/>
  <c r="S58" i="1"/>
  <c r="X58" i="1" s="1"/>
  <c r="U58" i="1"/>
  <c r="S59" i="1"/>
  <c r="X59" i="1" s="1"/>
  <c r="U59" i="1"/>
  <c r="Z271" i="1" l="1"/>
  <c r="AD271" i="1" s="1"/>
  <c r="Z298" i="1"/>
  <c r="AD298" i="1" s="1"/>
  <c r="Z62" i="1"/>
  <c r="AD62" i="1" s="1"/>
  <c r="Z58" i="1"/>
  <c r="AD58" i="1" s="1"/>
  <c r="Z82" i="1"/>
  <c r="AD82" i="1" s="1"/>
  <c r="Z114" i="1"/>
  <c r="AD114" i="1" s="1"/>
  <c r="Z136" i="1"/>
  <c r="Z162" i="1"/>
  <c r="AD162" i="1" s="1"/>
  <c r="Z167" i="1"/>
  <c r="AD167" i="1" s="1"/>
  <c r="Z418" i="1"/>
  <c r="AD418" i="1" s="1"/>
  <c r="Z74" i="1"/>
  <c r="AD74" i="1" s="1"/>
  <c r="Z126" i="1"/>
  <c r="AD126" i="1" s="1"/>
  <c r="Z154" i="1"/>
  <c r="Z350" i="1"/>
  <c r="AD350" i="1" s="1"/>
  <c r="Z369" i="1"/>
  <c r="AD369" i="1" s="1"/>
  <c r="Z394" i="1"/>
  <c r="AD394" i="1" s="1"/>
  <c r="Z56" i="1"/>
  <c r="AD56" i="1" s="1"/>
  <c r="Z217" i="1"/>
  <c r="AD217" i="1" s="1"/>
  <c r="Z278" i="1"/>
  <c r="AD278" i="1" s="1"/>
  <c r="Z290" i="1"/>
  <c r="AD290" i="1" s="1"/>
  <c r="Z417" i="1"/>
  <c r="AD417" i="1" s="1"/>
  <c r="Z189" i="1"/>
  <c r="AD189" i="1" s="1"/>
  <c r="Z122" i="1"/>
  <c r="AD122" i="1" s="1"/>
  <c r="Z143" i="1"/>
  <c r="AD143" i="1" s="1"/>
  <c r="Z366" i="1"/>
  <c r="AD366" i="1" s="1"/>
  <c r="Z198" i="1"/>
  <c r="AD198" i="1" s="1"/>
  <c r="Z226" i="1"/>
  <c r="AD226" i="1" s="1"/>
  <c r="Z319" i="1"/>
  <c r="AD319" i="1" s="1"/>
  <c r="T59" i="1"/>
  <c r="Y59" i="1" s="1"/>
  <c r="AC59" i="1" s="1"/>
  <c r="Z102" i="1"/>
  <c r="AD102" i="1" s="1"/>
  <c r="Z406" i="1"/>
  <c r="AD406" i="1" s="1"/>
  <c r="Z398" i="1"/>
  <c r="AD398" i="1" s="1"/>
  <c r="Z382" i="1"/>
  <c r="AD382" i="1" s="1"/>
  <c r="Z374" i="1"/>
  <c r="AD374" i="1" s="1"/>
  <c r="Z345" i="1"/>
  <c r="AD345" i="1" s="1"/>
  <c r="Z343" i="1"/>
  <c r="AD343" i="1" s="1"/>
  <c r="Z329" i="1"/>
  <c r="AD329" i="1" s="1"/>
  <c r="Z320" i="1"/>
  <c r="AD320" i="1" s="1"/>
  <c r="Z304" i="1"/>
  <c r="AD304" i="1" s="1"/>
  <c r="Z287" i="1"/>
  <c r="AD287" i="1" s="1"/>
  <c r="Z264" i="1"/>
  <c r="AD264" i="1" s="1"/>
  <c r="Z257" i="1"/>
  <c r="AD257" i="1" s="1"/>
  <c r="Z233" i="1"/>
  <c r="AD233" i="1" s="1"/>
  <c r="Z231" i="1"/>
  <c r="AD231" i="1" s="1"/>
  <c r="Z208" i="1"/>
  <c r="AD208" i="1" s="1"/>
  <c r="Z205" i="1"/>
  <c r="AA205" i="1" s="1"/>
  <c r="AE205" i="1" s="1"/>
  <c r="Z194" i="1"/>
  <c r="AD194" i="1" s="1"/>
  <c r="Z193" i="1"/>
  <c r="AD193" i="1" s="1"/>
  <c r="Z191" i="1"/>
  <c r="AD191" i="1" s="1"/>
  <c r="Z184" i="1"/>
  <c r="AD184" i="1" s="1"/>
  <c r="Z169" i="1"/>
  <c r="AD169" i="1" s="1"/>
  <c r="Z153" i="1"/>
  <c r="AD153" i="1" s="1"/>
  <c r="Z113" i="1"/>
  <c r="AD113" i="1" s="1"/>
  <c r="Z95" i="1"/>
  <c r="AD95" i="1" s="1"/>
  <c r="Z222" i="1"/>
  <c r="AD222" i="1" s="1"/>
  <c r="Z241" i="1"/>
  <c r="AD241" i="1" s="1"/>
  <c r="Z313" i="1"/>
  <c r="AD313" i="1" s="1"/>
  <c r="Z111" i="1"/>
  <c r="AD111" i="1" s="1"/>
  <c r="Z121" i="1"/>
  <c r="AD121" i="1" s="1"/>
  <c r="Z142" i="1"/>
  <c r="AD142" i="1" s="1"/>
  <c r="Z151" i="1"/>
  <c r="AD151" i="1" s="1"/>
  <c r="Z159" i="1"/>
  <c r="AD159" i="1" s="1"/>
  <c r="Z174" i="1"/>
  <c r="AD174" i="1" s="1"/>
  <c r="Z215" i="1"/>
  <c r="AD215" i="1" s="1"/>
  <c r="Z225" i="1"/>
  <c r="AD225" i="1" s="1"/>
  <c r="Z234" i="1"/>
  <c r="AD234" i="1" s="1"/>
  <c r="Z242" i="1"/>
  <c r="AD242" i="1" s="1"/>
  <c r="Z249" i="1"/>
  <c r="AD249" i="1" s="1"/>
  <c r="Z263" i="1"/>
  <c r="AD263" i="1" s="1"/>
  <c r="Z318" i="1"/>
  <c r="AD318" i="1" s="1"/>
  <c r="Z326" i="1"/>
  <c r="AD326" i="1" s="1"/>
  <c r="Z346" i="1"/>
  <c r="AD346" i="1" s="1"/>
  <c r="Z361" i="1"/>
  <c r="AD361" i="1" s="1"/>
  <c r="Z98" i="1"/>
  <c r="AD98" i="1" s="1"/>
  <c r="Z130" i="1"/>
  <c r="AD130" i="1" s="1"/>
  <c r="Z239" i="1"/>
  <c r="AD239" i="1" s="1"/>
  <c r="Z250" i="1"/>
  <c r="AD250" i="1" s="1"/>
  <c r="Z266" i="1"/>
  <c r="AD266" i="1" s="1"/>
  <c r="Z297" i="1"/>
  <c r="AD297" i="1" s="1"/>
  <c r="Z302" i="1"/>
  <c r="AD302" i="1" s="1"/>
  <c r="Z351" i="1"/>
  <c r="AD351" i="1" s="1"/>
  <c r="Z352" i="1"/>
  <c r="AD352" i="1" s="1"/>
  <c r="Z362" i="1"/>
  <c r="AD362" i="1" s="1"/>
  <c r="Z391" i="1"/>
  <c r="AD391" i="1" s="1"/>
  <c r="Z401" i="1"/>
  <c r="AD401" i="1" s="1"/>
  <c r="Z415" i="1"/>
  <c r="Z81" i="1"/>
  <c r="AD81" i="1" s="1"/>
  <c r="Z79" i="1"/>
  <c r="AD79" i="1" s="1"/>
  <c r="Z72" i="1"/>
  <c r="AD72" i="1" s="1"/>
  <c r="Z54" i="1"/>
  <c r="AD54" i="1" s="1"/>
  <c r="Z53" i="1"/>
  <c r="AA53" i="1" s="1"/>
  <c r="AE53" i="1" s="1"/>
  <c r="Z57" i="1"/>
  <c r="AD57" i="1" s="1"/>
  <c r="Z55" i="1"/>
  <c r="AD55" i="1" s="1"/>
  <c r="O53" i="1"/>
  <c r="Z315" i="1"/>
  <c r="AD315" i="1" s="1"/>
  <c r="O326" i="1"/>
  <c r="V326" i="1" s="1"/>
  <c r="Z65" i="1"/>
  <c r="AD65" i="1" s="1"/>
  <c r="Z73" i="1"/>
  <c r="AD73" i="1" s="1"/>
  <c r="Z63" i="1"/>
  <c r="AD63" i="1" s="1"/>
  <c r="Z66" i="1"/>
  <c r="AD66" i="1" s="1"/>
  <c r="Z71" i="1"/>
  <c r="AD71" i="1" s="1"/>
  <c r="O101" i="1"/>
  <c r="O102" i="1" s="1"/>
  <c r="O103" i="1" s="1"/>
  <c r="Z64" i="1"/>
  <c r="AD64" i="1" s="1"/>
  <c r="Z78" i="1"/>
  <c r="AD78" i="1" s="1"/>
  <c r="Z86" i="1"/>
  <c r="AD86" i="1" s="1"/>
  <c r="Z118" i="1"/>
  <c r="AD118" i="1" s="1"/>
  <c r="Z70" i="1"/>
  <c r="AD70" i="1" s="1"/>
  <c r="O77" i="1"/>
  <c r="O78" i="1" s="1"/>
  <c r="V78" i="1" s="1"/>
  <c r="Z99" i="1"/>
  <c r="AD99" i="1" s="1"/>
  <c r="Z129" i="1"/>
  <c r="AD129" i="1" s="1"/>
  <c r="Z232" i="1"/>
  <c r="AD232" i="1" s="1"/>
  <c r="Z89" i="1"/>
  <c r="AD89" i="1" s="1"/>
  <c r="Z97" i="1"/>
  <c r="AD97" i="1" s="1"/>
  <c r="Z105" i="1"/>
  <c r="AD105" i="1" s="1"/>
  <c r="Z112" i="1"/>
  <c r="AD112" i="1" s="1"/>
  <c r="Z134" i="1"/>
  <c r="AD134" i="1" s="1"/>
  <c r="Z145" i="1"/>
  <c r="AD145" i="1" s="1"/>
  <c r="Z170" i="1"/>
  <c r="AD170" i="1" s="1"/>
  <c r="Z177" i="1"/>
  <c r="AD177" i="1" s="1"/>
  <c r="Z178" i="1"/>
  <c r="AD178" i="1" s="1"/>
  <c r="Z179" i="1"/>
  <c r="AD179" i="1" s="1"/>
  <c r="Z182" i="1"/>
  <c r="AD182" i="1" s="1"/>
  <c r="Z201" i="1"/>
  <c r="AD201" i="1" s="1"/>
  <c r="Z206" i="1"/>
  <c r="AD206" i="1" s="1"/>
  <c r="Z210" i="1"/>
  <c r="AD210" i="1" s="1"/>
  <c r="Z218" i="1"/>
  <c r="AD218" i="1" s="1"/>
  <c r="Z247" i="1"/>
  <c r="AD247" i="1" s="1"/>
  <c r="Z254" i="1"/>
  <c r="AD254" i="1" s="1"/>
  <c r="Z255" i="1"/>
  <c r="AD255" i="1" s="1"/>
  <c r="Z258" i="1"/>
  <c r="AD258" i="1" s="1"/>
  <c r="Z273" i="1"/>
  <c r="AD273" i="1" s="1"/>
  <c r="Z128" i="1"/>
  <c r="AD128" i="1" s="1"/>
  <c r="Z135" i="1"/>
  <c r="AD135" i="1" s="1"/>
  <c r="Z139" i="1"/>
  <c r="AD139" i="1" s="1"/>
  <c r="Z161" i="1"/>
  <c r="AD161" i="1" s="1"/>
  <c r="Z185" i="1"/>
  <c r="AD185" i="1" s="1"/>
  <c r="Z207" i="1"/>
  <c r="AD207" i="1" s="1"/>
  <c r="Z265" i="1"/>
  <c r="AD265" i="1" s="1"/>
  <c r="Z306" i="1"/>
  <c r="AD306" i="1" s="1"/>
  <c r="Z322" i="1"/>
  <c r="AD322" i="1" s="1"/>
  <c r="Z354" i="1"/>
  <c r="AD354" i="1" s="1"/>
  <c r="Z378" i="1"/>
  <c r="AD378" i="1" s="1"/>
  <c r="O390" i="1"/>
  <c r="V390" i="1" s="1"/>
  <c r="Z410" i="1"/>
  <c r="AD410" i="1" s="1"/>
  <c r="Z256" i="1"/>
  <c r="AD256" i="1" s="1"/>
  <c r="Z274" i="1"/>
  <c r="AD274" i="1" s="1"/>
  <c r="Z281" i="1"/>
  <c r="AD281" i="1" s="1"/>
  <c r="Z337" i="1"/>
  <c r="AD337" i="1" s="1"/>
  <c r="Z359" i="1"/>
  <c r="AD359" i="1" s="1"/>
  <c r="Z370" i="1"/>
  <c r="AD370" i="1" s="1"/>
  <c r="Z385" i="1"/>
  <c r="AD385" i="1" s="1"/>
  <c r="Z409" i="1"/>
  <c r="AD409" i="1" s="1"/>
  <c r="Z371" i="1"/>
  <c r="AD371" i="1" s="1"/>
  <c r="Z267" i="1"/>
  <c r="AD267" i="1" s="1"/>
  <c r="Z289" i="1"/>
  <c r="AD289" i="1" s="1"/>
  <c r="O294" i="1"/>
  <c r="O295" i="1" s="1"/>
  <c r="Z295" i="1"/>
  <c r="AD295" i="1" s="1"/>
  <c r="Z311" i="1"/>
  <c r="AD311" i="1" s="1"/>
  <c r="Z314" i="1"/>
  <c r="AD314" i="1" s="1"/>
  <c r="Z317" i="1"/>
  <c r="AD317" i="1" s="1"/>
  <c r="Z334" i="1"/>
  <c r="AD334" i="1" s="1"/>
  <c r="Z335" i="1"/>
  <c r="AD335" i="1" s="1"/>
  <c r="Z349" i="1"/>
  <c r="AD349" i="1" s="1"/>
  <c r="Z376" i="1"/>
  <c r="AD376" i="1" s="1"/>
  <c r="Z383" i="1"/>
  <c r="AD383" i="1" s="1"/>
  <c r="Z393" i="1"/>
  <c r="AD393" i="1" s="1"/>
  <c r="Z419" i="1"/>
  <c r="AD419" i="1" s="1"/>
  <c r="Y419" i="1"/>
  <c r="AC419" i="1" s="1"/>
  <c r="Z414" i="1"/>
  <c r="AD414" i="1" s="1"/>
  <c r="Z413" i="1"/>
  <c r="AA413" i="1" s="1"/>
  <c r="AE413" i="1" s="1"/>
  <c r="Z416" i="1"/>
  <c r="AD416" i="1" s="1"/>
  <c r="Z407" i="1"/>
  <c r="AD407" i="1" s="1"/>
  <c r="Y411" i="1"/>
  <c r="AC411" i="1" s="1"/>
  <c r="Z411" i="1"/>
  <c r="AD411" i="1" s="1"/>
  <c r="Z405" i="1"/>
  <c r="AD405" i="1" s="1"/>
  <c r="Z408" i="1"/>
  <c r="AD408" i="1" s="1"/>
  <c r="Y403" i="1"/>
  <c r="AC403" i="1" s="1"/>
  <c r="Z399" i="1"/>
  <c r="AD399" i="1" s="1"/>
  <c r="Z402" i="1"/>
  <c r="AD402" i="1" s="1"/>
  <c r="Z403" i="1"/>
  <c r="AD403" i="1" s="1"/>
  <c r="Z397" i="1"/>
  <c r="AD397" i="1" s="1"/>
  <c r="Z400" i="1"/>
  <c r="AD400" i="1" s="1"/>
  <c r="Z395" i="1"/>
  <c r="AD395" i="1" s="1"/>
  <c r="Y395" i="1"/>
  <c r="AC395" i="1" s="1"/>
  <c r="Z390" i="1"/>
  <c r="AD390" i="1" s="1"/>
  <c r="Z389" i="1"/>
  <c r="AA389" i="1" s="1"/>
  <c r="AE389" i="1" s="1"/>
  <c r="Z392" i="1"/>
  <c r="AD392" i="1" s="1"/>
  <c r="Z386" i="1"/>
  <c r="AD386" i="1" s="1"/>
  <c r="Y387" i="1"/>
  <c r="AC387" i="1" s="1"/>
  <c r="Z387" i="1"/>
  <c r="AD387" i="1" s="1"/>
  <c r="O381" i="1"/>
  <c r="O382" i="1" s="1"/>
  <c r="Z381" i="1"/>
  <c r="AD381" i="1" s="1"/>
  <c r="Z384" i="1"/>
  <c r="AD384" i="1" s="1"/>
  <c r="Y379" i="1"/>
  <c r="AC379" i="1" s="1"/>
  <c r="Z379" i="1"/>
  <c r="AD379" i="1" s="1"/>
  <c r="Z377" i="1"/>
  <c r="AD377" i="1" s="1"/>
  <c r="O373" i="1"/>
  <c r="O374" i="1" s="1"/>
  <c r="Z373" i="1"/>
  <c r="AA373" i="1" s="1"/>
  <c r="AE373" i="1" s="1"/>
  <c r="Z375" i="1"/>
  <c r="AD375" i="1" s="1"/>
  <c r="Y371" i="1"/>
  <c r="AC371" i="1" s="1"/>
  <c r="Z365" i="1"/>
  <c r="AA365" i="1" s="1"/>
  <c r="AE365" i="1" s="1"/>
  <c r="Z368" i="1"/>
  <c r="AD368" i="1" s="1"/>
  <c r="Z367" i="1"/>
  <c r="AD367" i="1" s="1"/>
  <c r="Z363" i="1"/>
  <c r="AD363" i="1" s="1"/>
  <c r="Y363" i="1"/>
  <c r="AC363" i="1" s="1"/>
  <c r="Z358" i="1"/>
  <c r="AD358" i="1" s="1"/>
  <c r="Z357" i="1"/>
  <c r="AA357" i="1" s="1"/>
  <c r="AE357" i="1" s="1"/>
  <c r="Z360" i="1"/>
  <c r="AD360" i="1" s="1"/>
  <c r="Z353" i="1"/>
  <c r="AD353" i="1" s="1"/>
  <c r="Y355" i="1"/>
  <c r="AC355" i="1" s="1"/>
  <c r="Z355" i="1"/>
  <c r="AD355" i="1" s="1"/>
  <c r="O343" i="1"/>
  <c r="V342" i="1"/>
  <c r="Y347" i="1"/>
  <c r="AC347" i="1" s="1"/>
  <c r="Z347" i="1"/>
  <c r="AD347" i="1" s="1"/>
  <c r="Z342" i="1"/>
  <c r="AD342" i="1" s="1"/>
  <c r="Z341" i="1"/>
  <c r="AA341" i="1" s="1"/>
  <c r="AE341" i="1" s="1"/>
  <c r="Z344" i="1"/>
  <c r="AD344" i="1" s="1"/>
  <c r="Z338" i="1"/>
  <c r="AD338" i="1" s="1"/>
  <c r="Z339" i="1"/>
  <c r="AD339" i="1" s="1"/>
  <c r="Y339" i="1"/>
  <c r="AC339" i="1" s="1"/>
  <c r="O333" i="1"/>
  <c r="O334" i="1" s="1"/>
  <c r="Z333" i="1"/>
  <c r="AA333" i="1" s="1"/>
  <c r="AE333" i="1" s="1"/>
  <c r="Z336" i="1"/>
  <c r="AD336" i="1" s="1"/>
  <c r="Z327" i="1"/>
  <c r="AD327" i="1" s="1"/>
  <c r="Z330" i="1"/>
  <c r="AD330" i="1" s="1"/>
  <c r="Y331" i="1"/>
  <c r="AC331" i="1" s="1"/>
  <c r="Z331" i="1"/>
  <c r="AD331" i="1" s="1"/>
  <c r="Z325" i="1"/>
  <c r="AD325" i="1" s="1"/>
  <c r="Z328" i="1"/>
  <c r="AD328" i="1" s="1"/>
  <c r="Z321" i="1"/>
  <c r="AD321" i="1" s="1"/>
  <c r="Y323" i="1"/>
  <c r="AC323" i="1" s="1"/>
  <c r="Z323" i="1"/>
  <c r="AD323" i="1" s="1"/>
  <c r="O317" i="1"/>
  <c r="O318" i="1" s="1"/>
  <c r="Y315" i="1"/>
  <c r="AC315" i="1" s="1"/>
  <c r="Z309" i="1"/>
  <c r="AD309" i="1" s="1"/>
  <c r="Z310" i="1"/>
  <c r="AD310" i="1" s="1"/>
  <c r="O309" i="1"/>
  <c r="Z312" i="1"/>
  <c r="AD312" i="1" s="1"/>
  <c r="Z305" i="1"/>
  <c r="AD305" i="1" s="1"/>
  <c r="Y307" i="1"/>
  <c r="AC307" i="1" s="1"/>
  <c r="Z307" i="1"/>
  <c r="AD307" i="1" s="1"/>
  <c r="O301" i="1"/>
  <c r="O302" i="1" s="1"/>
  <c r="Z301" i="1"/>
  <c r="AD301" i="1" s="1"/>
  <c r="Z303" i="1"/>
  <c r="AD303" i="1" s="1"/>
  <c r="Z299" i="1"/>
  <c r="AD299" i="1" s="1"/>
  <c r="Y299" i="1"/>
  <c r="AC299" i="1" s="1"/>
  <c r="Z294" i="1"/>
  <c r="AD294" i="1" s="1"/>
  <c r="Z293" i="1"/>
  <c r="AD293" i="1" s="1"/>
  <c r="Z296" i="1"/>
  <c r="AD296" i="1" s="1"/>
  <c r="Z291" i="1"/>
  <c r="AD291" i="1" s="1"/>
  <c r="Y291" i="1"/>
  <c r="AC291" i="1" s="1"/>
  <c r="Z286" i="1"/>
  <c r="AD286" i="1" s="1"/>
  <c r="Z285" i="1"/>
  <c r="AA285" i="1" s="1"/>
  <c r="AE285" i="1" s="1"/>
  <c r="Z288" i="1"/>
  <c r="AD288" i="1" s="1"/>
  <c r="Z282" i="1"/>
  <c r="AD282" i="1" s="1"/>
  <c r="Y283" i="1"/>
  <c r="AC283" i="1" s="1"/>
  <c r="Z283" i="1"/>
  <c r="AD283" i="1" s="1"/>
  <c r="Z277" i="1"/>
  <c r="AD277" i="1" s="1"/>
  <c r="Z280" i="1"/>
  <c r="AD280" i="1" s="1"/>
  <c r="Z279" i="1"/>
  <c r="AD279" i="1" s="1"/>
  <c r="Z275" i="1"/>
  <c r="AD275" i="1" s="1"/>
  <c r="Y275" i="1"/>
  <c r="AC275" i="1" s="1"/>
  <c r="Z269" i="1"/>
  <c r="AA269" i="1" s="1"/>
  <c r="AE269" i="1" s="1"/>
  <c r="Z270" i="1"/>
  <c r="AD270" i="1" s="1"/>
  <c r="Z272" i="1"/>
  <c r="AD272" i="1" s="1"/>
  <c r="Y267" i="1"/>
  <c r="AC267" i="1" s="1"/>
  <c r="Z261" i="1"/>
  <c r="AD261" i="1" s="1"/>
  <c r="Z262" i="1"/>
  <c r="AD262" i="1" s="1"/>
  <c r="Z253" i="1"/>
  <c r="AA253" i="1" s="1"/>
  <c r="AE253" i="1" s="1"/>
  <c r="T259" i="1"/>
  <c r="Y251" i="1"/>
  <c r="AC251" i="1" s="1"/>
  <c r="Z243" i="1"/>
  <c r="AD243" i="1" s="1"/>
  <c r="Y243" i="1"/>
  <c r="AC243" i="1" s="1"/>
  <c r="Z251" i="1"/>
  <c r="AD251" i="1" s="1"/>
  <c r="Z238" i="1"/>
  <c r="AD238" i="1" s="1"/>
  <c r="Z246" i="1"/>
  <c r="AD246" i="1" s="1"/>
  <c r="Z237" i="1"/>
  <c r="AD237" i="1" s="1"/>
  <c r="Z240" i="1"/>
  <c r="AD240" i="1" s="1"/>
  <c r="Z245" i="1"/>
  <c r="AD245" i="1" s="1"/>
  <c r="Z248" i="1"/>
  <c r="AD248" i="1" s="1"/>
  <c r="Z229" i="1"/>
  <c r="AD229" i="1" s="1"/>
  <c r="T235" i="1"/>
  <c r="Z230" i="1"/>
  <c r="AD230" i="1" s="1"/>
  <c r="Y227" i="1"/>
  <c r="AC227" i="1" s="1"/>
  <c r="Z227" i="1"/>
  <c r="AD227" i="1" s="1"/>
  <c r="Z221" i="1"/>
  <c r="AD221" i="1" s="1"/>
  <c r="Z224" i="1"/>
  <c r="AD224" i="1" s="1"/>
  <c r="Z223" i="1"/>
  <c r="AD223" i="1" s="1"/>
  <c r="O215" i="1"/>
  <c r="V214" i="1"/>
  <c r="Z216" i="1"/>
  <c r="AD216" i="1" s="1"/>
  <c r="Z219" i="1"/>
  <c r="AD219" i="1" s="1"/>
  <c r="Y219" i="1"/>
  <c r="AC219" i="1" s="1"/>
  <c r="Z214" i="1"/>
  <c r="AD214" i="1" s="1"/>
  <c r="Z213" i="1"/>
  <c r="AD213" i="1" s="1"/>
  <c r="Z209" i="1"/>
  <c r="AD209" i="1" s="1"/>
  <c r="Y211" i="1"/>
  <c r="AC211" i="1" s="1"/>
  <c r="Z211" i="1"/>
  <c r="AD211" i="1" s="1"/>
  <c r="O205" i="1"/>
  <c r="O206" i="1" s="1"/>
  <c r="Z199" i="1"/>
  <c r="AD199" i="1" s="1"/>
  <c r="Z202" i="1"/>
  <c r="AD202" i="1" s="1"/>
  <c r="V198" i="1"/>
  <c r="O199" i="1"/>
  <c r="Y203" i="1"/>
  <c r="AC203" i="1" s="1"/>
  <c r="Z203" i="1"/>
  <c r="AD203" i="1" s="1"/>
  <c r="Z197" i="1"/>
  <c r="AD197" i="1" s="1"/>
  <c r="Z200" i="1"/>
  <c r="AD200" i="1" s="1"/>
  <c r="Z195" i="1"/>
  <c r="AD195" i="1" s="1"/>
  <c r="Y195" i="1"/>
  <c r="AC195" i="1" s="1"/>
  <c r="Z190" i="1"/>
  <c r="AD190" i="1" s="1"/>
  <c r="Z192" i="1"/>
  <c r="AD192" i="1" s="1"/>
  <c r="Y187" i="1"/>
  <c r="AC187" i="1" s="1"/>
  <c r="Z187" i="1"/>
  <c r="AD187" i="1" s="1"/>
  <c r="O182" i="1"/>
  <c r="Z183" i="1"/>
  <c r="AD183" i="1" s="1"/>
  <c r="Z186" i="1"/>
  <c r="AD186" i="1" s="1"/>
  <c r="Y179" i="1"/>
  <c r="AC179" i="1" s="1"/>
  <c r="Z171" i="1"/>
  <c r="AD171" i="1" s="1"/>
  <c r="Y171" i="1"/>
  <c r="AC171" i="1" s="1"/>
  <c r="Z175" i="1"/>
  <c r="AD175" i="1" s="1"/>
  <c r="Z166" i="1"/>
  <c r="AD166" i="1" s="1"/>
  <c r="Z165" i="1"/>
  <c r="AA165" i="1" s="1"/>
  <c r="AE165" i="1" s="1"/>
  <c r="Z168" i="1"/>
  <c r="AD168" i="1" s="1"/>
  <c r="O173" i="1"/>
  <c r="Z173" i="1"/>
  <c r="AA173" i="1" s="1"/>
  <c r="AE173" i="1" s="1"/>
  <c r="Z176" i="1"/>
  <c r="AD176" i="1" s="1"/>
  <c r="Y163" i="1"/>
  <c r="AC163" i="1" s="1"/>
  <c r="Z163" i="1"/>
  <c r="AD163" i="1" s="1"/>
  <c r="Z158" i="1"/>
  <c r="AD158" i="1" s="1"/>
  <c r="Z157" i="1"/>
  <c r="AA157" i="1" s="1"/>
  <c r="AE157" i="1" s="1"/>
  <c r="Z160" i="1"/>
  <c r="AD160" i="1" s="1"/>
  <c r="AD154" i="1"/>
  <c r="Z155" i="1"/>
  <c r="AD155" i="1" s="1"/>
  <c r="Y155" i="1"/>
  <c r="AC155" i="1" s="1"/>
  <c r="Z150" i="1"/>
  <c r="AD150" i="1" s="1"/>
  <c r="Z149" i="1"/>
  <c r="AD149" i="1" s="1"/>
  <c r="Z152" i="1"/>
  <c r="AD152" i="1" s="1"/>
  <c r="Z146" i="1"/>
  <c r="AD146" i="1" s="1"/>
  <c r="Y147" i="1"/>
  <c r="AC147" i="1" s="1"/>
  <c r="Z147" i="1"/>
  <c r="AD147" i="1" s="1"/>
  <c r="Z141" i="1"/>
  <c r="AA141" i="1" s="1"/>
  <c r="AE141" i="1" s="1"/>
  <c r="Z144" i="1"/>
  <c r="AD144" i="1" s="1"/>
  <c r="AD136" i="1"/>
  <c r="Z137" i="1"/>
  <c r="AD137" i="1" s="1"/>
  <c r="Y139" i="1"/>
  <c r="AC139" i="1" s="1"/>
  <c r="Z133" i="1"/>
  <c r="AD133" i="1" s="1"/>
  <c r="Z138" i="1"/>
  <c r="AD138" i="1" s="1"/>
  <c r="Y131" i="1"/>
  <c r="AC131" i="1" s="1"/>
  <c r="Z131" i="1"/>
  <c r="AD131" i="1" s="1"/>
  <c r="O125" i="1"/>
  <c r="Z125" i="1"/>
  <c r="AA125" i="1" s="1"/>
  <c r="AE125" i="1" s="1"/>
  <c r="Z127" i="1"/>
  <c r="AD127" i="1" s="1"/>
  <c r="Y123" i="1"/>
  <c r="AC123" i="1" s="1"/>
  <c r="Z123" i="1"/>
  <c r="AD123" i="1" s="1"/>
  <c r="Z119" i="1"/>
  <c r="AD119" i="1" s="1"/>
  <c r="O117" i="1"/>
  <c r="O118" i="1" s="1"/>
  <c r="Z117" i="1"/>
  <c r="AD117" i="1" s="1"/>
  <c r="Z120" i="1"/>
  <c r="AD120" i="1" s="1"/>
  <c r="Z109" i="1"/>
  <c r="T115" i="1"/>
  <c r="Z110" i="1"/>
  <c r="AD110" i="1" s="1"/>
  <c r="Y107" i="1"/>
  <c r="AC107" i="1" s="1"/>
  <c r="Z107" i="1"/>
  <c r="AD107" i="1" s="1"/>
  <c r="Z103" i="1"/>
  <c r="AD103" i="1" s="1"/>
  <c r="Z106" i="1"/>
  <c r="AD106" i="1" s="1"/>
  <c r="Z101" i="1"/>
  <c r="AA101" i="1" s="1"/>
  <c r="AE101" i="1" s="1"/>
  <c r="Z104" i="1"/>
  <c r="AD104" i="1" s="1"/>
  <c r="Y99" i="1"/>
  <c r="AC99" i="1" s="1"/>
  <c r="Z93" i="1"/>
  <c r="AA93" i="1" s="1"/>
  <c r="AE93" i="1" s="1"/>
  <c r="Z94" i="1"/>
  <c r="AD94" i="1" s="1"/>
  <c r="O93" i="1"/>
  <c r="O94" i="1" s="1"/>
  <c r="Z96" i="1"/>
  <c r="AD96" i="1" s="1"/>
  <c r="Z90" i="1"/>
  <c r="AD90" i="1" s="1"/>
  <c r="Y91" i="1"/>
  <c r="AC91" i="1" s="1"/>
  <c r="Z91" i="1"/>
  <c r="AD91" i="1" s="1"/>
  <c r="O85" i="1"/>
  <c r="O86" i="1" s="1"/>
  <c r="Z85" i="1"/>
  <c r="AD85" i="1" s="1"/>
  <c r="Z88" i="1"/>
  <c r="AD88" i="1" s="1"/>
  <c r="Z87" i="1"/>
  <c r="AD87" i="1" s="1"/>
  <c r="Z80" i="1"/>
  <c r="AD80" i="1" s="1"/>
  <c r="Z77" i="1"/>
  <c r="AA77" i="1" s="1"/>
  <c r="AE77" i="1" s="1"/>
  <c r="T83" i="1"/>
  <c r="Z69" i="1"/>
  <c r="AA69" i="1" s="1"/>
  <c r="AE69" i="1" s="1"/>
  <c r="Z75" i="1"/>
  <c r="AD75" i="1" s="1"/>
  <c r="Y75" i="1"/>
  <c r="Y67" i="1"/>
  <c r="AC67" i="1" s="1"/>
  <c r="Z67" i="1"/>
  <c r="AD67" i="1" s="1"/>
  <c r="O61" i="1"/>
  <c r="O62" i="1" s="1"/>
  <c r="Z61" i="1"/>
  <c r="AA61" i="1" s="1"/>
  <c r="AE61" i="1" s="1"/>
  <c r="U51" i="1"/>
  <c r="S51" i="1"/>
  <c r="X51" i="1" s="1"/>
  <c r="T51" i="1"/>
  <c r="U50" i="1"/>
  <c r="S50" i="1"/>
  <c r="X50" i="1" s="1"/>
  <c r="P50" i="1"/>
  <c r="U49" i="1"/>
  <c r="S49" i="1"/>
  <c r="X49" i="1" s="1"/>
  <c r="U48" i="1"/>
  <c r="S48" i="1"/>
  <c r="X48" i="1" s="1"/>
  <c r="U47" i="1"/>
  <c r="S47" i="1"/>
  <c r="X47" i="1" s="1"/>
  <c r="U46" i="1"/>
  <c r="S46" i="1"/>
  <c r="X46" i="1" s="1"/>
  <c r="U45" i="1"/>
  <c r="S45" i="1"/>
  <c r="X45" i="1" s="1"/>
  <c r="O45" i="1"/>
  <c r="AC75" i="1" l="1"/>
  <c r="AA109" i="1"/>
  <c r="AD415" i="1"/>
  <c r="Z50" i="1"/>
  <c r="AD50" i="1" s="1"/>
  <c r="V102" i="1"/>
  <c r="V103" i="1" s="1"/>
  <c r="AA189" i="1"/>
  <c r="AE189" i="1" s="1"/>
  <c r="O327" i="1"/>
  <c r="O328" i="1" s="1"/>
  <c r="AA317" i="1"/>
  <c r="AE317" i="1" s="1"/>
  <c r="Z59" i="1"/>
  <c r="AD59" i="1" s="1"/>
  <c r="AA349" i="1"/>
  <c r="AE349" i="1" s="1"/>
  <c r="AD205" i="1"/>
  <c r="AD285" i="1"/>
  <c r="AA325" i="1"/>
  <c r="AE325" i="1" s="1"/>
  <c r="AD125" i="1"/>
  <c r="AA213" i="1"/>
  <c r="AE213" i="1" s="1"/>
  <c r="AD269" i="1"/>
  <c r="AD333" i="1"/>
  <c r="O79" i="1"/>
  <c r="V79" i="1" s="1"/>
  <c r="AD53" i="1"/>
  <c r="Z47" i="1"/>
  <c r="AD47" i="1" s="1"/>
  <c r="V294" i="1"/>
  <c r="AA294" i="1" s="1"/>
  <c r="AE294" i="1" s="1"/>
  <c r="AA397" i="1"/>
  <c r="AE397" i="1" s="1"/>
  <c r="AD93" i="1"/>
  <c r="AD173" i="1"/>
  <c r="AA197" i="1"/>
  <c r="AE197" i="1" s="1"/>
  <c r="AA301" i="1"/>
  <c r="AE301" i="1" s="1"/>
  <c r="AD77" i="1"/>
  <c r="AD413" i="1"/>
  <c r="AA405" i="1"/>
  <c r="AE405" i="1" s="1"/>
  <c r="AA390" i="1"/>
  <c r="AE390" i="1" s="1"/>
  <c r="AD389" i="1"/>
  <c r="AA381" i="1"/>
  <c r="AE381" i="1" s="1"/>
  <c r="O383" i="1"/>
  <c r="V382" i="1"/>
  <c r="O375" i="1"/>
  <c r="V374" i="1"/>
  <c r="AD373" i="1"/>
  <c r="AD365" i="1"/>
  <c r="AD357" i="1"/>
  <c r="AD341" i="1"/>
  <c r="AA342" i="1"/>
  <c r="AE342" i="1" s="1"/>
  <c r="O344" i="1"/>
  <c r="V343" i="1"/>
  <c r="O335" i="1"/>
  <c r="V334" i="1"/>
  <c r="AA326" i="1"/>
  <c r="AE326" i="1" s="1"/>
  <c r="O319" i="1"/>
  <c r="V318" i="1"/>
  <c r="AA309" i="1"/>
  <c r="AE309" i="1" s="1"/>
  <c r="V302" i="1"/>
  <c r="O303" i="1"/>
  <c r="AA293" i="1"/>
  <c r="AE293" i="1" s="1"/>
  <c r="O296" i="1"/>
  <c r="AA277" i="1"/>
  <c r="AE277" i="1" s="1"/>
  <c r="AA261" i="1"/>
  <c r="AE261" i="1" s="1"/>
  <c r="Z259" i="1"/>
  <c r="AD259" i="1" s="1"/>
  <c r="Y259" i="1"/>
  <c r="AC259" i="1" s="1"/>
  <c r="AD253" i="1"/>
  <c r="AA237" i="1"/>
  <c r="AE237" i="1" s="1"/>
  <c r="AA245" i="1"/>
  <c r="AE245" i="1" s="1"/>
  <c r="Z235" i="1"/>
  <c r="AD235" i="1" s="1"/>
  <c r="Y235" i="1"/>
  <c r="AC235" i="1" s="1"/>
  <c r="AA229" i="1"/>
  <c r="AE229" i="1" s="1"/>
  <c r="AA221" i="1"/>
  <c r="AE221" i="1" s="1"/>
  <c r="V215" i="1"/>
  <c r="O216" i="1"/>
  <c r="AA214" i="1"/>
  <c r="AE214" i="1" s="1"/>
  <c r="O207" i="1"/>
  <c r="V206" i="1"/>
  <c r="AA198" i="1"/>
  <c r="AE198" i="1" s="1"/>
  <c r="O200" i="1"/>
  <c r="V199" i="1"/>
  <c r="V182" i="1"/>
  <c r="O183" i="1"/>
  <c r="AD165" i="1"/>
  <c r="AD157" i="1"/>
  <c r="AA149" i="1"/>
  <c r="AD141" i="1"/>
  <c r="AA133" i="1"/>
  <c r="AE133" i="1" s="1"/>
  <c r="V118" i="1"/>
  <c r="O119" i="1"/>
  <c r="AA117" i="1"/>
  <c r="AE117" i="1" s="1"/>
  <c r="Y115" i="1"/>
  <c r="AC115" i="1" s="1"/>
  <c r="Z115" i="1"/>
  <c r="AD115" i="1" s="1"/>
  <c r="AD109" i="1"/>
  <c r="AD101" i="1"/>
  <c r="O104" i="1"/>
  <c r="O95" i="1"/>
  <c r="V94" i="1"/>
  <c r="V86" i="1"/>
  <c r="O87" i="1"/>
  <c r="AA85" i="1"/>
  <c r="AE85" i="1" s="1"/>
  <c r="AA78" i="1"/>
  <c r="Y83" i="1"/>
  <c r="AC83" i="1" s="1"/>
  <c r="Z83" i="1"/>
  <c r="AD83" i="1" s="1"/>
  <c r="AD69" i="1"/>
  <c r="V62" i="1"/>
  <c r="O63" i="1"/>
  <c r="AD61" i="1"/>
  <c r="Z49" i="1"/>
  <c r="AD49" i="1" s="1"/>
  <c r="Z46" i="1"/>
  <c r="AD46" i="1" s="1"/>
  <c r="O46" i="1"/>
  <c r="O47" i="1" s="1"/>
  <c r="Y51" i="1"/>
  <c r="Z51" i="1"/>
  <c r="AD51" i="1" s="1"/>
  <c r="Z45" i="1"/>
  <c r="AD45" i="1" s="1"/>
  <c r="Z48" i="1"/>
  <c r="AD48" i="1" s="1"/>
  <c r="AE109" i="1" l="1"/>
  <c r="AC51" i="1"/>
  <c r="AE78" i="1"/>
  <c r="AA102" i="1"/>
  <c r="AE102" i="1" s="1"/>
  <c r="AE149" i="1"/>
  <c r="V327" i="1"/>
  <c r="AA327" i="1" s="1"/>
  <c r="AE327" i="1" s="1"/>
  <c r="V295" i="1"/>
  <c r="V296" i="1" s="1"/>
  <c r="V46" i="1"/>
  <c r="O80" i="1"/>
  <c r="O81" i="1" s="1"/>
  <c r="O384" i="1"/>
  <c r="V383" i="1"/>
  <c r="AA382" i="1"/>
  <c r="AE382" i="1" s="1"/>
  <c r="AA374" i="1"/>
  <c r="AE374" i="1" s="1"/>
  <c r="O376" i="1"/>
  <c r="V375" i="1"/>
  <c r="O345" i="1"/>
  <c r="V344" i="1"/>
  <c r="AA343" i="1"/>
  <c r="AE343" i="1" s="1"/>
  <c r="O336" i="1"/>
  <c r="V335" i="1"/>
  <c r="AA334" i="1"/>
  <c r="AE334" i="1" s="1"/>
  <c r="O329" i="1"/>
  <c r="AA318" i="1"/>
  <c r="AE318" i="1" s="1"/>
  <c r="O320" i="1"/>
  <c r="V319" i="1"/>
  <c r="AA302" i="1"/>
  <c r="AE302" i="1" s="1"/>
  <c r="O304" i="1"/>
  <c r="V303" i="1"/>
  <c r="O297" i="1"/>
  <c r="O217" i="1"/>
  <c r="V216" i="1"/>
  <c r="AA215" i="1"/>
  <c r="AE215" i="1" s="1"/>
  <c r="AA206" i="1"/>
  <c r="AE206" i="1" s="1"/>
  <c r="O208" i="1"/>
  <c r="V207" i="1"/>
  <c r="AA199" i="1"/>
  <c r="AE199" i="1" s="1"/>
  <c r="O201" i="1"/>
  <c r="V200" i="1"/>
  <c r="O184" i="1"/>
  <c r="V183" i="1"/>
  <c r="AA182" i="1"/>
  <c r="AE182" i="1" s="1"/>
  <c r="O120" i="1"/>
  <c r="V119" i="1"/>
  <c r="AA118" i="1"/>
  <c r="AE118" i="1" s="1"/>
  <c r="AA103" i="1"/>
  <c r="AE103" i="1" s="1"/>
  <c r="O105" i="1"/>
  <c r="V104" i="1"/>
  <c r="AA94" i="1"/>
  <c r="AE94" i="1" s="1"/>
  <c r="O96" i="1"/>
  <c r="V95" i="1"/>
  <c r="AA86" i="1"/>
  <c r="AE86" i="1" s="1"/>
  <c r="O88" i="1"/>
  <c r="V87" i="1"/>
  <c r="AA79" i="1"/>
  <c r="O64" i="1"/>
  <c r="V63" i="1"/>
  <c r="AA62" i="1"/>
  <c r="AE62" i="1" s="1"/>
  <c r="O48" i="1"/>
  <c r="AA45" i="1"/>
  <c r="AE45" i="1" s="1"/>
  <c r="AA46" i="1" l="1"/>
  <c r="AE79" i="1"/>
  <c r="V328" i="1"/>
  <c r="AA328" i="1" s="1"/>
  <c r="AE328" i="1" s="1"/>
  <c r="AA295" i="1"/>
  <c r="AE295" i="1" s="1"/>
  <c r="V47" i="1"/>
  <c r="V80" i="1"/>
  <c r="AA383" i="1"/>
  <c r="AE383" i="1" s="1"/>
  <c r="V384" i="1"/>
  <c r="O377" i="1"/>
  <c r="V376" i="1"/>
  <c r="AA375" i="1"/>
  <c r="AE375" i="1" s="1"/>
  <c r="AA344" i="1"/>
  <c r="AE344" i="1" s="1"/>
  <c r="V345" i="1"/>
  <c r="O346" i="1"/>
  <c r="AA335" i="1"/>
  <c r="AE335" i="1" s="1"/>
  <c r="O337" i="1"/>
  <c r="V336" i="1"/>
  <c r="O330" i="1"/>
  <c r="AA319" i="1"/>
  <c r="AE319" i="1" s="1"/>
  <c r="O321" i="1"/>
  <c r="V320" i="1"/>
  <c r="AA303" i="1"/>
  <c r="AE303" i="1" s="1"/>
  <c r="V304" i="1"/>
  <c r="O305" i="1"/>
  <c r="AA296" i="1"/>
  <c r="AE296" i="1" s="1"/>
  <c r="V297" i="1"/>
  <c r="O298" i="1"/>
  <c r="AA216" i="1"/>
  <c r="AE216" i="1" s="1"/>
  <c r="O218" i="1"/>
  <c r="V217" i="1"/>
  <c r="AA207" i="1"/>
  <c r="AE207" i="1" s="1"/>
  <c r="O209" i="1"/>
  <c r="V208" i="1"/>
  <c r="AA200" i="1"/>
  <c r="AE200" i="1" s="1"/>
  <c r="V201" i="1"/>
  <c r="O202" i="1"/>
  <c r="AA183" i="1"/>
  <c r="V184" i="1"/>
  <c r="O185" i="1"/>
  <c r="AA119" i="1"/>
  <c r="AE119" i="1" s="1"/>
  <c r="O121" i="1"/>
  <c r="V120" i="1"/>
  <c r="AA104" i="1"/>
  <c r="AE104" i="1" s="1"/>
  <c r="V105" i="1"/>
  <c r="O106" i="1"/>
  <c r="AA95" i="1"/>
  <c r="AE95" i="1" s="1"/>
  <c r="O97" i="1"/>
  <c r="V96" i="1"/>
  <c r="AA87" i="1"/>
  <c r="AE87" i="1" s="1"/>
  <c r="O89" i="1"/>
  <c r="V88" i="1"/>
  <c r="O82" i="1"/>
  <c r="AA63" i="1"/>
  <c r="AE63" i="1" s="1"/>
  <c r="O65" i="1"/>
  <c r="V64" i="1"/>
  <c r="O49" i="1"/>
  <c r="AE183" i="1" l="1"/>
  <c r="AE46" i="1"/>
  <c r="V329" i="1"/>
  <c r="AA329" i="1" s="1"/>
  <c r="AE329" i="1" s="1"/>
  <c r="AA47" i="1"/>
  <c r="V81" i="1"/>
  <c r="AA81" i="1" s="1"/>
  <c r="AE81" i="1" s="1"/>
  <c r="V48" i="1"/>
  <c r="AA48" i="1" s="1"/>
  <c r="AE48" i="1" s="1"/>
  <c r="AA80" i="1"/>
  <c r="AA384" i="1"/>
  <c r="AE384" i="1" s="1"/>
  <c r="AA376" i="1"/>
  <c r="AE376" i="1" s="1"/>
  <c r="V377" i="1"/>
  <c r="O378" i="1"/>
  <c r="O347" i="1"/>
  <c r="V346" i="1"/>
  <c r="AA345" i="1"/>
  <c r="AE345" i="1" s="1"/>
  <c r="AA336" i="1"/>
  <c r="AE336" i="1" s="1"/>
  <c r="V337" i="1"/>
  <c r="O338" i="1"/>
  <c r="O331" i="1"/>
  <c r="AA320" i="1"/>
  <c r="AE320" i="1" s="1"/>
  <c r="V321" i="1"/>
  <c r="O322" i="1"/>
  <c r="V305" i="1"/>
  <c r="O306" i="1"/>
  <c r="AA304" i="1"/>
  <c r="AE304" i="1" s="1"/>
  <c r="O299" i="1"/>
  <c r="V298" i="1"/>
  <c r="AA297" i="1"/>
  <c r="AE297" i="1" s="1"/>
  <c r="AA217" i="1"/>
  <c r="O219" i="1"/>
  <c r="V218" i="1"/>
  <c r="AA208" i="1"/>
  <c r="AE208" i="1" s="1"/>
  <c r="V209" i="1"/>
  <c r="O210" i="1"/>
  <c r="O203" i="1"/>
  <c r="V202" i="1"/>
  <c r="AA201" i="1"/>
  <c r="AE201" i="1" s="1"/>
  <c r="V185" i="1"/>
  <c r="O186" i="1"/>
  <c r="AA184" i="1"/>
  <c r="AA120" i="1"/>
  <c r="AE120" i="1" s="1"/>
  <c r="V121" i="1"/>
  <c r="O122" i="1"/>
  <c r="O107" i="1"/>
  <c r="V106" i="1"/>
  <c r="AA105" i="1"/>
  <c r="AE105" i="1" s="1"/>
  <c r="AA96" i="1"/>
  <c r="AE96" i="1" s="1"/>
  <c r="V97" i="1"/>
  <c r="O98" i="1"/>
  <c r="V89" i="1"/>
  <c r="O90" i="1"/>
  <c r="AA88" i="1"/>
  <c r="AE88" i="1" s="1"/>
  <c r="O83" i="1"/>
  <c r="AA64" i="1"/>
  <c r="AE64" i="1" s="1"/>
  <c r="V65" i="1"/>
  <c r="O66" i="1"/>
  <c r="O50" i="1"/>
  <c r="AE217" i="1" l="1"/>
  <c r="V330" i="1"/>
  <c r="AA330" i="1" s="1"/>
  <c r="AE330" i="1" s="1"/>
  <c r="V49" i="1"/>
  <c r="AA49" i="1" s="1"/>
  <c r="AE49" i="1" s="1"/>
  <c r="V82" i="1"/>
  <c r="V83" i="1" s="1"/>
  <c r="AE184" i="1"/>
  <c r="AE80" i="1"/>
  <c r="AE47" i="1"/>
  <c r="O379" i="1"/>
  <c r="V378" i="1"/>
  <c r="AA377" i="1"/>
  <c r="AE377" i="1" s="1"/>
  <c r="AA346" i="1"/>
  <c r="AE346" i="1" s="1"/>
  <c r="P347" i="1"/>
  <c r="P344" i="1"/>
  <c r="V347" i="1"/>
  <c r="O339" i="1"/>
  <c r="V338" i="1"/>
  <c r="AA337" i="1"/>
  <c r="AE337" i="1" s="1"/>
  <c r="P331" i="1"/>
  <c r="P328" i="1"/>
  <c r="O323" i="1"/>
  <c r="V322" i="1"/>
  <c r="AA321" i="1"/>
  <c r="AE321" i="1" s="1"/>
  <c r="O307" i="1"/>
  <c r="V306" i="1"/>
  <c r="AA305" i="1"/>
  <c r="AE305" i="1" s="1"/>
  <c r="AA298" i="1"/>
  <c r="AE298" i="1" s="1"/>
  <c r="P299" i="1"/>
  <c r="P296" i="1"/>
  <c r="V299" i="1"/>
  <c r="AA218" i="1"/>
  <c r="P219" i="1"/>
  <c r="P216" i="1"/>
  <c r="V219" i="1"/>
  <c r="O211" i="1"/>
  <c r="V210" i="1"/>
  <c r="AA209" i="1"/>
  <c r="AE209" i="1" s="1"/>
  <c r="AA202" i="1"/>
  <c r="AE202" i="1" s="1"/>
  <c r="P203" i="1"/>
  <c r="P200" i="1"/>
  <c r="V203" i="1"/>
  <c r="O187" i="1"/>
  <c r="V186" i="1"/>
  <c r="AA185" i="1"/>
  <c r="O123" i="1"/>
  <c r="V122" i="1"/>
  <c r="AA121" i="1"/>
  <c r="AE121" i="1" s="1"/>
  <c r="AA106" i="1"/>
  <c r="AE106" i="1" s="1"/>
  <c r="P107" i="1"/>
  <c r="P104" i="1"/>
  <c r="V107" i="1"/>
  <c r="O99" i="1"/>
  <c r="V98" i="1"/>
  <c r="AA97" i="1"/>
  <c r="AE97" i="1" s="1"/>
  <c r="AA89" i="1"/>
  <c r="AE89" i="1" s="1"/>
  <c r="O91" i="1"/>
  <c r="V90" i="1"/>
  <c r="P83" i="1"/>
  <c r="P80" i="1"/>
  <c r="O67" i="1"/>
  <c r="V66" i="1"/>
  <c r="AA65" i="1"/>
  <c r="AE65" i="1" s="1"/>
  <c r="O51" i="1"/>
  <c r="V331" i="1" l="1"/>
  <c r="AA331" i="1" s="1"/>
  <c r="AE331" i="1" s="1"/>
  <c r="V50" i="1"/>
  <c r="AA50" i="1" s="1"/>
  <c r="AE50" i="1" s="1"/>
  <c r="AE185" i="1"/>
  <c r="AA82" i="1"/>
  <c r="AE218" i="1"/>
  <c r="AA378" i="1"/>
  <c r="AE378" i="1" s="1"/>
  <c r="P379" i="1"/>
  <c r="V379" i="1"/>
  <c r="P376" i="1"/>
  <c r="AA347" i="1"/>
  <c r="AE347" i="1" s="1"/>
  <c r="AA338" i="1"/>
  <c r="AE338" i="1" s="1"/>
  <c r="P339" i="1"/>
  <c r="P336" i="1"/>
  <c r="V339" i="1"/>
  <c r="AA322" i="1"/>
  <c r="P323" i="1"/>
  <c r="P320" i="1"/>
  <c r="V323" i="1"/>
  <c r="AA306" i="1"/>
  <c r="AE306" i="1" s="1"/>
  <c r="V307" i="1"/>
  <c r="P307" i="1"/>
  <c r="P304" i="1"/>
  <c r="AA299" i="1"/>
  <c r="AE299" i="1" s="1"/>
  <c r="AA219" i="1"/>
  <c r="AE219" i="1" s="1"/>
  <c r="AA210" i="1"/>
  <c r="AE210" i="1" s="1"/>
  <c r="P208" i="1"/>
  <c r="V211" i="1"/>
  <c r="P211" i="1"/>
  <c r="AA203" i="1"/>
  <c r="AE203" i="1" s="1"/>
  <c r="AA186" i="1"/>
  <c r="AE186" i="1" s="1"/>
  <c r="P187" i="1"/>
  <c r="P184" i="1"/>
  <c r="V187" i="1"/>
  <c r="AA122" i="1"/>
  <c r="AE122" i="1" s="1"/>
  <c r="P123" i="1"/>
  <c r="P120" i="1"/>
  <c r="V123" i="1"/>
  <c r="AA107" i="1"/>
  <c r="AE107" i="1" s="1"/>
  <c r="AA98" i="1"/>
  <c r="AE98" i="1" s="1"/>
  <c r="P99" i="1"/>
  <c r="P96" i="1"/>
  <c r="V99" i="1"/>
  <c r="AA90" i="1"/>
  <c r="AE90" i="1" s="1"/>
  <c r="P91" i="1"/>
  <c r="P88" i="1"/>
  <c r="V91" i="1"/>
  <c r="AA83" i="1"/>
  <c r="AE83" i="1" s="1"/>
  <c r="AA66" i="1"/>
  <c r="AE66" i="1" s="1"/>
  <c r="V67" i="1"/>
  <c r="P67" i="1"/>
  <c r="P64" i="1"/>
  <c r="P51" i="1"/>
  <c r="P48" i="1"/>
  <c r="V51" i="1" l="1"/>
  <c r="AA51" i="1" s="1"/>
  <c r="AE51" i="1" s="1"/>
  <c r="AE82" i="1"/>
  <c r="AE322" i="1"/>
  <c r="AA379" i="1"/>
  <c r="AE379" i="1" s="1"/>
  <c r="AA339" i="1"/>
  <c r="AE339" i="1" s="1"/>
  <c r="AA323" i="1"/>
  <c r="AA307" i="1"/>
  <c r="AE307" i="1" s="1"/>
  <c r="AA211" i="1"/>
  <c r="AE211" i="1" s="1"/>
  <c r="AA187" i="1"/>
  <c r="AA123" i="1"/>
  <c r="AE123" i="1" s="1"/>
  <c r="AA99" i="1"/>
  <c r="AE99" i="1" s="1"/>
  <c r="AA91" i="1"/>
  <c r="AE91" i="1" s="1"/>
  <c r="AA67" i="1"/>
  <c r="AE67" i="1" s="1"/>
  <c r="AE187" i="1" l="1"/>
  <c r="AE323" i="1"/>
  <c r="U43" i="1" l="1"/>
  <c r="S43" i="1"/>
  <c r="X43" i="1" s="1"/>
  <c r="T43" i="1"/>
  <c r="U42" i="1"/>
  <c r="S42" i="1"/>
  <c r="X42" i="1" s="1"/>
  <c r="P42" i="1"/>
  <c r="U41" i="1"/>
  <c r="S41" i="1"/>
  <c r="X41" i="1" s="1"/>
  <c r="U40" i="1"/>
  <c r="S40" i="1"/>
  <c r="X40" i="1" s="1"/>
  <c r="U39" i="1"/>
  <c r="S39" i="1"/>
  <c r="X39" i="1" s="1"/>
  <c r="U38" i="1"/>
  <c r="S38" i="1"/>
  <c r="X38" i="1" s="1"/>
  <c r="U37" i="1"/>
  <c r="S37" i="1"/>
  <c r="X37" i="1" s="1"/>
  <c r="O37" i="1"/>
  <c r="B14" i="1"/>
  <c r="B22" i="1" s="1"/>
  <c r="B30" i="1" s="1"/>
  <c r="B38" i="1" s="1"/>
  <c r="B46" i="1" s="1"/>
  <c r="B54" i="1" s="1"/>
  <c r="B62" i="1" s="1"/>
  <c r="B70" i="1" s="1"/>
  <c r="B78" i="1" s="1"/>
  <c r="B86" i="1" s="1"/>
  <c r="B94" i="1" s="1"/>
  <c r="B102" i="1" s="1"/>
  <c r="B110" i="1" s="1"/>
  <c r="B118" i="1" s="1"/>
  <c r="B126" i="1" s="1"/>
  <c r="B134" i="1" s="1"/>
  <c r="B142" i="1" s="1"/>
  <c r="B150" i="1" s="1"/>
  <c r="B158" i="1" s="1"/>
  <c r="B166" i="1" s="1"/>
  <c r="B174" i="1" s="1"/>
  <c r="B182" i="1" s="1"/>
  <c r="B190" i="1" s="1"/>
  <c r="B198" i="1" s="1"/>
  <c r="B206" i="1" s="1"/>
  <c r="B214" i="1" s="1"/>
  <c r="B222" i="1" s="1"/>
  <c r="B230" i="1" s="1"/>
  <c r="B238" i="1" s="1"/>
  <c r="B246" i="1" s="1"/>
  <c r="B254" i="1" s="1"/>
  <c r="B262" i="1" s="1"/>
  <c r="B270" i="1" s="1"/>
  <c r="B278" i="1" s="1"/>
  <c r="B286" i="1" s="1"/>
  <c r="B294" i="1" s="1"/>
  <c r="B302" i="1" s="1"/>
  <c r="B310" i="1" s="1"/>
  <c r="B318" i="1" s="1"/>
  <c r="B326" i="1" s="1"/>
  <c r="B334" i="1" s="1"/>
  <c r="B342" i="1" s="1"/>
  <c r="B350" i="1" s="1"/>
  <c r="B358" i="1" s="1"/>
  <c r="B366" i="1" s="1"/>
  <c r="B374" i="1" s="1"/>
  <c r="B382" i="1" s="1"/>
  <c r="B390" i="1" s="1"/>
  <c r="B398" i="1" s="1"/>
  <c r="B406" i="1" s="1"/>
  <c r="B414" i="1" s="1"/>
  <c r="B422" i="1" s="1"/>
  <c r="U35" i="1"/>
  <c r="S35" i="1"/>
  <c r="X35" i="1" s="1"/>
  <c r="T35" i="1"/>
  <c r="U34" i="1"/>
  <c r="S34" i="1"/>
  <c r="X34" i="1" s="1"/>
  <c r="P34" i="1"/>
  <c r="U33" i="1"/>
  <c r="S33" i="1"/>
  <c r="X33" i="1" s="1"/>
  <c r="U32" i="1"/>
  <c r="S32" i="1"/>
  <c r="X32" i="1" s="1"/>
  <c r="U31" i="1"/>
  <c r="S31" i="1"/>
  <c r="X31" i="1" s="1"/>
  <c r="U30" i="1"/>
  <c r="S30" i="1"/>
  <c r="X30" i="1" s="1"/>
  <c r="U29" i="1"/>
  <c r="S29" i="1"/>
  <c r="X29" i="1" s="1"/>
  <c r="O29" i="1"/>
  <c r="D14" i="1"/>
  <c r="D15" i="1" s="1"/>
  <c r="D16" i="1" s="1"/>
  <c r="D17" i="1" s="1"/>
  <c r="D18" i="1" s="1"/>
  <c r="D19" i="1" s="1"/>
  <c r="D21" i="1" s="1"/>
  <c r="O30" i="1" l="1"/>
  <c r="V30" i="1" s="1"/>
  <c r="Z30" i="1"/>
  <c r="AD30" i="1" s="1"/>
  <c r="Z41" i="1"/>
  <c r="AD41" i="1" s="1"/>
  <c r="Z38" i="1"/>
  <c r="AD38" i="1" s="1"/>
  <c r="Z32" i="1"/>
  <c r="AD32" i="1" s="1"/>
  <c r="Z33" i="1"/>
  <c r="AD33" i="1" s="1"/>
  <c r="Z42" i="1"/>
  <c r="AD42" i="1" s="1"/>
  <c r="O38" i="1"/>
  <c r="O39" i="1" s="1"/>
  <c r="Z39" i="1"/>
  <c r="AD39" i="1" s="1"/>
  <c r="Y43" i="1"/>
  <c r="AC43" i="1" s="1"/>
  <c r="Z43" i="1"/>
  <c r="AD43" i="1" s="1"/>
  <c r="Z37" i="1"/>
  <c r="AA37" i="1" s="1"/>
  <c r="AE37" i="1" s="1"/>
  <c r="Z40" i="1"/>
  <c r="AD40" i="1" s="1"/>
  <c r="Z29" i="1"/>
  <c r="AD29" i="1" s="1"/>
  <c r="Z31" i="1"/>
  <c r="AD31" i="1" s="1"/>
  <c r="Z34" i="1"/>
  <c r="AD34" i="1" s="1"/>
  <c r="Y35" i="1"/>
  <c r="AC35" i="1" s="1"/>
  <c r="Z35" i="1"/>
  <c r="AD35" i="1" s="1"/>
  <c r="U27" i="1"/>
  <c r="S27" i="1"/>
  <c r="X27" i="1" s="1"/>
  <c r="T27" i="1"/>
  <c r="U26" i="1"/>
  <c r="S26" i="1"/>
  <c r="X26" i="1" s="1"/>
  <c r="P26" i="1"/>
  <c r="U25" i="1"/>
  <c r="S25" i="1"/>
  <c r="X25" i="1" s="1"/>
  <c r="U24" i="1"/>
  <c r="S24" i="1"/>
  <c r="X24" i="1" s="1"/>
  <c r="U23" i="1"/>
  <c r="S23" i="1"/>
  <c r="X23" i="1" s="1"/>
  <c r="U22" i="1"/>
  <c r="S22" i="1"/>
  <c r="X22" i="1" s="1"/>
  <c r="D22" i="1"/>
  <c r="D23" i="1" s="1"/>
  <c r="D24" i="1" s="1"/>
  <c r="D25" i="1" s="1"/>
  <c r="D26" i="1" s="1"/>
  <c r="D27" i="1" s="1"/>
  <c r="D29" i="1" s="1"/>
  <c r="D30" i="1" s="1"/>
  <c r="D31" i="1" s="1"/>
  <c r="D32" i="1" s="1"/>
  <c r="D33" i="1" s="1"/>
  <c r="D34" i="1" s="1"/>
  <c r="D35" i="1" s="1"/>
  <c r="D37" i="1" s="1"/>
  <c r="D38" i="1" s="1"/>
  <c r="D39" i="1" s="1"/>
  <c r="D40" i="1" s="1"/>
  <c r="D41" i="1" s="1"/>
  <c r="D42" i="1" s="1"/>
  <c r="D43" i="1" s="1"/>
  <c r="D45" i="1" s="1"/>
  <c r="D46" i="1" s="1"/>
  <c r="D47" i="1" s="1"/>
  <c r="D48" i="1" s="1"/>
  <c r="D49" i="1" s="1"/>
  <c r="D50" i="1" s="1"/>
  <c r="D51" i="1" s="1"/>
  <c r="D53" i="1" s="1"/>
  <c r="D54" i="1" s="1"/>
  <c r="D55" i="1" s="1"/>
  <c r="D56" i="1" s="1"/>
  <c r="D57" i="1" s="1"/>
  <c r="D58" i="1" s="1"/>
  <c r="D59" i="1" s="1"/>
  <c r="D61" i="1" s="1"/>
  <c r="D62" i="1" s="1"/>
  <c r="D63" i="1" s="1"/>
  <c r="D64" i="1" s="1"/>
  <c r="D65" i="1" s="1"/>
  <c r="D66" i="1" s="1"/>
  <c r="D67" i="1" s="1"/>
  <c r="D69" i="1" s="1"/>
  <c r="D70" i="1" s="1"/>
  <c r="D71" i="1" s="1"/>
  <c r="D72" i="1" s="1"/>
  <c r="D73" i="1" s="1"/>
  <c r="D74" i="1" s="1"/>
  <c r="D75" i="1" s="1"/>
  <c r="D77" i="1" s="1"/>
  <c r="D78" i="1" s="1"/>
  <c r="D79" i="1" s="1"/>
  <c r="D80" i="1" s="1"/>
  <c r="D81" i="1" s="1"/>
  <c r="D82" i="1" s="1"/>
  <c r="D83" i="1" s="1"/>
  <c r="D85" i="1" s="1"/>
  <c r="D86" i="1" s="1"/>
  <c r="D87" i="1" s="1"/>
  <c r="D88" i="1" s="1"/>
  <c r="D89" i="1" s="1"/>
  <c r="D90" i="1" s="1"/>
  <c r="D91" i="1" s="1"/>
  <c r="D93" i="1" s="1"/>
  <c r="D94" i="1" s="1"/>
  <c r="D95" i="1" s="1"/>
  <c r="D96" i="1" s="1"/>
  <c r="D97" i="1" s="1"/>
  <c r="D98" i="1" s="1"/>
  <c r="D99" i="1" s="1"/>
  <c r="D101" i="1" s="1"/>
  <c r="D102" i="1" s="1"/>
  <c r="D103" i="1" s="1"/>
  <c r="D104" i="1" s="1"/>
  <c r="D105" i="1" s="1"/>
  <c r="D106" i="1" s="1"/>
  <c r="D107" i="1" s="1"/>
  <c r="D109" i="1" s="1"/>
  <c r="D110" i="1" s="1"/>
  <c r="D111" i="1" s="1"/>
  <c r="D112" i="1" s="1"/>
  <c r="D113" i="1" s="1"/>
  <c r="D114" i="1" s="1"/>
  <c r="D115" i="1" s="1"/>
  <c r="D117" i="1" s="1"/>
  <c r="D118" i="1" s="1"/>
  <c r="D119" i="1" s="1"/>
  <c r="D120" i="1" s="1"/>
  <c r="D121" i="1" s="1"/>
  <c r="D122" i="1" s="1"/>
  <c r="D123" i="1" s="1"/>
  <c r="D125" i="1" s="1"/>
  <c r="D126" i="1" s="1"/>
  <c r="D127" i="1" s="1"/>
  <c r="D128" i="1" s="1"/>
  <c r="D129" i="1" s="1"/>
  <c r="D130" i="1" s="1"/>
  <c r="D131" i="1" s="1"/>
  <c r="D133" i="1" s="1"/>
  <c r="D134" i="1" s="1"/>
  <c r="D135" i="1" s="1"/>
  <c r="D136" i="1" s="1"/>
  <c r="D137" i="1" s="1"/>
  <c r="D138" i="1" s="1"/>
  <c r="D139" i="1" s="1"/>
  <c r="D141" i="1" s="1"/>
  <c r="D142" i="1" s="1"/>
  <c r="D143" i="1" s="1"/>
  <c r="D144" i="1" s="1"/>
  <c r="D145" i="1" s="1"/>
  <c r="D146" i="1" s="1"/>
  <c r="D147" i="1" s="1"/>
  <c r="D149" i="1" s="1"/>
  <c r="D150" i="1" s="1"/>
  <c r="D151" i="1" s="1"/>
  <c r="D152" i="1" s="1"/>
  <c r="D153" i="1" s="1"/>
  <c r="D154" i="1" s="1"/>
  <c r="D155" i="1" s="1"/>
  <c r="D157" i="1" s="1"/>
  <c r="D158" i="1" s="1"/>
  <c r="D159" i="1" s="1"/>
  <c r="D160" i="1" s="1"/>
  <c r="D161" i="1" s="1"/>
  <c r="D162" i="1" s="1"/>
  <c r="D163" i="1" s="1"/>
  <c r="D165" i="1" s="1"/>
  <c r="D166" i="1" s="1"/>
  <c r="D167" i="1" s="1"/>
  <c r="D168" i="1" s="1"/>
  <c r="D169" i="1" s="1"/>
  <c r="D170" i="1" s="1"/>
  <c r="D171" i="1" s="1"/>
  <c r="D173" i="1" s="1"/>
  <c r="D174" i="1" s="1"/>
  <c r="D175" i="1" s="1"/>
  <c r="D176" i="1" s="1"/>
  <c r="D177" i="1" s="1"/>
  <c r="D178" i="1" s="1"/>
  <c r="D179" i="1" s="1"/>
  <c r="D181" i="1" s="1"/>
  <c r="U21" i="1"/>
  <c r="S21" i="1"/>
  <c r="X21" i="1" s="1"/>
  <c r="O21" i="1"/>
  <c r="O31" i="1" l="1"/>
  <c r="O32" i="1" s="1"/>
  <c r="D182" i="1"/>
  <c r="D183" i="1" s="1"/>
  <c r="D184" i="1" s="1"/>
  <c r="D185" i="1" s="1"/>
  <c r="D186" i="1" s="1"/>
  <c r="D187" i="1" s="1"/>
  <c r="D189" i="1" s="1"/>
  <c r="D190" i="1" s="1"/>
  <c r="D191" i="1" s="1"/>
  <c r="D192" i="1" s="1"/>
  <c r="D193" i="1" s="1"/>
  <c r="D194" i="1" s="1"/>
  <c r="D195" i="1" s="1"/>
  <c r="D197" i="1" s="1"/>
  <c r="D198" i="1" s="1"/>
  <c r="D199" i="1" s="1"/>
  <c r="D200" i="1" s="1"/>
  <c r="D201" i="1" s="1"/>
  <c r="D202" i="1" s="1"/>
  <c r="D203" i="1" s="1"/>
  <c r="D205" i="1" s="1"/>
  <c r="D206" i="1" s="1"/>
  <c r="D207" i="1" s="1"/>
  <c r="D208" i="1" s="1"/>
  <c r="D209" i="1" s="1"/>
  <c r="D210" i="1" s="1"/>
  <c r="D211" i="1" s="1"/>
  <c r="D213" i="1" s="1"/>
  <c r="D214" i="1" s="1"/>
  <c r="D215" i="1" s="1"/>
  <c r="D216" i="1" s="1"/>
  <c r="D217" i="1" s="1"/>
  <c r="D218" i="1" s="1"/>
  <c r="D219" i="1" s="1"/>
  <c r="D221" i="1" s="1"/>
  <c r="D222" i="1" s="1"/>
  <c r="D223" i="1" s="1"/>
  <c r="D224" i="1" s="1"/>
  <c r="D225" i="1" s="1"/>
  <c r="D226" i="1" s="1"/>
  <c r="D227" i="1" s="1"/>
  <c r="D229" i="1" s="1"/>
  <c r="D230" i="1" s="1"/>
  <c r="D231" i="1" s="1"/>
  <c r="D232" i="1" s="1"/>
  <c r="D233" i="1" s="1"/>
  <c r="D234" i="1" s="1"/>
  <c r="D235" i="1" s="1"/>
  <c r="D237" i="1" s="1"/>
  <c r="D238" i="1" s="1"/>
  <c r="D239" i="1" s="1"/>
  <c r="D240" i="1" s="1"/>
  <c r="D241" i="1" s="1"/>
  <c r="D242" i="1" s="1"/>
  <c r="D243" i="1" s="1"/>
  <c r="D245" i="1" s="1"/>
  <c r="D246" i="1" s="1"/>
  <c r="D247" i="1" s="1"/>
  <c r="D248" i="1" s="1"/>
  <c r="D249" i="1" s="1"/>
  <c r="D250" i="1" s="1"/>
  <c r="D251" i="1" s="1"/>
  <c r="D253" i="1" s="1"/>
  <c r="D254" i="1" s="1"/>
  <c r="D255" i="1" s="1"/>
  <c r="D256" i="1" s="1"/>
  <c r="D257" i="1" s="1"/>
  <c r="D258" i="1" s="1"/>
  <c r="D259" i="1" s="1"/>
  <c r="D261" i="1" s="1"/>
  <c r="D262" i="1" s="1"/>
  <c r="D263" i="1" s="1"/>
  <c r="D264" i="1" s="1"/>
  <c r="D265" i="1" s="1"/>
  <c r="D266" i="1" s="1"/>
  <c r="D267" i="1" s="1"/>
  <c r="D269" i="1" s="1"/>
  <c r="D270" i="1" s="1"/>
  <c r="D271" i="1" s="1"/>
  <c r="D272" i="1" s="1"/>
  <c r="D273" i="1" s="1"/>
  <c r="D274" i="1" s="1"/>
  <c r="D275" i="1" s="1"/>
  <c r="D277" i="1" s="1"/>
  <c r="D278" i="1" s="1"/>
  <c r="D279" i="1" s="1"/>
  <c r="D280" i="1" s="1"/>
  <c r="D281" i="1" s="1"/>
  <c r="D282" i="1" s="1"/>
  <c r="D283" i="1" s="1"/>
  <c r="D285" i="1" s="1"/>
  <c r="D286" i="1" s="1"/>
  <c r="D287" i="1" s="1"/>
  <c r="D288" i="1" s="1"/>
  <c r="D289" i="1" s="1"/>
  <c r="D290" i="1" s="1"/>
  <c r="D291" i="1" s="1"/>
  <c r="D293" i="1" s="1"/>
  <c r="D294" i="1" s="1"/>
  <c r="D295" i="1" s="1"/>
  <c r="D296" i="1" s="1"/>
  <c r="D297" i="1" s="1"/>
  <c r="D298" i="1" s="1"/>
  <c r="D299" i="1" s="1"/>
  <c r="D301" i="1" s="1"/>
  <c r="D302" i="1" s="1"/>
  <c r="D303" i="1" s="1"/>
  <c r="D304" i="1" s="1"/>
  <c r="D305" i="1" s="1"/>
  <c r="D306" i="1" s="1"/>
  <c r="D307" i="1" s="1"/>
  <c r="D309" i="1" s="1"/>
  <c r="D310" i="1" s="1"/>
  <c r="D311" i="1" s="1"/>
  <c r="D312" i="1" s="1"/>
  <c r="D313" i="1" s="1"/>
  <c r="D314" i="1" s="1"/>
  <c r="D315" i="1" s="1"/>
  <c r="D317" i="1" s="1"/>
  <c r="D318" i="1" s="1"/>
  <c r="D319" i="1" s="1"/>
  <c r="D320" i="1" s="1"/>
  <c r="D321" i="1" s="1"/>
  <c r="D322" i="1" s="1"/>
  <c r="D323" i="1" s="1"/>
  <c r="D325" i="1" s="1"/>
  <c r="D326" i="1" s="1"/>
  <c r="D327" i="1" s="1"/>
  <c r="D328" i="1" s="1"/>
  <c r="D329" i="1" s="1"/>
  <c r="D330" i="1" s="1"/>
  <c r="D331" i="1" s="1"/>
  <c r="D333" i="1" s="1"/>
  <c r="D334" i="1" s="1"/>
  <c r="D335" i="1" s="1"/>
  <c r="D336" i="1" s="1"/>
  <c r="D337" i="1" s="1"/>
  <c r="D338" i="1" s="1"/>
  <c r="D339" i="1" s="1"/>
  <c r="D341" i="1" s="1"/>
  <c r="D342" i="1" s="1"/>
  <c r="D343" i="1" s="1"/>
  <c r="D344" i="1" s="1"/>
  <c r="D345" i="1" s="1"/>
  <c r="D346" i="1" s="1"/>
  <c r="D347" i="1" s="1"/>
  <c r="D349" i="1" s="1"/>
  <c r="D350" i="1" s="1"/>
  <c r="D351" i="1" s="1"/>
  <c r="D352" i="1" s="1"/>
  <c r="D353" i="1" s="1"/>
  <c r="D354" i="1" s="1"/>
  <c r="D355" i="1" s="1"/>
  <c r="D357" i="1" s="1"/>
  <c r="D358" i="1" s="1"/>
  <c r="D359" i="1" s="1"/>
  <c r="D360" i="1" s="1"/>
  <c r="D361" i="1" s="1"/>
  <c r="D362" i="1" s="1"/>
  <c r="D363" i="1" s="1"/>
  <c r="D365" i="1" s="1"/>
  <c r="D366" i="1" s="1"/>
  <c r="D367" i="1" s="1"/>
  <c r="D368" i="1" s="1"/>
  <c r="D369" i="1" s="1"/>
  <c r="D370" i="1" s="1"/>
  <c r="D371" i="1" s="1"/>
  <c r="D373" i="1" s="1"/>
  <c r="D374" i="1" s="1"/>
  <c r="D375" i="1" s="1"/>
  <c r="D376" i="1" s="1"/>
  <c r="D377" i="1" s="1"/>
  <c r="D378" i="1" s="1"/>
  <c r="D379" i="1" s="1"/>
  <c r="D381" i="1" s="1"/>
  <c r="D382" i="1" s="1"/>
  <c r="D383" i="1" s="1"/>
  <c r="D384" i="1" s="1"/>
  <c r="D385" i="1" s="1"/>
  <c r="D386" i="1" s="1"/>
  <c r="D387" i="1" s="1"/>
  <c r="D389" i="1" s="1"/>
  <c r="D390" i="1" s="1"/>
  <c r="D391" i="1" s="1"/>
  <c r="D392" i="1" s="1"/>
  <c r="D393" i="1" s="1"/>
  <c r="D394" i="1" s="1"/>
  <c r="D395" i="1" s="1"/>
  <c r="D397" i="1" s="1"/>
  <c r="D398" i="1" s="1"/>
  <c r="D399" i="1" s="1"/>
  <c r="D400" i="1" s="1"/>
  <c r="D401" i="1" s="1"/>
  <c r="D402" i="1" s="1"/>
  <c r="D403" i="1" s="1"/>
  <c r="D405" i="1" s="1"/>
  <c r="D406" i="1" s="1"/>
  <c r="D407" i="1" s="1"/>
  <c r="D408" i="1" s="1"/>
  <c r="D409" i="1" s="1"/>
  <c r="D410" i="1" s="1"/>
  <c r="D411" i="1" s="1"/>
  <c r="D413" i="1" s="1"/>
  <c r="D414" i="1" s="1"/>
  <c r="D415" i="1" s="1"/>
  <c r="D416" i="1" s="1"/>
  <c r="D417" i="1" s="1"/>
  <c r="D418" i="1" s="1"/>
  <c r="D419" i="1" s="1"/>
  <c r="D421" i="1" s="1"/>
  <c r="D422" i="1" s="1"/>
  <c r="D423" i="1" s="1"/>
  <c r="D424" i="1" s="1"/>
  <c r="D425" i="1" s="1"/>
  <c r="D426" i="1" s="1"/>
  <c r="D427" i="1" s="1"/>
  <c r="D429" i="1" s="1"/>
  <c r="D430" i="1" s="1"/>
  <c r="D431" i="1" s="1"/>
  <c r="D432" i="1" s="1"/>
  <c r="D433" i="1" s="1"/>
  <c r="D434" i="1" s="1"/>
  <c r="D435" i="1" s="1"/>
  <c r="Z23" i="1"/>
  <c r="AD23" i="1" s="1"/>
  <c r="Z25" i="1"/>
  <c r="AD25" i="1" s="1"/>
  <c r="Z26" i="1"/>
  <c r="AD26" i="1" s="1"/>
  <c r="AA29" i="1"/>
  <c r="AE29" i="1" s="1"/>
  <c r="V38" i="1"/>
  <c r="AA38" i="1" s="1"/>
  <c r="AE38" i="1" s="1"/>
  <c r="AD37" i="1"/>
  <c r="O40" i="1"/>
  <c r="AA30" i="1"/>
  <c r="AE30" i="1" s="1"/>
  <c r="V31" i="1"/>
  <c r="O22" i="1"/>
  <c r="O23" i="1" s="1"/>
  <c r="Z21" i="1"/>
  <c r="Z24" i="1"/>
  <c r="AD24" i="1" s="1"/>
  <c r="Z27" i="1"/>
  <c r="AD27" i="1" s="1"/>
  <c r="Y27" i="1"/>
  <c r="Z22" i="1"/>
  <c r="AD22" i="1" s="1"/>
  <c r="AA21" i="1" l="1"/>
  <c r="AE21" i="1" s="1"/>
  <c r="AC27" i="1"/>
  <c r="V39" i="1"/>
  <c r="AA39" i="1" s="1"/>
  <c r="AE39" i="1" s="1"/>
  <c r="O41" i="1"/>
  <c r="O33" i="1"/>
  <c r="V32" i="1"/>
  <c r="AA31" i="1"/>
  <c r="AE31" i="1" s="1"/>
  <c r="V22" i="1"/>
  <c r="AA22" i="1" s="1"/>
  <c r="AD21" i="1"/>
  <c r="O24" i="1"/>
  <c r="U11" i="1"/>
  <c r="S11" i="1"/>
  <c r="M11" i="1"/>
  <c r="U10" i="1"/>
  <c r="S10" i="1"/>
  <c r="X10" i="1" s="1"/>
  <c r="P10" i="1"/>
  <c r="M10" i="1"/>
  <c r="K10" i="1"/>
  <c r="U9" i="1"/>
  <c r="S9" i="1"/>
  <c r="X9" i="1" s="1"/>
  <c r="U8" i="1"/>
  <c r="S8" i="1"/>
  <c r="X8" i="1" s="1"/>
  <c r="U7" i="1"/>
  <c r="S7" i="1"/>
  <c r="X7" i="1" s="1"/>
  <c r="U6" i="1"/>
  <c r="S6" i="1"/>
  <c r="X6" i="1" s="1"/>
  <c r="U5" i="1"/>
  <c r="S5" i="1"/>
  <c r="X5" i="1" s="1"/>
  <c r="M5" i="1"/>
  <c r="P18" i="1"/>
  <c r="O5" i="1" l="1"/>
  <c r="T11" i="1"/>
  <c r="Y11" i="1" s="1"/>
  <c r="X11" i="1"/>
  <c r="V40" i="1"/>
  <c r="AA40" i="1" s="1"/>
  <c r="AE40" i="1" s="1"/>
  <c r="Z10" i="1"/>
  <c r="AD10" i="1" s="1"/>
  <c r="AE22" i="1"/>
  <c r="V23" i="1"/>
  <c r="AA23" i="1" s="1"/>
  <c r="AE23" i="1" s="1"/>
  <c r="O42" i="1"/>
  <c r="AA32" i="1"/>
  <c r="AE32" i="1" s="1"/>
  <c r="O34" i="1"/>
  <c r="V33" i="1"/>
  <c r="O25" i="1"/>
  <c r="Z7" i="1"/>
  <c r="AD7" i="1" s="1"/>
  <c r="Z5" i="1"/>
  <c r="Z8" i="1"/>
  <c r="AD8" i="1" s="1"/>
  <c r="Z9" i="1"/>
  <c r="Z6" i="1"/>
  <c r="AD6" i="1" s="1"/>
  <c r="K11" i="1"/>
  <c r="U14" i="1"/>
  <c r="U15" i="1"/>
  <c r="U16" i="1"/>
  <c r="U17" i="1"/>
  <c r="U18" i="1"/>
  <c r="U19" i="1"/>
  <c r="AD9" i="1" l="1"/>
  <c r="Z11" i="1"/>
  <c r="AC11" i="1"/>
  <c r="AD5" i="1"/>
  <c r="V41" i="1"/>
  <c r="V42" i="1" s="1"/>
  <c r="V24" i="1"/>
  <c r="V25" i="1" s="1"/>
  <c r="O43" i="1"/>
  <c r="AA33" i="1"/>
  <c r="AE33" i="1" s="1"/>
  <c r="O35" i="1"/>
  <c r="V34" i="1"/>
  <c r="O26" i="1"/>
  <c r="AA5" i="1"/>
  <c r="AE5" i="1" s="1"/>
  <c r="S14" i="1"/>
  <c r="X14" i="1" s="1"/>
  <c r="C19" i="4" s="1"/>
  <c r="S15" i="1"/>
  <c r="X15" i="1" s="1"/>
  <c r="Z15" i="1" s="1"/>
  <c r="AD15" i="1" s="1"/>
  <c r="S16" i="1"/>
  <c r="X16" i="1" s="1"/>
  <c r="Z16" i="1" s="1"/>
  <c r="AD16" i="1" s="1"/>
  <c r="S17" i="1"/>
  <c r="X17" i="1" s="1"/>
  <c r="Z17" i="1" s="1"/>
  <c r="AD17" i="1" s="1"/>
  <c r="S18" i="1"/>
  <c r="X18" i="1" s="1"/>
  <c r="S19" i="1"/>
  <c r="X19" i="1" s="1"/>
  <c r="AD11" i="1" l="1"/>
  <c r="Z14" i="1"/>
  <c r="AD14" i="1" s="1"/>
  <c r="AA41" i="1"/>
  <c r="AE41" i="1" s="1"/>
  <c r="AA24" i="1"/>
  <c r="AE24" i="1" s="1"/>
  <c r="V43" i="1"/>
  <c r="P43" i="1"/>
  <c r="P40" i="1"/>
  <c r="AA42" i="1"/>
  <c r="AE42" i="1" s="1"/>
  <c r="AA34" i="1"/>
  <c r="AE34" i="1" s="1"/>
  <c r="P35" i="1"/>
  <c r="P32" i="1"/>
  <c r="V35" i="1"/>
  <c r="AA25" i="1"/>
  <c r="AE25" i="1" s="1"/>
  <c r="O27" i="1"/>
  <c r="V26" i="1"/>
  <c r="Z18" i="1"/>
  <c r="AD18" i="1" l="1"/>
  <c r="D19" i="4"/>
  <c r="AA43" i="1"/>
  <c r="AE43" i="1" s="1"/>
  <c r="AA35" i="1"/>
  <c r="AE35" i="1" s="1"/>
  <c r="AA26" i="1"/>
  <c r="AE26" i="1" s="1"/>
  <c r="P27" i="1"/>
  <c r="P24" i="1"/>
  <c r="V27" i="1"/>
  <c r="AA27" i="1" l="1"/>
  <c r="AE27" i="1" s="1"/>
  <c r="T19" i="1" l="1"/>
  <c r="Y19" i="1" l="1"/>
  <c r="C20" i="4" s="1"/>
  <c r="Z19" i="1"/>
  <c r="C21" i="4" s="1"/>
  <c r="D21" i="4" s="1"/>
  <c r="D20" i="4" l="1"/>
  <c r="E27" i="3"/>
  <c r="E26" i="3"/>
  <c r="E28" i="3"/>
  <c r="E23" i="3"/>
  <c r="E22" i="3"/>
  <c r="J225" i="1" l="1"/>
  <c r="K225" i="1" s="1"/>
  <c r="L17" i="1"/>
  <c r="M17" i="1" s="1"/>
  <c r="L13" i="1"/>
  <c r="M13" i="1" s="1"/>
  <c r="L222" i="1"/>
  <c r="M222" i="1" s="1"/>
  <c r="L174" i="1"/>
  <c r="M174" i="1" s="1"/>
  <c r="L158" i="1"/>
  <c r="M158" i="1" s="1"/>
  <c r="J17" i="1"/>
  <c r="K17" i="1" s="1"/>
  <c r="J15" i="1"/>
  <c r="K15" i="1" s="1"/>
  <c r="J13" i="1"/>
  <c r="J224" i="1"/>
  <c r="K224" i="1" s="1"/>
  <c r="J174" i="1"/>
  <c r="J158" i="1"/>
  <c r="K158" i="1" s="1"/>
  <c r="L14" i="1"/>
  <c r="M14" i="1" s="1"/>
  <c r="L277" i="1"/>
  <c r="M277" i="1" s="1"/>
  <c r="L225" i="1"/>
  <c r="M225" i="1" s="1"/>
  <c r="L221" i="1"/>
  <c r="M221" i="1" s="1"/>
  <c r="L177" i="1"/>
  <c r="M177" i="1" s="1"/>
  <c r="J16" i="1"/>
  <c r="K16" i="1" s="1"/>
  <c r="J14" i="1"/>
  <c r="K14" i="1" s="1"/>
  <c r="J277" i="1"/>
  <c r="K277" i="1" s="1"/>
  <c r="J221" i="1"/>
  <c r="J177" i="1"/>
  <c r="K177" i="1" s="1"/>
  <c r="L15" i="1"/>
  <c r="M15" i="1" s="1"/>
  <c r="L224" i="1"/>
  <c r="M224" i="1" s="1"/>
  <c r="J222" i="1"/>
  <c r="K222" i="1" s="1"/>
  <c r="L16" i="1"/>
  <c r="M16" i="1" s="1"/>
  <c r="J280" i="1"/>
  <c r="K280" i="1" s="1"/>
  <c r="L281" i="1"/>
  <c r="M281" i="1" s="1"/>
  <c r="J279" i="1"/>
  <c r="K279" i="1" s="1"/>
  <c r="L280" i="1"/>
  <c r="M280" i="1" s="1"/>
  <c r="J278" i="1"/>
  <c r="K278" i="1" s="1"/>
  <c r="L279" i="1"/>
  <c r="M279" i="1" s="1"/>
  <c r="J281" i="1"/>
  <c r="K281" i="1" s="1"/>
  <c r="L278" i="1"/>
  <c r="M278" i="1" s="1"/>
  <c r="J6" i="1"/>
  <c r="J189" i="1"/>
  <c r="K189" i="1" s="1"/>
  <c r="J133" i="1"/>
  <c r="K133" i="1" s="1"/>
  <c r="L361" i="1"/>
  <c r="M361" i="1" s="1"/>
  <c r="J361" i="1"/>
  <c r="K361" i="1" s="1"/>
  <c r="J353" i="1"/>
  <c r="K353" i="1" s="1"/>
  <c r="J176" i="1"/>
  <c r="K176" i="1" s="1"/>
  <c r="L365" i="1"/>
  <c r="M365" i="1" s="1"/>
  <c r="L189" i="1"/>
  <c r="M189" i="1" s="1"/>
  <c r="L151" i="1"/>
  <c r="M151" i="1" s="1"/>
  <c r="L133" i="1"/>
  <c r="M133" i="1" s="1"/>
  <c r="J365" i="1"/>
  <c r="K365" i="1" s="1"/>
  <c r="J151" i="1"/>
  <c r="K151" i="1" s="1"/>
  <c r="L353" i="1"/>
  <c r="M353" i="1" s="1"/>
  <c r="L176" i="1"/>
  <c r="M176" i="1" s="1"/>
  <c r="L143" i="1"/>
  <c r="M143" i="1" s="1"/>
  <c r="J143" i="1"/>
  <c r="K143" i="1" s="1"/>
  <c r="L6" i="1"/>
  <c r="M6" i="1" s="1"/>
  <c r="L288" i="1"/>
  <c r="M288" i="1" s="1"/>
  <c r="J70" i="1"/>
  <c r="K70" i="1" s="1"/>
  <c r="J288" i="1"/>
  <c r="K288" i="1" s="1"/>
  <c r="L69" i="1"/>
  <c r="M69" i="1" s="1"/>
  <c r="L289" i="1"/>
  <c r="M289" i="1" s="1"/>
  <c r="J69" i="1"/>
  <c r="J289" i="1"/>
  <c r="K289" i="1" s="1"/>
  <c r="L70" i="1"/>
  <c r="M70" i="1" s="1"/>
  <c r="J287" i="1"/>
  <c r="K287" i="1" s="1"/>
  <c r="L287" i="1"/>
  <c r="M287" i="1" s="1"/>
  <c r="J230" i="1"/>
  <c r="K230" i="1" s="1"/>
  <c r="J7" i="1"/>
  <c r="K7" i="1" s="1"/>
  <c r="L231" i="1"/>
  <c r="M231" i="1" s="1"/>
  <c r="J8" i="1"/>
  <c r="K8" i="1" s="1"/>
  <c r="J231" i="1"/>
  <c r="K231" i="1" s="1"/>
  <c r="L230" i="1"/>
  <c r="M230" i="1" s="1"/>
  <c r="L229" i="1"/>
  <c r="M229" i="1" s="1"/>
  <c r="J229" i="1"/>
  <c r="K229" i="1" s="1"/>
  <c r="L7" i="1"/>
  <c r="M7" i="1" s="1"/>
  <c r="L8" i="1"/>
  <c r="M8" i="1" s="1"/>
  <c r="J239" i="1"/>
  <c r="K239" i="1" s="1"/>
  <c r="L238" i="1"/>
  <c r="M238" i="1" s="1"/>
  <c r="J238" i="1"/>
  <c r="K238" i="1" s="1"/>
  <c r="L237" i="1"/>
  <c r="M237" i="1" s="1"/>
  <c r="J237" i="1"/>
  <c r="K237" i="1" s="1"/>
  <c r="L239" i="1"/>
  <c r="M239" i="1" s="1"/>
  <c r="J425" i="1"/>
  <c r="K425" i="1" s="1"/>
  <c r="J424" i="1"/>
  <c r="K424" i="1" s="1"/>
  <c r="J423" i="1"/>
  <c r="K423" i="1" s="1"/>
  <c r="J422" i="1"/>
  <c r="K422" i="1" s="1"/>
  <c r="J421" i="1"/>
  <c r="J417" i="1"/>
  <c r="K417" i="1" s="1"/>
  <c r="J416" i="1"/>
  <c r="K416" i="1" s="1"/>
  <c r="J415" i="1"/>
  <c r="K415" i="1" s="1"/>
  <c r="J414" i="1"/>
  <c r="K414" i="1" s="1"/>
  <c r="J413" i="1"/>
  <c r="K413" i="1" s="1"/>
  <c r="K409" i="1"/>
  <c r="J273" i="1"/>
  <c r="K273" i="1" s="1"/>
  <c r="J272" i="1"/>
  <c r="K272" i="1" s="1"/>
  <c r="J271" i="1"/>
  <c r="K271" i="1" s="1"/>
  <c r="J270" i="1"/>
  <c r="K270" i="1" s="1"/>
  <c r="J265" i="1"/>
  <c r="K265" i="1" s="1"/>
  <c r="J264" i="1"/>
  <c r="K264" i="1" s="1"/>
  <c r="J263" i="1"/>
  <c r="K263" i="1" s="1"/>
  <c r="J262" i="1"/>
  <c r="K262" i="1" s="1"/>
  <c r="J261" i="1"/>
  <c r="K261" i="1" s="1"/>
  <c r="J257" i="1"/>
  <c r="K257" i="1" s="1"/>
  <c r="J256" i="1"/>
  <c r="K256" i="1" s="1"/>
  <c r="J255" i="1"/>
  <c r="K255" i="1" s="1"/>
  <c r="J254" i="1"/>
  <c r="K254" i="1" s="1"/>
  <c r="J253" i="1"/>
  <c r="K253" i="1" s="1"/>
  <c r="J249" i="1"/>
  <c r="K249" i="1" s="1"/>
  <c r="J248" i="1"/>
  <c r="K248" i="1" s="1"/>
  <c r="J247" i="1"/>
  <c r="K247" i="1" s="1"/>
  <c r="J246" i="1"/>
  <c r="K246" i="1" s="1"/>
  <c r="J245" i="1"/>
  <c r="K245" i="1" s="1"/>
  <c r="J241" i="1"/>
  <c r="K241" i="1" s="1"/>
  <c r="J240" i="1"/>
  <c r="K240" i="1" s="1"/>
  <c r="J233" i="1"/>
  <c r="K233" i="1" s="1"/>
  <c r="L425" i="1"/>
  <c r="M425" i="1" s="1"/>
  <c r="L424" i="1"/>
  <c r="M424" i="1" s="1"/>
  <c r="L423" i="1"/>
  <c r="M423" i="1" s="1"/>
  <c r="L422" i="1"/>
  <c r="M422" i="1" s="1"/>
  <c r="L421" i="1"/>
  <c r="M421" i="1" s="1"/>
  <c r="L417" i="1"/>
  <c r="M417" i="1" s="1"/>
  <c r="L416" i="1"/>
  <c r="M416" i="1" s="1"/>
  <c r="L415" i="1"/>
  <c r="M415" i="1" s="1"/>
  <c r="L414" i="1"/>
  <c r="M414" i="1" s="1"/>
  <c r="L413" i="1"/>
  <c r="M413" i="1" s="1"/>
  <c r="L409" i="1"/>
  <c r="M409" i="1" s="1"/>
  <c r="L273" i="1"/>
  <c r="M273" i="1" s="1"/>
  <c r="L272" i="1"/>
  <c r="M272" i="1" s="1"/>
  <c r="L271" i="1"/>
  <c r="M271" i="1" s="1"/>
  <c r="L270" i="1"/>
  <c r="M270" i="1" s="1"/>
  <c r="L265" i="1"/>
  <c r="M265" i="1" s="1"/>
  <c r="L264" i="1"/>
  <c r="M264" i="1" s="1"/>
  <c r="L263" i="1"/>
  <c r="M263" i="1" s="1"/>
  <c r="L262" i="1"/>
  <c r="M262" i="1" s="1"/>
  <c r="L261" i="1"/>
  <c r="M261" i="1" s="1"/>
  <c r="L257" i="1"/>
  <c r="M257" i="1" s="1"/>
  <c r="L256" i="1"/>
  <c r="M256" i="1" s="1"/>
  <c r="L255" i="1"/>
  <c r="M255" i="1" s="1"/>
  <c r="L254" i="1"/>
  <c r="M254" i="1" s="1"/>
  <c r="L253" i="1"/>
  <c r="M253" i="1" s="1"/>
  <c r="L249" i="1"/>
  <c r="M249" i="1" s="1"/>
  <c r="L248" i="1"/>
  <c r="M248" i="1" s="1"/>
  <c r="L247" i="1"/>
  <c r="M247" i="1" s="1"/>
  <c r="L246" i="1"/>
  <c r="M246" i="1" s="1"/>
  <c r="L245" i="1"/>
  <c r="M245" i="1" s="1"/>
  <c r="L241" i="1"/>
  <c r="M241" i="1" s="1"/>
  <c r="L240" i="1"/>
  <c r="M240" i="1" s="1"/>
  <c r="L233" i="1"/>
  <c r="M233" i="1" s="1"/>
  <c r="J310" i="1"/>
  <c r="J161" i="1"/>
  <c r="K161" i="1" s="1"/>
  <c r="J160" i="1"/>
  <c r="K160" i="1" s="1"/>
  <c r="J159" i="1"/>
  <c r="K159" i="1" s="1"/>
  <c r="J127" i="1"/>
  <c r="K127" i="1" s="1"/>
  <c r="J126" i="1"/>
  <c r="J110" i="1"/>
  <c r="K110" i="1" s="1"/>
  <c r="L310" i="1"/>
  <c r="M310" i="1" s="1"/>
  <c r="L161" i="1"/>
  <c r="M161" i="1" s="1"/>
  <c r="L160" i="1"/>
  <c r="M160" i="1" s="1"/>
  <c r="L159" i="1"/>
  <c r="M159" i="1" s="1"/>
  <c r="L127" i="1"/>
  <c r="M127" i="1" s="1"/>
  <c r="L126" i="1"/>
  <c r="M126" i="1" s="1"/>
  <c r="L110" i="1"/>
  <c r="M110" i="1" s="1"/>
  <c r="J369" i="1"/>
  <c r="K369" i="1" s="1"/>
  <c r="J358" i="1"/>
  <c r="J269" i="1"/>
  <c r="K269" i="1" s="1"/>
  <c r="J232" i="1"/>
  <c r="K232" i="1" s="1"/>
  <c r="J165" i="1"/>
  <c r="J152" i="1"/>
  <c r="K152" i="1" s="1"/>
  <c r="J109" i="1"/>
  <c r="L369" i="1"/>
  <c r="M369" i="1" s="1"/>
  <c r="L358" i="1"/>
  <c r="M358" i="1" s="1"/>
  <c r="L269" i="1"/>
  <c r="M269" i="1" s="1"/>
  <c r="L232" i="1"/>
  <c r="M232" i="1" s="1"/>
  <c r="L165" i="1"/>
  <c r="M165" i="1" s="1"/>
  <c r="L152" i="1"/>
  <c r="M152" i="1" s="1"/>
  <c r="L109" i="1"/>
  <c r="M109" i="1" s="1"/>
  <c r="L9" i="1"/>
  <c r="M9" i="1" s="1"/>
  <c r="J9" i="1"/>
  <c r="K6" i="1" l="1"/>
  <c r="O6" i="1"/>
  <c r="K174" i="1"/>
  <c r="O174" i="1"/>
  <c r="V174" i="1" s="1"/>
  <c r="AA174" i="1" s="1"/>
  <c r="AE174" i="1" s="1"/>
  <c r="K69" i="1"/>
  <c r="O69" i="1"/>
  <c r="O70" i="1" s="1"/>
  <c r="K221" i="1"/>
  <c r="O221" i="1"/>
  <c r="O222" i="1" s="1"/>
  <c r="K13" i="1"/>
  <c r="O13" i="1"/>
  <c r="O14" i="1" s="1"/>
  <c r="V14" i="1" s="1"/>
  <c r="C13" i="4"/>
  <c r="H18" i="4" s="1"/>
  <c r="K9" i="1"/>
  <c r="K358" i="1"/>
  <c r="O358" i="1"/>
  <c r="V358" i="1" s="1"/>
  <c r="K126" i="1"/>
  <c r="O126" i="1"/>
  <c r="K109" i="1"/>
  <c r="O109" i="1"/>
  <c r="O110" i="1" s="1"/>
  <c r="K165" i="1"/>
  <c r="O165" i="1"/>
  <c r="O166" i="1" s="1"/>
  <c r="K310" i="1"/>
  <c r="O310" i="1"/>
  <c r="K421" i="1"/>
  <c r="O421" i="1"/>
  <c r="O422" i="1" s="1"/>
  <c r="O133" i="1"/>
  <c r="O134" i="1" s="1"/>
  <c r="O385" i="1"/>
  <c r="O277" i="1"/>
  <c r="O278" i="1" s="1"/>
  <c r="O157" i="1"/>
  <c r="O158" i="1" s="1"/>
  <c r="O261" i="1"/>
  <c r="O262" i="1" s="1"/>
  <c r="O269" i="1"/>
  <c r="O270" i="1" s="1"/>
  <c r="O54" i="1"/>
  <c r="O189" i="1"/>
  <c r="O190" i="1" s="1"/>
  <c r="O149" i="1"/>
  <c r="O150" i="1" s="1"/>
  <c r="O141" i="1"/>
  <c r="O142" i="1" s="1"/>
  <c r="O285" i="1"/>
  <c r="O286" i="1" s="1"/>
  <c r="O413" i="1"/>
  <c r="O414" i="1" s="1"/>
  <c r="O391" i="1"/>
  <c r="O253" i="1"/>
  <c r="O254" i="1" s="1"/>
  <c r="O237" i="1"/>
  <c r="O238" i="1" s="1"/>
  <c r="O245" i="1"/>
  <c r="O246" i="1" s="1"/>
  <c r="O349" i="1"/>
  <c r="O350" i="1" s="1"/>
  <c r="O229" i="1"/>
  <c r="O230" i="1" s="1"/>
  <c r="O365" i="1"/>
  <c r="O366" i="1" s="1"/>
  <c r="O397" i="1"/>
  <c r="O398" i="1" s="1"/>
  <c r="O405" i="1"/>
  <c r="O406" i="1" s="1"/>
  <c r="AA14" i="1"/>
  <c r="O175" i="1" l="1"/>
  <c r="V222" i="1"/>
  <c r="AA222" i="1" s="1"/>
  <c r="AE222" i="1" s="1"/>
  <c r="O223" i="1"/>
  <c r="O71" i="1"/>
  <c r="V70" i="1"/>
  <c r="AA70" i="1" s="1"/>
  <c r="AE70" i="1" s="1"/>
  <c r="O7" i="1"/>
  <c r="V6" i="1"/>
  <c r="AA6" i="1" s="1"/>
  <c r="AE6" i="1" s="1"/>
  <c r="V422" i="1"/>
  <c r="AA422" i="1" s="1"/>
  <c r="AE422" i="1" s="1"/>
  <c r="O423" i="1"/>
  <c r="V310" i="1"/>
  <c r="AA310" i="1" s="1"/>
  <c r="AE310" i="1" s="1"/>
  <c r="O311" i="1"/>
  <c r="O167" i="1"/>
  <c r="V166" i="1"/>
  <c r="AA166" i="1" s="1"/>
  <c r="AE166" i="1" s="1"/>
  <c r="O111" i="1"/>
  <c r="V110" i="1"/>
  <c r="O127" i="1"/>
  <c r="V126" i="1"/>
  <c r="AA126" i="1" s="1"/>
  <c r="AE126" i="1" s="1"/>
  <c r="AA358" i="1"/>
  <c r="AE358" i="1" s="1"/>
  <c r="O359" i="1"/>
  <c r="V359" i="1" s="1"/>
  <c r="AE14" i="1"/>
  <c r="O351" i="1"/>
  <c r="V350" i="1"/>
  <c r="V286" i="1"/>
  <c r="AA286" i="1" s="1"/>
  <c r="AE286" i="1" s="1"/>
  <c r="O287" i="1"/>
  <c r="O151" i="1"/>
  <c r="V150" i="1"/>
  <c r="V398" i="1"/>
  <c r="AA398" i="1" s="1"/>
  <c r="AE398" i="1" s="1"/>
  <c r="O399" i="1"/>
  <c r="V246" i="1"/>
  <c r="AA246" i="1" s="1"/>
  <c r="AE246" i="1" s="1"/>
  <c r="O247" i="1"/>
  <c r="O176" i="1"/>
  <c r="V175" i="1"/>
  <c r="AA175" i="1" s="1"/>
  <c r="AE175" i="1" s="1"/>
  <c r="V262" i="1"/>
  <c r="AA262" i="1" s="1"/>
  <c r="AE262" i="1" s="1"/>
  <c r="O263" i="1"/>
  <c r="V385" i="1"/>
  <c r="AA385" i="1" s="1"/>
  <c r="AE385" i="1" s="1"/>
  <c r="O386" i="1"/>
  <c r="V134" i="1"/>
  <c r="O135" i="1"/>
  <c r="O231" i="1"/>
  <c r="V230" i="1"/>
  <c r="O255" i="1"/>
  <c r="O256" i="1" s="1"/>
  <c r="V254" i="1"/>
  <c r="O415" i="1"/>
  <c r="V414" i="1"/>
  <c r="AA414" i="1" s="1"/>
  <c r="AE414" i="1" s="1"/>
  <c r="V142" i="1"/>
  <c r="AA142" i="1" s="1"/>
  <c r="AE142" i="1" s="1"/>
  <c r="O143" i="1"/>
  <c r="O191" i="1"/>
  <c r="V190" i="1"/>
  <c r="O159" i="1"/>
  <c r="V158" i="1"/>
  <c r="AA158" i="1" s="1"/>
  <c r="AE158" i="1" s="1"/>
  <c r="O407" i="1"/>
  <c r="V406" i="1"/>
  <c r="AA406" i="1" s="1"/>
  <c r="AE406" i="1" s="1"/>
  <c r="O367" i="1"/>
  <c r="V366" i="1"/>
  <c r="AA366" i="1" s="1"/>
  <c r="AE366" i="1" s="1"/>
  <c r="O239" i="1"/>
  <c r="V238" i="1"/>
  <c r="AA238" i="1" s="1"/>
  <c r="AE238" i="1" s="1"/>
  <c r="O392" i="1"/>
  <c r="V391" i="1"/>
  <c r="AA391" i="1" s="1"/>
  <c r="AE391" i="1" s="1"/>
  <c r="V54" i="1"/>
  <c r="O55" i="1"/>
  <c r="O271" i="1"/>
  <c r="O272" i="1" s="1"/>
  <c r="V270" i="1"/>
  <c r="O279" i="1"/>
  <c r="V278" i="1"/>
  <c r="AA278" i="1" s="1"/>
  <c r="AE278" i="1" s="1"/>
  <c r="O72" i="1" l="1"/>
  <c r="V71" i="1"/>
  <c r="AA71" i="1" s="1"/>
  <c r="AE71" i="1" s="1"/>
  <c r="O224" i="1"/>
  <c r="O225" i="1" s="1"/>
  <c r="V223" i="1"/>
  <c r="O360" i="1"/>
  <c r="O8" i="1"/>
  <c r="O9" i="1" s="1"/>
  <c r="V7" i="1"/>
  <c r="AA110" i="1"/>
  <c r="O312" i="1"/>
  <c r="V311" i="1"/>
  <c r="AA311" i="1" s="1"/>
  <c r="AE311" i="1" s="1"/>
  <c r="O424" i="1"/>
  <c r="O425" i="1" s="1"/>
  <c r="O426" i="1" s="1"/>
  <c r="V423" i="1"/>
  <c r="V127" i="1"/>
  <c r="AA127" i="1" s="1"/>
  <c r="AE127" i="1" s="1"/>
  <c r="O128" i="1"/>
  <c r="O112" i="1"/>
  <c r="V111" i="1"/>
  <c r="AA111" i="1" s="1"/>
  <c r="AE111" i="1" s="1"/>
  <c r="O168" i="1"/>
  <c r="V167" i="1"/>
  <c r="AA167" i="1" s="1"/>
  <c r="AE167" i="1" s="1"/>
  <c r="H20" i="4"/>
  <c r="AA230" i="1"/>
  <c r="V271" i="1"/>
  <c r="AA271" i="1" s="1"/>
  <c r="AE271" i="1" s="1"/>
  <c r="AA270" i="1"/>
  <c r="AE270" i="1" s="1"/>
  <c r="V279" i="1"/>
  <c r="AA279" i="1" s="1"/>
  <c r="AE279" i="1" s="1"/>
  <c r="O280" i="1"/>
  <c r="O273" i="1"/>
  <c r="O393" i="1"/>
  <c r="V392" i="1"/>
  <c r="O368" i="1"/>
  <c r="V367" i="1"/>
  <c r="AA367" i="1" s="1"/>
  <c r="AE367" i="1" s="1"/>
  <c r="O160" i="1"/>
  <c r="V159" i="1"/>
  <c r="AA159" i="1" s="1"/>
  <c r="AE159" i="1" s="1"/>
  <c r="O257" i="1"/>
  <c r="AA134" i="1"/>
  <c r="O152" i="1"/>
  <c r="V151" i="1"/>
  <c r="AA151" i="1" s="1"/>
  <c r="AE151" i="1" s="1"/>
  <c r="O352" i="1"/>
  <c r="V351" i="1"/>
  <c r="AA351" i="1" s="1"/>
  <c r="AE351" i="1" s="1"/>
  <c r="AA359" i="1"/>
  <c r="V55" i="1"/>
  <c r="AA55" i="1" s="1"/>
  <c r="AE55" i="1" s="1"/>
  <c r="O56" i="1"/>
  <c r="AA190" i="1"/>
  <c r="O387" i="1"/>
  <c r="V386" i="1"/>
  <c r="AA386" i="1" s="1"/>
  <c r="AE386" i="1" s="1"/>
  <c r="O400" i="1"/>
  <c r="V399" i="1"/>
  <c r="AA399" i="1" s="1"/>
  <c r="AE399" i="1" s="1"/>
  <c r="O288" i="1"/>
  <c r="V287" i="1"/>
  <c r="AA287" i="1" s="1"/>
  <c r="AE287" i="1" s="1"/>
  <c r="O361" i="1"/>
  <c r="V360" i="1"/>
  <c r="AA360" i="1" s="1"/>
  <c r="AE360" i="1" s="1"/>
  <c r="AA54" i="1"/>
  <c r="O240" i="1"/>
  <c r="V239" i="1"/>
  <c r="AA239" i="1" s="1"/>
  <c r="AE239" i="1" s="1"/>
  <c r="O408" i="1"/>
  <c r="V407" i="1"/>
  <c r="AA407" i="1" s="1"/>
  <c r="AE407" i="1" s="1"/>
  <c r="O192" i="1"/>
  <c r="V191" i="1"/>
  <c r="AA191" i="1" s="1"/>
  <c r="AE191" i="1" s="1"/>
  <c r="V415" i="1"/>
  <c r="AA415" i="1" s="1"/>
  <c r="O416" i="1"/>
  <c r="V231" i="1"/>
  <c r="AA231" i="1" s="1"/>
  <c r="AE231" i="1" s="1"/>
  <c r="O232" i="1"/>
  <c r="O177" i="1"/>
  <c r="V176" i="1"/>
  <c r="AA176" i="1" s="1"/>
  <c r="AE176" i="1" s="1"/>
  <c r="O144" i="1"/>
  <c r="V143" i="1"/>
  <c r="AA143" i="1" s="1"/>
  <c r="AE143" i="1" s="1"/>
  <c r="V255" i="1"/>
  <c r="AA255" i="1" s="1"/>
  <c r="AE255" i="1" s="1"/>
  <c r="AA254" i="1"/>
  <c r="O136" i="1"/>
  <c r="V135" i="1"/>
  <c r="AA135" i="1" s="1"/>
  <c r="AE135" i="1" s="1"/>
  <c r="O264" i="1"/>
  <c r="V263" i="1"/>
  <c r="O248" i="1"/>
  <c r="V247" i="1"/>
  <c r="AA247" i="1" s="1"/>
  <c r="AE247" i="1" s="1"/>
  <c r="AA150" i="1"/>
  <c r="AA350" i="1"/>
  <c r="O15" i="1"/>
  <c r="V15" i="1" s="1"/>
  <c r="V224" i="1" l="1"/>
  <c r="AA224" i="1" s="1"/>
  <c r="AE224" i="1" s="1"/>
  <c r="AA223" i="1"/>
  <c r="AE223" i="1" s="1"/>
  <c r="V8" i="1"/>
  <c r="AA8" i="1" s="1"/>
  <c r="AE8" i="1" s="1"/>
  <c r="AA7" i="1"/>
  <c r="AE7" i="1" s="1"/>
  <c r="V225" i="1"/>
  <c r="AA225" i="1" s="1"/>
  <c r="AE225" i="1" s="1"/>
  <c r="O226" i="1"/>
  <c r="O10" i="1"/>
  <c r="O73" i="1"/>
  <c r="V72" i="1"/>
  <c r="AA72" i="1" s="1"/>
  <c r="AE72" i="1" s="1"/>
  <c r="O129" i="1"/>
  <c r="V128" i="1"/>
  <c r="AA128" i="1" s="1"/>
  <c r="AE128" i="1" s="1"/>
  <c r="V424" i="1"/>
  <c r="AA423" i="1"/>
  <c r="AE423" i="1" s="1"/>
  <c r="O169" i="1"/>
  <c r="V168" i="1"/>
  <c r="AA168" i="1" s="1"/>
  <c r="AE168" i="1" s="1"/>
  <c r="O113" i="1"/>
  <c r="O114" i="1" s="1"/>
  <c r="V112" i="1"/>
  <c r="O427" i="1"/>
  <c r="O313" i="1"/>
  <c r="V312" i="1"/>
  <c r="AA312" i="1" s="1"/>
  <c r="AE312" i="1" s="1"/>
  <c r="AE110" i="1"/>
  <c r="AA392" i="1"/>
  <c r="AE150" i="1"/>
  <c r="AE350" i="1"/>
  <c r="AE254" i="1"/>
  <c r="AE54" i="1"/>
  <c r="AE359" i="1"/>
  <c r="AE230" i="1"/>
  <c r="AE190" i="1"/>
  <c r="AE134" i="1"/>
  <c r="AE415" i="1"/>
  <c r="V272" i="1"/>
  <c r="AA272" i="1" s="1"/>
  <c r="AE272" i="1" s="1"/>
  <c r="V248" i="1"/>
  <c r="AA248" i="1" s="1"/>
  <c r="AE248" i="1" s="1"/>
  <c r="O249" i="1"/>
  <c r="V136" i="1"/>
  <c r="AA136" i="1" s="1"/>
  <c r="AE136" i="1" s="1"/>
  <c r="O137" i="1"/>
  <c r="V232" i="1"/>
  <c r="AA232" i="1" s="1"/>
  <c r="AE232" i="1" s="1"/>
  <c r="O233" i="1"/>
  <c r="V56" i="1"/>
  <c r="AA56" i="1" s="1"/>
  <c r="AE56" i="1" s="1"/>
  <c r="O57" i="1"/>
  <c r="V280" i="1"/>
  <c r="AA280" i="1" s="1"/>
  <c r="AE280" i="1" s="1"/>
  <c r="O281" i="1"/>
  <c r="O193" i="1"/>
  <c r="V192" i="1"/>
  <c r="AA192" i="1" s="1"/>
  <c r="AE192" i="1" s="1"/>
  <c r="O289" i="1"/>
  <c r="V288" i="1"/>
  <c r="V387" i="1"/>
  <c r="AA387" i="1" s="1"/>
  <c r="AE387" i="1" s="1"/>
  <c r="P387" i="1"/>
  <c r="P384" i="1"/>
  <c r="V160" i="1"/>
  <c r="AA160" i="1" s="1"/>
  <c r="AE160" i="1" s="1"/>
  <c r="O161" i="1"/>
  <c r="O394" i="1"/>
  <c r="V393" i="1"/>
  <c r="AA263" i="1"/>
  <c r="AE263" i="1" s="1"/>
  <c r="O145" i="1"/>
  <c r="V144" i="1"/>
  <c r="AA144" i="1" s="1"/>
  <c r="AE144" i="1" s="1"/>
  <c r="O241" i="1"/>
  <c r="V240" i="1"/>
  <c r="AA240" i="1" s="1"/>
  <c r="AE240" i="1" s="1"/>
  <c r="O265" i="1"/>
  <c r="V264" i="1"/>
  <c r="AA264" i="1" s="1"/>
  <c r="AE264" i="1" s="1"/>
  <c r="V256" i="1"/>
  <c r="V257" i="1" s="1"/>
  <c r="AA257" i="1" s="1"/>
  <c r="AE257" i="1" s="1"/>
  <c r="V352" i="1"/>
  <c r="O353" i="1"/>
  <c r="V416" i="1"/>
  <c r="AA416" i="1" s="1"/>
  <c r="AE416" i="1" s="1"/>
  <c r="O417" i="1"/>
  <c r="V177" i="1"/>
  <c r="AA177" i="1" s="1"/>
  <c r="AE177" i="1" s="1"/>
  <c r="O178" i="1"/>
  <c r="V408" i="1"/>
  <c r="AA408" i="1" s="1"/>
  <c r="AE408" i="1" s="1"/>
  <c r="O409" i="1"/>
  <c r="O362" i="1"/>
  <c r="V361" i="1"/>
  <c r="AA361" i="1" s="1"/>
  <c r="AE361" i="1" s="1"/>
  <c r="O401" i="1"/>
  <c r="V400" i="1"/>
  <c r="AA400" i="1" s="1"/>
  <c r="AE400" i="1" s="1"/>
  <c r="V152" i="1"/>
  <c r="O153" i="1"/>
  <c r="O258" i="1"/>
  <c r="O369" i="1"/>
  <c r="V368" i="1"/>
  <c r="AA368" i="1" s="1"/>
  <c r="AE368" i="1" s="1"/>
  <c r="O274" i="1"/>
  <c r="AA15" i="1"/>
  <c r="O16" i="1"/>
  <c r="V16" i="1" s="1"/>
  <c r="V9" i="1" l="1"/>
  <c r="AA9" i="1" s="1"/>
  <c r="AE9" i="1" s="1"/>
  <c r="O11" i="1"/>
  <c r="O227" i="1"/>
  <c r="V226" i="1"/>
  <c r="AA226" i="1" s="1"/>
  <c r="AE226" i="1" s="1"/>
  <c r="O74" i="1"/>
  <c r="O75" i="1" s="1"/>
  <c r="V73" i="1"/>
  <c r="O115" i="1"/>
  <c r="V169" i="1"/>
  <c r="AA169" i="1" s="1"/>
  <c r="AE169" i="1" s="1"/>
  <c r="O170" i="1"/>
  <c r="V313" i="1"/>
  <c r="AA313" i="1" s="1"/>
  <c r="AE313" i="1" s="1"/>
  <c r="O314" i="1"/>
  <c r="P424" i="1"/>
  <c r="P427" i="1"/>
  <c r="V113" i="1"/>
  <c r="AA112" i="1"/>
  <c r="V425" i="1"/>
  <c r="AA424" i="1"/>
  <c r="AE424" i="1" s="1"/>
  <c r="V129" i="1"/>
  <c r="AA129" i="1" s="1"/>
  <c r="AE129" i="1" s="1"/>
  <c r="O130" i="1"/>
  <c r="AE392" i="1"/>
  <c r="AA288" i="1"/>
  <c r="AE15" i="1"/>
  <c r="V273" i="1"/>
  <c r="AA273" i="1" s="1"/>
  <c r="AE273" i="1" s="1"/>
  <c r="AA152" i="1"/>
  <c r="O363" i="1"/>
  <c r="V362" i="1"/>
  <c r="AA352" i="1"/>
  <c r="V241" i="1"/>
  <c r="AA241" i="1" s="1"/>
  <c r="AE241" i="1" s="1"/>
  <c r="O242" i="1"/>
  <c r="O275" i="1"/>
  <c r="O259" i="1"/>
  <c r="V258" i="1"/>
  <c r="AA258" i="1" s="1"/>
  <c r="AE258" i="1" s="1"/>
  <c r="V409" i="1"/>
  <c r="AA409" i="1" s="1"/>
  <c r="AE409" i="1" s="1"/>
  <c r="O410" i="1"/>
  <c r="V417" i="1"/>
  <c r="AA417" i="1" s="1"/>
  <c r="AE417" i="1" s="1"/>
  <c r="O418" i="1"/>
  <c r="AA256" i="1"/>
  <c r="AA393" i="1"/>
  <c r="AE393" i="1" s="1"/>
  <c r="O290" i="1"/>
  <c r="V289" i="1"/>
  <c r="O194" i="1"/>
  <c r="V193" i="1"/>
  <c r="AA193" i="1" s="1"/>
  <c r="AE193" i="1" s="1"/>
  <c r="O58" i="1"/>
  <c r="V57" i="1"/>
  <c r="O138" i="1"/>
  <c r="V137" i="1"/>
  <c r="V401" i="1"/>
  <c r="AA401" i="1" s="1"/>
  <c r="AE401" i="1" s="1"/>
  <c r="O402" i="1"/>
  <c r="V265" i="1"/>
  <c r="AA265" i="1" s="1"/>
  <c r="AE265" i="1" s="1"/>
  <c r="O266" i="1"/>
  <c r="O146" i="1"/>
  <c r="V145" i="1"/>
  <c r="AA145" i="1" s="1"/>
  <c r="AE145" i="1" s="1"/>
  <c r="O395" i="1"/>
  <c r="V394" i="1"/>
  <c r="O282" i="1"/>
  <c r="V281" i="1"/>
  <c r="AA281" i="1" s="1"/>
  <c r="AE281" i="1" s="1"/>
  <c r="V153" i="1"/>
  <c r="AA153" i="1" s="1"/>
  <c r="AE153" i="1" s="1"/>
  <c r="O154" i="1"/>
  <c r="O179" i="1"/>
  <c r="V178" i="1"/>
  <c r="AA178" i="1" s="1"/>
  <c r="AE178" i="1" s="1"/>
  <c r="V353" i="1"/>
  <c r="AA353" i="1" s="1"/>
  <c r="AE353" i="1" s="1"/>
  <c r="O354" i="1"/>
  <c r="V161" i="1"/>
  <c r="AA161" i="1" s="1"/>
  <c r="AE161" i="1" s="1"/>
  <c r="O162" i="1"/>
  <c r="O234" i="1"/>
  <c r="V233" i="1"/>
  <c r="AA233" i="1" s="1"/>
  <c r="AE233" i="1" s="1"/>
  <c r="V249" i="1"/>
  <c r="AA249" i="1" s="1"/>
  <c r="AE249" i="1" s="1"/>
  <c r="O250" i="1"/>
  <c r="V369" i="1"/>
  <c r="AA369" i="1" s="1"/>
  <c r="AE369" i="1" s="1"/>
  <c r="O370" i="1"/>
  <c r="AA16" i="1"/>
  <c r="AE16" i="1" s="1"/>
  <c r="O17" i="1"/>
  <c r="V17" i="1" s="1"/>
  <c r="P224" i="1" l="1"/>
  <c r="V227" i="1"/>
  <c r="AA227" i="1" s="1"/>
  <c r="AE227" i="1" s="1"/>
  <c r="P227" i="1"/>
  <c r="V74" i="1"/>
  <c r="AA74" i="1" s="1"/>
  <c r="AE74" i="1" s="1"/>
  <c r="AA73" i="1"/>
  <c r="AE73" i="1" s="1"/>
  <c r="V10" i="1"/>
  <c r="AA10" i="1" s="1"/>
  <c r="AE10" i="1" s="1"/>
  <c r="P75" i="1"/>
  <c r="P72" i="1"/>
  <c r="P11" i="1"/>
  <c r="P8" i="1"/>
  <c r="O131" i="1"/>
  <c r="V130" i="1"/>
  <c r="AA130" i="1" s="1"/>
  <c r="AE130" i="1" s="1"/>
  <c r="AA113" i="1"/>
  <c r="AE113" i="1" s="1"/>
  <c r="O315" i="1"/>
  <c r="V314" i="1"/>
  <c r="AA314" i="1" s="1"/>
  <c r="AE314" i="1" s="1"/>
  <c r="V170" i="1"/>
  <c r="AA170" i="1" s="1"/>
  <c r="AE170" i="1" s="1"/>
  <c r="O171" i="1"/>
  <c r="V114" i="1"/>
  <c r="AA425" i="1"/>
  <c r="AE425" i="1" s="1"/>
  <c r="V426" i="1"/>
  <c r="AA426" i="1" s="1"/>
  <c r="AE426" i="1" s="1"/>
  <c r="AE112" i="1"/>
  <c r="P112" i="1"/>
  <c r="P115" i="1"/>
  <c r="AE288" i="1"/>
  <c r="AE256" i="1"/>
  <c r="AE352" i="1"/>
  <c r="AE152" i="1"/>
  <c r="V274" i="1"/>
  <c r="AA274" i="1" s="1"/>
  <c r="AE274" i="1" s="1"/>
  <c r="V58" i="1"/>
  <c r="AA58" i="1" s="1"/>
  <c r="AE58" i="1" s="1"/>
  <c r="O59" i="1"/>
  <c r="V290" i="1"/>
  <c r="AA290" i="1" s="1"/>
  <c r="AE290" i="1" s="1"/>
  <c r="O291" i="1"/>
  <c r="V354" i="1"/>
  <c r="AA354" i="1" s="1"/>
  <c r="AE354" i="1" s="1"/>
  <c r="O355" i="1"/>
  <c r="V395" i="1"/>
  <c r="AA395" i="1" s="1"/>
  <c r="AE395" i="1" s="1"/>
  <c r="AA394" i="1"/>
  <c r="O267" i="1"/>
  <c r="V266" i="1"/>
  <c r="AA266" i="1" s="1"/>
  <c r="AE266" i="1" s="1"/>
  <c r="AA137" i="1"/>
  <c r="AE137" i="1" s="1"/>
  <c r="O419" i="1"/>
  <c r="V418" i="1"/>
  <c r="AA418" i="1" s="1"/>
  <c r="AE418" i="1" s="1"/>
  <c r="V242" i="1"/>
  <c r="AA242" i="1" s="1"/>
  <c r="AE242" i="1" s="1"/>
  <c r="O243" i="1"/>
  <c r="AA362" i="1"/>
  <c r="O251" i="1"/>
  <c r="V250" i="1"/>
  <c r="AA250" i="1" s="1"/>
  <c r="AE250" i="1" s="1"/>
  <c r="P176" i="1"/>
  <c r="V179" i="1"/>
  <c r="P179" i="1"/>
  <c r="O147" i="1"/>
  <c r="V146" i="1"/>
  <c r="O155" i="1"/>
  <c r="V154" i="1"/>
  <c r="AA154" i="1" s="1"/>
  <c r="AE154" i="1" s="1"/>
  <c r="V370" i="1"/>
  <c r="AA370" i="1" s="1"/>
  <c r="AE370" i="1" s="1"/>
  <c r="O371" i="1"/>
  <c r="V162" i="1"/>
  <c r="AA162" i="1" s="1"/>
  <c r="AE162" i="1" s="1"/>
  <c r="O163" i="1"/>
  <c r="P392" i="1"/>
  <c r="P395" i="1"/>
  <c r="O139" i="1"/>
  <c r="V138" i="1"/>
  <c r="AA138" i="1" s="1"/>
  <c r="AE138" i="1" s="1"/>
  <c r="V194" i="1"/>
  <c r="O195" i="1"/>
  <c r="P256" i="1"/>
  <c r="V259" i="1"/>
  <c r="AA259" i="1" s="1"/>
  <c r="AE259" i="1" s="1"/>
  <c r="P259" i="1"/>
  <c r="P360" i="1"/>
  <c r="V363" i="1"/>
  <c r="P363" i="1"/>
  <c r="O235" i="1"/>
  <c r="V234" i="1"/>
  <c r="AA234" i="1" s="1"/>
  <c r="AE234" i="1" s="1"/>
  <c r="O403" i="1"/>
  <c r="V402" i="1"/>
  <c r="AA402" i="1" s="1"/>
  <c r="AE402" i="1" s="1"/>
  <c r="AA57" i="1"/>
  <c r="AE57" i="1" s="1"/>
  <c r="AA289" i="1"/>
  <c r="O411" i="1"/>
  <c r="V410" i="1"/>
  <c r="AA410" i="1" s="1"/>
  <c r="AE410" i="1" s="1"/>
  <c r="O283" i="1"/>
  <c r="V282" i="1"/>
  <c r="AA282" i="1" s="1"/>
  <c r="AE282" i="1" s="1"/>
  <c r="P275" i="1"/>
  <c r="P272" i="1"/>
  <c r="AA17" i="1"/>
  <c r="AE17" i="1" s="1"/>
  <c r="O18" i="1"/>
  <c r="V18" i="1" s="1"/>
  <c r="V11" i="1" l="1"/>
  <c r="AA11" i="1" s="1"/>
  <c r="V75" i="1"/>
  <c r="AA75" i="1" s="1"/>
  <c r="AE75" i="1" s="1"/>
  <c r="V275" i="1"/>
  <c r="AA275" i="1" s="1"/>
  <c r="AE275" i="1" s="1"/>
  <c r="V115" i="1"/>
  <c r="V427" i="1"/>
  <c r="AA427" i="1" s="1"/>
  <c r="AE427" i="1" s="1"/>
  <c r="P168" i="1"/>
  <c r="P171" i="1"/>
  <c r="V171" i="1"/>
  <c r="AA171" i="1" s="1"/>
  <c r="AE171" i="1" s="1"/>
  <c r="AA114" i="1"/>
  <c r="AE114" i="1" s="1"/>
  <c r="P315" i="1"/>
  <c r="V315" i="1"/>
  <c r="AA315" i="1" s="1"/>
  <c r="AE315" i="1" s="1"/>
  <c r="P312" i="1"/>
  <c r="P131" i="1"/>
  <c r="V131" i="1"/>
  <c r="AA131" i="1" s="1"/>
  <c r="AE131" i="1" s="1"/>
  <c r="P128" i="1"/>
  <c r="AE394" i="1"/>
  <c r="AA146" i="1"/>
  <c r="AE289" i="1"/>
  <c r="AE362" i="1"/>
  <c r="AA363" i="1"/>
  <c r="AE363" i="1" s="1"/>
  <c r="AA179" i="1"/>
  <c r="AE179" i="1" s="1"/>
  <c r="P400" i="1"/>
  <c r="V403" i="1"/>
  <c r="AA403" i="1" s="1"/>
  <c r="AE403" i="1" s="1"/>
  <c r="P403" i="1"/>
  <c r="P240" i="1"/>
  <c r="V243" i="1"/>
  <c r="P243" i="1"/>
  <c r="V267" i="1"/>
  <c r="P267" i="1"/>
  <c r="P264" i="1"/>
  <c r="P283" i="1"/>
  <c r="P280" i="1"/>
  <c r="V283" i="1"/>
  <c r="V411" i="1"/>
  <c r="AA411" i="1" s="1"/>
  <c r="AE411" i="1" s="1"/>
  <c r="P411" i="1"/>
  <c r="P408" i="1"/>
  <c r="V195" i="1"/>
  <c r="P195" i="1"/>
  <c r="P192" i="1"/>
  <c r="P371" i="1"/>
  <c r="P368" i="1"/>
  <c r="V371" i="1"/>
  <c r="AA371" i="1" s="1"/>
  <c r="AE371" i="1" s="1"/>
  <c r="P248" i="1"/>
  <c r="V251" i="1"/>
  <c r="P251" i="1"/>
  <c r="P291" i="1"/>
  <c r="V291" i="1"/>
  <c r="AA291" i="1" s="1"/>
  <c r="AE291" i="1" s="1"/>
  <c r="P288" i="1"/>
  <c r="AA194" i="1"/>
  <c r="AE194" i="1" s="1"/>
  <c r="V235" i="1"/>
  <c r="AA235" i="1" s="1"/>
  <c r="AE235" i="1" s="1"/>
  <c r="P235" i="1"/>
  <c r="P232" i="1"/>
  <c r="P160" i="1"/>
  <c r="V163" i="1"/>
  <c r="AA163" i="1" s="1"/>
  <c r="AE163" i="1" s="1"/>
  <c r="P163" i="1"/>
  <c r="V419" i="1"/>
  <c r="P419" i="1"/>
  <c r="P416" i="1"/>
  <c r="P352" i="1"/>
  <c r="V355" i="1"/>
  <c r="P355" i="1"/>
  <c r="V59" i="1"/>
  <c r="P59" i="1"/>
  <c r="P56" i="1"/>
  <c r="P136" i="1"/>
  <c r="V139" i="1"/>
  <c r="AA139" i="1" s="1"/>
  <c r="AE139" i="1" s="1"/>
  <c r="P139" i="1"/>
  <c r="P152" i="1"/>
  <c r="V155" i="1"/>
  <c r="P155" i="1"/>
  <c r="V147" i="1"/>
  <c r="P144" i="1"/>
  <c r="P147" i="1"/>
  <c r="O19" i="1"/>
  <c r="V19" i="1" s="1"/>
  <c r="AE11" i="1" l="1"/>
  <c r="L15" i="4"/>
  <c r="M15" i="4" s="1"/>
  <c r="L4" i="4"/>
  <c r="M4" i="4" s="1"/>
  <c r="L8" i="4"/>
  <c r="M8" i="4" s="1"/>
  <c r="L9" i="4"/>
  <c r="M9" i="4" s="1"/>
  <c r="L7" i="4"/>
  <c r="M7" i="4" s="1"/>
  <c r="L12" i="4"/>
  <c r="M12" i="4" s="1"/>
  <c r="L5" i="4"/>
  <c r="M5" i="4" s="1"/>
  <c r="L11" i="4"/>
  <c r="M11" i="4" s="1"/>
  <c r="L6" i="4"/>
  <c r="M6" i="4" s="1"/>
  <c r="L14" i="4"/>
  <c r="M14" i="4" s="1"/>
  <c r="AA115" i="1"/>
  <c r="L10" i="4"/>
  <c r="M10" i="4" s="1"/>
  <c r="L13" i="4"/>
  <c r="M13" i="4" s="1"/>
  <c r="AE146" i="1"/>
  <c r="H19" i="4"/>
  <c r="AA419" i="1"/>
  <c r="AE419" i="1" s="1"/>
  <c r="AA355" i="1"/>
  <c r="AA195" i="1"/>
  <c r="AA283" i="1"/>
  <c r="AA59" i="1"/>
  <c r="AA147" i="1"/>
  <c r="AA251" i="1"/>
  <c r="AA267" i="1"/>
  <c r="AA155" i="1"/>
  <c r="AA243" i="1"/>
  <c r="AE243" i="1" s="1"/>
  <c r="AA18" i="1"/>
  <c r="P16" i="1"/>
  <c r="P19" i="1"/>
  <c r="H22" i="4" s="1"/>
  <c r="AA19" i="1"/>
  <c r="N15" i="4" l="1"/>
  <c r="N6" i="4"/>
  <c r="O6" i="4" s="1"/>
  <c r="N8" i="4"/>
  <c r="O8" i="4" s="1"/>
  <c r="N14" i="4"/>
  <c r="O14" i="4" s="1"/>
  <c r="N11" i="4"/>
  <c r="O11" i="4" s="1"/>
  <c r="N12" i="4"/>
  <c r="O12" i="4" s="1"/>
  <c r="N13" i="4"/>
  <c r="O13" i="4" s="1"/>
  <c r="AE115" i="1"/>
  <c r="N4" i="4"/>
  <c r="O4" i="4" s="1"/>
  <c r="N10" i="4"/>
  <c r="O10" i="4" s="1"/>
  <c r="N9" i="4"/>
  <c r="O9" i="4" s="1"/>
  <c r="N5" i="4"/>
  <c r="O5" i="4" s="1"/>
  <c r="N7" i="4"/>
  <c r="O7" i="4" s="1"/>
  <c r="AE18" i="1"/>
  <c r="AE283" i="1"/>
  <c r="AE267" i="1"/>
  <c r="AE195" i="1"/>
  <c r="AE355" i="1"/>
  <c r="AE155" i="1"/>
  <c r="AE251" i="1"/>
  <c r="AE147" i="1"/>
  <c r="AE59" i="1"/>
  <c r="AC19" i="1"/>
  <c r="R3" i="4" s="1"/>
  <c r="AD19" i="1"/>
  <c r="R4" i="4" s="1"/>
  <c r="AE19" i="1"/>
  <c r="R5" i="4" l="1"/>
  <c r="O15" i="4"/>
  <c r="D18" i="4" s="1"/>
  <c r="D24" i="4" s="1"/>
  <c r="C18" i="4"/>
  <c r="H25" i="4"/>
</calcChain>
</file>

<file path=xl/sharedStrings.xml><?xml version="1.0" encoding="utf-8"?>
<sst xmlns="http://schemas.openxmlformats.org/spreadsheetml/2006/main" count="1040" uniqueCount="108">
  <si>
    <t>pause</t>
  </si>
  <si>
    <t>date</t>
  </si>
  <si>
    <t>jour</t>
  </si>
  <si>
    <t>vendredi</t>
  </si>
  <si>
    <t>samedi</t>
  </si>
  <si>
    <t>dimanche</t>
  </si>
  <si>
    <t>lundi</t>
  </si>
  <si>
    <t>mardi</t>
  </si>
  <si>
    <t>mercredi</t>
  </si>
  <si>
    <t>jeudi</t>
  </si>
  <si>
    <t>durée du travail hebdomadaire max</t>
  </si>
  <si>
    <t>repos hebdomadaire</t>
  </si>
  <si>
    <t>heures sup mensuel max par mois</t>
  </si>
  <si>
    <t>amplitude du temps</t>
  </si>
  <si>
    <t>la durée de travail jour</t>
  </si>
  <si>
    <t>heures de nuit</t>
  </si>
  <si>
    <t xml:space="preserve">repos quotidien </t>
  </si>
  <si>
    <t>heures de dimanche</t>
  </si>
  <si>
    <t>durée du travail hebdomadaire</t>
  </si>
  <si>
    <t xml:space="preserve">heure jour </t>
  </si>
  <si>
    <t>congés</t>
  </si>
  <si>
    <t>heures sup  1 à 14</t>
  </si>
  <si>
    <t>heures sup 15 à 25</t>
  </si>
  <si>
    <t>Férié travaillé</t>
  </si>
  <si>
    <t xml:space="preserve">début H nuit </t>
  </si>
  <si>
    <t>Fin</t>
  </si>
  <si>
    <t>Début</t>
  </si>
  <si>
    <t>heures annueltravail</t>
  </si>
  <si>
    <t>off</t>
  </si>
  <si>
    <t>travail</t>
  </si>
  <si>
    <t>récupération</t>
  </si>
  <si>
    <t>congé 1 jour</t>
  </si>
  <si>
    <t xml:space="preserve">congé 1/2 jour </t>
  </si>
  <si>
    <t>congé 5h24</t>
  </si>
  <si>
    <t>arrêt maladie</t>
  </si>
  <si>
    <t>arrêt travail</t>
  </si>
  <si>
    <t xml:space="preserve">férié </t>
  </si>
  <si>
    <t>férié travaillé</t>
  </si>
  <si>
    <t>H dimanche</t>
  </si>
  <si>
    <t>H nuit</t>
  </si>
  <si>
    <t>semaine</t>
  </si>
  <si>
    <t xml:space="preserve">H dimanche </t>
  </si>
  <si>
    <t>H sup + 36</t>
  </si>
  <si>
    <t>H Jour</t>
  </si>
  <si>
    <t>H amp</t>
  </si>
  <si>
    <t>H férié travaillé</t>
  </si>
  <si>
    <t>H semaine</t>
  </si>
  <si>
    <t>hc de</t>
  </si>
  <si>
    <t>HS hc de</t>
  </si>
  <si>
    <t>janvier</t>
  </si>
  <si>
    <t>février</t>
  </si>
  <si>
    <t>mars</t>
  </si>
  <si>
    <t>avril</t>
  </si>
  <si>
    <t>mai</t>
  </si>
  <si>
    <t>juin</t>
  </si>
  <si>
    <t>juillet</t>
  </si>
  <si>
    <t>août</t>
  </si>
  <si>
    <t>septembre</t>
  </si>
  <si>
    <t>octobre</t>
  </si>
  <si>
    <t>novembre</t>
  </si>
  <si>
    <t>décembre</t>
  </si>
  <si>
    <t xml:space="preserve">hc de </t>
  </si>
  <si>
    <t>congé</t>
  </si>
  <si>
    <t>jours</t>
  </si>
  <si>
    <t>heures</t>
  </si>
  <si>
    <t>perte suite à la réglementation 2008</t>
  </si>
  <si>
    <t>Heures suplémentaires réels</t>
  </si>
  <si>
    <t>H sup + 36h</t>
  </si>
  <si>
    <t>hs  semaine</t>
  </si>
  <si>
    <t>résultat suite à la réglementation depuis 2008</t>
  </si>
  <si>
    <t>HS + 36</t>
  </si>
  <si>
    <t xml:space="preserve">H férié travaillé </t>
  </si>
  <si>
    <t>résultat en jours</t>
  </si>
  <si>
    <t xml:space="preserve">j semaine </t>
  </si>
  <si>
    <t>jour semaine maximun</t>
  </si>
  <si>
    <t>H semaine hc de</t>
  </si>
  <si>
    <t>résultat récupération sur l'année</t>
  </si>
  <si>
    <t xml:space="preserve">récup pris </t>
  </si>
  <si>
    <t>résultat des heures hors cadre sur l'année</t>
  </si>
  <si>
    <t xml:space="preserve">H sup + 36 </t>
  </si>
  <si>
    <t>amplitude jour +12 h</t>
  </si>
  <si>
    <t>jour +10 h</t>
  </si>
  <si>
    <t xml:space="preserve">hc de repos </t>
  </si>
  <si>
    <t>repos journalier /hebdo</t>
  </si>
  <si>
    <t xml:space="preserve">h sup </t>
  </si>
  <si>
    <t>heures majoré</t>
  </si>
  <si>
    <t xml:space="preserve">mois </t>
  </si>
  <si>
    <t>hs +36 réel</t>
  </si>
  <si>
    <t>congé de naissance</t>
  </si>
  <si>
    <t>congé parentale</t>
  </si>
  <si>
    <t>congé parentale week end</t>
  </si>
  <si>
    <t>résultat</t>
  </si>
  <si>
    <t>résultat congé parentale</t>
  </si>
  <si>
    <t>résultat congé naissance</t>
  </si>
  <si>
    <t>congé = 243 h</t>
  </si>
  <si>
    <t>congé parentale 11 jours - naissance 3 jours</t>
  </si>
  <si>
    <t>résultat sur l'année en heures</t>
  </si>
  <si>
    <t xml:space="preserve">résutat </t>
  </si>
  <si>
    <t xml:space="preserve"> jours sur l'année</t>
  </si>
  <si>
    <t>hs +36    réglementation 2018</t>
  </si>
  <si>
    <t>heures semaine + 48h</t>
  </si>
  <si>
    <t>h sup mois + 25h</t>
  </si>
  <si>
    <t>perte heures non majoré suite à la réglementation 2008</t>
  </si>
  <si>
    <t>jours hedbomadaire + 6 jours</t>
  </si>
  <si>
    <t>année</t>
  </si>
  <si>
    <t>travail annuel +1580 h</t>
  </si>
  <si>
    <t>Heures supplémenatires  2018</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</si>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</sst>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mm"/>
    <numFmt numFmtId="165" formatCode="[$-40C]d\-mmm;@"/>
  </numFmts>
  <fonts count="7" x14ac:knownFonts="1">
    <font>
      <sz val="11"/>
      <color theme="1"/>
      <name val="Calibri"/>
      <family val="2"/>
      <scheme val="minor"/>
    </font>
    <font>
      <sz val="11"/>
      <color theme="1"/>
      <name val="Calibri"/>
      <family val="2"/>
      <scheme val="minor"/>
    </font>
    <font>
      <sz val="11"/>
      <color rgb="FFFF0000"/>
      <name val="Calibri"/>
      <family val="2"/>
      <scheme val="minor"/>
    </font>
    <font>
      <sz val="11"/>
      <name val="Calibri"/>
      <family val="2"/>
      <scheme val="minor"/>
    </font>
    <font>
      <sz val="11"/>
      <color theme="1"/>
      <name val="Calibri"/>
      <family val="2"/>
      <scheme val="minor"/>
    </font>
    <font>
      <sz val="12"/>
      <color theme="1"/>
      <name val="Calibri"/>
      <family val="2"/>
      <scheme val="minor"/>
    </font>
    <font>
      <sz val="16"/>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FDB9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7"/>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medium">
        <color theme="1"/>
      </left>
      <right style="medium">
        <color theme="1"/>
      </right>
      <top style="medium">
        <color theme="1"/>
      </top>
      <bottom style="medium">
        <color theme="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16">
    <xf numFmtId="0" fontId="0" fillId="0" borderId="0" xfId="0"/>
    <xf numFmtId="0" fontId="1" fillId="0" borderId="0" xfId="0" applyFont="1" applyAlignment="1">
      <alignment horizontal="center"/>
    </xf>
    <xf numFmtId="0" fontId="1" fillId="0" borderId="0" xfId="0" applyFont="1"/>
    <xf numFmtId="0" fontId="4" fillId="0" borderId="0" xfId="0" applyFont="1"/>
    <xf numFmtId="0" fontId="4" fillId="3" borderId="11" xfId="0" applyFont="1" applyFill="1" applyBorder="1"/>
    <xf numFmtId="0" fontId="4" fillId="3" borderId="7" xfId="0" applyFont="1" applyFill="1" applyBorder="1"/>
    <xf numFmtId="0" fontId="4" fillId="3" borderId="7" xfId="0" applyFont="1" applyFill="1" applyBorder="1" applyAlignment="1">
      <alignment horizontal="right"/>
    </xf>
    <xf numFmtId="0" fontId="4" fillId="3" borderId="9" xfId="0" applyFont="1" applyFill="1" applyBorder="1"/>
    <xf numFmtId="0" fontId="0" fillId="5" borderId="4" xfId="0" applyFill="1" applyBorder="1" applyAlignment="1">
      <alignment horizontal="center"/>
    </xf>
    <xf numFmtId="0" fontId="0" fillId="5" borderId="1" xfId="0" applyFill="1" applyBorder="1" applyAlignment="1">
      <alignment horizontal="center"/>
    </xf>
    <xf numFmtId="164" fontId="1" fillId="0" borderId="0" xfId="0" applyNumberFormat="1" applyFont="1"/>
    <xf numFmtId="164" fontId="3" fillId="6" borderId="1" xfId="0" applyNumberFormat="1" applyFont="1" applyFill="1" applyBorder="1" applyAlignment="1">
      <alignment horizontal="center"/>
    </xf>
    <xf numFmtId="0" fontId="0" fillId="6" borderId="4" xfId="0" applyFill="1" applyBorder="1" applyAlignment="1">
      <alignment horizontal="center"/>
    </xf>
    <xf numFmtId="0" fontId="0" fillId="8" borderId="4" xfId="0" applyFill="1" applyBorder="1" applyAlignment="1">
      <alignment horizontal="center"/>
    </xf>
    <xf numFmtId="0" fontId="0" fillId="6" borderId="1" xfId="0" applyFill="1" applyBorder="1" applyAlignment="1">
      <alignment horizontal="center"/>
    </xf>
    <xf numFmtId="0" fontId="3" fillId="9" borderId="1" xfId="0" applyFont="1" applyFill="1" applyBorder="1" applyAlignment="1">
      <alignment horizontal="center"/>
    </xf>
    <xf numFmtId="0" fontId="2" fillId="9" borderId="1" xfId="0" applyFont="1" applyFill="1" applyBorder="1" applyAlignment="1">
      <alignment horizontal="center"/>
    </xf>
    <xf numFmtId="0" fontId="3" fillId="9" borderId="3" xfId="0" applyFont="1" applyFill="1" applyBorder="1" applyAlignment="1">
      <alignment horizontal="center"/>
    </xf>
    <xf numFmtId="0" fontId="0" fillId="9" borderId="1" xfId="0" applyFill="1" applyBorder="1" applyAlignment="1">
      <alignment horizontal="center"/>
    </xf>
    <xf numFmtId="0" fontId="0" fillId="9" borderId="3" xfId="0" applyFill="1" applyBorder="1" applyAlignment="1">
      <alignment horizontal="center"/>
    </xf>
    <xf numFmtId="164" fontId="3" fillId="4" borderId="1" xfId="0" applyNumberFormat="1" applyFont="1" applyFill="1" applyBorder="1" applyAlignment="1">
      <alignment horizontal="center" vertical="center"/>
    </xf>
    <xf numFmtId="164" fontId="3" fillId="4" borderId="3" xfId="0" applyNumberFormat="1" applyFont="1" applyFill="1" applyBorder="1" applyAlignment="1">
      <alignment horizontal="center"/>
    </xf>
    <xf numFmtId="164" fontId="1" fillId="4" borderId="1" xfId="0" applyNumberFormat="1" applyFont="1" applyFill="1" applyBorder="1" applyAlignment="1">
      <alignment horizontal="center"/>
    </xf>
    <xf numFmtId="164" fontId="1" fillId="4" borderId="6" xfId="0" applyNumberFormat="1" applyFont="1" applyFill="1" applyBorder="1" applyAlignment="1">
      <alignment horizontal="center"/>
    </xf>
    <xf numFmtId="0" fontId="0" fillId="5" borderId="5" xfId="0" applyFill="1" applyBorder="1" applyAlignment="1">
      <alignment horizontal="center"/>
    </xf>
    <xf numFmtId="0" fontId="0" fillId="0" borderId="0" xfId="0" applyAlignment="1">
      <alignment horizontal="center"/>
    </xf>
    <xf numFmtId="164" fontId="1" fillId="0" borderId="0" xfId="0" applyNumberFormat="1" applyFont="1" applyAlignment="1">
      <alignment horizontal="center"/>
    </xf>
    <xf numFmtId="0" fontId="0" fillId="0" borderId="0" xfId="0" applyAlignment="1">
      <alignment horizontal="center" vertical="center"/>
    </xf>
    <xf numFmtId="16" fontId="1" fillId="0" borderId="0" xfId="0" applyNumberFormat="1" applyFont="1" applyAlignment="1">
      <alignment horizontal="center"/>
    </xf>
    <xf numFmtId="165" fontId="0" fillId="0" borderId="3" xfId="0" applyNumberFormat="1" applyBorder="1" applyAlignment="1">
      <alignment horizontal="center"/>
    </xf>
    <xf numFmtId="0" fontId="3" fillId="0" borderId="0" xfId="0" applyFont="1" applyAlignment="1">
      <alignment horizontal="center"/>
    </xf>
    <xf numFmtId="0" fontId="0" fillId="0" borderId="4" xfId="0" applyBorder="1" applyAlignment="1">
      <alignment horizontal="center"/>
    </xf>
    <xf numFmtId="0" fontId="0" fillId="0" borderId="6" xfId="0" applyBorder="1" applyAlignment="1">
      <alignment horizontal="center"/>
    </xf>
    <xf numFmtId="164" fontId="0" fillId="4" borderId="1" xfId="0" applyNumberFormat="1" applyFill="1" applyBorder="1" applyAlignment="1">
      <alignment horizontal="center"/>
    </xf>
    <xf numFmtId="0" fontId="0" fillId="12" borderId="4" xfId="0" applyFill="1" applyBorder="1" applyAlignment="1">
      <alignment horizontal="center"/>
    </xf>
    <xf numFmtId="164" fontId="1" fillId="4" borderId="2" xfId="0" applyNumberFormat="1" applyFont="1" applyFill="1" applyBorder="1" applyAlignment="1">
      <alignment horizontal="center"/>
    </xf>
    <xf numFmtId="0" fontId="1" fillId="0" borderId="13" xfId="0" applyFont="1" applyBorder="1"/>
    <xf numFmtId="0" fontId="5" fillId="0" borderId="3" xfId="0" applyFont="1" applyBorder="1" applyAlignment="1">
      <alignment horizontal="left"/>
    </xf>
    <xf numFmtId="0" fontId="6" fillId="0" borderId="0" xfId="0" applyFont="1"/>
    <xf numFmtId="0" fontId="6" fillId="0" borderId="3" xfId="0" applyFont="1" applyBorder="1" applyAlignment="1">
      <alignment horizontal="center"/>
    </xf>
    <xf numFmtId="0" fontId="0" fillId="0" borderId="13" xfId="0" applyBorder="1" applyAlignment="1">
      <alignment horizontal="center"/>
    </xf>
    <xf numFmtId="0" fontId="1" fillId="0" borderId="2" xfId="0" applyFont="1" applyBorder="1" applyAlignment="1">
      <alignment horizontal="center"/>
    </xf>
    <xf numFmtId="0" fontId="0" fillId="0" borderId="5" xfId="0" applyBorder="1" applyAlignment="1">
      <alignment horizontal="center"/>
    </xf>
    <xf numFmtId="165" fontId="0" fillId="6" borderId="1" xfId="0" applyNumberFormat="1" applyFill="1" applyBorder="1" applyAlignment="1">
      <alignment horizontal="center"/>
    </xf>
    <xf numFmtId="0" fontId="0" fillId="10" borderId="4" xfId="0" applyFill="1" applyBorder="1" applyAlignment="1">
      <alignment horizontal="center"/>
    </xf>
    <xf numFmtId="164" fontId="0" fillId="6" borderId="1" xfId="0" applyNumberFormat="1" applyFill="1" applyBorder="1" applyAlignment="1">
      <alignment horizontal="center"/>
    </xf>
    <xf numFmtId="164" fontId="0" fillId="6" borderId="4" xfId="0" applyNumberFormat="1" applyFill="1" applyBorder="1" applyAlignment="1">
      <alignment horizontal="center"/>
    </xf>
    <xf numFmtId="164" fontId="0" fillId="0" borderId="0" xfId="0" applyNumberFormat="1" applyAlignment="1">
      <alignment horizontal="center"/>
    </xf>
    <xf numFmtId="164" fontId="0" fillId="11" borderId="1" xfId="0" applyNumberFormat="1" applyFill="1" applyBorder="1" applyAlignment="1">
      <alignment horizontal="center"/>
    </xf>
    <xf numFmtId="164" fontId="0" fillId="11" borderId="11" xfId="0" applyNumberFormat="1" applyFill="1" applyBorder="1" applyAlignment="1">
      <alignment horizontal="center"/>
    </xf>
    <xf numFmtId="164" fontId="0" fillId="0" borderId="4" xfId="0" applyNumberFormat="1" applyBorder="1" applyAlignment="1">
      <alignment horizontal="center"/>
    </xf>
    <xf numFmtId="1" fontId="0" fillId="6" borderId="1" xfId="0" applyNumberFormat="1" applyFill="1" applyBorder="1" applyAlignment="1">
      <alignment horizontal="center"/>
    </xf>
    <xf numFmtId="0" fontId="0" fillId="10" borderId="5" xfId="0" applyFill="1" applyBorder="1" applyAlignment="1">
      <alignment horizontal="center"/>
    </xf>
    <xf numFmtId="164" fontId="0" fillId="6" borderId="5" xfId="0" applyNumberFormat="1" applyFill="1" applyBorder="1" applyAlignment="1">
      <alignment horizontal="center"/>
    </xf>
    <xf numFmtId="164" fontId="0" fillId="0" borderId="5" xfId="0" applyNumberFormat="1" applyBorder="1" applyAlignment="1">
      <alignment horizontal="center"/>
    </xf>
    <xf numFmtId="164" fontId="0" fillId="0" borderId="6" xfId="0" applyNumberFormat="1" applyBorder="1" applyAlignment="1">
      <alignment horizontal="center"/>
    </xf>
    <xf numFmtId="164" fontId="0" fillId="11" borderId="3" xfId="0" applyNumberFormat="1" applyFill="1" applyBorder="1" applyAlignment="1">
      <alignment horizontal="center"/>
    </xf>
    <xf numFmtId="164" fontId="0" fillId="4" borderId="6" xfId="0" applyNumberFormat="1" applyFill="1" applyBorder="1" applyAlignment="1">
      <alignment horizontal="center"/>
    </xf>
    <xf numFmtId="165" fontId="0" fillId="5" borderId="1" xfId="0" applyNumberFormat="1" applyFill="1" applyBorder="1" applyAlignment="1">
      <alignment horizontal="center"/>
    </xf>
    <xf numFmtId="164" fontId="0" fillId="5" borderId="1" xfId="0" applyNumberFormat="1" applyFill="1" applyBorder="1" applyAlignment="1">
      <alignment horizontal="center"/>
    </xf>
    <xf numFmtId="1" fontId="0" fillId="5" borderId="1" xfId="0" applyNumberFormat="1" applyFill="1" applyBorder="1" applyAlignment="1">
      <alignment horizontal="center"/>
    </xf>
    <xf numFmtId="164" fontId="0" fillId="5" borderId="5" xfId="0" applyNumberFormat="1" applyFill="1" applyBorder="1" applyAlignment="1">
      <alignment horizontal="center"/>
    </xf>
    <xf numFmtId="164" fontId="0" fillId="8" borderId="1" xfId="0" applyNumberFormat="1" applyFill="1" applyBorder="1" applyAlignment="1">
      <alignment horizontal="center"/>
    </xf>
    <xf numFmtId="164" fontId="0" fillId="8" borderId="6" xfId="0" applyNumberFormat="1" applyFill="1" applyBorder="1" applyAlignment="1">
      <alignment horizontal="center"/>
    </xf>
    <xf numFmtId="0" fontId="0" fillId="5" borderId="6" xfId="0" applyFill="1" applyBorder="1" applyAlignment="1">
      <alignment horizontal="center"/>
    </xf>
    <xf numFmtId="165" fontId="0" fillId="5" borderId="6" xfId="0" applyNumberFormat="1" applyFill="1" applyBorder="1" applyAlignment="1">
      <alignment horizontal="center"/>
    </xf>
    <xf numFmtId="164" fontId="0" fillId="5" borderId="6" xfId="0" applyNumberFormat="1" applyFill="1" applyBorder="1" applyAlignment="1">
      <alignment horizontal="center"/>
    </xf>
    <xf numFmtId="164" fontId="0" fillId="11" borderId="6" xfId="0" applyNumberFormat="1" applyFill="1" applyBorder="1" applyAlignment="1">
      <alignment horizontal="center"/>
    </xf>
    <xf numFmtId="164" fontId="0" fillId="6" borderId="6" xfId="0" applyNumberFormat="1" applyFill="1" applyBorder="1" applyAlignment="1">
      <alignment horizontal="center"/>
    </xf>
    <xf numFmtId="0" fontId="0" fillId="8" borderId="1" xfId="0" applyFill="1" applyBorder="1" applyAlignment="1">
      <alignment horizontal="center"/>
    </xf>
    <xf numFmtId="165" fontId="0" fillId="8" borderId="1" xfId="0" applyNumberFormat="1" applyFill="1" applyBorder="1" applyAlignment="1">
      <alignment horizontal="center"/>
    </xf>
    <xf numFmtId="0" fontId="0" fillId="10" borderId="6" xfId="0" applyFill="1" applyBorder="1" applyAlignment="1">
      <alignment horizontal="center"/>
    </xf>
    <xf numFmtId="0" fontId="5" fillId="0" borderId="13" xfId="0" applyFont="1" applyBorder="1" applyAlignment="1">
      <alignment horizontal="left"/>
    </xf>
    <xf numFmtId="164" fontId="0" fillId="6" borderId="1" xfId="0" applyNumberFormat="1" applyFill="1" applyBorder="1" applyAlignment="1">
      <alignment horizontal="center" vertical="center"/>
    </xf>
    <xf numFmtId="164" fontId="0" fillId="5" borderId="1" xfId="0" applyNumberFormat="1" applyFill="1" applyBorder="1" applyAlignment="1">
      <alignment horizontal="center" vertical="center"/>
    </xf>
    <xf numFmtId="164" fontId="0" fillId="8" borderId="1" xfId="0" applyNumberFormat="1" applyFill="1" applyBorder="1" applyAlignment="1">
      <alignment horizontal="center" vertical="center"/>
    </xf>
    <xf numFmtId="0" fontId="6" fillId="0" borderId="0" xfId="0" applyFont="1" applyAlignment="1">
      <alignment horizontal="center"/>
    </xf>
    <xf numFmtId="164" fontId="0" fillId="7" borderId="1" xfId="0" applyNumberFormat="1" applyFill="1" applyBorder="1" applyAlignment="1">
      <alignment horizontal="center"/>
    </xf>
    <xf numFmtId="164" fontId="0" fillId="7" borderId="1" xfId="0" applyNumberFormat="1" applyFill="1" applyBorder="1" applyAlignment="1">
      <alignment horizontal="center" vertical="center"/>
    </xf>
    <xf numFmtId="164" fontId="0" fillId="7" borderId="6" xfId="0" applyNumberFormat="1" applyFill="1" applyBorder="1" applyAlignment="1">
      <alignment horizontal="center"/>
    </xf>
    <xf numFmtId="164" fontId="0" fillId="7" borderId="6" xfId="0" applyNumberFormat="1" applyFill="1" applyBorder="1" applyAlignment="1">
      <alignment horizontal="center" vertical="center"/>
    </xf>
    <xf numFmtId="164" fontId="0" fillId="0" borderId="11" xfId="0" applyNumberFormat="1" applyBorder="1" applyAlignment="1">
      <alignment horizontal="center"/>
    </xf>
    <xf numFmtId="164" fontId="0" fillId="0" borderId="7" xfId="0" applyNumberFormat="1" applyBorder="1" applyAlignment="1">
      <alignment horizontal="center"/>
    </xf>
    <xf numFmtId="164" fontId="0" fillId="0" borderId="9" xfId="0" applyNumberFormat="1" applyBorder="1" applyAlignment="1">
      <alignment horizontal="center"/>
    </xf>
    <xf numFmtId="164" fontId="0" fillId="7" borderId="2" xfId="0" applyNumberFormat="1" applyFill="1" applyBorder="1" applyAlignment="1">
      <alignment horizontal="center"/>
    </xf>
    <xf numFmtId="164" fontId="0" fillId="7" borderId="4" xfId="0" applyNumberFormat="1" applyFill="1" applyBorder="1" applyAlignment="1">
      <alignment horizontal="center"/>
    </xf>
    <xf numFmtId="164" fontId="0" fillId="12" borderId="6" xfId="0" applyNumberFormat="1" applyFill="1" applyBorder="1" applyAlignment="1">
      <alignment horizontal="center"/>
    </xf>
    <xf numFmtId="164" fontId="0" fillId="6" borderId="3" xfId="0" applyNumberFormat="1" applyFill="1" applyBorder="1" applyAlignment="1">
      <alignment horizontal="center" vertical="center"/>
    </xf>
    <xf numFmtId="164" fontId="0" fillId="11" borderId="4" xfId="0" applyNumberFormat="1" applyFill="1" applyBorder="1" applyAlignment="1">
      <alignment horizontal="center"/>
    </xf>
    <xf numFmtId="164" fontId="0" fillId="7" borderId="4" xfId="0" applyNumberFormat="1" applyFill="1" applyBorder="1" applyAlignment="1">
      <alignment horizontal="center" vertical="center"/>
    </xf>
    <xf numFmtId="165" fontId="0" fillId="0" borderId="0" xfId="0" applyNumberFormat="1" applyAlignment="1">
      <alignment horizontal="center"/>
    </xf>
    <xf numFmtId="164" fontId="3" fillId="0" borderId="0" xfId="0" applyNumberFormat="1" applyFont="1" applyAlignment="1">
      <alignment horizontal="center"/>
    </xf>
    <xf numFmtId="164" fontId="3" fillId="0" borderId="0" xfId="0" applyNumberFormat="1" applyFont="1" applyAlignment="1">
      <alignment horizontal="center" vertical="center"/>
    </xf>
    <xf numFmtId="164" fontId="0" fillId="0" borderId="0" xfId="0" applyNumberFormat="1" applyAlignment="1">
      <alignment horizontal="center" vertical="center"/>
    </xf>
    <xf numFmtId="0" fontId="0" fillId="6" borderId="6" xfId="0" applyFill="1" applyBorder="1" applyAlignment="1">
      <alignment horizontal="center"/>
    </xf>
    <xf numFmtId="165" fontId="0" fillId="6" borderId="6" xfId="0" applyNumberFormat="1" applyFill="1" applyBorder="1" applyAlignment="1">
      <alignment horizontal="center"/>
    </xf>
    <xf numFmtId="164" fontId="0" fillId="11" borderId="0" xfId="0" applyNumberFormat="1" applyFill="1" applyAlignment="1">
      <alignment horizontal="center"/>
    </xf>
    <xf numFmtId="1" fontId="0" fillId="6" borderId="6" xfId="0" applyNumberFormat="1" applyFill="1" applyBorder="1" applyAlignment="1">
      <alignment horizontal="center"/>
    </xf>
    <xf numFmtId="164" fontId="0" fillId="6" borderId="6" xfId="0" applyNumberFormat="1" applyFill="1" applyBorder="1" applyAlignment="1">
      <alignment horizontal="center" vertical="center"/>
    </xf>
    <xf numFmtId="164" fontId="0" fillId="5" borderId="6" xfId="0" applyNumberFormat="1" applyFill="1" applyBorder="1" applyAlignment="1">
      <alignment horizontal="center" vertical="center"/>
    </xf>
    <xf numFmtId="164" fontId="0" fillId="11" borderId="9" xfId="0" applyNumberFormat="1" applyFill="1" applyBorder="1" applyAlignment="1">
      <alignment horizontal="center"/>
    </xf>
    <xf numFmtId="0" fontId="1" fillId="0" borderId="2" xfId="0" applyFont="1" applyBorder="1"/>
    <xf numFmtId="164" fontId="0" fillId="0" borderId="15" xfId="0" applyNumberFormat="1" applyBorder="1" applyAlignment="1">
      <alignment horizontal="center"/>
    </xf>
    <xf numFmtId="164" fontId="0" fillId="11" borderId="2" xfId="0" applyNumberFormat="1" applyFill="1" applyBorder="1" applyAlignment="1">
      <alignment horizontal="center"/>
    </xf>
    <xf numFmtId="164" fontId="0" fillId="11" borderId="14" xfId="0" applyNumberFormat="1" applyFill="1" applyBorder="1" applyAlignment="1">
      <alignment horizontal="center"/>
    </xf>
    <xf numFmtId="0" fontId="0" fillId="5" borderId="3" xfId="0" applyFill="1" applyBorder="1" applyAlignment="1">
      <alignment horizontal="center"/>
    </xf>
    <xf numFmtId="1" fontId="0" fillId="5" borderId="3" xfId="0" applyNumberFormat="1" applyFill="1" applyBorder="1" applyAlignment="1">
      <alignment horizontal="center"/>
    </xf>
    <xf numFmtId="0" fontId="0" fillId="0" borderId="9" xfId="0" applyBorder="1" applyAlignment="1">
      <alignment horizontal="center"/>
    </xf>
    <xf numFmtId="165" fontId="0" fillId="0" borderId="15" xfId="0" applyNumberFormat="1" applyBorder="1" applyAlignment="1">
      <alignment horizontal="center"/>
    </xf>
    <xf numFmtId="0" fontId="0" fillId="0" borderId="15" xfId="0" applyBorder="1" applyAlignment="1">
      <alignment horizontal="center"/>
    </xf>
    <xf numFmtId="164" fontId="3" fillId="0" borderId="15" xfId="0" applyNumberFormat="1" applyFont="1" applyBorder="1" applyAlignment="1">
      <alignment horizontal="center" vertical="center"/>
    </xf>
    <xf numFmtId="164" fontId="3" fillId="0" borderId="15" xfId="0" applyNumberFormat="1" applyFont="1" applyBorder="1" applyAlignment="1">
      <alignment horizontal="center"/>
    </xf>
    <xf numFmtId="164" fontId="0" fillId="0" borderId="15" xfId="0" applyNumberFormat="1" applyBorder="1" applyAlignment="1">
      <alignment horizontal="center" vertical="center"/>
    </xf>
    <xf numFmtId="164" fontId="0" fillId="0" borderId="10" xfId="0" applyNumberFormat="1" applyBorder="1" applyAlignment="1">
      <alignment horizontal="center"/>
    </xf>
    <xf numFmtId="0" fontId="0" fillId="0" borderId="14" xfId="0" applyBorder="1" applyAlignment="1">
      <alignment horizontal="center"/>
    </xf>
    <xf numFmtId="0" fontId="0" fillId="0" borderId="11" xfId="0" applyBorder="1"/>
    <xf numFmtId="0" fontId="0" fillId="13" borderId="4" xfId="0" applyFill="1" applyBorder="1" applyAlignment="1">
      <alignment horizontal="center"/>
    </xf>
    <xf numFmtId="0" fontId="0" fillId="13" borderId="5" xfId="0" applyFill="1" applyBorder="1" applyAlignment="1">
      <alignment horizontal="center"/>
    </xf>
    <xf numFmtId="0" fontId="0" fillId="13" borderId="6" xfId="0" applyFill="1" applyBorder="1" applyAlignment="1">
      <alignment horizontal="center"/>
    </xf>
    <xf numFmtId="164" fontId="0" fillId="6" borderId="3" xfId="0" applyNumberFormat="1" applyFill="1" applyBorder="1" applyAlignment="1">
      <alignment horizontal="center"/>
    </xf>
    <xf numFmtId="0" fontId="3" fillId="11" borderId="1" xfId="0" applyFont="1" applyFill="1" applyBorder="1" applyAlignment="1">
      <alignment horizontal="center"/>
    </xf>
    <xf numFmtId="1" fontId="0" fillId="4" borderId="6" xfId="0" applyNumberFormat="1" applyFill="1" applyBorder="1" applyAlignment="1">
      <alignment horizontal="center"/>
    </xf>
    <xf numFmtId="0" fontId="1" fillId="11" borderId="1" xfId="0" applyFont="1" applyFill="1" applyBorder="1" applyAlignment="1">
      <alignment horizontal="center"/>
    </xf>
    <xf numFmtId="0" fontId="0" fillId="12" borderId="5" xfId="0" applyFill="1" applyBorder="1" applyAlignment="1">
      <alignment horizontal="center"/>
    </xf>
    <xf numFmtId="0" fontId="3" fillId="0" borderId="15" xfId="0" applyFont="1" applyBorder="1" applyAlignment="1">
      <alignment horizontal="center"/>
    </xf>
    <xf numFmtId="0" fontId="0" fillId="9" borderId="1" xfId="0" applyFill="1" applyBorder="1" applyAlignment="1">
      <alignment horizontal="center" vertical="center"/>
    </xf>
    <xf numFmtId="164" fontId="0" fillId="8" borderId="4" xfId="0" applyNumberFormat="1" applyFill="1" applyBorder="1" applyAlignment="1">
      <alignment horizontal="center"/>
    </xf>
    <xf numFmtId="0" fontId="0" fillId="8" borderId="3" xfId="0" applyFill="1" applyBorder="1" applyAlignment="1">
      <alignment horizontal="center"/>
    </xf>
    <xf numFmtId="0" fontId="0" fillId="8" borderId="3" xfId="0" applyFill="1" applyBorder="1"/>
    <xf numFmtId="0" fontId="0" fillId="8" borderId="13" xfId="0" applyFill="1" applyBorder="1"/>
    <xf numFmtId="0" fontId="0" fillId="8" borderId="1" xfId="0" applyFill="1" applyBorder="1" applyAlignment="1">
      <alignment horizontal="right"/>
    </xf>
    <xf numFmtId="0" fontId="0" fillId="14" borderId="3" xfId="0" applyFill="1" applyBorder="1"/>
    <xf numFmtId="0" fontId="0" fillId="14" borderId="2" xfId="0" applyFill="1" applyBorder="1" applyAlignment="1">
      <alignment horizontal="right"/>
    </xf>
    <xf numFmtId="0" fontId="0" fillId="14" borderId="1" xfId="0" applyFill="1" applyBorder="1" applyAlignment="1">
      <alignment horizontal="right" vertical="center"/>
    </xf>
    <xf numFmtId="1" fontId="1" fillId="14" borderId="1" xfId="0" applyNumberFormat="1" applyFont="1" applyFill="1" applyBorder="1" applyAlignment="1">
      <alignment horizontal="center"/>
    </xf>
    <xf numFmtId="164" fontId="0" fillId="14" borderId="1" xfId="0" applyNumberFormat="1" applyFill="1" applyBorder="1" applyAlignment="1">
      <alignment horizontal="center" vertical="center"/>
    </xf>
    <xf numFmtId="0" fontId="0" fillId="14" borderId="1" xfId="0" applyFill="1" applyBorder="1" applyAlignment="1">
      <alignment horizontal="right"/>
    </xf>
    <xf numFmtId="164" fontId="0" fillId="14" borderId="1" xfId="0" applyNumberFormat="1" applyFill="1" applyBorder="1" applyAlignment="1">
      <alignment horizontal="center"/>
    </xf>
    <xf numFmtId="164" fontId="4" fillId="14" borderId="1" xfId="0" applyNumberFormat="1" applyFont="1" applyFill="1" applyBorder="1" applyAlignment="1">
      <alignment horizontal="center"/>
    </xf>
    <xf numFmtId="1" fontId="4" fillId="14" borderId="1" xfId="0" applyNumberFormat="1" applyFont="1" applyFill="1" applyBorder="1" applyAlignment="1">
      <alignment horizontal="center"/>
    </xf>
    <xf numFmtId="0" fontId="0" fillId="14" borderId="7" xfId="0" applyFill="1" applyBorder="1"/>
    <xf numFmtId="164" fontId="1" fillId="4" borderId="12" xfId="0" applyNumberFormat="1" applyFont="1" applyFill="1" applyBorder="1" applyAlignment="1">
      <alignment horizontal="center"/>
    </xf>
    <xf numFmtId="0" fontId="0" fillId="9" borderId="3" xfId="0" applyFill="1" applyBorder="1"/>
    <xf numFmtId="0" fontId="0" fillId="9" borderId="2" xfId="0" applyFill="1" applyBorder="1" applyAlignment="1">
      <alignment horizontal="right"/>
    </xf>
    <xf numFmtId="0" fontId="1" fillId="9" borderId="3" xfId="0" applyFont="1" applyFill="1" applyBorder="1"/>
    <xf numFmtId="0" fontId="1" fillId="9" borderId="7" xfId="0" applyFont="1" applyFill="1" applyBorder="1"/>
    <xf numFmtId="0" fontId="0" fillId="9" borderId="8" xfId="0" applyFill="1" applyBorder="1" applyAlignment="1">
      <alignment horizontal="right"/>
    </xf>
    <xf numFmtId="0" fontId="0" fillId="9" borderId="13" xfId="0" applyFill="1" applyBorder="1" applyAlignment="1">
      <alignment horizontal="right"/>
    </xf>
    <xf numFmtId="0" fontId="4" fillId="9" borderId="3" xfId="0" applyFont="1" applyFill="1" applyBorder="1"/>
    <xf numFmtId="0" fontId="0" fillId="9" borderId="13" xfId="0" applyFill="1" applyBorder="1"/>
    <xf numFmtId="0" fontId="1" fillId="7" borderId="1" xfId="0" applyFont="1" applyFill="1" applyBorder="1" applyAlignment="1">
      <alignment horizontal="center"/>
    </xf>
    <xf numFmtId="164" fontId="1" fillId="7" borderId="1" xfId="0" applyNumberFormat="1" applyFont="1" applyFill="1" applyBorder="1" applyAlignment="1">
      <alignment horizontal="center"/>
    </xf>
    <xf numFmtId="0" fontId="0" fillId="7" borderId="3" xfId="0" applyFill="1" applyBorder="1"/>
    <xf numFmtId="0" fontId="0" fillId="7" borderId="2" xfId="0" applyFill="1" applyBorder="1"/>
    <xf numFmtId="0" fontId="0" fillId="7" borderId="6" xfId="0" applyFill="1" applyBorder="1" applyAlignment="1">
      <alignment horizontal="center"/>
    </xf>
    <xf numFmtId="164" fontId="3" fillId="0" borderId="3" xfId="0" applyNumberFormat="1" applyFont="1" applyBorder="1" applyAlignment="1">
      <alignment horizontal="center"/>
    </xf>
    <xf numFmtId="164" fontId="3" fillId="9" borderId="2" xfId="0" applyNumberFormat="1" applyFont="1" applyFill="1" applyBorder="1" applyAlignment="1">
      <alignment horizontal="center"/>
    </xf>
    <xf numFmtId="164" fontId="3" fillId="9" borderId="13" xfId="0" applyNumberFormat="1" applyFont="1" applyFill="1" applyBorder="1" applyAlignment="1">
      <alignment horizontal="center"/>
    </xf>
    <xf numFmtId="164" fontId="0" fillId="8" borderId="0" xfId="0" applyNumberFormat="1" applyFill="1" applyAlignment="1">
      <alignment horizontal="center"/>
    </xf>
    <xf numFmtId="0" fontId="0" fillId="8" borderId="1" xfId="0" applyFill="1" applyBorder="1"/>
    <xf numFmtId="0" fontId="0" fillId="7" borderId="9" xfId="0" applyFill="1" applyBorder="1" applyAlignment="1">
      <alignment horizontal="center"/>
    </xf>
    <xf numFmtId="0" fontId="3" fillId="9" borderId="11" xfId="0" applyFont="1" applyFill="1" applyBorder="1" applyAlignment="1">
      <alignment horizontal="center" vertical="center"/>
    </xf>
    <xf numFmtId="164" fontId="3" fillId="9" borderId="12" xfId="0" applyNumberFormat="1" applyFont="1" applyFill="1" applyBorder="1" applyAlignment="1">
      <alignment horizontal="right"/>
    </xf>
    <xf numFmtId="164" fontId="3" fillId="4" borderId="4" xfId="0" applyNumberFormat="1" applyFont="1" applyFill="1" applyBorder="1" applyAlignment="1">
      <alignment horizontal="center"/>
    </xf>
    <xf numFmtId="0" fontId="0" fillId="15" borderId="3" xfId="0" applyFill="1" applyBorder="1"/>
    <xf numFmtId="0" fontId="0" fillId="15" borderId="2" xfId="0" applyFill="1" applyBorder="1" applyAlignment="1">
      <alignment horizontal="right"/>
    </xf>
    <xf numFmtId="0" fontId="0" fillId="15" borderId="6" xfId="0" applyFill="1" applyBorder="1" applyAlignment="1">
      <alignment horizontal="center"/>
    </xf>
    <xf numFmtId="0" fontId="0" fillId="15" borderId="1" xfId="0" applyFill="1" applyBorder="1" applyAlignment="1">
      <alignment horizontal="center"/>
    </xf>
    <xf numFmtId="0" fontId="1" fillId="0" borderId="3" xfId="0" applyFont="1" applyBorder="1"/>
    <xf numFmtId="0" fontId="0" fillId="8" borderId="6" xfId="0" applyFill="1" applyBorder="1"/>
    <xf numFmtId="0" fontId="0" fillId="7" borderId="2" xfId="0" applyFill="1" applyBorder="1" applyAlignment="1">
      <alignment horizontal="right"/>
    </xf>
    <xf numFmtId="0" fontId="0" fillId="7" borderId="7" xfId="0" applyFill="1" applyBorder="1" applyAlignment="1">
      <alignment horizontal="center"/>
    </xf>
    <xf numFmtId="0" fontId="0" fillId="7" borderId="13" xfId="0" applyFill="1" applyBorder="1" applyAlignment="1">
      <alignment horizontal="right"/>
    </xf>
    <xf numFmtId="164" fontId="4" fillId="0" borderId="1" xfId="0" applyNumberFormat="1" applyFont="1" applyBorder="1" applyAlignment="1">
      <alignment horizontal="center"/>
    </xf>
    <xf numFmtId="0" fontId="3" fillId="14" borderId="1" xfId="0" applyFont="1" applyFill="1" applyBorder="1" applyAlignment="1">
      <alignment horizontal="right"/>
    </xf>
    <xf numFmtId="0" fontId="0" fillId="14" borderId="13" xfId="0" applyFill="1" applyBorder="1"/>
    <xf numFmtId="0" fontId="0" fillId="14" borderId="2" xfId="0" applyFill="1" applyBorder="1"/>
    <xf numFmtId="1" fontId="0" fillId="14" borderId="1" xfId="0" applyNumberFormat="1" applyFill="1" applyBorder="1" applyAlignment="1">
      <alignment horizontal="center"/>
    </xf>
    <xf numFmtId="0" fontId="3" fillId="14" borderId="3" xfId="0" applyFont="1" applyFill="1" applyBorder="1" applyAlignment="1">
      <alignment horizontal="center"/>
    </xf>
    <xf numFmtId="0" fontId="3" fillId="14" borderId="1" xfId="0" applyFont="1" applyFill="1" applyBorder="1" applyAlignment="1">
      <alignment horizontal="center"/>
    </xf>
    <xf numFmtId="0" fontId="0" fillId="14" borderId="12" xfId="0" applyFill="1" applyBorder="1" applyAlignment="1">
      <alignment horizontal="right"/>
    </xf>
    <xf numFmtId="164" fontId="4" fillId="0" borderId="0" xfId="0" applyNumberFormat="1" applyFont="1" applyAlignment="1">
      <alignment horizontal="center"/>
    </xf>
    <xf numFmtId="0" fontId="0" fillId="14" borderId="1" xfId="0" applyFill="1" applyBorder="1" applyAlignment="1">
      <alignment horizontal="center" vertical="center"/>
    </xf>
    <xf numFmtId="1" fontId="1" fillId="4" borderId="2" xfId="0" applyNumberFormat="1" applyFont="1" applyFill="1" applyBorder="1" applyAlignment="1">
      <alignment horizontal="center"/>
    </xf>
    <xf numFmtId="164" fontId="0" fillId="0" borderId="1" xfId="0" applyNumberFormat="1" applyBorder="1" applyAlignment="1">
      <alignment horizontal="center"/>
    </xf>
    <xf numFmtId="20" fontId="0" fillId="0" borderId="0" xfId="0" applyNumberFormat="1" applyAlignment="1">
      <alignment horizontal="center"/>
    </xf>
    <xf numFmtId="20" fontId="0" fillId="2" borderId="6" xfId="0" applyNumberFormat="1" applyFill="1" applyBorder="1" applyAlignment="1">
      <alignment horizontal="center"/>
    </xf>
    <xf numFmtId="20" fontId="0" fillId="2" borderId="1" xfId="0" applyNumberFormat="1" applyFill="1" applyBorder="1" applyAlignment="1">
      <alignment horizontal="center"/>
    </xf>
    <xf numFmtId="20" fontId="0" fillId="0" borderId="15" xfId="0" applyNumberFormat="1" applyBorder="1" applyAlignment="1">
      <alignment horizontal="center"/>
    </xf>
    <xf numFmtId="20" fontId="0" fillId="0" borderId="1" xfId="0" applyNumberFormat="1" applyBorder="1" applyAlignment="1">
      <alignment horizontal="center"/>
    </xf>
    <xf numFmtId="0" fontId="0" fillId="10" borderId="11" xfId="0" applyFill="1" applyBorder="1" applyAlignment="1">
      <alignment horizontal="center"/>
    </xf>
    <xf numFmtId="0" fontId="0" fillId="10" borderId="7" xfId="0" applyFill="1" applyBorder="1" applyAlignment="1">
      <alignment horizontal="center"/>
    </xf>
    <xf numFmtId="0" fontId="0" fillId="10" borderId="9" xfId="0" applyFill="1" applyBorder="1" applyAlignment="1">
      <alignment horizontal="center"/>
    </xf>
    <xf numFmtId="164" fontId="0" fillId="6" borderId="2" xfId="0" applyNumberFormat="1" applyFill="1" applyBorder="1" applyAlignment="1">
      <alignment horizontal="center"/>
    </xf>
    <xf numFmtId="20" fontId="0" fillId="2" borderId="16" xfId="0" applyNumberFormat="1" applyFill="1" applyBorder="1" applyAlignment="1">
      <alignment horizontal="center"/>
    </xf>
    <xf numFmtId="0" fontId="0" fillId="2" borderId="16" xfId="0" applyFill="1" applyBorder="1" applyAlignment="1">
      <alignment horizontal="center"/>
    </xf>
    <xf numFmtId="0" fontId="0" fillId="2" borderId="0" xfId="0" applyFill="1" applyAlignment="1">
      <alignment horizontal="center"/>
    </xf>
    <xf numFmtId="20" fontId="0" fillId="2" borderId="0" xfId="0" applyNumberFormat="1" applyFill="1" applyAlignment="1">
      <alignment horizontal="center"/>
    </xf>
    <xf numFmtId="0" fontId="0" fillId="13" borderId="7" xfId="0" applyFill="1" applyBorder="1" applyAlignment="1">
      <alignment horizontal="center"/>
    </xf>
    <xf numFmtId="164" fontId="0" fillId="8" borderId="8" xfId="0" applyNumberFormat="1" applyFill="1" applyBorder="1" applyAlignment="1">
      <alignment horizontal="center"/>
    </xf>
    <xf numFmtId="164" fontId="0" fillId="0" borderId="17" xfId="0" applyNumberFormat="1" applyBorder="1" applyAlignment="1">
      <alignment horizontal="center"/>
    </xf>
    <xf numFmtId="46" fontId="0" fillId="0" borderId="0" xfId="0" applyNumberFormat="1" applyAlignment="1">
      <alignment horizontal="center"/>
    </xf>
    <xf numFmtId="0" fontId="0" fillId="6" borderId="3" xfId="0" applyFill="1" applyBorder="1" applyAlignment="1">
      <alignment horizontal="center"/>
    </xf>
    <xf numFmtId="165" fontId="0" fillId="0" borderId="13" xfId="0" applyNumberFormat="1" applyBorder="1" applyAlignment="1">
      <alignment horizontal="center"/>
    </xf>
    <xf numFmtId="165" fontId="0" fillId="0" borderId="18" xfId="0" applyNumberFormat="1" applyBorder="1" applyAlignment="1">
      <alignment horizontal="center"/>
    </xf>
    <xf numFmtId="0" fontId="4" fillId="3" borderId="0" xfId="0" applyFont="1" applyFill="1" applyAlignment="1">
      <alignment horizontal="right"/>
    </xf>
    <xf numFmtId="0" fontId="4" fillId="3" borderId="0" xfId="0" applyFont="1" applyFill="1" applyAlignment="1">
      <alignment horizontal="right" vertical="center"/>
    </xf>
    <xf numFmtId="0" fontId="0" fillId="3" borderId="0" xfId="0" applyFill="1" applyAlignment="1">
      <alignment horizontal="right"/>
    </xf>
    <xf numFmtId="164" fontId="4" fillId="3" borderId="0" xfId="0" applyNumberFormat="1" applyFont="1" applyFill="1" applyAlignment="1">
      <alignment horizontal="right"/>
    </xf>
    <xf numFmtId="0" fontId="4" fillId="0" borderId="1" xfId="0" applyFont="1" applyBorder="1" applyAlignment="1">
      <alignment horizontal="center"/>
    </xf>
    <xf numFmtId="20" fontId="4" fillId="0" borderId="1" xfId="0" applyNumberFormat="1" applyFont="1" applyBorder="1" applyAlignment="1">
      <alignment horizontal="center"/>
    </xf>
    <xf numFmtId="1" fontId="4" fillId="0" borderId="1" xfId="0" applyNumberFormat="1" applyFont="1" applyBorder="1" applyAlignment="1">
      <alignment horizontal="center"/>
    </xf>
    <xf numFmtId="164" fontId="1" fillId="0" borderId="1" xfId="0" applyNumberFormat="1" applyFont="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right"/>
    </xf>
    <xf numFmtId="164" fontId="0" fillId="2" borderId="16" xfId="0" applyNumberFormat="1" applyFill="1" applyBorder="1" applyAlignment="1">
      <alignment horizontal="center"/>
    </xf>
  </cellXfs>
  <cellStyles count="1">
    <cellStyle name="Normal" xfId="0" builtinId="0"/>
  </cellStyles>
  <dxfs count="0"/>
  <tableStyles count="0" defaultTableStyle="TableStyleMedium2" defaultPivotStyle="PivotStyleLight16"/>
  <colors>
    <mruColors>
      <color rgb="FFFDB9E0"/>
      <color rgb="FFA7E8F1"/>
      <color rgb="FF705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2:AE435"/>
  <sheetViews>
    <sheetView tabSelected="1" topLeftCell="B1" zoomScale="80" zoomScaleNormal="80" workbookViewId="0">
      <selection activeCell="C2" sqref="C2"/>
    </sheetView>
  </sheetViews>
  <sheetFormatPr baseColWidth="10" defaultColWidth="11.5546875" defaultRowHeight="14.4" x14ac:dyDescent="0.3"/>
  <cols>
    <col min="1" max="1" width="2.44140625" style="2" customWidth="1"/>
    <col min="2" max="2" width="9.6640625" style="2" customWidth="1"/>
    <col min="3" max="3" width="13.109375" style="2" customWidth="1"/>
    <col min="4" max="4" width="14.6640625" style="2" customWidth="1"/>
    <col min="5" max="5" width="28.44140625" style="2" customWidth="1"/>
    <col min="6" max="6" width="2.44140625" style="2" customWidth="1"/>
    <col min="7" max="7" width="8.109375" style="2" customWidth="1"/>
    <col min="8" max="8" width="9.5546875" style="2" customWidth="1"/>
    <col min="9" max="9" width="8.88671875" style="2" customWidth="1"/>
    <col min="10" max="10" width="7.6640625" style="2" customWidth="1"/>
    <col min="11" max="12" width="7.5546875" style="2" customWidth="1"/>
    <col min="13" max="13" width="7.33203125" style="2" customWidth="1"/>
    <col min="14" max="14" width="14.44140625" style="2" customWidth="1"/>
    <col min="15" max="15" width="12.5546875" style="2" customWidth="1"/>
    <col min="16" max="16" width="17.109375" style="2" customWidth="1"/>
    <col min="17" max="17" width="11.6640625" style="2" customWidth="1"/>
    <col min="18" max="18" width="3.5546875" style="2" customWidth="1"/>
    <col min="19" max="19" width="7.33203125" style="2" customWidth="1"/>
    <col min="20" max="20" width="15.33203125" style="2" customWidth="1"/>
    <col min="21" max="21" width="17.44140625" style="2" customWidth="1"/>
    <col min="22" max="22" width="13" style="1" customWidth="1"/>
    <col min="23" max="23" width="5.6640625" style="2" customWidth="1"/>
    <col min="24" max="24" width="8.109375" style="2" customWidth="1"/>
    <col min="25" max="25" width="13.88671875" style="2" customWidth="1"/>
    <col min="26" max="26" width="18.33203125" style="2" customWidth="1"/>
    <col min="27" max="27" width="13.44140625" style="2" customWidth="1"/>
    <col min="28" max="28" width="5.6640625" style="2" customWidth="1"/>
    <col min="29" max="29" width="14.88671875" style="2" customWidth="1"/>
    <col min="30" max="30" width="18.33203125" style="2" customWidth="1"/>
    <col min="31" max="31" width="13.6640625" style="2" customWidth="1"/>
    <col min="32" max="16384" width="11.5546875" style="2"/>
  </cols>
  <sheetData>
    <row r="2" spans="2:31" ht="21" x14ac:dyDescent="0.4">
      <c r="S2" s="168"/>
      <c r="T2" s="72" t="s">
        <v>66</v>
      </c>
      <c r="U2" s="36"/>
      <c r="V2" s="41"/>
      <c r="X2" s="37" t="s">
        <v>69</v>
      </c>
      <c r="Y2" s="36"/>
      <c r="Z2" s="36"/>
      <c r="AA2" s="101"/>
      <c r="AB2" s="38"/>
      <c r="AC2" s="39"/>
      <c r="AD2" s="40" t="s">
        <v>65</v>
      </c>
      <c r="AE2" s="41"/>
    </row>
    <row r="3" spans="2:31" x14ac:dyDescent="0.3">
      <c r="C3" s="18" t="s">
        <v>2</v>
      </c>
      <c r="D3" s="18" t="s">
        <v>1</v>
      </c>
      <c r="E3" s="19"/>
      <c r="F3" s="18"/>
      <c r="G3" s="15" t="s">
        <v>26</v>
      </c>
      <c r="H3" s="16" t="s">
        <v>0</v>
      </c>
      <c r="I3" s="17" t="s">
        <v>25</v>
      </c>
      <c r="J3" s="17" t="s">
        <v>43</v>
      </c>
      <c r="K3" s="157" t="s">
        <v>47</v>
      </c>
      <c r="L3" s="17" t="s">
        <v>44</v>
      </c>
      <c r="M3" s="156" t="s">
        <v>47</v>
      </c>
      <c r="N3" s="15" t="s">
        <v>82</v>
      </c>
      <c r="O3" s="19" t="s">
        <v>68</v>
      </c>
      <c r="P3" s="15"/>
      <c r="Q3" s="15" t="s">
        <v>73</v>
      </c>
      <c r="S3" s="125" t="s">
        <v>39</v>
      </c>
      <c r="T3" s="19" t="s">
        <v>38</v>
      </c>
      <c r="U3" s="18" t="s">
        <v>45</v>
      </c>
      <c r="V3" s="18" t="s">
        <v>67</v>
      </c>
      <c r="W3" s="25"/>
      <c r="X3" s="18" t="s">
        <v>39</v>
      </c>
      <c r="Y3" s="18" t="s">
        <v>41</v>
      </c>
      <c r="Z3" s="19" t="s">
        <v>45</v>
      </c>
      <c r="AA3" s="18" t="s">
        <v>42</v>
      </c>
      <c r="AB3" s="25"/>
      <c r="AC3" s="18" t="s">
        <v>41</v>
      </c>
      <c r="AD3" s="18" t="s">
        <v>45</v>
      </c>
      <c r="AE3" s="18" t="s">
        <v>42</v>
      </c>
    </row>
    <row r="4" spans="2:31" ht="15" thickBot="1" x14ac:dyDescent="0.35">
      <c r="B4"/>
      <c r="P4" s="47"/>
      <c r="Q4" s="124"/>
      <c r="R4" s="30"/>
      <c r="V4" s="2"/>
    </row>
    <row r="5" spans="2:31" ht="15" thickBot="1" x14ac:dyDescent="0.35">
      <c r="B5" s="14" t="s">
        <v>40</v>
      </c>
      <c r="C5" s="202" t="s">
        <v>6</v>
      </c>
      <c r="D5" s="204">
        <v>42003</v>
      </c>
      <c r="E5" s="203" t="s">
        <v>29</v>
      </c>
      <c r="F5" s="44"/>
      <c r="G5" s="184">
        <v>0.375</v>
      </c>
      <c r="H5" s="184"/>
      <c r="I5" s="184">
        <v>0.91666666666666663</v>
      </c>
      <c r="J5" s="45">
        <f>IF(OR(E5="férié travaillé",E5="travail"),(I5-G5+IF(G5&gt;I5,1)-H5),INDEX('bases de donnée'!$E$20:'bases de donnée'!$E$32,MATCH(E5,gerald2,0)))</f>
        <v>0.54166666666666663</v>
      </c>
      <c r="K5" s="20">
        <f>IF(SUM(J5-'bases de donnée'!E$7)&lt;0,0,SUM(J5-'bases de donnée'!E$7))</f>
        <v>0.12499999999999994</v>
      </c>
      <c r="L5" s="11">
        <f>IF(OR(E5="férié travaillé",E5="travail"),I5-G5+IF(G5&gt;I5,1),INDEX('bases de donnée'!$E$20:'bases de donnée'!$E$32,MATCH(E5,gerald2,0)))</f>
        <v>0.54166666666666663</v>
      </c>
      <c r="M5" s="21">
        <f>IF(SUM(L5-'bases de donnée'!E$4)&lt;0,0,SUM(L5-'bases de donnée'!E$4))</f>
        <v>4.166666666666663E-2</v>
      </c>
      <c r="N5" s="155">
        <v>0</v>
      </c>
      <c r="O5" s="119">
        <f>J5</f>
        <v>0.54166666666666663</v>
      </c>
      <c r="P5" s="122">
        <f>SUM(Q5:Q11)</f>
        <v>5</v>
      </c>
      <c r="Q5" s="120">
        <f>IF(AND(G5&lt;&gt;"",I5&lt;&gt;""),1,0+OR(N(I4)&lt;N(G4),E5="récupération",E5="congé 1 jour",E5="congé 1/2 jour ",E5="congé 5h24",E5="arrêt maladie",E5="arrêt travail",E5="férié ",E5="congé parentale",E5="congé de naissance"))</f>
        <v>1</v>
      </c>
      <c r="R5" s="30"/>
      <c r="S5" s="77">
        <f>IF(SUM(MOD(I5-G5,1)-IF(I5&gt;G5,MAX(0,MIN(I5,'bases de donnée'!E$16/24)-MAX('planning '!G5,7/24)),MAX(0,'bases de donnée'!E$16/24-MAX('planning '!G5,7/24))+MAX(0,MIN('planning '!I5,'bases de donnée'!E$16/24)-7/24)))&lt;0,0,SUM(MOD('planning '!I5-'planning '!G5,1)-IF('planning '!I5&gt;'planning '!G5,MAX(0,MIN('planning '!I5,'bases de donnée'!E$16/24)-MAX('planning '!G5,7/24)),MAX(0,'bases de donnée'!E$16/24-MAX('planning '!G5,7/24))+MAX(0,MIN('planning '!I5,'bases de donnée'!E$16/24)-7/24))))</f>
        <v>4.166666666666663E-2</v>
      </c>
      <c r="T5" s="81"/>
      <c r="U5" s="77" t="str">
        <f t="shared" ref="U5:U11" si="0">IF(E5&lt;&gt;"travail",IF(E5="férié travaillé",MOD(I5-G5,1)-H5,"00:00"),"00:00")</f>
        <v>00:00</v>
      </c>
      <c r="V5" s="78"/>
      <c r="W5" s="47"/>
      <c r="X5" s="48">
        <f t="shared" ref="X5:X11" si="1">S5</f>
        <v>4.166666666666663E-2</v>
      </c>
      <c r="Y5" s="31"/>
      <c r="Z5" s="49">
        <f t="shared" ref="Z5:Z10" si="2">IF(SUM(U5-X5)&lt;0,0,SUM(U5-X5))</f>
        <v>0</v>
      </c>
      <c r="AA5" s="48">
        <f t="shared" ref="AA5:AA10" si="3">IF(SUM(V5-X5-Z5)&lt;0,0,SUM(V5-X5-Z5))</f>
        <v>0</v>
      </c>
      <c r="AB5" s="47"/>
      <c r="AC5" s="50"/>
      <c r="AD5" s="33">
        <f t="shared" ref="AD5:AD10" si="4">IF(SUM(U5-Z5)&lt;0,0,SUM(U5-Z5))</f>
        <v>0</v>
      </c>
      <c r="AE5" s="33">
        <f t="shared" ref="AE5:AE77" si="5">IF(SUM(V5-AA5)&lt;0,0,SUM(V5-AA5))</f>
        <v>0</v>
      </c>
    </row>
    <row r="6" spans="2:31" x14ac:dyDescent="0.3">
      <c r="B6" s="51">
        <v>0</v>
      </c>
      <c r="C6" s="14" t="s">
        <v>7</v>
      </c>
      <c r="D6" s="95">
        <f>D5+1</f>
        <v>42004</v>
      </c>
      <c r="E6" s="29" t="s">
        <v>36</v>
      </c>
      <c r="F6" s="52"/>
      <c r="G6" s="184"/>
      <c r="H6" s="184"/>
      <c r="I6" s="184"/>
      <c r="J6" s="45">
        <f>IF(OR(E6="férié travaillé",E6="travail"),(I6-G6+IF(G6&gt;I6,1)-H6),INDEX('bases de donnée'!$E$20:'bases de donnée'!$E$32,MATCH(E6,gerald2,0)))</f>
        <v>0.3</v>
      </c>
      <c r="K6" s="20">
        <f>IF(SUM(J6-'bases de donnée'!E$7)&lt;0,0,SUM(J6-'bases de donnée'!E$7))</f>
        <v>0</v>
      </c>
      <c r="L6" s="11">
        <f>IF(OR(E6="férié travaillé",E6="travail"),I6-G6+IF(G6&gt;I6,1),INDEX('bases de donnée'!$E$20:'bases de donnée'!$E$32,MATCH(E6,gerald2,0)))</f>
        <v>0.3</v>
      </c>
      <c r="M6" s="21">
        <f>IF(SUM(L6-'bases de donnée'!E$4)&lt;0,0,SUM(L6-'bases de donnée'!E$4))</f>
        <v>0</v>
      </c>
      <c r="N6" s="155">
        <v>0</v>
      </c>
      <c r="O6" s="87">
        <f t="shared" ref="O6:O11" si="6">O5+J6</f>
        <v>0.84166666666666656</v>
      </c>
      <c r="P6" s="121">
        <f>IF(SUM(P5-'bases de donnée'!E$6)&lt;0,0,SUM(P5-'bases de donnée'!E$6))</f>
        <v>0</v>
      </c>
      <c r="Q6" s="120">
        <f t="shared" ref="Q6:Q11" si="7">IF(AND(G6&lt;&gt;"",I6&lt;&gt;""),1,0+OR(N(I5)&lt;N(G5),E6="récupération",E6="congé 1 jour",E6="congé 1/2 jour ",E6="congé 5h24",E6="arrêt maladie",E6="arrêt travail",E6="férié ",E6="congé parentale",E6="congé de naissance"))</f>
        <v>1</v>
      </c>
      <c r="R6" s="30"/>
      <c r="S6" s="77">
        <f>IF(SUM(MOD(I6-G6,1)-IF(I6&gt;G6,MAX(0,MIN(I6,'bases de donnée'!E$16/24)-MAX('planning '!G6,7/24)),MAX(0,'bases de donnée'!E$16/24-MAX('planning '!G6,7/24))+MAX(0,MIN('planning '!I6,'bases de donnée'!E$16/24)-7/24)))&lt;0,0,SUM(MOD('planning '!I6-'planning '!G6,1)-IF('planning '!I6&gt;'planning '!G6,MAX(0,MIN('planning '!I6,'bases de donnée'!E$16/24)-MAX('planning '!G6,7/24)),MAX(0,'bases de donnée'!E$16/24-MAX('planning '!G6,7/24))+MAX(0,MIN('planning '!I6,'bases de donnée'!E$16/24)-7/24))))</f>
        <v>0</v>
      </c>
      <c r="T6" s="82"/>
      <c r="U6" s="77" t="str">
        <f t="shared" si="0"/>
        <v>00:00</v>
      </c>
      <c r="V6" s="78">
        <f>IF(SUM(IF(O6&gt;('bases de donnée'!E$9*1),O6-('bases de donnée'!E$9*1),0)-V5)&lt;0,0,SUM(IF(O6&gt;('bases de donnée'!E$9*1),O6-('bases de donnée'!E$9*1),0)-V5))</f>
        <v>0</v>
      </c>
      <c r="W6" s="47"/>
      <c r="X6" s="48">
        <f t="shared" si="1"/>
        <v>0</v>
      </c>
      <c r="Y6" s="42"/>
      <c r="Z6" s="49">
        <f t="shared" si="2"/>
        <v>0</v>
      </c>
      <c r="AA6" s="48">
        <f t="shared" si="3"/>
        <v>0</v>
      </c>
      <c r="AB6" s="47"/>
      <c r="AC6" s="54"/>
      <c r="AD6" s="33">
        <f t="shared" si="4"/>
        <v>0</v>
      </c>
      <c r="AE6" s="33">
        <f t="shared" si="5"/>
        <v>0</v>
      </c>
    </row>
    <row r="7" spans="2:31" x14ac:dyDescent="0.3">
      <c r="B7"/>
      <c r="C7" s="14" t="s">
        <v>8</v>
      </c>
      <c r="D7" s="43">
        <f t="shared" ref="D7:D11" si="8">D6+1</f>
        <v>42005</v>
      </c>
      <c r="E7" s="29" t="s">
        <v>31</v>
      </c>
      <c r="F7" s="52"/>
      <c r="G7" s="184"/>
      <c r="H7" s="184"/>
      <c r="I7" s="184"/>
      <c r="J7" s="45">
        <f>IF(OR(E7="férié travaillé",E7="travail"),(I7-G7+IF(G7&gt;I7,1)-H7),INDEX('bases de donnée'!$E$20:'bases de donnée'!$E$32,MATCH(E7,gerald2,0)))</f>
        <v>0.3</v>
      </c>
      <c r="K7" s="20">
        <f>IF(SUM(J7-'bases de donnée'!E$7)&lt;0,0,SUM(J7-'bases de donnée'!E$7))</f>
        <v>0</v>
      </c>
      <c r="L7" s="11">
        <f>IF(OR(E7="férié travaillé",E7="travail"),I7-G7+IF(G7&gt;I7,1),INDEX('bases de donnée'!$E$20:'bases de donnée'!$E$32,MATCH(E7,gerald2,0)))</f>
        <v>0.3</v>
      </c>
      <c r="M7" s="21">
        <f>IF(SUM(L7-'bases de donnée'!E$4)&lt;0,0,SUM(L7-'bases de donnée'!E$4))</f>
        <v>0</v>
      </c>
      <c r="N7" s="155">
        <v>0</v>
      </c>
      <c r="O7" s="73">
        <f t="shared" si="6"/>
        <v>1.1416666666666666</v>
      </c>
      <c r="P7" s="123" t="s">
        <v>46</v>
      </c>
      <c r="Q7" s="120">
        <f t="shared" si="7"/>
        <v>1</v>
      </c>
      <c r="R7" s="30"/>
      <c r="S7" s="77">
        <f>IF(SUM(MOD(I7-G7,1)-IF(I7&gt;G7,MAX(0,MIN(I7,'bases de donnée'!E$16/24)-MAX('planning '!G7,7/24)),MAX(0,'bases de donnée'!E$16/24-MAX('planning '!G7,7/24))+MAX(0,MIN('planning '!I7,'bases de donnée'!E$16/24)-7/24)))&lt;0,0,SUM(MOD('planning '!I7-'planning '!G7,1)-IF('planning '!I7&gt;'planning '!G7,MAX(0,MIN('planning '!I7,'bases de donnée'!E$16/24)-MAX('planning '!G7,7/24)),MAX(0,'bases de donnée'!E$16/24-MAX('planning '!G7,7/24))+MAX(0,MIN('planning '!I7,'bases de donnée'!E$16/24)-7/24))))</f>
        <v>0</v>
      </c>
      <c r="T7" s="82"/>
      <c r="U7" s="77" t="str">
        <f t="shared" si="0"/>
        <v>00:00</v>
      </c>
      <c r="V7" s="78">
        <f>IF(SUM(IF(O7&gt;("36:00"*1),O7-("36:00"*1),0)-V5-V6)&lt;0,0,SUM(IF(O7&gt;("36:00"*1),O7-("36:00"*1),0)-V5-V6))</f>
        <v>0</v>
      </c>
      <c r="W7" s="47"/>
      <c r="X7" s="48">
        <f t="shared" si="1"/>
        <v>0</v>
      </c>
      <c r="Y7" s="42"/>
      <c r="Z7" s="49">
        <f t="shared" si="2"/>
        <v>0</v>
      </c>
      <c r="AA7" s="48">
        <f t="shared" si="3"/>
        <v>0</v>
      </c>
      <c r="AB7" s="47"/>
      <c r="AC7" s="54"/>
      <c r="AD7" s="33">
        <f t="shared" si="4"/>
        <v>0</v>
      </c>
      <c r="AE7" s="33">
        <f t="shared" si="5"/>
        <v>0</v>
      </c>
    </row>
    <row r="8" spans="2:31" x14ac:dyDescent="0.3">
      <c r="B8"/>
      <c r="C8" s="14" t="s">
        <v>9</v>
      </c>
      <c r="D8" s="43">
        <f>D7+1</f>
        <v>42006</v>
      </c>
      <c r="E8" s="29" t="s">
        <v>31</v>
      </c>
      <c r="F8" s="52"/>
      <c r="G8" s="184"/>
      <c r="H8" s="184"/>
      <c r="I8" s="184"/>
      <c r="J8" s="45">
        <f>IF(OR(E8="férié travaillé",E8="travail"),(I8-G8+IF(G8&gt;I8,1)-H8),INDEX('bases de donnée'!$E$20:'bases de donnée'!$E$32,MATCH(E8,gerald2,0)))</f>
        <v>0.3</v>
      </c>
      <c r="K8" s="20">
        <f>IF(SUM(J8-'bases de donnée'!E$7)&lt;0,0,SUM(J8-'bases de donnée'!E$7))</f>
        <v>0</v>
      </c>
      <c r="L8" s="11">
        <f>IF(OR(E8="férié travaillé",E8="travail"),I8-G8+IF(G8&gt;I8,1),INDEX('bases de donnée'!$E$20:'bases de donnée'!$E$32,MATCH(E8,gerald2,0)))</f>
        <v>0.3</v>
      </c>
      <c r="M8" s="21">
        <f>IF(SUM(L8-'bases de donnée'!E$4)&lt;0,0,SUM(L8-'bases de donnée'!E$4))</f>
        <v>0</v>
      </c>
      <c r="N8" s="155">
        <v>0</v>
      </c>
      <c r="O8" s="73">
        <f t="shared" si="6"/>
        <v>1.4416666666666667</v>
      </c>
      <c r="P8" s="86">
        <f>O11</f>
        <v>1.7416666666666667</v>
      </c>
      <c r="Q8" s="120">
        <f t="shared" si="7"/>
        <v>1</v>
      </c>
      <c r="R8" s="30"/>
      <c r="S8" s="77">
        <f>IF(SUM(MOD(I8-G8,1)-IF(I8&gt;G8,MAX(0,MIN(I8,'bases de donnée'!E$16/24)-MAX('planning '!G8,7/24)),MAX(0,'bases de donnée'!E$16/24-MAX('planning '!G8,7/24))+MAX(0,MIN('planning '!I8,'bases de donnée'!E$16/24)-7/24)))&lt;0,0,SUM(MOD('planning '!I8-'planning '!G8,1)-IF('planning '!I8&gt;'planning '!G8,MAX(0,MIN('planning '!I8,'bases de donnée'!E$16/24)-MAX('planning '!G8,7/24)),MAX(0,'bases de donnée'!E$16/24-MAX('planning '!G8,7/24))+MAX(0,MIN('planning '!I8,'bases de donnée'!E$16/24)-7/24))))</f>
        <v>0</v>
      </c>
      <c r="T8" s="82"/>
      <c r="U8" s="77" t="str">
        <f t="shared" si="0"/>
        <v>00:00</v>
      </c>
      <c r="V8" s="78">
        <f>IF(SUM(IF(O8&gt;("36:00"*1),O8-("36:00"*1),0)-V6-V7)&lt;0,0,SUM(IF(O8&gt;("36:00"*1),O8-("36:00"*1),0)-V5-V6-V7))</f>
        <v>0</v>
      </c>
      <c r="W8" s="47"/>
      <c r="X8" s="48">
        <f t="shared" si="1"/>
        <v>0</v>
      </c>
      <c r="Y8" s="42"/>
      <c r="Z8" s="49">
        <f t="shared" si="2"/>
        <v>0</v>
      </c>
      <c r="AA8" s="48">
        <f t="shared" si="3"/>
        <v>0</v>
      </c>
      <c r="AB8" s="47"/>
      <c r="AC8" s="54"/>
      <c r="AD8" s="33">
        <f t="shared" si="4"/>
        <v>0</v>
      </c>
      <c r="AE8" s="33">
        <f t="shared" si="5"/>
        <v>0</v>
      </c>
    </row>
    <row r="9" spans="2:31" x14ac:dyDescent="0.3">
      <c r="B9"/>
      <c r="C9" s="14" t="s">
        <v>3</v>
      </c>
      <c r="D9" s="43">
        <f t="shared" si="8"/>
        <v>42007</v>
      </c>
      <c r="E9" s="29" t="s">
        <v>31</v>
      </c>
      <c r="F9" s="52"/>
      <c r="G9" s="184"/>
      <c r="H9" s="184"/>
      <c r="I9" s="184"/>
      <c r="J9" s="45">
        <f>IF(OR(E9="férié travaillé",E9="travail"),(I9-G9+IF(G9&gt;I9,1)-H9),INDEX('bases de donnée'!$E$20:'bases de donnée'!$E$32,MATCH(E9,gerald2,0)))</f>
        <v>0.3</v>
      </c>
      <c r="K9" s="20">
        <f>IF(SUM(J9-'bases de donnée'!E$7)&lt;0,0,SUM(J9-'bases de donnée'!E$7))</f>
        <v>0</v>
      </c>
      <c r="L9" s="11">
        <f>IF(OR(E9="férié travaillé",E9="travail"),I9-G9+IF(G9&gt;I9,1),INDEX('bases de donnée'!$E$20:'bases de donnée'!$E$32,MATCH(E9,gerald2,0)))</f>
        <v>0.3</v>
      </c>
      <c r="M9" s="21">
        <f>IF(SUM(L9-'bases de donnée'!E$4)&lt;0,0,SUM(L9-'bases de donnée'!E$4))</f>
        <v>0</v>
      </c>
      <c r="N9" s="155">
        <v>0</v>
      </c>
      <c r="O9" s="73">
        <f t="shared" si="6"/>
        <v>1.7416666666666667</v>
      </c>
      <c r="P9" s="12" t="s">
        <v>75</v>
      </c>
      <c r="Q9" s="120">
        <f t="shared" si="7"/>
        <v>1</v>
      </c>
      <c r="R9" s="30"/>
      <c r="S9" s="77">
        <f>IF(SUM(MOD(I9-G9,1)-IF(I9&gt;G9,MAX(0,MIN(I9,'bases de donnée'!E$16/24)-MAX('planning '!G9,7/24)),MAX(0,'bases de donnée'!E$16/24-MAX('planning '!G9,7/24))+MAX(0,MIN('planning '!I9,'bases de donnée'!E$16/24)-7/24)))&lt;0,0,SUM(MOD('planning '!I9-'planning '!G9,1)-IF('planning '!I9&gt;'planning '!G9,MAX(0,MIN('planning '!I9,'bases de donnée'!E$16/24)-MAX('planning '!G9,7/24)),MAX(0,'bases de donnée'!E$16/24-MAX('planning '!G9,7/24))+MAX(0,MIN('planning '!I9,'bases de donnée'!E$16/24)-7/24))))</f>
        <v>0</v>
      </c>
      <c r="T9" s="82"/>
      <c r="U9" s="77" t="str">
        <f t="shared" si="0"/>
        <v>00:00</v>
      </c>
      <c r="V9" s="78">
        <f>IF(SUM(IF(O9&gt;("36:00"*1),O9-("36:00"*1),0)-V7-V8)&lt;0,0,SUM(IF(O9&gt;("36:00"*1),O9-("36:00"*1),0)-V5-V6-V7-V8))</f>
        <v>0.2416666666666667</v>
      </c>
      <c r="W9" s="47"/>
      <c r="X9" s="48">
        <f t="shared" si="1"/>
        <v>0</v>
      </c>
      <c r="Y9" s="42"/>
      <c r="Z9" s="49">
        <f t="shared" si="2"/>
        <v>0</v>
      </c>
      <c r="AA9" s="48">
        <f t="shared" si="3"/>
        <v>0.2416666666666667</v>
      </c>
      <c r="AB9" s="47"/>
      <c r="AC9" s="54"/>
      <c r="AD9" s="33">
        <f t="shared" si="4"/>
        <v>0</v>
      </c>
      <c r="AE9" s="33">
        <f t="shared" si="5"/>
        <v>0</v>
      </c>
    </row>
    <row r="10" spans="2:31" x14ac:dyDescent="0.3">
      <c r="B10"/>
      <c r="C10" s="14" t="s">
        <v>4</v>
      </c>
      <c r="D10" s="43">
        <f t="shared" si="8"/>
        <v>42008</v>
      </c>
      <c r="E10" s="29" t="s">
        <v>28</v>
      </c>
      <c r="F10" s="52"/>
      <c r="G10" s="184"/>
      <c r="H10" s="184"/>
      <c r="I10" s="184"/>
      <c r="J10" s="45">
        <f>IF(OR(E10="férié travaillé",E10="travail"),(I10-G10+IF(G10&gt;I10,1)-H10),INDEX('bases de donnée'!$E$20:'bases de donnée'!$E$32,MATCH(E10,gerald2,0)))</f>
        <v>0</v>
      </c>
      <c r="K10" s="20">
        <f>IF(SUM(J10-'bases de donnée'!E$7)&lt;0,0,SUM(J10-'bases de donnée'!E$7))</f>
        <v>0</v>
      </c>
      <c r="L10" s="11">
        <f>IF(OR(E10="férié travaillé",E10="travail"),I10-G10+IF(G10&gt;I10,1),INDEX('bases de donnée'!$E$20:'bases de donnée'!$E$32,MATCH(E10,gerald2,0)))</f>
        <v>0</v>
      </c>
      <c r="M10" s="21">
        <f>IF(SUM(L10-'bases de donnée'!E$4)&lt;0,0,SUM(L10-'bases de donnée'!E$4))</f>
        <v>0</v>
      </c>
      <c r="N10" s="155">
        <v>0</v>
      </c>
      <c r="O10" s="73">
        <f t="shared" si="6"/>
        <v>1.7416666666666667</v>
      </c>
      <c r="P10" s="53">
        <f>'bases de donnée'!E$10</f>
        <v>2</v>
      </c>
      <c r="Q10" s="120">
        <f t="shared" si="7"/>
        <v>0</v>
      </c>
      <c r="R10" s="30"/>
      <c r="S10" s="77">
        <f>IF(SUM(MOD(I10-G10,1)-IF(I10&gt;G10,MAX(0,MIN(I10,'bases de donnée'!E$16/24)-MAX('planning '!G10,7/24)),MAX(0,'bases de donnée'!E$16/24-MAX('planning '!G10,7/24))+MAX(0,MIN('planning '!I10,'bases de donnée'!E$16/24)-7/24)))&lt;0,0,SUM(MOD('planning '!I10-'planning '!G10,1)-IF('planning '!I10&gt;'planning '!G10,MAX(0,MIN('planning '!I10,'bases de donnée'!E$16/24)-MAX('planning '!G10,7/24)),MAX(0,'bases de donnée'!E$16/24-MAX('planning '!G10,7/24))+MAX(0,MIN('planning '!I10,'bases de donnée'!E$16/24)-7/24))))</f>
        <v>0</v>
      </c>
      <c r="T10" s="82"/>
      <c r="U10" s="77" t="str">
        <f t="shared" si="0"/>
        <v>00:00</v>
      </c>
      <c r="V10" s="78">
        <f>IF(SUM(IF(O10&gt;("36:00"*1),O10-("36:00"*1),0)-V8-V9)&lt;0,0,SUM(IF(O10&gt;("36:00"*1),O10-("36:00"*1),0)-V5-V6-V7-V8-V9))</f>
        <v>0</v>
      </c>
      <c r="W10" s="47"/>
      <c r="X10" s="48">
        <f t="shared" si="1"/>
        <v>0</v>
      </c>
      <c r="Y10" s="32"/>
      <c r="Z10" s="49">
        <f t="shared" si="2"/>
        <v>0</v>
      </c>
      <c r="AA10" s="48">
        <f t="shared" si="3"/>
        <v>0</v>
      </c>
      <c r="AB10" s="47"/>
      <c r="AC10" s="55"/>
      <c r="AD10" s="33">
        <f t="shared" si="4"/>
        <v>0</v>
      </c>
      <c r="AE10" s="33">
        <f t="shared" si="5"/>
        <v>0</v>
      </c>
    </row>
    <row r="11" spans="2:31" x14ac:dyDescent="0.3">
      <c r="B11"/>
      <c r="C11" s="14" t="s">
        <v>5</v>
      </c>
      <c r="D11" s="43">
        <f t="shared" si="8"/>
        <v>42009</v>
      </c>
      <c r="E11" s="29" t="s">
        <v>28</v>
      </c>
      <c r="F11" s="71"/>
      <c r="G11" s="184"/>
      <c r="H11" s="184"/>
      <c r="I11" s="184"/>
      <c r="J11" s="45">
        <f>IF(OR(E11="férié travaillé",E11="travail"),(I11-G11+IF(G11&gt;I11,1)-H11),INDEX('bases de donnée'!$E$20:'bases de donnée'!$E$32,MATCH(E11,gerald2,0)))</f>
        <v>0</v>
      </c>
      <c r="K11" s="20">
        <f>IF(SUM(J11-'bases de donnée'!E$7)&lt;0,0,SUM(J11-'bases de donnée'!E$7))</f>
        <v>0</v>
      </c>
      <c r="L11" s="11">
        <f>IF(OR(E11="férié travaillé",E11="travail"),I11-G11+IF(G11&gt;I11,1),INDEX('bases de donnée'!$E$20:'bases de donnée'!$E$32,MATCH(E11,gerald2,0)))</f>
        <v>0</v>
      </c>
      <c r="M11" s="21">
        <f>IF(SUM(L11-'bases de donnée'!E$4)&lt;0,0,SUM(L11-'bases de donnée'!E$4))</f>
        <v>0</v>
      </c>
      <c r="N11" s="155">
        <v>0</v>
      </c>
      <c r="O11" s="73">
        <f t="shared" si="6"/>
        <v>1.7416666666666667</v>
      </c>
      <c r="P11" s="33">
        <f>IF(SUM(O11-'bases de donnée'!E$10)&lt;0,0,SUM(O11-'bases de donnée'!E$10))</f>
        <v>0</v>
      </c>
      <c r="Q11" s="120">
        <f t="shared" si="7"/>
        <v>0</v>
      </c>
      <c r="R11" s="30"/>
      <c r="S11" s="77">
        <f>IF(SUM(MOD(I11-G11,1)-IF(I11&gt;G11,MAX(0,MIN(I11,'bases de donnée'!E$16/24)-MAX('planning '!G11,7/24)),MAX(0,'bases de donnée'!E$16/24-MAX('planning '!G11,7/24))+MAX(0,MIN('planning '!I11,'bases de donnée'!E$16/24)-7/24)))&lt;0,0,SUM(MOD('planning '!I11-'planning '!G11,1)-IF('planning '!I11&gt;'planning '!G11,MAX(0,MIN('planning '!I11,'bases de donnée'!E$16/24)-MAX('planning '!G11,7/24)),MAX(0,'bases de donnée'!E$16/24-MAX('planning '!G11,7/24))+MAX(0,MIN('planning '!I11,'bases de donnée'!E$16/24)-7/24))))</f>
        <v>0</v>
      </c>
      <c r="T11" s="77">
        <f>J11</f>
        <v>0</v>
      </c>
      <c r="U11" s="77" t="str">
        <f t="shared" si="0"/>
        <v>00:00</v>
      </c>
      <c r="V11" s="78">
        <f>IF(SUM(IF(O11&gt;("36:00"*1),O11-("36:00"*1),0)-V9-V10)&lt;0,0,SUM(IF(O11&gt;("36:00"*1),O11-("36:00"*1),0)-V5-V6-V7-V8-V9-V10))</f>
        <v>0</v>
      </c>
      <c r="W11" s="47"/>
      <c r="X11" s="48">
        <f t="shared" si="1"/>
        <v>0</v>
      </c>
      <c r="Y11" s="48">
        <f>IF(SUM(T11-S11)&lt;0,0,SUM(T11-S11))</f>
        <v>0</v>
      </c>
      <c r="Z11" s="56">
        <f>IF(SUM(U11-T11-S11)&lt;0,0,SUM(U11-T11-S11))</f>
        <v>0</v>
      </c>
      <c r="AA11" s="48">
        <f>IF(SUM(V11-S11-T11-U11)&lt;0,0,SUM(V11-S11-T11-U11))</f>
        <v>0</v>
      </c>
      <c r="AB11" s="47"/>
      <c r="AC11" s="57">
        <f>IF(SUM(T11-Y11)&lt;0,0,SUM(T11-Y11))</f>
        <v>0</v>
      </c>
      <c r="AD11" s="33">
        <f>IF(SUM(U11-Z11)&lt;0,0,SUM(U11-Z11))</f>
        <v>0</v>
      </c>
      <c r="AE11" s="33">
        <f t="shared" si="5"/>
        <v>0</v>
      </c>
    </row>
    <row r="12" spans="2:31" x14ac:dyDescent="0.3">
      <c r="B12"/>
      <c r="C12" s="25"/>
      <c r="D12" s="90"/>
      <c r="E12" s="90"/>
      <c r="F12" s="25"/>
      <c r="G12" s="47"/>
      <c r="H12" s="47"/>
      <c r="I12" s="47"/>
      <c r="J12" s="47"/>
      <c r="K12" s="92"/>
      <c r="L12" s="91"/>
      <c r="M12" s="91"/>
      <c r="N12" s="91"/>
      <c r="O12" s="93"/>
      <c r="P12" s="47"/>
      <c r="S12" s="47"/>
      <c r="T12" s="47"/>
      <c r="U12" s="47"/>
      <c r="V12" s="93"/>
      <c r="W12" s="47"/>
      <c r="X12" s="47"/>
      <c r="Y12" s="47"/>
      <c r="Z12" s="47"/>
      <c r="AA12" s="47"/>
      <c r="AB12" s="47"/>
      <c r="AC12" s="47"/>
      <c r="AD12" s="47"/>
      <c r="AE12" s="47"/>
    </row>
    <row r="13" spans="2:31" x14ac:dyDescent="0.3">
      <c r="B13" s="9" t="s">
        <v>40</v>
      </c>
      <c r="C13" s="9" t="s">
        <v>6</v>
      </c>
      <c r="D13" s="58">
        <f>D11+1</f>
        <v>42010</v>
      </c>
      <c r="E13" s="29" t="s">
        <v>30</v>
      </c>
      <c r="F13" s="190"/>
      <c r="G13" s="194"/>
      <c r="H13" s="194"/>
      <c r="I13" s="194"/>
      <c r="J13" s="193">
        <f>IF(OR(E13="férié travaillé",E13="travail"),(I13-G13+IF(G13&gt;I13,1)-H13),INDEX('bases de donnée'!$E$20:'bases de donnée'!$E$32,MATCH(E13,gerald2,0)))</f>
        <v>0.3</v>
      </c>
      <c r="K13" s="20">
        <f>IF(SUM(J13-'bases de donnée'!E$7)&lt;0,0,SUM(J13-'bases de donnée'!E$7))</f>
        <v>0</v>
      </c>
      <c r="L13" s="11">
        <f>IF(OR(E13="férié travaillé",E13="travail"),I13-G13+IF(G13&gt;I13,1),INDEX('bases de donnée'!$E$20:'bases de donnée'!$E$32,MATCH(E13,gerald2,0)))</f>
        <v>0.3</v>
      </c>
      <c r="M13" s="21">
        <f>IF(SUM(L13-'bases de donnée'!E$4)&lt;0,0,SUM(L13-'bases de donnée'!E$4))</f>
        <v>0</v>
      </c>
      <c r="N13" s="155">
        <v>0</v>
      </c>
      <c r="O13" s="59">
        <f>J13</f>
        <v>0.3</v>
      </c>
      <c r="P13" s="122">
        <f>SUM(Q13:Q19)</f>
        <v>5</v>
      </c>
      <c r="Q13" s="120">
        <f>IF(AND(G13&lt;&gt;"",I13&lt;&gt;""),1,0+OR(N(I12)&lt;N(G12),E13="récupération",E13="congé 1 jour",E13="congé 1/2 jour ",E13="congé 5h24",E13="arrêt maladie",E13="arrêt travail",E13="férié ",E13="congé parentale",E13="congé de naissance"))</f>
        <v>1</v>
      </c>
      <c r="R13" s="30"/>
      <c r="S13" s="77">
        <f>IF(SUM(MOD(I13-G13,1)-IF(I13&gt;G13,MAX(0,MIN(I13,'bases de donnée'!E$16/24)-MAX('planning '!G13,7/24)),MAX(0,'bases de donnée'!E$16/24-MAX('planning '!G13,7/24))+MAX(0,MIN('planning '!I13,'bases de donnée'!E$16/24)-7/24)))&lt;0,0,SUM(MOD('planning '!I13-'planning '!G13,1)-IF('planning '!I13&gt;'planning '!G13,MAX(0,MIN('planning '!I13,'bases de donnée'!E$16/24)-MAX('planning '!G13,7/24)),MAX(0,'bases de donnée'!E$16/24-MAX('planning '!G13,7/24))+MAX(0,MIN('planning '!I13,'bases de donnée'!E$16/24)-7/24))))</f>
        <v>0</v>
      </c>
      <c r="T13" s="81"/>
      <c r="U13" s="77" t="str">
        <f t="shared" ref="U13:U19" si="9">IF(E13&lt;&gt;"travail",IF(E13="férié travaillé",MOD(I13-G13,1)-H13,"00:00"),"00:00")</f>
        <v>00:00</v>
      </c>
      <c r="V13" s="78"/>
      <c r="W13" s="47"/>
      <c r="X13" s="48">
        <f t="shared" ref="X13:X19" si="10">S13</f>
        <v>0</v>
      </c>
      <c r="Y13" s="31"/>
      <c r="Z13" s="49">
        <f t="shared" ref="Z13:Z18" si="11">IF(SUM(U13-X13)&lt;0,0,SUM(U13-X13))</f>
        <v>0</v>
      </c>
      <c r="AA13" s="48">
        <f t="shared" ref="AA13:AA18" si="12">IF(SUM(V13-X13-Z13)&lt;0,0,SUM(V13-X13-Z13))</f>
        <v>0</v>
      </c>
      <c r="AB13" s="47"/>
      <c r="AC13" s="50"/>
      <c r="AD13" s="33">
        <f t="shared" ref="AD13:AD18" si="13">IF(SUM(U13-Z13)&lt;0,0,SUM(U13-Z13))</f>
        <v>0</v>
      </c>
      <c r="AE13" s="33">
        <f t="shared" si="5"/>
        <v>0</v>
      </c>
    </row>
    <row r="14" spans="2:31" x14ac:dyDescent="0.3">
      <c r="B14" s="60">
        <f>B$6+1</f>
        <v>1</v>
      </c>
      <c r="C14" s="9" t="s">
        <v>7</v>
      </c>
      <c r="D14" s="58">
        <f>D13+1</f>
        <v>42011</v>
      </c>
      <c r="E14" s="29" t="s">
        <v>30</v>
      </c>
      <c r="F14" s="191"/>
      <c r="G14" s="194"/>
      <c r="H14" s="194"/>
      <c r="I14" s="194"/>
      <c r="J14" s="193">
        <f>IF(OR(E14="férié travaillé",E14="travail"),(I14-G14+IF(G14&gt;I14,1)-H14),INDEX('bases de donnée'!$E$20:'bases de donnée'!$E$32,MATCH(E14,gerald2,0)))</f>
        <v>0.3</v>
      </c>
      <c r="K14" s="20">
        <f>IF(SUM(J14-'bases de donnée'!E$7)&lt;0,0,SUM(J14-'bases de donnée'!E$7))</f>
        <v>0</v>
      </c>
      <c r="L14" s="11">
        <f>IF(OR(E14="férié travaillé",E14="travail"),I14-G14+IF(G14&gt;I14,1),INDEX('bases de donnée'!$E$20:'bases de donnée'!$E$32,MATCH(E14,gerald2,0)))</f>
        <v>0.3</v>
      </c>
      <c r="M14" s="21">
        <f>IF(SUM(L14-'bases de donnée'!E$4)&lt;0,0,SUM(L14-'bases de donnée'!E$4))</f>
        <v>0</v>
      </c>
      <c r="N14" s="155">
        <v>0</v>
      </c>
      <c r="O14" s="74">
        <f>O13+J14</f>
        <v>0.6</v>
      </c>
      <c r="P14" s="121">
        <f>IF(SUM(P13-'bases de donnée'!E$6)&lt;0,0,SUM(P13-'bases de donnée'!E$6))</f>
        <v>0</v>
      </c>
      <c r="Q14" s="120">
        <f t="shared" ref="Q14:Q19" si="14">IF(AND(G14&lt;&gt;"",I14&lt;&gt;""),1,0+OR(N(I13)&lt;N(G13),E14="récupération",E14="congé 1 jour",E14="congé 1/2 jour ",E14="congé 5h24",E14="arrêt maladie",E14="arrêt travail",E14="férié ",E14="congé parentale",E14="congé de naissance"))</f>
        <v>1</v>
      </c>
      <c r="R14" s="30"/>
      <c r="S14" s="77">
        <f>IF(SUM(MOD(I14-G14,1)-IF(I14&gt;G14,MAX(0,MIN(I14,'bases de donnée'!E$16/24)-MAX('planning '!G14,7/24)),MAX(0,'bases de donnée'!E$16/24-MAX('planning '!G14,7/24))+MAX(0,MIN('planning '!I14,'bases de donnée'!E$16/24)-7/24)))&lt;0,0,SUM(MOD('planning '!I14-'planning '!G14,1)-IF('planning '!I14&gt;'planning '!G14,MAX(0,MIN('planning '!I14,'bases de donnée'!E$16/24)-MAX('planning '!G14,7/24)),MAX(0,'bases de donnée'!E$16/24-MAX('planning '!G14,7/24))+MAX(0,MIN('planning '!I14,'bases de donnée'!E$16/24)-7/24))))</f>
        <v>0</v>
      </c>
      <c r="T14" s="82"/>
      <c r="U14" s="77" t="str">
        <f t="shared" si="9"/>
        <v>00:00</v>
      </c>
      <c r="V14" s="78">
        <f>IF(SUM(IF(O14&gt;('bases de donnée'!E$9*1),O14-('bases de donnée'!E$9*1),0)-V13)&lt;0,0,SUM(IF(O14&gt;('bases de donnée'!E$9*1),O14-('bases de donnée'!E$9*1),0)-V13))</f>
        <v>0</v>
      </c>
      <c r="W14" s="47"/>
      <c r="X14" s="48">
        <f t="shared" si="10"/>
        <v>0</v>
      </c>
      <c r="Y14" s="42"/>
      <c r="Z14" s="49">
        <f t="shared" si="11"/>
        <v>0</v>
      </c>
      <c r="AA14" s="48">
        <f t="shared" si="12"/>
        <v>0</v>
      </c>
      <c r="AB14" s="47"/>
      <c r="AC14" s="54"/>
      <c r="AD14" s="33">
        <f t="shared" si="13"/>
        <v>0</v>
      </c>
      <c r="AE14" s="33">
        <f t="shared" si="5"/>
        <v>0</v>
      </c>
    </row>
    <row r="15" spans="2:31" x14ac:dyDescent="0.3">
      <c r="B15"/>
      <c r="C15" s="9" t="s">
        <v>8</v>
      </c>
      <c r="D15" s="58">
        <f t="shared" ref="D15:D19" si="15">D14+1</f>
        <v>42012</v>
      </c>
      <c r="E15" s="29" t="s">
        <v>30</v>
      </c>
      <c r="F15" s="191"/>
      <c r="G15" s="194"/>
      <c r="H15" s="194"/>
      <c r="I15" s="194"/>
      <c r="J15" s="193">
        <f>IF(OR(E15="férié travaillé",E15="travail"),(I15-G15+IF(G15&gt;I15,1)-H15),INDEX('bases de donnée'!$E$20:'bases de donnée'!$E$32,MATCH(E15,gerald2,0)))</f>
        <v>0.3</v>
      </c>
      <c r="K15" s="20">
        <f>IF(SUM(J15-'bases de donnée'!E$7)&lt;0,0,SUM(J15-'bases de donnée'!E$7))</f>
        <v>0</v>
      </c>
      <c r="L15" s="11">
        <f>IF(OR(E15="férié travaillé",E15="travail"),I15-G15+IF(G15&gt;I15,1),INDEX('bases de donnée'!$E$20:'bases de donnée'!$E$32,MATCH(E15,gerald2,0)))</f>
        <v>0.3</v>
      </c>
      <c r="M15" s="21">
        <f>IF(SUM(L15-'bases de donnée'!E$4)&lt;0,0,SUM(L15-'bases de donnée'!E$4))</f>
        <v>0</v>
      </c>
      <c r="N15" s="155">
        <v>0</v>
      </c>
      <c r="O15" s="74">
        <f t="shared" ref="O15:O19" si="16">O14+J15</f>
        <v>0.89999999999999991</v>
      </c>
      <c r="P15" s="34" t="s">
        <v>46</v>
      </c>
      <c r="Q15" s="120">
        <f t="shared" si="14"/>
        <v>1</v>
      </c>
      <c r="R15" s="30"/>
      <c r="S15" s="77">
        <f>IF(SUM(MOD(I15-G15,1)-IF(I15&gt;G15,MAX(0,MIN(I15,'bases de donnée'!E$16/24)-MAX('planning '!G15,7/24)),MAX(0,'bases de donnée'!E$16/24-MAX('planning '!G15,7/24))+MAX(0,MIN('planning '!I15,'bases de donnée'!E$16/24)-7/24)))&lt;0,0,SUM(MOD('planning '!I15-'planning '!G15,1)-IF('planning '!I15&gt;'planning '!G15,MAX(0,MIN('planning '!I15,'bases de donnée'!E$16/24)-MAX('planning '!G15,7/24)),MAX(0,'bases de donnée'!E$16/24-MAX('planning '!G15,7/24))+MAX(0,MIN('planning '!I15,'bases de donnée'!E$16/24)-7/24))))</f>
        <v>0</v>
      </c>
      <c r="T15" s="82"/>
      <c r="U15" s="77" t="str">
        <f t="shared" si="9"/>
        <v>00:00</v>
      </c>
      <c r="V15" s="78">
        <f>IF(SUM(IF(O15&gt;("36:00"*1),O15-("36:00"*1),0)-V13-V14)&lt;0,0,SUM(IF(O15&gt;("36:00"*1),O15-("36:00"*1),0)-V13-V14))</f>
        <v>0</v>
      </c>
      <c r="W15" s="47"/>
      <c r="X15" s="48">
        <f t="shared" si="10"/>
        <v>0</v>
      </c>
      <c r="Y15" s="42"/>
      <c r="Z15" s="49">
        <f t="shared" si="11"/>
        <v>0</v>
      </c>
      <c r="AA15" s="48">
        <f t="shared" si="12"/>
        <v>0</v>
      </c>
      <c r="AB15" s="47"/>
      <c r="AC15" s="54"/>
      <c r="AD15" s="33">
        <f t="shared" si="13"/>
        <v>0</v>
      </c>
      <c r="AE15" s="33">
        <f t="shared" si="5"/>
        <v>0</v>
      </c>
    </row>
    <row r="16" spans="2:31" x14ac:dyDescent="0.3">
      <c r="B16"/>
      <c r="C16" s="9" t="s">
        <v>9</v>
      </c>
      <c r="D16" s="58">
        <f t="shared" si="15"/>
        <v>42013</v>
      </c>
      <c r="E16" s="29" t="s">
        <v>30</v>
      </c>
      <c r="F16" s="191"/>
      <c r="G16" s="194"/>
      <c r="H16" s="194"/>
      <c r="I16" s="194"/>
      <c r="J16" s="193">
        <f>IF(OR(E16="férié travaillé",E16="travail"),(I16-G16+IF(G16&gt;I16,1)-H16),INDEX('bases de donnée'!$E$20:'bases de donnée'!$E$32,MATCH(E16,gerald2,0)))</f>
        <v>0.3</v>
      </c>
      <c r="K16" s="20">
        <f>IF(SUM(J16-'bases de donnée'!E$7)&lt;0,0,SUM(J16-'bases de donnée'!E$7))</f>
        <v>0</v>
      </c>
      <c r="L16" s="11">
        <f>IF(OR(E16="férié travaillé",E16="travail"),I16-G16+IF(G16&gt;I16,1),INDEX('bases de donnée'!$E$20:'bases de donnée'!$E$32,MATCH(E16,gerald2,0)))</f>
        <v>0.3</v>
      </c>
      <c r="M16" s="21">
        <f>IF(SUM(L16-'bases de donnée'!E$4)&lt;0,0,SUM(L16-'bases de donnée'!E$4))</f>
        <v>0</v>
      </c>
      <c r="N16" s="155">
        <v>0</v>
      </c>
      <c r="O16" s="74">
        <f t="shared" si="16"/>
        <v>1.2</v>
      </c>
      <c r="P16" s="86">
        <f>O19</f>
        <v>1.5</v>
      </c>
      <c r="Q16" s="120">
        <f t="shared" si="14"/>
        <v>1</v>
      </c>
      <c r="R16" s="30"/>
      <c r="S16" s="77">
        <f>IF(SUM(MOD(I16-G16,1)-IF(I16&gt;G16,MAX(0,MIN(I16,'bases de donnée'!E$16/24)-MAX('planning '!G16,7/24)),MAX(0,'bases de donnée'!E$16/24-MAX('planning '!G16,7/24))+MAX(0,MIN('planning '!I16,'bases de donnée'!E$16/24)-7/24)))&lt;0,0,SUM(MOD('planning '!I16-'planning '!G16,1)-IF('planning '!I16&gt;'planning '!G16,MAX(0,MIN('planning '!I16,'bases de donnée'!E$16/24)-MAX('planning '!G16,7/24)),MAX(0,'bases de donnée'!E$16/24-MAX('planning '!G16,7/24))+MAX(0,MIN('planning '!I16,'bases de donnée'!E$16/24)-7/24))))</f>
        <v>0</v>
      </c>
      <c r="T16" s="82"/>
      <c r="U16" s="77" t="str">
        <f t="shared" si="9"/>
        <v>00:00</v>
      </c>
      <c r="V16" s="78">
        <f>IF(SUM(IF(O16&gt;("36:00"*1),O16-("36:00"*1),0)-V14-V15)&lt;0,0,SUM(IF(O16&gt;("36:00"*1),O16-("36:00"*1),0)-V13-V14-V15))</f>
        <v>0</v>
      </c>
      <c r="W16" s="47"/>
      <c r="X16" s="48">
        <f t="shared" si="10"/>
        <v>0</v>
      </c>
      <c r="Y16" s="42"/>
      <c r="Z16" s="49">
        <f t="shared" si="11"/>
        <v>0</v>
      </c>
      <c r="AA16" s="48">
        <f t="shared" si="12"/>
        <v>0</v>
      </c>
      <c r="AB16" s="47"/>
      <c r="AC16" s="54"/>
      <c r="AD16" s="33">
        <f t="shared" si="13"/>
        <v>0</v>
      </c>
      <c r="AE16" s="33">
        <f t="shared" si="5"/>
        <v>0</v>
      </c>
    </row>
    <row r="17" spans="2:31" x14ac:dyDescent="0.3">
      <c r="B17"/>
      <c r="C17" s="9" t="s">
        <v>3</v>
      </c>
      <c r="D17" s="58">
        <f t="shared" si="15"/>
        <v>42014</v>
      </c>
      <c r="E17" s="29" t="s">
        <v>30</v>
      </c>
      <c r="F17" s="191"/>
      <c r="G17" s="194"/>
      <c r="H17" s="194"/>
      <c r="I17" s="194"/>
      <c r="J17" s="193">
        <f>IF(OR(E17="férié travaillé",E17="travail"),(I17-G17+IF(G17&gt;I17,1)-H17),INDEX('bases de donnée'!$E$20:'bases de donnée'!$E$32,MATCH(E17,gerald2,0)))</f>
        <v>0.3</v>
      </c>
      <c r="K17" s="20">
        <f>IF(SUM(J17-'bases de donnée'!E$7)&lt;0,0,SUM(J17-'bases de donnée'!E$7))</f>
        <v>0</v>
      </c>
      <c r="L17" s="11">
        <f>IF(OR(E17="férié travaillé",E17="travail"),I17-G17+IF(G17&gt;I17,1),INDEX('bases de donnée'!$E$20:'bases de donnée'!$E$32,MATCH(E17,gerald2,0)))</f>
        <v>0.3</v>
      </c>
      <c r="M17" s="21">
        <f>IF(SUM(L17-'bases de donnée'!E$4)&lt;0,0,SUM(L17-'bases de donnée'!E$4))</f>
        <v>0</v>
      </c>
      <c r="N17" s="155">
        <v>0</v>
      </c>
      <c r="O17" s="74">
        <f t="shared" si="16"/>
        <v>1.5</v>
      </c>
      <c r="P17" s="24" t="s">
        <v>48</v>
      </c>
      <c r="Q17" s="120">
        <f t="shared" si="14"/>
        <v>1</v>
      </c>
      <c r="R17" s="30"/>
      <c r="S17" s="77">
        <f>IF(SUM(MOD(I17-G17,1)-IF(I17&gt;G17,MAX(0,MIN(I17,'bases de donnée'!E$16/24)-MAX('planning '!G17,7/24)),MAX(0,'bases de donnée'!E$16/24-MAX('planning '!G17,7/24))+MAX(0,MIN('planning '!I17,'bases de donnée'!E$16/24)-7/24)))&lt;0,0,SUM(MOD('planning '!I17-'planning '!G17,1)-IF('planning '!I17&gt;'planning '!G17,MAX(0,MIN('planning '!I17,'bases de donnée'!E$16/24)-MAX('planning '!G17,7/24)),MAX(0,'bases de donnée'!E$16/24-MAX('planning '!G17,7/24))+MAX(0,MIN('planning '!I17,'bases de donnée'!E$16/24)-7/24))))</f>
        <v>0</v>
      </c>
      <c r="T17" s="82"/>
      <c r="U17" s="77" t="str">
        <f t="shared" si="9"/>
        <v>00:00</v>
      </c>
      <c r="V17" s="78">
        <f>IF(SUM(IF(O17&gt;("36:00"*1),O17-("36:00"*1),0)-V15-V16)&lt;0,0,SUM(IF(O17&gt;("36:00"*1),O17-("36:00"*1),0)-V13-V14-V15-V16))</f>
        <v>0</v>
      </c>
      <c r="W17" s="47"/>
      <c r="X17" s="48">
        <f t="shared" si="10"/>
        <v>0</v>
      </c>
      <c r="Y17" s="42"/>
      <c r="Z17" s="49">
        <f t="shared" si="11"/>
        <v>0</v>
      </c>
      <c r="AA17" s="48">
        <f t="shared" si="12"/>
        <v>0</v>
      </c>
      <c r="AB17" s="47"/>
      <c r="AC17" s="54"/>
      <c r="AD17" s="33">
        <f t="shared" si="13"/>
        <v>0</v>
      </c>
      <c r="AE17" s="33">
        <f t="shared" si="5"/>
        <v>0</v>
      </c>
    </row>
    <row r="18" spans="2:31" x14ac:dyDescent="0.3">
      <c r="B18"/>
      <c r="C18" s="9" t="s">
        <v>4</v>
      </c>
      <c r="D18" s="58">
        <f t="shared" si="15"/>
        <v>42015</v>
      </c>
      <c r="E18" s="29" t="s">
        <v>28</v>
      </c>
      <c r="F18" s="191"/>
      <c r="G18" s="194"/>
      <c r="H18" s="194"/>
      <c r="I18" s="194"/>
      <c r="J18" s="193">
        <f>IF(OR(E18="férié travaillé",E18="travail"),(I18-G18+IF(G18&gt;I18,1)-H18),INDEX('bases de donnée'!$E$20:'bases de donnée'!$E$32,MATCH(E18,gerald2,0)))</f>
        <v>0</v>
      </c>
      <c r="K18" s="20">
        <f>IF(SUM(J18-'bases de donnée'!E$7)&lt;0,0,SUM(J18-'bases de donnée'!E$7))</f>
        <v>0</v>
      </c>
      <c r="L18" s="11">
        <f>IF(OR(E18="férié travaillé",E18="travail"),I18-G18+IF(G18&gt;I18,1),INDEX('bases de donnée'!$E$20:'bases de donnée'!$E$32,MATCH(E18,gerald2,0)))</f>
        <v>0</v>
      </c>
      <c r="M18" s="21">
        <f>IF(SUM(L18-'bases de donnée'!E$4)&lt;0,0,SUM(L18-'bases de donnée'!E$4))</f>
        <v>0</v>
      </c>
      <c r="N18" s="155">
        <v>0</v>
      </c>
      <c r="O18" s="74">
        <f t="shared" si="16"/>
        <v>1.5</v>
      </c>
      <c r="P18" s="61">
        <f>'bases de donnée'!E$10</f>
        <v>2</v>
      </c>
      <c r="Q18" s="120">
        <f t="shared" si="14"/>
        <v>0</v>
      </c>
      <c r="R18" s="30"/>
      <c r="S18" s="77">
        <f>IF(SUM(MOD(I18-G18,1)-IF(I18&gt;G18,MAX(0,MIN(I18,'bases de donnée'!E$16/24)-MAX('planning '!G18,7/24)),MAX(0,'bases de donnée'!E$16/24-MAX('planning '!G18,7/24))+MAX(0,MIN('planning '!I18,'bases de donnée'!E$16/24)-7/24)))&lt;0,0,SUM(MOD('planning '!I18-'planning '!G18,1)-IF('planning '!I18&gt;'planning '!G18,MAX(0,MIN('planning '!I18,'bases de donnée'!E$16/24)-MAX('planning '!G18,7/24)),MAX(0,'bases de donnée'!E$16/24-MAX('planning '!G18,7/24))+MAX(0,MIN('planning '!I18,'bases de donnée'!E$16/24)-7/24))))</f>
        <v>0</v>
      </c>
      <c r="T18" s="82"/>
      <c r="U18" s="77" t="str">
        <f t="shared" si="9"/>
        <v>00:00</v>
      </c>
      <c r="V18" s="78">
        <f>IF(SUM(IF(O18&gt;("36:00"*1),O18-("36:00"*1),0)-V16-V17)&lt;0,0,SUM(IF(O18&gt;("36:00"*1),O18-("36:00"*1),0)-V13-V14-V15-V16-V17))</f>
        <v>0</v>
      </c>
      <c r="W18" s="47"/>
      <c r="X18" s="48">
        <f t="shared" si="10"/>
        <v>0</v>
      </c>
      <c r="Y18" s="32"/>
      <c r="Z18" s="49">
        <f t="shared" si="11"/>
        <v>0</v>
      </c>
      <c r="AA18" s="48">
        <f t="shared" si="12"/>
        <v>0</v>
      </c>
      <c r="AB18" s="47"/>
      <c r="AC18" s="55"/>
      <c r="AD18" s="33">
        <f t="shared" si="13"/>
        <v>0</v>
      </c>
      <c r="AE18" s="33">
        <f t="shared" si="5"/>
        <v>0</v>
      </c>
    </row>
    <row r="19" spans="2:31" x14ac:dyDescent="0.3">
      <c r="B19"/>
      <c r="C19" s="9" t="s">
        <v>5</v>
      </c>
      <c r="D19" s="58">
        <f t="shared" si="15"/>
        <v>42016</v>
      </c>
      <c r="E19" s="29" t="s">
        <v>28</v>
      </c>
      <c r="F19" s="192"/>
      <c r="G19" s="194"/>
      <c r="H19" s="194"/>
      <c r="I19" s="195"/>
      <c r="J19" s="193">
        <f>IF(OR(E19="férié travaillé",E19="travail"),(I19-G19+IF(G19&gt;I19,1)-H19),INDEX('bases de donnée'!$E$20:'bases de donnée'!$E$32,MATCH(E19,gerald2,0)))</f>
        <v>0</v>
      </c>
      <c r="K19" s="20">
        <f>IF(SUM(J19-'bases de donnée'!E$7)&lt;0,0,SUM(J19-'bases de donnée'!E$7))</f>
        <v>0</v>
      </c>
      <c r="L19" s="11">
        <f>IF(OR(E19="férié travaillé",E19="travail"),I19-G19+IF(G19&gt;I19,1),INDEX('bases de donnée'!$E$20:'bases de donnée'!$E$32,MATCH(E19,gerald2,0)))</f>
        <v>0</v>
      </c>
      <c r="M19" s="21">
        <f>IF(SUM(L19-'bases de donnée'!E$4)&lt;0,0,SUM(L19-'bases de donnée'!E$4))</f>
        <v>0</v>
      </c>
      <c r="N19" s="155">
        <v>0</v>
      </c>
      <c r="O19" s="74">
        <f t="shared" si="16"/>
        <v>1.5</v>
      </c>
      <c r="P19" s="33">
        <f>IF(SUM(O19-'bases de donnée'!E$10)&lt;0,0,SUM(O19-'bases de donnée'!E$10))</f>
        <v>0</v>
      </c>
      <c r="Q19" s="120">
        <f t="shared" si="14"/>
        <v>0</v>
      </c>
      <c r="R19" s="30"/>
      <c r="S19" s="77">
        <f>IF(SUM(MOD(I19-G19,1)-IF(I19&gt;G19,MAX(0,MIN(I19,'bases de donnée'!E$16/24)-MAX('planning '!G19,7/24)),MAX(0,'bases de donnée'!E$16/24-MAX('planning '!G19,7/24))+MAX(0,MIN('planning '!I19,'bases de donnée'!E$16/24)-7/24)))&lt;0,0,SUM(MOD('planning '!I19-'planning '!G19,1)-IF('planning '!I19&gt;'planning '!G19,MAX(0,MIN('planning '!I19,'bases de donnée'!E$16/24)-MAX('planning '!G19,7/24)),MAX(0,'bases de donnée'!E$16/24-MAX('planning '!G19,7/24))+MAX(0,MIN('planning '!I19,'bases de donnée'!E$16/24)-7/24))))</f>
        <v>0</v>
      </c>
      <c r="T19" s="77">
        <f>J19</f>
        <v>0</v>
      </c>
      <c r="U19" s="77" t="str">
        <f t="shared" si="9"/>
        <v>00:00</v>
      </c>
      <c r="V19" s="78">
        <f>IF(SUM(IF(O19&gt;("36:00"*1),O19-("36:00"*1),0)-V17-V18)&lt;0,0,SUM(IF(O19&gt;("36:00"*1),O19-("36:00"*1),0)-V13-V14-V15-V16-V17-V18))</f>
        <v>0</v>
      </c>
      <c r="W19" s="47"/>
      <c r="X19" s="48">
        <f t="shared" si="10"/>
        <v>0</v>
      </c>
      <c r="Y19" s="48">
        <f>IF(SUM(T19-S19)&lt;0,0,SUM(T19-S19))</f>
        <v>0</v>
      </c>
      <c r="Z19" s="56">
        <f>IF(SUM(U19-T19-S19)&lt;0,0,SUM(U19-T19-S19))</f>
        <v>0</v>
      </c>
      <c r="AA19" s="48">
        <f>IF(SUM(V19-S19-T19-U19)&lt;0,0,SUM(V19-S19-T19-U19))</f>
        <v>0</v>
      </c>
      <c r="AB19" s="47"/>
      <c r="AC19" s="57">
        <f>IF(SUM(T19-Y19)&lt;0,0,SUM(T19-Y19))</f>
        <v>0</v>
      </c>
      <c r="AD19" s="33">
        <f>IF(SUM(U19-Z19)&lt;0,0,SUM(U19-Z19))</f>
        <v>0</v>
      </c>
      <c r="AE19" s="33">
        <f t="shared" si="5"/>
        <v>0</v>
      </c>
    </row>
    <row r="20" spans="2:31" x14ac:dyDescent="0.3">
      <c r="B20"/>
      <c r="C20" s="25"/>
      <c r="D20" s="90"/>
      <c r="E20" s="90"/>
      <c r="F20" s="25"/>
      <c r="G20" s="47"/>
      <c r="H20" s="47"/>
      <c r="I20" s="47"/>
      <c r="J20" s="47"/>
      <c r="K20" s="92"/>
      <c r="L20" s="91"/>
      <c r="M20" s="91"/>
      <c r="N20" s="91"/>
      <c r="O20" s="93"/>
      <c r="P20" s="47"/>
      <c r="Q20" s="30"/>
      <c r="R20" s="30"/>
      <c r="S20" s="47"/>
      <c r="T20" s="47"/>
      <c r="U20" s="47"/>
      <c r="V20" s="93"/>
      <c r="W20" s="47"/>
      <c r="X20" s="47"/>
      <c r="Y20" s="47"/>
      <c r="Z20" s="47"/>
      <c r="AA20" s="47"/>
      <c r="AB20" s="47"/>
      <c r="AC20" s="47"/>
      <c r="AD20" s="47"/>
      <c r="AE20" s="47"/>
    </row>
    <row r="21" spans="2:31" x14ac:dyDescent="0.3">
      <c r="B21" s="14" t="s">
        <v>40</v>
      </c>
      <c r="C21" s="14" t="s">
        <v>6</v>
      </c>
      <c r="D21" s="43">
        <f>D19+1</f>
        <v>42017</v>
      </c>
      <c r="E21" s="29" t="s">
        <v>29</v>
      </c>
      <c r="F21" s="190"/>
      <c r="G21" s="194">
        <v>0.375</v>
      </c>
      <c r="H21" s="194">
        <v>3.125E-2</v>
      </c>
      <c r="I21" s="194">
        <v>0.70833333333333337</v>
      </c>
      <c r="J21" s="193">
        <f>IF(OR(E21="férié travaillé",E21="travail"),(I21-G21+IF(G21&gt;I21,1)-H21),INDEX('bases de donnée'!$E$20:'bases de donnée'!$E$32,MATCH(E21,gerald2,0)))</f>
        <v>0.30208333333333337</v>
      </c>
      <c r="K21" s="20">
        <f>IF(SUM(J21-'bases de donnée'!E$7)&lt;0,0,SUM(J21-'bases de donnée'!E$7))</f>
        <v>0</v>
      </c>
      <c r="L21" s="11">
        <f>IF(OR(E21="férié travaillé",E21="travail"),I21-G21+IF(G21&gt;I21,1),INDEX('bases de donnée'!$E$20:'bases de donnée'!$E$32,MATCH(E21,gerald2,0)))</f>
        <v>0.33333333333333337</v>
      </c>
      <c r="M21" s="21">
        <f>IF(SUM(L21-'bases de donnée'!E$4)&lt;0,0,SUM(L21-'bases de donnée'!E$4))</f>
        <v>0</v>
      </c>
      <c r="N21" s="155">
        <v>0</v>
      </c>
      <c r="O21" s="62">
        <f>J21</f>
        <v>0.30208333333333337</v>
      </c>
      <c r="P21" s="122">
        <f>SUM(Q21:Q27)</f>
        <v>5</v>
      </c>
      <c r="Q21" s="120">
        <f>IF(AND(G21&lt;&gt;"",I21&lt;&gt;""),1,0+OR(N(I20)&lt;N(G20),E21="récupération",E21="congé 1 jour",E21="congé 1/2 jour ",E21="congé 5h24",E21="arrêt maladie",E21="arrêt travail",E21="férié ",E21="congé parentale",E21="congé de naissance"))</f>
        <v>1</v>
      </c>
      <c r="R21" s="30"/>
      <c r="S21" s="77">
        <f>IF(SUM(MOD(I21-G21,1)-IF(I21&gt;G21,MAX(0,MIN(I21,'bases de donnée'!E$16/24)-MAX('planning '!G21,7/24)),MAX(0,'bases de donnée'!E$16/24-MAX('planning '!G21,7/24))+MAX(0,MIN('planning '!I21,'bases de donnée'!E$16/24)-7/24)))&lt;0,0,SUM(MOD('planning '!I21-'planning '!G21,1)-IF('planning '!I21&gt;'planning '!G21,MAX(0,MIN('planning '!I21,'bases de donnée'!E$16/24)-MAX('planning '!G21,7/24)),MAX(0,'bases de donnée'!E$16/24-MAX('planning '!G21,7/24))+MAX(0,MIN('planning '!I21,'bases de donnée'!E$16/24)-7/24))))</f>
        <v>0</v>
      </c>
      <c r="T21" s="81"/>
      <c r="U21" s="77" t="str">
        <f t="shared" ref="U21:U27" si="17">IF(E21&lt;&gt;"travail",IF(E21="férié travaillé",MOD(I21-G21,1)-H21,"00:00"),"00:00")</f>
        <v>00:00</v>
      </c>
      <c r="V21" s="78"/>
      <c r="W21" s="47"/>
      <c r="X21" s="48">
        <f t="shared" ref="X21:X27" si="18">S21</f>
        <v>0</v>
      </c>
      <c r="Y21" s="31"/>
      <c r="Z21" s="49">
        <f t="shared" ref="Z21:Z26" si="19">IF(SUM(U21-X21)&lt;0,0,SUM(U21-X21))</f>
        <v>0</v>
      </c>
      <c r="AA21" s="48">
        <f t="shared" ref="AA21:AA26" si="20">IF(SUM(V21-X21-Z21)&lt;0,0,SUM(V21-X21-Z21))</f>
        <v>0</v>
      </c>
      <c r="AB21" s="47"/>
      <c r="AC21" s="50"/>
      <c r="AD21" s="33">
        <f t="shared" ref="AD21:AD26" si="21">IF(SUM(U21-Z21)&lt;0,0,SUM(U21-Z21))</f>
        <v>0</v>
      </c>
      <c r="AE21" s="33">
        <f t="shared" si="5"/>
        <v>0</v>
      </c>
    </row>
    <row r="22" spans="2:31" x14ac:dyDescent="0.3">
      <c r="B22" s="51">
        <f>B14+1</f>
        <v>2</v>
      </c>
      <c r="C22" s="14" t="s">
        <v>7</v>
      </c>
      <c r="D22" s="43">
        <f>D21+1</f>
        <v>42018</v>
      </c>
      <c r="E22" s="29" t="s">
        <v>29</v>
      </c>
      <c r="F22" s="191"/>
      <c r="G22" s="194">
        <v>0.36458333333333331</v>
      </c>
      <c r="H22" s="194"/>
      <c r="I22" s="194">
        <v>0.52083333333333337</v>
      </c>
      <c r="J22" s="193">
        <f>IF(OR(E22="férié travaillé",E22="travail"),(I22-G22+IF(G22&gt;I22,1)-H22),INDEX('bases de donnée'!$E$20:'bases de donnée'!$E$32,MATCH(E22,gerald2,0)))</f>
        <v>0.15625000000000006</v>
      </c>
      <c r="K22" s="20">
        <f>IF(SUM(J22-'bases de donnée'!E$7)&lt;0,0,SUM(J22-'bases de donnée'!E$7))</f>
        <v>0</v>
      </c>
      <c r="L22" s="11">
        <f>IF(OR(E22="férié travaillé",E22="travail"),I22-G22+IF(G22&gt;I22,1),INDEX('bases de donnée'!$E$20:'bases de donnée'!$E$32,MATCH(E22,gerald2,0)))</f>
        <v>0.15625000000000006</v>
      </c>
      <c r="M22" s="21">
        <f>IF(SUM(L22-'bases de donnée'!E$4)&lt;0,0,SUM(L22-'bases de donnée'!E$4))</f>
        <v>0</v>
      </c>
      <c r="N22" s="155">
        <v>0</v>
      </c>
      <c r="O22" s="75">
        <f t="shared" ref="O22:O27" si="22">O21+J22</f>
        <v>0.45833333333333343</v>
      </c>
      <c r="P22" s="121">
        <f>IF(SUM(P21-'bases de donnée'!E$6)&lt;0,0,SUM(P21-'bases de donnée'!E$6))</f>
        <v>0</v>
      </c>
      <c r="Q22" s="120">
        <f t="shared" ref="Q22:Q27" si="23">IF(AND(G22&lt;&gt;"",I22&lt;&gt;""),1,0+OR(N(I21)&lt;N(G21),E22="récupération",E22="congé 1 jour",E22="congé 1/2 jour ",E22="congé 5h24",E22="arrêt maladie",E22="arrêt travail",E22="férié ",E22="congé parentale",E22="congé de naissance"))</f>
        <v>1</v>
      </c>
      <c r="R22" s="30"/>
      <c r="S22" s="77">
        <f>IF(SUM(MOD(I22-G22,1)-IF(I22&gt;G22,MAX(0,MIN(I22,'bases de donnée'!E$16/24)-MAX('planning '!G22,7/24)),MAX(0,'bases de donnée'!E$16/24-MAX('planning '!G22,7/24))+MAX(0,MIN('planning '!I22,'bases de donnée'!E$16/24)-7/24)))&lt;0,0,SUM(MOD('planning '!I22-'planning '!G22,1)-IF('planning '!I22&gt;'planning '!G22,MAX(0,MIN('planning '!I22,'bases de donnée'!E$16/24)-MAX('planning '!G22,7/24)),MAX(0,'bases de donnée'!E$16/24-MAX('planning '!G22,7/24))+MAX(0,MIN('planning '!I22,'bases de donnée'!E$16/24)-7/24))))</f>
        <v>0</v>
      </c>
      <c r="T22" s="82"/>
      <c r="U22" s="77" t="str">
        <f t="shared" si="17"/>
        <v>00:00</v>
      </c>
      <c r="V22" s="78">
        <f>IF(SUM(IF(O22&gt;('bases de donnée'!E$9*1),O22-('bases de donnée'!E$9*1),0)-V21)&lt;0,0,SUM(IF(O22&gt;('bases de donnée'!E$9*1),O22-('bases de donnée'!E$9*1),0)-V21))</f>
        <v>0</v>
      </c>
      <c r="W22" s="47"/>
      <c r="X22" s="48">
        <f t="shared" si="18"/>
        <v>0</v>
      </c>
      <c r="Y22" s="42"/>
      <c r="Z22" s="49">
        <f t="shared" si="19"/>
        <v>0</v>
      </c>
      <c r="AA22" s="48">
        <f t="shared" si="20"/>
        <v>0</v>
      </c>
      <c r="AB22" s="47"/>
      <c r="AC22" s="54"/>
      <c r="AD22" s="33">
        <f t="shared" si="21"/>
        <v>0</v>
      </c>
      <c r="AE22" s="33">
        <f t="shared" si="5"/>
        <v>0</v>
      </c>
    </row>
    <row r="23" spans="2:31" x14ac:dyDescent="0.3">
      <c r="B23"/>
      <c r="C23" s="14" t="s">
        <v>8</v>
      </c>
      <c r="D23" s="43">
        <f t="shared" ref="D23:D27" si="24">D22+1</f>
        <v>42019</v>
      </c>
      <c r="E23" s="29" t="s">
        <v>28</v>
      </c>
      <c r="F23" s="191"/>
      <c r="G23" s="194"/>
      <c r="H23" s="194"/>
      <c r="I23" s="194"/>
      <c r="J23" s="193">
        <f>IF(OR(E23="férié travaillé",E23="travail"),(I23-G23+IF(G23&gt;I23,1)-H23),INDEX('bases de donnée'!$E$20:'bases de donnée'!$E$32,MATCH(E23,gerald2,0)))</f>
        <v>0</v>
      </c>
      <c r="K23" s="20">
        <f>IF(SUM(J23-'bases de donnée'!E$7)&lt;0,0,SUM(J23-'bases de donnée'!E$7))</f>
        <v>0</v>
      </c>
      <c r="L23" s="11">
        <f>IF(OR(E23="férié travaillé",E23="travail"),I23-G23+IF(G23&gt;I23,1),INDEX('bases de donnée'!$E$20:'bases de donnée'!$E$32,MATCH(E23,gerald2,0)))</f>
        <v>0</v>
      </c>
      <c r="M23" s="21">
        <f>IF(SUM(L23-'bases de donnée'!E$4)&lt;0,0,SUM(L23-'bases de donnée'!E$4))</f>
        <v>0</v>
      </c>
      <c r="N23" s="155">
        <v>0</v>
      </c>
      <c r="O23" s="75">
        <f t="shared" si="22"/>
        <v>0.45833333333333343</v>
      </c>
      <c r="P23" s="34" t="s">
        <v>46</v>
      </c>
      <c r="Q23" s="120">
        <f t="shared" si="23"/>
        <v>0</v>
      </c>
      <c r="R23" s="30"/>
      <c r="S23" s="77">
        <f>IF(SUM(MOD(I23-G23,1)-IF(I23&gt;G23,MAX(0,MIN(I23,'bases de donnée'!E$16/24)-MAX('planning '!G23,7/24)),MAX(0,'bases de donnée'!E$16/24-MAX('planning '!G23,7/24))+MAX(0,MIN('planning '!I23,'bases de donnée'!E$16/24)-7/24)))&lt;0,0,SUM(MOD('planning '!I23-'planning '!G23,1)-IF('planning '!I23&gt;'planning '!G23,MAX(0,MIN('planning '!I23,'bases de donnée'!E$16/24)-MAX('planning '!G23,7/24)),MAX(0,'bases de donnée'!E$16/24-MAX('planning '!G23,7/24))+MAX(0,MIN('planning '!I23,'bases de donnée'!E$16/24)-7/24))))</f>
        <v>0</v>
      </c>
      <c r="T23" s="82"/>
      <c r="U23" s="77" t="str">
        <f t="shared" si="17"/>
        <v>00:00</v>
      </c>
      <c r="V23" s="78">
        <f>IF(SUM(IF(O23&gt;("36:00"*1),O23-("36:00"*1),0)-V21-V22)&lt;0,0,SUM(IF(O23&gt;("36:00"*1),O23-("36:00"*1),0)-V21-V22))</f>
        <v>0</v>
      </c>
      <c r="W23" s="47"/>
      <c r="X23" s="48">
        <f t="shared" si="18"/>
        <v>0</v>
      </c>
      <c r="Y23" s="42"/>
      <c r="Z23" s="49">
        <f t="shared" si="19"/>
        <v>0</v>
      </c>
      <c r="AA23" s="48">
        <f t="shared" si="20"/>
        <v>0</v>
      </c>
      <c r="AB23" s="47"/>
      <c r="AC23" s="54"/>
      <c r="AD23" s="33">
        <f t="shared" si="21"/>
        <v>0</v>
      </c>
      <c r="AE23" s="33">
        <f t="shared" si="5"/>
        <v>0</v>
      </c>
    </row>
    <row r="24" spans="2:31" x14ac:dyDescent="0.3">
      <c r="B24"/>
      <c r="C24" s="14" t="s">
        <v>9</v>
      </c>
      <c r="D24" s="43">
        <f t="shared" si="24"/>
        <v>42020</v>
      </c>
      <c r="E24" s="29" t="s">
        <v>29</v>
      </c>
      <c r="F24" s="191"/>
      <c r="G24" s="194">
        <v>0.39583333333333331</v>
      </c>
      <c r="H24" s="194">
        <v>3.125E-2</v>
      </c>
      <c r="I24" s="194">
        <v>0.6875</v>
      </c>
      <c r="J24" s="193">
        <f>IF(OR(E24="férié travaillé",E24="travail"),(I24-G24+IF(G24&gt;I24,1)-H24),INDEX('bases de donnée'!$E$20:'bases de donnée'!$E$32,MATCH(E24,gerald2,0)))</f>
        <v>0.26041666666666669</v>
      </c>
      <c r="K24" s="20">
        <f>IF(SUM(J24-'bases de donnée'!E$7)&lt;0,0,SUM(J24-'bases de donnée'!E$7))</f>
        <v>0</v>
      </c>
      <c r="L24" s="11">
        <f>IF(OR(E24="férié travaillé",E24="travail"),I24-G24+IF(G24&gt;I24,1),INDEX('bases de donnée'!$E$20:'bases de donnée'!$E$32,MATCH(E24,gerald2,0)))</f>
        <v>0.29166666666666669</v>
      </c>
      <c r="M24" s="21">
        <f>IF(SUM(L24-'bases de donnée'!E$4)&lt;0,0,SUM(L24-'bases de donnée'!E$4))</f>
        <v>0</v>
      </c>
      <c r="N24" s="155">
        <v>0</v>
      </c>
      <c r="O24" s="75">
        <f t="shared" si="22"/>
        <v>0.71875000000000011</v>
      </c>
      <c r="P24" s="86">
        <f>O27</f>
        <v>1.1458333333333335</v>
      </c>
      <c r="Q24" s="120">
        <f t="shared" si="23"/>
        <v>1</v>
      </c>
      <c r="R24" s="30"/>
      <c r="S24" s="77">
        <f>IF(SUM(MOD(I24-G24,1)-IF(I24&gt;G24,MAX(0,MIN(I24,'bases de donnée'!E$16/24)-MAX('planning '!G24,7/24)),MAX(0,'bases de donnée'!E$16/24-MAX('planning '!G24,7/24))+MAX(0,MIN('planning '!I24,'bases de donnée'!E$16/24)-7/24)))&lt;0,0,SUM(MOD('planning '!I24-'planning '!G24,1)-IF('planning '!I24&gt;'planning '!G24,MAX(0,MIN('planning '!I24,'bases de donnée'!E$16/24)-MAX('planning '!G24,7/24)),MAX(0,'bases de donnée'!E$16/24-MAX('planning '!G24,7/24))+MAX(0,MIN('planning '!I24,'bases de donnée'!E$16/24)-7/24))))</f>
        <v>0</v>
      </c>
      <c r="T24" s="82"/>
      <c r="U24" s="77" t="str">
        <f t="shared" si="17"/>
        <v>00:00</v>
      </c>
      <c r="V24" s="78">
        <f>IF(SUM(IF(O24&gt;("36:00"*1),O24-("36:00"*1),0)-V22-V23)&lt;0,0,SUM(IF(O24&gt;("36:00"*1),O24-("36:00"*1),0)-V21-V22-V23))</f>
        <v>0</v>
      </c>
      <c r="W24" s="47"/>
      <c r="X24" s="48">
        <f t="shared" si="18"/>
        <v>0</v>
      </c>
      <c r="Y24" s="42"/>
      <c r="Z24" s="49">
        <f t="shared" si="19"/>
        <v>0</v>
      </c>
      <c r="AA24" s="48">
        <f t="shared" si="20"/>
        <v>0</v>
      </c>
      <c r="AB24" s="47"/>
      <c r="AC24" s="54"/>
      <c r="AD24" s="33">
        <f t="shared" si="21"/>
        <v>0</v>
      </c>
      <c r="AE24" s="33">
        <f t="shared" si="5"/>
        <v>0</v>
      </c>
    </row>
    <row r="25" spans="2:31" x14ac:dyDescent="0.3">
      <c r="B25"/>
      <c r="C25" s="14" t="s">
        <v>3</v>
      </c>
      <c r="D25" s="43">
        <f t="shared" si="24"/>
        <v>42021</v>
      </c>
      <c r="E25" s="29" t="s">
        <v>29</v>
      </c>
      <c r="F25" s="191"/>
      <c r="G25" s="194">
        <v>0.66666666666666663</v>
      </c>
      <c r="H25" s="194">
        <v>3.125E-2</v>
      </c>
      <c r="I25" s="194">
        <v>0.125</v>
      </c>
      <c r="J25" s="193">
        <f>IF(OR(E25="férié travaillé",E25="travail"),(I25-G25+IF(G25&gt;I25,1)-H25),INDEX('bases de donnée'!$E$20:'bases de donnée'!$E$32,MATCH(E25,gerald2,0)))</f>
        <v>0.42708333333333337</v>
      </c>
      <c r="K25" s="20">
        <f>IF(SUM(J25-'bases de donnée'!E$7)&lt;0,0,SUM(J25-'bases de donnée'!E$7))</f>
        <v>1.0416666666666685E-2</v>
      </c>
      <c r="L25" s="11">
        <f>IF(OR(E25="férié travaillé",E25="travail"),I25-G25+IF(G25&gt;I25,1),INDEX('bases de donnée'!$E$20:'bases de donnée'!$E$32,MATCH(E25,gerald2,0)))</f>
        <v>0.45833333333333337</v>
      </c>
      <c r="M25" s="21">
        <f>IF(SUM(L25-'bases de donnée'!E$4)&lt;0,0,SUM(L25-'bases de donnée'!E$4))</f>
        <v>0</v>
      </c>
      <c r="N25" s="155">
        <v>0</v>
      </c>
      <c r="O25" s="75">
        <f t="shared" si="22"/>
        <v>1.1458333333333335</v>
      </c>
      <c r="P25" s="13" t="s">
        <v>48</v>
      </c>
      <c r="Q25" s="120">
        <f t="shared" si="23"/>
        <v>1</v>
      </c>
      <c r="R25" s="30"/>
      <c r="S25" s="77">
        <f>IF(SUM(MOD(I25-G25,1)-IF(I25&gt;G25,MAX(0,MIN(I25,'bases de donnée'!E$16/24)-MAX('planning '!G25,7/24)),MAX(0,'bases de donnée'!E$16/24-MAX('planning '!G25,7/24))+MAX(0,MIN('planning '!I25,'bases de donnée'!E$16/24)-7/24)))&lt;0,0,SUM(MOD('planning '!I25-'planning '!G25,1)-IF('planning '!I25&gt;'planning '!G25,MAX(0,MIN('planning '!I25,'bases de donnée'!E$16/24)-MAX('planning '!G25,7/24)),MAX(0,'bases de donnée'!E$16/24-MAX('planning '!G25,7/24))+MAX(0,MIN('planning '!I25,'bases de donnée'!E$16/24)-7/24))))</f>
        <v>0.25</v>
      </c>
      <c r="T25" s="82"/>
      <c r="U25" s="77" t="str">
        <f t="shared" si="17"/>
        <v>00:00</v>
      </c>
      <c r="V25" s="78">
        <f>IF(SUM(IF(O25&gt;("36:00"*1),O25-("36:00"*1),0)-V23-V24)&lt;0,0,SUM(IF(O25&gt;("36:00"*1),O25-("36:00"*1),0)-V21-V22-V23-V24))</f>
        <v>0</v>
      </c>
      <c r="W25" s="47"/>
      <c r="X25" s="48">
        <f t="shared" si="18"/>
        <v>0.25</v>
      </c>
      <c r="Y25" s="42"/>
      <c r="Z25" s="49">
        <f t="shared" si="19"/>
        <v>0</v>
      </c>
      <c r="AA25" s="48">
        <f t="shared" si="20"/>
        <v>0</v>
      </c>
      <c r="AB25" s="47"/>
      <c r="AC25" s="54"/>
      <c r="AD25" s="33">
        <f t="shared" si="21"/>
        <v>0</v>
      </c>
      <c r="AE25" s="33">
        <f t="shared" si="5"/>
        <v>0</v>
      </c>
    </row>
    <row r="26" spans="2:31" x14ac:dyDescent="0.3">
      <c r="B26"/>
      <c r="C26" s="14" t="s">
        <v>4</v>
      </c>
      <c r="D26" s="43">
        <f t="shared" si="24"/>
        <v>42022</v>
      </c>
      <c r="E26" s="29" t="s">
        <v>28</v>
      </c>
      <c r="F26" s="191"/>
      <c r="G26" s="194"/>
      <c r="H26" s="194"/>
      <c r="I26" s="194"/>
      <c r="J26" s="193">
        <f>IF(OR(E26="férié travaillé",E26="travail"),(I26-G26+IF(G26&gt;I26,1)-H26),INDEX('bases de donnée'!$E$20:'bases de donnée'!$E$32,MATCH(E26,gerald2,0)))</f>
        <v>0</v>
      </c>
      <c r="K26" s="20">
        <f>IF(SUM(J26-'bases de donnée'!E$7)&lt;0,0,SUM(J26-'bases de donnée'!E$7))</f>
        <v>0</v>
      </c>
      <c r="L26" s="11">
        <f>IF(OR(E26="férié travaillé",E26="travail"),I26-G26+IF(G26&gt;I26,1),INDEX('bases de donnée'!$E$20:'bases de donnée'!$E$32,MATCH(E26,gerald2,0)))</f>
        <v>0</v>
      </c>
      <c r="M26" s="21">
        <f>IF(SUM(L26-'bases de donnée'!E$4)&lt;0,0,SUM(L26-'bases de donnée'!E$4))</f>
        <v>0</v>
      </c>
      <c r="N26" s="155">
        <v>0</v>
      </c>
      <c r="O26" s="75">
        <f t="shared" si="22"/>
        <v>1.1458333333333335</v>
      </c>
      <c r="P26" s="63">
        <f>'bases de donnée'!E$10</f>
        <v>2</v>
      </c>
      <c r="Q26" s="120">
        <f t="shared" si="23"/>
        <v>1</v>
      </c>
      <c r="R26" s="30"/>
      <c r="S26" s="77">
        <f>IF(SUM(MOD(I26-G26,1)-IF(I26&gt;G26,MAX(0,MIN(I26,'bases de donnée'!E$16/24)-MAX('planning '!G26,7/24)),MAX(0,'bases de donnée'!E$16/24-MAX('planning '!G26,7/24))+MAX(0,MIN('planning '!I26,'bases de donnée'!E$16/24)-7/24)))&lt;0,0,SUM(MOD('planning '!I26-'planning '!G26,1)-IF('planning '!I26&gt;'planning '!G26,MAX(0,MIN('planning '!I26,'bases de donnée'!E$16/24)-MAX('planning '!G26,7/24)),MAX(0,'bases de donnée'!E$16/24-MAX('planning '!G26,7/24))+MAX(0,MIN('planning '!I26,'bases de donnée'!E$16/24)-7/24))))</f>
        <v>0</v>
      </c>
      <c r="T26" s="83"/>
      <c r="U26" s="77" t="str">
        <f t="shared" si="17"/>
        <v>00:00</v>
      </c>
      <c r="V26" s="78">
        <f>IF(SUM(IF(O26&gt;("36:00"*1),O26-("36:00"*1),0)-V24-V25)&lt;0,0,SUM(IF(O26&gt;("36:00"*1),O26-("36:00"*1),0)-V21-V22-V23-V24-V25))</f>
        <v>0</v>
      </c>
      <c r="W26" s="47"/>
      <c r="X26" s="48">
        <f t="shared" si="18"/>
        <v>0</v>
      </c>
      <c r="Y26" s="32"/>
      <c r="Z26" s="56">
        <f t="shared" si="19"/>
        <v>0</v>
      </c>
      <c r="AA26" s="48">
        <f t="shared" si="20"/>
        <v>0</v>
      </c>
      <c r="AB26" s="47"/>
      <c r="AC26" s="55"/>
      <c r="AD26" s="33">
        <f t="shared" si="21"/>
        <v>0</v>
      </c>
      <c r="AE26" s="33">
        <f t="shared" si="5"/>
        <v>0</v>
      </c>
    </row>
    <row r="27" spans="2:31" x14ac:dyDescent="0.3">
      <c r="B27"/>
      <c r="C27" s="14" t="s">
        <v>5</v>
      </c>
      <c r="D27" s="43">
        <f t="shared" si="24"/>
        <v>42023</v>
      </c>
      <c r="E27" s="29" t="s">
        <v>28</v>
      </c>
      <c r="F27" s="192"/>
      <c r="G27" s="194"/>
      <c r="H27" s="194"/>
      <c r="I27" s="194"/>
      <c r="J27" s="193">
        <f>IF(OR(E27="férié travaillé",E27="travail"),(I27-G27+IF(G27&gt;I27,1)-H27),INDEX('bases de donnée'!$E$20:'bases de donnée'!$E$32,MATCH(E27,gerald2,0)))</f>
        <v>0</v>
      </c>
      <c r="K27" s="20">
        <f>IF(SUM(J27-'bases de donnée'!E$7)&lt;0,0,SUM(J27-'bases de donnée'!E$7))</f>
        <v>0</v>
      </c>
      <c r="L27" s="11">
        <f>IF(OR(E27="férié travaillé",E27="travail"),I27-G27+IF(G27&gt;I27,1),INDEX('bases de donnée'!$E$20:'bases de donnée'!$E$32,MATCH(E27,gerald2,0)))</f>
        <v>0</v>
      </c>
      <c r="M27" s="21">
        <f>IF(SUM(L27-'bases de donnée'!E$4)&lt;0,0,SUM(L27-'bases de donnée'!E$4))</f>
        <v>0</v>
      </c>
      <c r="N27" s="155">
        <v>0</v>
      </c>
      <c r="O27" s="75">
        <f t="shared" si="22"/>
        <v>1.1458333333333335</v>
      </c>
      <c r="P27" s="33">
        <f>IF(SUM(O27-'bases de donnée'!E$10)&lt;0,0,SUM(O27-'bases de donnée'!E$10))</f>
        <v>0</v>
      </c>
      <c r="Q27" s="120">
        <f t="shared" si="23"/>
        <v>0</v>
      </c>
      <c r="R27" s="30"/>
      <c r="S27" s="77">
        <f>IF(SUM(MOD(I27-G27,1)-IF(I27&gt;G27,MAX(0,MIN(I27,'bases de donnée'!E$16/24)-MAX('planning '!G27,7/24)),MAX(0,'bases de donnée'!E$16/24-MAX('planning '!G27,7/24))+MAX(0,MIN('planning '!I27,'bases de donnée'!E$16/24)-7/24)))&lt;0,0,SUM(MOD('planning '!I27-'planning '!G27,1)-IF('planning '!I27&gt;'planning '!G27,MAX(0,MIN('planning '!I27,'bases de donnée'!E$16/24)-MAX('planning '!G27,7/24)),MAX(0,'bases de donnée'!E$16/24-MAX('planning '!G27,7/24))+MAX(0,MIN('planning '!I27,'bases de donnée'!E$16/24)-7/24))))</f>
        <v>0</v>
      </c>
      <c r="T27" s="77">
        <f>J27</f>
        <v>0</v>
      </c>
      <c r="U27" s="77" t="str">
        <f t="shared" si="17"/>
        <v>00:00</v>
      </c>
      <c r="V27" s="78">
        <f>IF(SUM(IF(O27&gt;("36:00"*1),O27-("36:00"*1),0)-V25-V26)&lt;0,0,SUM(IF(O27&gt;("36:00"*1),O27-("36:00"*1),0)-V21-V22-V23-V24-V25-V26))</f>
        <v>0</v>
      </c>
      <c r="W27" s="47"/>
      <c r="X27" s="48">
        <f t="shared" si="18"/>
        <v>0</v>
      </c>
      <c r="Y27" s="48">
        <f>IF(SUM(T27-S27)&lt;0,0,SUM(T27-S27))</f>
        <v>0</v>
      </c>
      <c r="Z27" s="56">
        <f>IF(SUM(U27-T27-S27)&lt;0,0,SUM(U27-T27-S27))</f>
        <v>0</v>
      </c>
      <c r="AA27" s="48">
        <f>IF(SUM(V27-S27-T27-U27)&lt;0,0,SUM(V27-S27-T27-U27))</f>
        <v>0</v>
      </c>
      <c r="AB27" s="47"/>
      <c r="AC27" s="33">
        <f>IF(SUM(T27-Y27)&lt;0,0,SUM(T27-Y27))</f>
        <v>0</v>
      </c>
      <c r="AD27" s="33">
        <f>IF(SUM(U27-Z27)&lt;0,0,SUM(U27-Z27))</f>
        <v>0</v>
      </c>
      <c r="AE27" s="33">
        <f t="shared" si="5"/>
        <v>0</v>
      </c>
    </row>
    <row r="28" spans="2:31" x14ac:dyDescent="0.3">
      <c r="B28"/>
      <c r="C28" s="25"/>
      <c r="D28" s="90"/>
      <c r="E28" s="90"/>
      <c r="F28" s="25"/>
      <c r="G28" s="47"/>
      <c r="H28" s="47"/>
      <c r="I28" s="47"/>
      <c r="J28" s="47"/>
      <c r="K28" s="92"/>
      <c r="L28" s="91"/>
      <c r="M28" s="91"/>
      <c r="N28" s="91"/>
      <c r="O28" s="93"/>
      <c r="P28" s="47"/>
      <c r="Q28" s="30"/>
      <c r="R28" s="30"/>
      <c r="S28" s="47"/>
      <c r="T28" s="47"/>
      <c r="U28" s="47"/>
      <c r="V28" s="93"/>
      <c r="W28" s="47"/>
      <c r="X28" s="47"/>
      <c r="Y28" s="47"/>
      <c r="Z28" s="47"/>
      <c r="AA28" s="47"/>
      <c r="AB28" s="47"/>
      <c r="AC28" s="47"/>
      <c r="AD28" s="47"/>
      <c r="AE28" s="47"/>
    </row>
    <row r="29" spans="2:31" x14ac:dyDescent="0.3">
      <c r="B29" s="9" t="s">
        <v>40</v>
      </c>
      <c r="C29" s="9" t="s">
        <v>6</v>
      </c>
      <c r="D29" s="58">
        <f>D27+1</f>
        <v>42024</v>
      </c>
      <c r="E29" s="29" t="s">
        <v>29</v>
      </c>
      <c r="F29" s="190"/>
      <c r="G29" s="194">
        <v>0.38541666666666669</v>
      </c>
      <c r="H29" s="194">
        <v>3.125E-2</v>
      </c>
      <c r="I29" s="194">
        <v>0.66666666666666663</v>
      </c>
      <c r="J29" s="193">
        <f>IF(OR(E29="férié travaillé",E29="travail"),(I29-G29+IF(G29&gt;I29,1)-H29),INDEX('bases de donnée'!$E$20:'bases de donnée'!$E$32,MATCH(E29,gerald2,0)))</f>
        <v>0.24999999999999994</v>
      </c>
      <c r="K29" s="20">
        <f>IF(SUM(J29-'bases de donnée'!E$7)&lt;0,0,SUM(J29-'bases de donnée'!E$7))</f>
        <v>0</v>
      </c>
      <c r="L29" s="11">
        <f>IF(OR(E29="férié travaillé",E29="travail"),I29-G29+IF(G29&gt;I29,1),INDEX('bases de donnée'!$E$20:'bases de donnée'!$E$32,MATCH(E29,gerald2,0)))</f>
        <v>0.28124999999999994</v>
      </c>
      <c r="M29" s="21">
        <f>IF(SUM(L29-'bases de donnée'!E$4)&lt;0,0,SUM(L29-'bases de donnée'!E$4))</f>
        <v>0</v>
      </c>
      <c r="N29" s="155">
        <v>0</v>
      </c>
      <c r="O29" s="59">
        <f>J29</f>
        <v>0.24999999999999994</v>
      </c>
      <c r="P29" s="122">
        <f>SUM(Q29:Q35)</f>
        <v>4</v>
      </c>
      <c r="Q29" s="120">
        <f>IF(AND(G29&lt;&gt;"",I29&lt;&gt;""),1,0+OR(N(I28)&lt;N(G28),E29="récupération",E29="congé 1 jour",E29="congé 1/2 jour ",E29="congé 5h24",E29="arrêt maladie",E29="arrêt travail",E29="férié ",E29="congé parentale",E29="congé de naissance"))</f>
        <v>1</v>
      </c>
      <c r="R29" s="30"/>
      <c r="S29" s="77">
        <f>IF(SUM(MOD(I29-G29,1)-IF(I29&gt;G29,MAX(0,MIN(I29,'bases de donnée'!E$16/24)-MAX('planning '!G29,7/24)),MAX(0,'bases de donnée'!E$16/24-MAX('planning '!G29,7/24))+MAX(0,MIN('planning '!I29,'bases de donnée'!E$16/24)-7/24)))&lt;0,0,SUM(MOD('planning '!I29-'planning '!G29,1)-IF('planning '!I29&gt;'planning '!G29,MAX(0,MIN('planning '!I29,'bases de donnée'!E$16/24)-MAX('planning '!G29,7/24)),MAX(0,'bases de donnée'!E$16/24-MAX('planning '!G29,7/24))+MAX(0,MIN('planning '!I29,'bases de donnée'!E$16/24)-7/24))))</f>
        <v>0</v>
      </c>
      <c r="T29" s="81"/>
      <c r="U29" s="77" t="str">
        <f t="shared" ref="U29:U35" si="25">IF(E29&lt;&gt;"travail",IF(E29="férié travaillé",MOD(I29-G29,1)-H29,"00:00"),"00:00")</f>
        <v>00:00</v>
      </c>
      <c r="V29" s="78"/>
      <c r="W29" s="47"/>
      <c r="X29" s="48">
        <f t="shared" ref="X29:X35" si="26">S29</f>
        <v>0</v>
      </c>
      <c r="Y29" s="31"/>
      <c r="Z29" s="49">
        <f t="shared" ref="Z29:Z34" si="27">IF(SUM(U29-X29)&lt;0,0,SUM(U29-X29))</f>
        <v>0</v>
      </c>
      <c r="AA29" s="48">
        <f t="shared" ref="AA29:AA34" si="28">IF(SUM(V29-X29-Z29)&lt;0,0,SUM(V29-X29-Z29))</f>
        <v>0</v>
      </c>
      <c r="AB29" s="47"/>
      <c r="AC29" s="50"/>
      <c r="AD29" s="33">
        <f t="shared" ref="AD29:AD34" si="29">IF(SUM(U29-Z29)&lt;0,0,SUM(U29-Z29))</f>
        <v>0</v>
      </c>
      <c r="AE29" s="33">
        <f t="shared" si="5"/>
        <v>0</v>
      </c>
    </row>
    <row r="30" spans="2:31" x14ac:dyDescent="0.3">
      <c r="B30" s="60">
        <f>B22+1</f>
        <v>3</v>
      </c>
      <c r="C30" s="9" t="s">
        <v>7</v>
      </c>
      <c r="D30" s="58">
        <f>D29+1</f>
        <v>42025</v>
      </c>
      <c r="E30" s="29" t="s">
        <v>29</v>
      </c>
      <c r="F30" s="191"/>
      <c r="G30" s="194">
        <v>0.375</v>
      </c>
      <c r="H30" s="194">
        <v>3.125E-2</v>
      </c>
      <c r="I30" s="194">
        <v>0.67708333333333337</v>
      </c>
      <c r="J30" s="193">
        <f>IF(OR(E30="férié travaillé",E30="travail"),(I30-G30+IF(G30&gt;I30,1)-H30),INDEX('bases de donnée'!$E$20:'bases de donnée'!$E$32,MATCH(E30,gerald2,0)))</f>
        <v>0.27083333333333337</v>
      </c>
      <c r="K30" s="20">
        <f>IF(SUM(J30-'bases de donnée'!E$7)&lt;0,0,SUM(J30-'bases de donnée'!E$7))</f>
        <v>0</v>
      </c>
      <c r="L30" s="11">
        <f>IF(OR(E30="férié travaillé",E30="travail"),I30-G30+IF(G30&gt;I30,1),INDEX('bases de donnée'!$E$20:'bases de donnée'!$E$32,MATCH(E30,gerald2,0)))</f>
        <v>0.30208333333333337</v>
      </c>
      <c r="M30" s="21">
        <f>IF(SUM(L30-'bases de donnée'!E$4)&lt;0,0,SUM(L30-'bases de donnée'!E$4))</f>
        <v>0</v>
      </c>
      <c r="N30" s="155">
        <v>0</v>
      </c>
      <c r="O30" s="74">
        <f t="shared" ref="O30:O35" si="30">O29+J30</f>
        <v>0.52083333333333326</v>
      </c>
      <c r="P30" s="121">
        <f>IF(SUM(P29-'bases de donnée'!E$6)&lt;0,0,SUM(P29-'bases de donnée'!E$6))</f>
        <v>0</v>
      </c>
      <c r="Q30" s="120">
        <f t="shared" ref="Q30:Q35" si="31">IF(AND(G30&lt;&gt;"",I30&lt;&gt;""),1,0+OR(N(I29)&lt;N(G29),E30="récupération",E30="congé 1 jour",E30="congé 1/2 jour ",E30="congé 5h24",E30="arrêt maladie",E30="arrêt travail",E30="férié ",E30="congé parentale",E30="congé de naissance"))</f>
        <v>1</v>
      </c>
      <c r="R30" s="30"/>
      <c r="S30" s="77">
        <f>IF(SUM(MOD(I30-G30,1)-IF(I30&gt;G30,MAX(0,MIN(I30,'bases de donnée'!E$16/24)-MAX('planning '!G30,7/24)),MAX(0,'bases de donnée'!E$16/24-MAX('planning '!G30,7/24))+MAX(0,MIN('planning '!I30,'bases de donnée'!E$16/24)-7/24)))&lt;0,0,SUM(MOD('planning '!I30-'planning '!G30,1)-IF('planning '!I30&gt;'planning '!G30,MAX(0,MIN('planning '!I30,'bases de donnée'!E$16/24)-MAX('planning '!G30,7/24)),MAX(0,'bases de donnée'!E$16/24-MAX('planning '!G30,7/24))+MAX(0,MIN('planning '!I30,'bases de donnée'!E$16/24)-7/24))))</f>
        <v>0</v>
      </c>
      <c r="T30" s="82"/>
      <c r="U30" s="77" t="str">
        <f t="shared" si="25"/>
        <v>00:00</v>
      </c>
      <c r="V30" s="78">
        <f>IF(SUM(IF(O30&gt;('bases de donnée'!E$9*1),O30-('bases de donnée'!E$9*1),0)-V29)&lt;0,0,SUM(IF(O30&gt;('bases de donnée'!E$9*1),O30-('bases de donnée'!E$9*1),0)-V29))</f>
        <v>0</v>
      </c>
      <c r="W30" s="47"/>
      <c r="X30" s="48">
        <f t="shared" si="26"/>
        <v>0</v>
      </c>
      <c r="Y30" s="42"/>
      <c r="Z30" s="49">
        <f t="shared" si="27"/>
        <v>0</v>
      </c>
      <c r="AA30" s="48">
        <f t="shared" si="28"/>
        <v>0</v>
      </c>
      <c r="AB30" s="47"/>
      <c r="AC30" s="54"/>
      <c r="AD30" s="33">
        <f t="shared" si="29"/>
        <v>0</v>
      </c>
      <c r="AE30" s="33">
        <f t="shared" si="5"/>
        <v>0</v>
      </c>
    </row>
    <row r="31" spans="2:31" x14ac:dyDescent="0.3">
      <c r="B31"/>
      <c r="C31" s="9" t="s">
        <v>8</v>
      </c>
      <c r="D31" s="58">
        <f t="shared" ref="D31:D35" si="32">D30+1</f>
        <v>42026</v>
      </c>
      <c r="E31" s="29" t="s">
        <v>29</v>
      </c>
      <c r="F31" s="191"/>
      <c r="G31" s="194">
        <v>0.36458333333333331</v>
      </c>
      <c r="H31" s="194"/>
      <c r="I31" s="194">
        <v>0.47916666666666669</v>
      </c>
      <c r="J31" s="193">
        <f>IF(OR(E31="férié travaillé",E31="travail"),(I31-G31+IF(G31&gt;I31,1)-H31),INDEX('bases de donnée'!$E$20:'bases de donnée'!$E$32,MATCH(E31,gerald2,0)))</f>
        <v>0.11458333333333337</v>
      </c>
      <c r="K31" s="20">
        <f>IF(SUM(J31-'bases de donnée'!E$7)&lt;0,0,SUM(J31-'bases de donnée'!E$7))</f>
        <v>0</v>
      </c>
      <c r="L31" s="11">
        <f>IF(OR(E31="férié travaillé",E31="travail"),I31-G31+IF(G31&gt;I31,1),INDEX('bases de donnée'!$E$20:'bases de donnée'!$E$32,MATCH(E31,gerald2,0)))</f>
        <v>0.11458333333333337</v>
      </c>
      <c r="M31" s="21">
        <f>IF(SUM(L31-'bases de donnée'!E$4)&lt;0,0,SUM(L31-'bases de donnée'!E$4))</f>
        <v>0</v>
      </c>
      <c r="N31" s="155">
        <v>0</v>
      </c>
      <c r="O31" s="74">
        <f t="shared" si="30"/>
        <v>0.63541666666666663</v>
      </c>
      <c r="P31" s="34" t="s">
        <v>46</v>
      </c>
      <c r="Q31" s="120">
        <f t="shared" si="31"/>
        <v>1</v>
      </c>
      <c r="R31" s="30"/>
      <c r="S31" s="77">
        <f>IF(SUM(MOD(I31-G31,1)-IF(I31&gt;G31,MAX(0,MIN(I31,'bases de donnée'!E$16/24)-MAX('planning '!G31,7/24)),MAX(0,'bases de donnée'!E$16/24-MAX('planning '!G31,7/24))+MAX(0,MIN('planning '!I31,'bases de donnée'!E$16/24)-7/24)))&lt;0,0,SUM(MOD('planning '!I31-'planning '!G31,1)-IF('planning '!I31&gt;'planning '!G31,MAX(0,MIN('planning '!I31,'bases de donnée'!E$16/24)-MAX('planning '!G31,7/24)),MAX(0,'bases de donnée'!E$16/24-MAX('planning '!G31,7/24))+MAX(0,MIN('planning '!I31,'bases de donnée'!E$16/24)-7/24))))</f>
        <v>0</v>
      </c>
      <c r="T31" s="82"/>
      <c r="U31" s="77" t="str">
        <f t="shared" si="25"/>
        <v>00:00</v>
      </c>
      <c r="V31" s="78">
        <f>IF(SUM(IF(O31&gt;("36:00"*1),O31-("36:00"*1),0)-V29-V30)&lt;0,0,SUM(IF(O31&gt;("36:00"*1),O31-("36:00"*1),0)-V29-V30))</f>
        <v>0</v>
      </c>
      <c r="W31" s="47"/>
      <c r="X31" s="48">
        <f t="shared" si="26"/>
        <v>0</v>
      </c>
      <c r="Y31" s="42"/>
      <c r="Z31" s="49">
        <f t="shared" si="27"/>
        <v>0</v>
      </c>
      <c r="AA31" s="48">
        <f t="shared" si="28"/>
        <v>0</v>
      </c>
      <c r="AB31" s="47"/>
      <c r="AC31" s="54"/>
      <c r="AD31" s="33">
        <f t="shared" si="29"/>
        <v>0</v>
      </c>
      <c r="AE31" s="33">
        <f t="shared" si="5"/>
        <v>0</v>
      </c>
    </row>
    <row r="32" spans="2:31" x14ac:dyDescent="0.3">
      <c r="B32"/>
      <c r="C32" s="9" t="s">
        <v>9</v>
      </c>
      <c r="D32" s="58">
        <f t="shared" si="32"/>
        <v>42027</v>
      </c>
      <c r="E32" s="29" t="s">
        <v>29</v>
      </c>
      <c r="F32" s="191"/>
      <c r="G32" s="194">
        <v>0.58333333333333337</v>
      </c>
      <c r="H32" s="194"/>
      <c r="I32" s="194">
        <v>1</v>
      </c>
      <c r="J32" s="193">
        <f>IF(OR(E32="férié travaillé",E32="travail"),(I32-G32+IF(G32&gt;I32,1)-H32),INDEX('bases de donnée'!$E$20:'bases de donnée'!$E$32,MATCH(E32,gerald2,0)))</f>
        <v>0.41666666666666663</v>
      </c>
      <c r="K32" s="20">
        <f>IF(SUM(J32-'bases de donnée'!E$7)&lt;0,0,SUM(J32-'bases de donnée'!E$7))</f>
        <v>0</v>
      </c>
      <c r="L32" s="11">
        <f>IF(OR(E32="férié travaillé",E32="travail"),I32-G32+IF(G32&gt;I32,1),INDEX('bases de donnée'!$E$20:'bases de donnée'!$E$32,MATCH(E32,gerald2,0)))</f>
        <v>0.41666666666666663</v>
      </c>
      <c r="M32" s="21">
        <f>IF(SUM(L32-'bases de donnée'!E$4)&lt;0,0,SUM(L32-'bases de donnée'!E$4))</f>
        <v>0</v>
      </c>
      <c r="N32" s="155">
        <v>0</v>
      </c>
      <c r="O32" s="74">
        <f t="shared" si="30"/>
        <v>1.0520833333333333</v>
      </c>
      <c r="P32" s="86">
        <f>O35</f>
        <v>1.0520833333333333</v>
      </c>
      <c r="Q32" s="120">
        <f t="shared" si="31"/>
        <v>1</v>
      </c>
      <c r="R32" s="30"/>
      <c r="S32" s="77">
        <f>IF(SUM(MOD(I32-G32,1)-IF(I32&gt;G32,MAX(0,MIN(I32,'bases de donnée'!E$16/24)-MAX('planning '!G32,7/24)),MAX(0,'bases de donnée'!E$16/24-MAX('planning '!G32,7/24))+MAX(0,MIN('planning '!I32,'bases de donnée'!E$16/24)-7/24)))&lt;0,0,SUM(MOD('planning '!I32-'planning '!G32,1)-IF('planning '!I32&gt;'planning '!G32,MAX(0,MIN('planning '!I32,'bases de donnée'!E$16/24)-MAX('planning '!G32,7/24)),MAX(0,'bases de donnée'!E$16/24-MAX('planning '!G32,7/24))+MAX(0,MIN('planning '!I32,'bases de donnée'!E$16/24)-7/24))))</f>
        <v>0.125</v>
      </c>
      <c r="T32" s="82"/>
      <c r="U32" s="77" t="str">
        <f t="shared" si="25"/>
        <v>00:00</v>
      </c>
      <c r="V32" s="78">
        <f>IF(SUM(IF(O32&gt;("36:00"*1),O32-("36:00"*1),0)-V30-V31)&lt;0,0,SUM(IF(O32&gt;("36:00"*1),O32-("36:00"*1),0)-V29-V30-V31))</f>
        <v>0</v>
      </c>
      <c r="W32" s="47"/>
      <c r="X32" s="48">
        <f t="shared" si="26"/>
        <v>0.125</v>
      </c>
      <c r="Y32" s="42"/>
      <c r="Z32" s="49">
        <f t="shared" si="27"/>
        <v>0</v>
      </c>
      <c r="AA32" s="48">
        <f t="shared" si="28"/>
        <v>0</v>
      </c>
      <c r="AB32" s="47"/>
      <c r="AC32" s="54"/>
      <c r="AD32" s="33">
        <f t="shared" si="29"/>
        <v>0</v>
      </c>
      <c r="AE32" s="33">
        <f t="shared" si="5"/>
        <v>0</v>
      </c>
    </row>
    <row r="33" spans="2:31" x14ac:dyDescent="0.3">
      <c r="B33"/>
      <c r="C33" s="9" t="s">
        <v>3</v>
      </c>
      <c r="D33" s="58">
        <f t="shared" si="32"/>
        <v>42028</v>
      </c>
      <c r="E33" s="29" t="s">
        <v>28</v>
      </c>
      <c r="F33" s="191"/>
      <c r="G33" s="194"/>
      <c r="H33" s="194"/>
      <c r="I33" s="194"/>
      <c r="J33" s="193">
        <f>IF(OR(E33="férié travaillé",E33="travail"),(I33-G33+IF(G33&gt;I33,1)-H33),INDEX('bases de donnée'!$E$20:'bases de donnée'!$E$32,MATCH(E33,gerald2,0)))</f>
        <v>0</v>
      </c>
      <c r="K33" s="20">
        <f>IF(SUM(J33-'bases de donnée'!E$7)&lt;0,0,SUM(J33-'bases de donnée'!E$7))</f>
        <v>0</v>
      </c>
      <c r="L33" s="11">
        <f>IF(OR(E33="férié travaillé",E33="travail"),I33-G33+IF(G33&gt;I33,1),INDEX('bases de donnée'!$E$20:'bases de donnée'!$E$32,MATCH(E33,gerald2,0)))</f>
        <v>0</v>
      </c>
      <c r="M33" s="21">
        <f>IF(SUM(L33-'bases de donnée'!E$4)&lt;0,0,SUM(L33-'bases de donnée'!E$4))</f>
        <v>0</v>
      </c>
      <c r="N33" s="155">
        <v>0</v>
      </c>
      <c r="O33" s="74">
        <f t="shared" si="30"/>
        <v>1.0520833333333333</v>
      </c>
      <c r="P33" s="8" t="s">
        <v>48</v>
      </c>
      <c r="Q33" s="120">
        <f t="shared" si="31"/>
        <v>0</v>
      </c>
      <c r="R33" s="30"/>
      <c r="S33" s="77">
        <f>IF(SUM(MOD(I33-G33,1)-IF(I33&gt;G33,MAX(0,MIN(I33,'bases de donnée'!E$16/24)-MAX('planning '!G33,7/24)),MAX(0,'bases de donnée'!E$16/24-MAX('planning '!G33,7/24))+MAX(0,MIN('planning '!I33,'bases de donnée'!E$16/24)-7/24)))&lt;0,0,SUM(MOD('planning '!I33-'planning '!G33,1)-IF('planning '!I33&gt;'planning '!G33,MAX(0,MIN('planning '!I33,'bases de donnée'!E$16/24)-MAX('planning '!G33,7/24)),MAX(0,'bases de donnée'!E$16/24-MAX('planning '!G33,7/24))+MAX(0,MIN('planning '!I33,'bases de donnée'!E$16/24)-7/24))))</f>
        <v>0</v>
      </c>
      <c r="T33" s="82"/>
      <c r="U33" s="77" t="str">
        <f t="shared" si="25"/>
        <v>00:00</v>
      </c>
      <c r="V33" s="78">
        <f>IF(SUM(IF(O33&gt;("36:00"*1),O33-("36:00"*1),0)-V31-V32)&lt;0,0,SUM(IF(O33&gt;("36:00"*1),O33-("36:00"*1),0)-V29-V30-V31-V32))</f>
        <v>0</v>
      </c>
      <c r="W33" s="47"/>
      <c r="X33" s="48">
        <f t="shared" si="26"/>
        <v>0</v>
      </c>
      <c r="Y33" s="42"/>
      <c r="Z33" s="49">
        <f t="shared" si="27"/>
        <v>0</v>
      </c>
      <c r="AA33" s="48">
        <f t="shared" si="28"/>
        <v>0</v>
      </c>
      <c r="AB33" s="47"/>
      <c r="AC33" s="54"/>
      <c r="AD33" s="33">
        <f t="shared" si="29"/>
        <v>0</v>
      </c>
      <c r="AE33" s="33">
        <f t="shared" si="5"/>
        <v>0</v>
      </c>
    </row>
    <row r="34" spans="2:31" x14ac:dyDescent="0.3">
      <c r="B34"/>
      <c r="C34" s="9" t="s">
        <v>4</v>
      </c>
      <c r="D34" s="58">
        <f t="shared" si="32"/>
        <v>42029</v>
      </c>
      <c r="E34" s="29" t="s">
        <v>28</v>
      </c>
      <c r="F34" s="191"/>
      <c r="G34" s="194"/>
      <c r="H34" s="194"/>
      <c r="I34" s="194"/>
      <c r="J34" s="193">
        <f>IF(OR(E34="férié travaillé",E34="travail"),(I34-G34+IF(G34&gt;I34,1)-H34),INDEX('bases de donnée'!$E$20:'bases de donnée'!$E$32,MATCH(E34,gerald2,0)))</f>
        <v>0</v>
      </c>
      <c r="K34" s="20">
        <f>IF(SUM(J34-'bases de donnée'!E$7)&lt;0,0,SUM(J34-'bases de donnée'!E$7))</f>
        <v>0</v>
      </c>
      <c r="L34" s="11">
        <f>IF(OR(E34="férié travaillé",E34="travail"),I34-G34+IF(G34&gt;I34,1),INDEX('bases de donnée'!$E$20:'bases de donnée'!$E$32,MATCH(E34,gerald2,0)))</f>
        <v>0</v>
      </c>
      <c r="M34" s="21">
        <f>IF(SUM(L34-'bases de donnée'!E$4)&lt;0,0,SUM(L34-'bases de donnée'!E$4))</f>
        <v>0</v>
      </c>
      <c r="N34" s="155">
        <v>0</v>
      </c>
      <c r="O34" s="74">
        <f t="shared" si="30"/>
        <v>1.0520833333333333</v>
      </c>
      <c r="P34" s="61">
        <f>'bases de donnée'!E$10</f>
        <v>2</v>
      </c>
      <c r="Q34" s="120">
        <f t="shared" si="31"/>
        <v>0</v>
      </c>
      <c r="R34" s="30"/>
      <c r="S34" s="77">
        <f>IF(SUM(MOD(I34-G34,1)-IF(I34&gt;G34,MAX(0,MIN(I34,'bases de donnée'!E$16/24)-MAX('planning '!G34,7/24)),MAX(0,'bases de donnée'!E$16/24-MAX('planning '!G34,7/24))+MAX(0,MIN('planning '!I34,'bases de donnée'!E$16/24)-7/24)))&lt;0,0,SUM(MOD('planning '!I34-'planning '!G34,1)-IF('planning '!I34&gt;'planning '!G34,MAX(0,MIN('planning '!I34,'bases de donnée'!E$16/24)-MAX('planning '!G34,7/24)),MAX(0,'bases de donnée'!E$16/24-MAX('planning '!G34,7/24))+MAX(0,MIN('planning '!I34,'bases de donnée'!E$16/24)-7/24))))</f>
        <v>0</v>
      </c>
      <c r="T34" s="82"/>
      <c r="U34" s="77" t="str">
        <f t="shared" si="25"/>
        <v>00:00</v>
      </c>
      <c r="V34" s="78">
        <f>IF(SUM(IF(O34&gt;("36:00"*1),O34-("36:00"*1),0)-V32-V33)&lt;0,0,SUM(IF(O34&gt;("36:00"*1),O34-("36:00"*1),0)-V29-V30-V31-V32-V33))</f>
        <v>0</v>
      </c>
      <c r="W34" s="47"/>
      <c r="X34" s="48">
        <f t="shared" si="26"/>
        <v>0</v>
      </c>
      <c r="Y34" s="32"/>
      <c r="Z34" s="49">
        <f t="shared" si="27"/>
        <v>0</v>
      </c>
      <c r="AA34" s="48">
        <f t="shared" si="28"/>
        <v>0</v>
      </c>
      <c r="AB34" s="47"/>
      <c r="AC34" s="55"/>
      <c r="AD34" s="33">
        <f t="shared" si="29"/>
        <v>0</v>
      </c>
      <c r="AE34" s="33">
        <f t="shared" si="5"/>
        <v>0</v>
      </c>
    </row>
    <row r="35" spans="2:31" x14ac:dyDescent="0.3">
      <c r="B35"/>
      <c r="C35" s="9" t="s">
        <v>5</v>
      </c>
      <c r="D35" s="58">
        <f t="shared" si="32"/>
        <v>42030</v>
      </c>
      <c r="E35" s="29" t="s">
        <v>28</v>
      </c>
      <c r="F35" s="192"/>
      <c r="G35" s="194"/>
      <c r="H35" s="194"/>
      <c r="I35" s="194"/>
      <c r="J35" s="193">
        <f>IF(OR(E35="férié travaillé",E35="travail"),(I35-G35+IF(G35&gt;I35,1)-H35),INDEX('bases de donnée'!$E$20:'bases de donnée'!$E$32,MATCH(E35,gerald2,0)))</f>
        <v>0</v>
      </c>
      <c r="K35" s="20">
        <f>IF(SUM(J35-'bases de donnée'!E$7)&lt;0,0,SUM(J35-'bases de donnée'!E$7))</f>
        <v>0</v>
      </c>
      <c r="L35" s="11">
        <f>IF(OR(E35="férié travaillé",E35="travail"),I35-G35+IF(G35&gt;I35,1),INDEX('bases de donnée'!$E$20:'bases de donnée'!$E$32,MATCH(E35,gerald2,0)))</f>
        <v>0</v>
      </c>
      <c r="M35" s="21">
        <f>IF(SUM(L35-'bases de donnée'!E$4)&lt;0,0,SUM(L35-'bases de donnée'!E$4))</f>
        <v>0</v>
      </c>
      <c r="N35" s="155">
        <v>0</v>
      </c>
      <c r="O35" s="74">
        <f t="shared" si="30"/>
        <v>1.0520833333333333</v>
      </c>
      <c r="P35" s="33">
        <f>IF(SUM(O35-'bases de donnée'!E$10)&lt;0,0,SUM(O35-'bases de donnée'!E$10))</f>
        <v>0</v>
      </c>
      <c r="Q35" s="120">
        <f t="shared" si="31"/>
        <v>0</v>
      </c>
      <c r="R35" s="30"/>
      <c r="S35" s="77">
        <f>IF(SUM(MOD(I35-G35,1)-IF(I35&gt;G35,MAX(0,MIN(I35,'bases de donnée'!E$16/24)-MAX('planning '!G35,7/24)),MAX(0,'bases de donnée'!E$16/24-MAX('planning '!G35,7/24))+MAX(0,MIN('planning '!I35,'bases de donnée'!E$16/24)-7/24)))&lt;0,0,SUM(MOD('planning '!I35-'planning '!G35,1)-IF('planning '!I35&gt;'planning '!G35,MAX(0,MIN('planning '!I35,'bases de donnée'!E$16/24)-MAX('planning '!G35,7/24)),MAX(0,'bases de donnée'!E$16/24-MAX('planning '!G35,7/24))+MAX(0,MIN('planning '!I35,'bases de donnée'!E$16/24)-7/24))))</f>
        <v>0</v>
      </c>
      <c r="T35" s="77">
        <f>J35</f>
        <v>0</v>
      </c>
      <c r="U35" s="77" t="str">
        <f t="shared" si="25"/>
        <v>00:00</v>
      </c>
      <c r="V35" s="78">
        <f>IF(SUM(IF(O35&gt;("36:00"*1),O35-("36:00"*1),0)-V33-V34)&lt;0,0,SUM(IF(O35&gt;("36:00"*1),O35-("36:00"*1),0)-V29-V30-V31-V32-V33-V34))</f>
        <v>0</v>
      </c>
      <c r="W35" s="47"/>
      <c r="X35" s="48">
        <f t="shared" si="26"/>
        <v>0</v>
      </c>
      <c r="Y35" s="48">
        <f>IF(SUM(T35-S35)&lt;0,0,SUM(T35-S35))</f>
        <v>0</v>
      </c>
      <c r="Z35" s="56">
        <f>IF(SUM(U35-T35-S35)&lt;0,0,SUM(U35-T35-S35))</f>
        <v>0</v>
      </c>
      <c r="AA35" s="48">
        <f>IF(SUM(V35-S35-T35-U35)&lt;0,0,SUM(V35-S35-T35-U35))</f>
        <v>0</v>
      </c>
      <c r="AB35" s="47"/>
      <c r="AC35" s="57">
        <f>IF(SUM(T35-Y35)&lt;0,0,SUM(T35-Y35))</f>
        <v>0</v>
      </c>
      <c r="AD35" s="33">
        <f>IF(SUM(U35-Z35)&lt;0,0,SUM(U35-Z35))</f>
        <v>0</v>
      </c>
      <c r="AE35" s="33">
        <f t="shared" si="5"/>
        <v>0</v>
      </c>
    </row>
    <row r="36" spans="2:31" x14ac:dyDescent="0.3">
      <c r="B36"/>
      <c r="C36" s="25"/>
      <c r="D36" s="90"/>
      <c r="E36" s="90"/>
      <c r="F36" s="25"/>
      <c r="G36" s="47"/>
      <c r="H36" s="47"/>
      <c r="I36" s="47"/>
      <c r="J36" s="47"/>
      <c r="K36" s="92"/>
      <c r="L36" s="91"/>
      <c r="M36" s="91"/>
      <c r="N36" s="91"/>
      <c r="O36" s="93"/>
      <c r="P36" s="47"/>
      <c r="Q36" s="30"/>
      <c r="R36" s="30"/>
      <c r="S36" s="47"/>
      <c r="T36" s="47"/>
      <c r="U36" s="47"/>
      <c r="V36" s="93"/>
      <c r="W36" s="47"/>
      <c r="X36" s="47"/>
      <c r="Y36" s="47"/>
      <c r="Z36" s="47"/>
      <c r="AA36" s="47"/>
      <c r="AB36" s="47"/>
      <c r="AC36" s="47"/>
      <c r="AD36" s="47"/>
      <c r="AE36" s="47"/>
    </row>
    <row r="37" spans="2:31" x14ac:dyDescent="0.3">
      <c r="B37" s="14" t="s">
        <v>40</v>
      </c>
      <c r="C37" s="14" t="s">
        <v>6</v>
      </c>
      <c r="D37" s="43">
        <f>D35+1</f>
        <v>42031</v>
      </c>
      <c r="E37" s="29" t="s">
        <v>29</v>
      </c>
      <c r="F37" s="190"/>
      <c r="G37" s="194">
        <v>0.40625</v>
      </c>
      <c r="H37" s="194">
        <v>3.125E-2</v>
      </c>
      <c r="I37" s="194">
        <v>0.63541666666666663</v>
      </c>
      <c r="J37" s="193">
        <f>IF(OR(E37="férié travaillé",E37="travail"),(I37-G37+IF(G37&gt;I37,1)-H37),INDEX('bases de donnée'!$E$20:'bases de donnée'!$E$32,MATCH(E37,gerald2,0)))</f>
        <v>0.19791666666666663</v>
      </c>
      <c r="K37" s="20">
        <f>IF(SUM(J37-'bases de donnée'!E$7)&lt;0,0,SUM(J37-'bases de donnée'!E$7))</f>
        <v>0</v>
      </c>
      <c r="L37" s="11">
        <f>IF(OR(E37="férié travaillé",E37="travail"),I37-G37+IF(G37&gt;I37,1),INDEX('bases de donnée'!$E$20:'bases de donnée'!$E$32,MATCH(E37,gerald2,0)))</f>
        <v>0.22916666666666663</v>
      </c>
      <c r="M37" s="21">
        <f>IF(SUM(L37-'bases de donnée'!E$4)&lt;0,0,SUM(L37-'bases de donnée'!E$4))</f>
        <v>0</v>
      </c>
      <c r="N37" s="155">
        <v>0</v>
      </c>
      <c r="O37" s="45">
        <f>J37</f>
        <v>0.19791666666666663</v>
      </c>
      <c r="P37" s="122">
        <f>SUM(Q37:Q43)</f>
        <v>4</v>
      </c>
      <c r="Q37" s="120">
        <f>IF(AND(G37&lt;&gt;"",I37&lt;&gt;""),1,0+OR(N(I36)&lt;N(G36),E37="récupération",E37="congé 1 jour",E37="congé 1/2 jour ",E37="congé 5h24",E37="arrêt maladie",E37="arrêt travail",E37="férié ",E37="congé parentale",E37="congé de naissance"))</f>
        <v>1</v>
      </c>
      <c r="R37" s="30"/>
      <c r="S37" s="77">
        <f>IF(SUM(MOD(I37-G37,1)-IF(I37&gt;G37,MAX(0,MIN(I37,'bases de donnée'!E$16/24)-MAX('planning '!G37,7/24)),MAX(0,'bases de donnée'!E$16/24-MAX('planning '!G37,7/24))+MAX(0,MIN('planning '!I37,'bases de donnée'!E$16/24)-7/24)))&lt;0,0,SUM(MOD('planning '!I37-'planning '!G37,1)-IF('planning '!I37&gt;'planning '!G37,MAX(0,MIN('planning '!I37,'bases de donnée'!E$16/24)-MAX('planning '!G37,7/24)),MAX(0,'bases de donnée'!E$16/24-MAX('planning '!G37,7/24))+MAX(0,MIN('planning '!I37,'bases de donnée'!E$16/24)-7/24))))</f>
        <v>0</v>
      </c>
      <c r="T37" s="81"/>
      <c r="U37" s="77" t="str">
        <f t="shared" ref="U37:U43" si="33">IF(E37&lt;&gt;"travail",IF(E37="férié travaillé",MOD(I37-G37,1)-H37,"00:00"),"00:00")</f>
        <v>00:00</v>
      </c>
      <c r="V37" s="78"/>
      <c r="W37" s="47"/>
      <c r="X37" s="48">
        <f t="shared" ref="X37:X43" si="34">S37</f>
        <v>0</v>
      </c>
      <c r="Y37" s="31"/>
      <c r="Z37" s="49">
        <f t="shared" ref="Z37:Z42" si="35">IF(SUM(U37-X37)&lt;0,0,SUM(U37-X37))</f>
        <v>0</v>
      </c>
      <c r="AA37" s="48">
        <f t="shared" ref="AA37:AA42" si="36">IF(SUM(V37-X37-Z37)&lt;0,0,SUM(V37-X37-Z37))</f>
        <v>0</v>
      </c>
      <c r="AB37" s="47"/>
      <c r="AC37" s="50"/>
      <c r="AD37" s="33">
        <f t="shared" ref="AD37:AD42" si="37">IF(SUM(U37-Z37)&lt;0,0,SUM(U37-Z37))</f>
        <v>0</v>
      </c>
      <c r="AE37" s="33">
        <f t="shared" si="5"/>
        <v>0</v>
      </c>
    </row>
    <row r="38" spans="2:31" x14ac:dyDescent="0.3">
      <c r="B38" s="51">
        <f>B30+1</f>
        <v>4</v>
      </c>
      <c r="C38" s="14" t="s">
        <v>7</v>
      </c>
      <c r="D38" s="43">
        <f>D37+1</f>
        <v>42032</v>
      </c>
      <c r="E38" s="29" t="s">
        <v>29</v>
      </c>
      <c r="F38" s="191"/>
      <c r="G38" s="194">
        <v>0.38541666666666669</v>
      </c>
      <c r="H38" s="194">
        <v>3.125E-2</v>
      </c>
      <c r="I38" s="194">
        <v>0.67708333333333337</v>
      </c>
      <c r="J38" s="193">
        <f>IF(OR(E38="férié travaillé",E38="travail"),(I38-G38+IF(G38&gt;I38,1)-H38),INDEX('bases de donnée'!$E$20:'bases de donnée'!$E$32,MATCH(E38,gerald2,0)))</f>
        <v>0.26041666666666669</v>
      </c>
      <c r="K38" s="20">
        <f>IF(SUM(J38-'bases de donnée'!E$7)&lt;0,0,SUM(J38-'bases de donnée'!E$7))</f>
        <v>0</v>
      </c>
      <c r="L38" s="11">
        <f>IF(OR(E38="férié travaillé",E38="travail"),I38-G38+IF(G38&gt;I38,1),INDEX('bases de donnée'!$E$20:'bases de donnée'!$E$32,MATCH(E38,gerald2,0)))</f>
        <v>0.29166666666666669</v>
      </c>
      <c r="M38" s="21">
        <f>IF(SUM(L38-'bases de donnée'!E$4)&lt;0,0,SUM(L38-'bases de donnée'!E$4))</f>
        <v>0</v>
      </c>
      <c r="N38" s="155">
        <v>0</v>
      </c>
      <c r="O38" s="73">
        <f t="shared" ref="O38:O43" si="38">O37+J38</f>
        <v>0.45833333333333331</v>
      </c>
      <c r="P38" s="121">
        <f>IF(SUM(P37-'bases de donnée'!E$6)&lt;0,0,SUM(P37-'bases de donnée'!E$6))</f>
        <v>0</v>
      </c>
      <c r="Q38" s="120">
        <f t="shared" ref="Q38:Q43" si="39">IF(AND(G38&lt;&gt;"",I38&lt;&gt;""),1,0+OR(N(I37)&lt;N(G37),E38="récupération",E38="congé 1 jour",E38="congé 1/2 jour ",E38="congé 5h24",E38="arrêt maladie",E38="arrêt travail",E38="férié ",E38="congé parentale",E38="congé de naissance"))</f>
        <v>1</v>
      </c>
      <c r="R38" s="30"/>
      <c r="S38" s="77">
        <f>IF(SUM(MOD(I38-G38,1)-IF(I38&gt;G38,MAX(0,MIN(I38,'bases de donnée'!E$16/24)-MAX('planning '!G38,7/24)),MAX(0,'bases de donnée'!E$16/24-MAX('planning '!G38,7/24))+MAX(0,MIN('planning '!I38,'bases de donnée'!E$16/24)-7/24)))&lt;0,0,SUM(MOD('planning '!I38-'planning '!G38,1)-IF('planning '!I38&gt;'planning '!G38,MAX(0,MIN('planning '!I38,'bases de donnée'!E$16/24)-MAX('planning '!G38,7/24)),MAX(0,'bases de donnée'!E$16/24-MAX('planning '!G38,7/24))+MAX(0,MIN('planning '!I38,'bases de donnée'!E$16/24)-7/24))))</f>
        <v>0</v>
      </c>
      <c r="T38" s="82"/>
      <c r="U38" s="77" t="str">
        <f t="shared" si="33"/>
        <v>00:00</v>
      </c>
      <c r="V38" s="78">
        <f>IF(SUM(IF(O38&gt;('bases de donnée'!E$9*1),O38-('bases de donnée'!E$9*1),0)-V37)&lt;0,0,SUM(IF(O38&gt;('bases de donnée'!E$9*1),O38-('bases de donnée'!E$9*1),0)-V37))</f>
        <v>0</v>
      </c>
      <c r="W38" s="47"/>
      <c r="X38" s="48">
        <f t="shared" si="34"/>
        <v>0</v>
      </c>
      <c r="Y38" s="42"/>
      <c r="Z38" s="49">
        <f t="shared" si="35"/>
        <v>0</v>
      </c>
      <c r="AA38" s="48">
        <f t="shared" si="36"/>
        <v>0</v>
      </c>
      <c r="AB38" s="47"/>
      <c r="AC38" s="54"/>
      <c r="AD38" s="33">
        <f t="shared" si="37"/>
        <v>0</v>
      </c>
      <c r="AE38" s="33">
        <f t="shared" si="5"/>
        <v>0</v>
      </c>
    </row>
    <row r="39" spans="2:31" x14ac:dyDescent="0.3">
      <c r="B39"/>
      <c r="C39" s="14" t="s">
        <v>8</v>
      </c>
      <c r="D39" s="43">
        <f t="shared" ref="D39:D43" si="40">D38+1</f>
        <v>42033</v>
      </c>
      <c r="E39" s="29" t="s">
        <v>28</v>
      </c>
      <c r="F39" s="191"/>
      <c r="G39" s="194"/>
      <c r="H39" s="194"/>
      <c r="I39" s="194"/>
      <c r="J39" s="193">
        <f>IF(OR(E39="férié travaillé",E39="travail"),(I39-G39+IF(G39&gt;I39,1)-H39),INDEX('bases de donnée'!$E$20:'bases de donnée'!$E$32,MATCH(E39,gerald2,0)))</f>
        <v>0</v>
      </c>
      <c r="K39" s="20">
        <f>IF(SUM(J39-'bases de donnée'!E$7)&lt;0,0,SUM(J39-'bases de donnée'!E$7))</f>
        <v>0</v>
      </c>
      <c r="L39" s="11">
        <f>IF(OR(E39="férié travaillé",E39="travail"),I39-G39+IF(G39&gt;I39,1),INDEX('bases de donnée'!$E$20:'bases de donnée'!$E$32,MATCH(E39,gerald2,0)))</f>
        <v>0</v>
      </c>
      <c r="M39" s="21">
        <f>IF(SUM(L39-'bases de donnée'!E$4)&lt;0,0,SUM(L39-'bases de donnée'!E$4))</f>
        <v>0</v>
      </c>
      <c r="N39" s="155">
        <v>0</v>
      </c>
      <c r="O39" s="73">
        <f t="shared" si="38"/>
        <v>0.45833333333333331</v>
      </c>
      <c r="P39" s="34" t="s">
        <v>46</v>
      </c>
      <c r="Q39" s="120">
        <f t="shared" si="39"/>
        <v>0</v>
      </c>
      <c r="R39" s="30"/>
      <c r="S39" s="77">
        <f>IF(SUM(MOD(I39-G39,1)-IF(I39&gt;G39,MAX(0,MIN(I39,'bases de donnée'!E$16/24)-MAX('planning '!G39,7/24)),MAX(0,'bases de donnée'!E$16/24-MAX('planning '!G39,7/24))+MAX(0,MIN('planning '!I39,'bases de donnée'!E$16/24)-7/24)))&lt;0,0,SUM(MOD('planning '!I39-'planning '!G39,1)-IF('planning '!I39&gt;'planning '!G39,MAX(0,MIN('planning '!I39,'bases de donnée'!E$16/24)-MAX('planning '!G39,7/24)),MAX(0,'bases de donnée'!E$16/24-MAX('planning '!G39,7/24))+MAX(0,MIN('planning '!I39,'bases de donnée'!E$16/24)-7/24))))</f>
        <v>0</v>
      </c>
      <c r="T39" s="82"/>
      <c r="U39" s="77" t="str">
        <f t="shared" si="33"/>
        <v>00:00</v>
      </c>
      <c r="V39" s="78">
        <f>IF(SUM(IF(O39&gt;("36:00"*1),O39-("36:00"*1),0)-V37-V38)&lt;0,0,SUM(IF(O39&gt;("36:00"*1),O39-("36:00"*1),0)-V37-V38))</f>
        <v>0</v>
      </c>
      <c r="W39" s="47"/>
      <c r="X39" s="48">
        <f t="shared" si="34"/>
        <v>0</v>
      </c>
      <c r="Y39" s="42"/>
      <c r="Z39" s="49">
        <f t="shared" si="35"/>
        <v>0</v>
      </c>
      <c r="AA39" s="48">
        <f t="shared" si="36"/>
        <v>0</v>
      </c>
      <c r="AB39" s="47"/>
      <c r="AC39" s="54"/>
      <c r="AD39" s="33">
        <f t="shared" si="37"/>
        <v>0</v>
      </c>
      <c r="AE39" s="33">
        <f t="shared" si="5"/>
        <v>0</v>
      </c>
    </row>
    <row r="40" spans="2:31" x14ac:dyDescent="0.3">
      <c r="B40"/>
      <c r="C40" s="14" t="s">
        <v>9</v>
      </c>
      <c r="D40" s="43">
        <f t="shared" si="40"/>
        <v>42034</v>
      </c>
      <c r="E40" s="29" t="s">
        <v>29</v>
      </c>
      <c r="F40" s="191"/>
      <c r="G40" s="194">
        <v>0.39583333333333331</v>
      </c>
      <c r="H40" s="194">
        <v>3.125E-2</v>
      </c>
      <c r="I40" s="194">
        <v>0.70833333333333337</v>
      </c>
      <c r="J40" s="193">
        <f>IF(OR(E40="férié travaillé",E40="travail"),(I40-G40+IF(G40&gt;I40,1)-H40),INDEX('bases de donnée'!$E$20:'bases de donnée'!$E$32,MATCH(E40,gerald2,0)))</f>
        <v>0.28125000000000006</v>
      </c>
      <c r="K40" s="20">
        <f>IF(SUM(J40-'bases de donnée'!E$7)&lt;0,0,SUM(J40-'bases de donnée'!E$7))</f>
        <v>0</v>
      </c>
      <c r="L40" s="11">
        <f>IF(OR(E40="férié travaillé",E40="travail"),I40-G40+IF(G40&gt;I40,1),INDEX('bases de donnée'!$E$20:'bases de donnée'!$E$32,MATCH(E40,gerald2,0)))</f>
        <v>0.31250000000000006</v>
      </c>
      <c r="M40" s="21">
        <f>IF(SUM(L40-'bases de donnée'!E$4)&lt;0,0,SUM(L40-'bases de donnée'!E$4))</f>
        <v>0</v>
      </c>
      <c r="N40" s="155">
        <v>0</v>
      </c>
      <c r="O40" s="73">
        <f t="shared" si="38"/>
        <v>0.73958333333333337</v>
      </c>
      <c r="P40" s="86">
        <f>O43</f>
        <v>1.0416666666666667</v>
      </c>
      <c r="Q40" s="120">
        <f t="shared" si="39"/>
        <v>1</v>
      </c>
      <c r="R40" s="30"/>
      <c r="S40" s="77">
        <f>IF(SUM(MOD(I40-G40,1)-IF(I40&gt;G40,MAX(0,MIN(I40,'bases de donnée'!E$16/24)-MAX('planning '!G40,7/24)),MAX(0,'bases de donnée'!E$16/24-MAX('planning '!G40,7/24))+MAX(0,MIN('planning '!I40,'bases de donnée'!E$16/24)-7/24)))&lt;0,0,SUM(MOD('planning '!I40-'planning '!G40,1)-IF('planning '!I40&gt;'planning '!G40,MAX(0,MIN('planning '!I40,'bases de donnée'!E$16/24)-MAX('planning '!G40,7/24)),MAX(0,'bases de donnée'!E$16/24-MAX('planning '!G40,7/24))+MAX(0,MIN('planning '!I40,'bases de donnée'!E$16/24)-7/24))))</f>
        <v>0</v>
      </c>
      <c r="T40" s="82"/>
      <c r="U40" s="77" t="str">
        <f t="shared" si="33"/>
        <v>00:00</v>
      </c>
      <c r="V40" s="78">
        <f>IF(SUM(IF(O40&gt;("36:00"*1),O40-("36:00"*1),0)-V38-V39)&lt;0,0,SUM(IF(O40&gt;("36:00"*1),O40-("36:00"*1),0)-V37-V38-V39))</f>
        <v>0</v>
      </c>
      <c r="W40" s="47"/>
      <c r="X40" s="48">
        <f t="shared" si="34"/>
        <v>0</v>
      </c>
      <c r="Y40" s="42"/>
      <c r="Z40" s="49">
        <f t="shared" si="35"/>
        <v>0</v>
      </c>
      <c r="AA40" s="48">
        <f t="shared" si="36"/>
        <v>0</v>
      </c>
      <c r="AB40" s="47"/>
      <c r="AC40" s="54"/>
      <c r="AD40" s="33">
        <f t="shared" si="37"/>
        <v>0</v>
      </c>
      <c r="AE40" s="33">
        <f t="shared" si="5"/>
        <v>0</v>
      </c>
    </row>
    <row r="41" spans="2:31" x14ac:dyDescent="0.3">
      <c r="B41"/>
      <c r="C41" s="14" t="s">
        <v>3</v>
      </c>
      <c r="D41" s="43">
        <f t="shared" si="40"/>
        <v>42035</v>
      </c>
      <c r="E41" s="29" t="s">
        <v>29</v>
      </c>
      <c r="F41" s="191"/>
      <c r="G41" s="194">
        <v>0.375</v>
      </c>
      <c r="H41" s="194">
        <v>3.125E-2</v>
      </c>
      <c r="I41" s="194">
        <v>0.70833333333333337</v>
      </c>
      <c r="J41" s="193">
        <f>IF(OR(E41="férié travaillé",E41="travail"),(I41-G41+IF(G41&gt;I41,1)-H41),INDEX('bases de donnée'!$E$20:'bases de donnée'!$E$32,MATCH(E41,gerald2,0)))</f>
        <v>0.30208333333333337</v>
      </c>
      <c r="K41" s="20">
        <f>IF(SUM(J41-'bases de donnée'!E$7)&lt;0,0,SUM(J41-'bases de donnée'!E$7))</f>
        <v>0</v>
      </c>
      <c r="L41" s="11">
        <f>IF(OR(E41="férié travaillé",E41="travail"),I41-G41+IF(G41&gt;I41,1),INDEX('bases de donnée'!$E$20:'bases de donnée'!$E$32,MATCH(E41,gerald2,0)))</f>
        <v>0.33333333333333337</v>
      </c>
      <c r="M41" s="21">
        <f>IF(SUM(L41-'bases de donnée'!E$4)&lt;0,0,SUM(L41-'bases de donnée'!E$4))</f>
        <v>0</v>
      </c>
      <c r="N41" s="155">
        <v>0</v>
      </c>
      <c r="O41" s="73">
        <f t="shared" si="38"/>
        <v>1.0416666666666667</v>
      </c>
      <c r="P41" s="12" t="s">
        <v>48</v>
      </c>
      <c r="Q41" s="120">
        <f t="shared" si="39"/>
        <v>1</v>
      </c>
      <c r="R41" s="30"/>
      <c r="S41" s="77">
        <f>IF(SUM(MOD(I41-G41,1)-IF(I41&gt;G41,MAX(0,MIN(I41,'bases de donnée'!E$16/24)-MAX('planning '!G41,7/24)),MAX(0,'bases de donnée'!E$16/24-MAX('planning '!G41,7/24))+MAX(0,MIN('planning '!I41,'bases de donnée'!E$16/24)-7/24)))&lt;0,0,SUM(MOD('planning '!I41-'planning '!G41,1)-IF('planning '!I41&gt;'planning '!G41,MAX(0,MIN('planning '!I41,'bases de donnée'!E$16/24)-MAX('planning '!G41,7/24)),MAX(0,'bases de donnée'!E$16/24-MAX('planning '!G41,7/24))+MAX(0,MIN('planning '!I41,'bases de donnée'!E$16/24)-7/24))))</f>
        <v>0</v>
      </c>
      <c r="T41" s="82"/>
      <c r="U41" s="77" t="str">
        <f t="shared" si="33"/>
        <v>00:00</v>
      </c>
      <c r="V41" s="78">
        <f>IF(SUM(IF(O41&gt;("36:00"*1),O41-("36:00"*1),0)-V39-V40)&lt;0,0,SUM(IF(O41&gt;("36:00"*1),O41-("36:00"*1),0)-V37-V38-V39-V40))</f>
        <v>0</v>
      </c>
      <c r="W41" s="47"/>
      <c r="X41" s="48">
        <f t="shared" si="34"/>
        <v>0</v>
      </c>
      <c r="Y41" s="42"/>
      <c r="Z41" s="49">
        <f t="shared" si="35"/>
        <v>0</v>
      </c>
      <c r="AA41" s="48">
        <f t="shared" si="36"/>
        <v>0</v>
      </c>
      <c r="AB41" s="47"/>
      <c r="AC41" s="54"/>
      <c r="AD41" s="33">
        <f t="shared" si="37"/>
        <v>0</v>
      </c>
      <c r="AE41" s="33">
        <f t="shared" si="5"/>
        <v>0</v>
      </c>
    </row>
    <row r="42" spans="2:31" x14ac:dyDescent="0.3">
      <c r="B42"/>
      <c r="C42" s="14" t="s">
        <v>4</v>
      </c>
      <c r="D42" s="43">
        <f t="shared" si="40"/>
        <v>42036</v>
      </c>
      <c r="E42" s="29" t="s">
        <v>28</v>
      </c>
      <c r="F42" s="191"/>
      <c r="G42" s="194"/>
      <c r="H42" s="194"/>
      <c r="I42" s="194"/>
      <c r="J42" s="193">
        <f>IF(OR(E42="férié travaillé",E42="travail"),(I42-G42+IF(G42&gt;I42,1)-H42),INDEX('bases de donnée'!$E$20:'bases de donnée'!$E$32,MATCH(E42,gerald2,0)))</f>
        <v>0</v>
      </c>
      <c r="K42" s="20">
        <f>IF(SUM(J42-'bases de donnée'!E$7)&lt;0,0,SUM(J42-'bases de donnée'!E$7))</f>
        <v>0</v>
      </c>
      <c r="L42" s="11">
        <f>IF(OR(E42="férié travaillé",E42="travail"),I42-G42+IF(G42&gt;I42,1),INDEX('bases de donnée'!$E$20:'bases de donnée'!$E$32,MATCH(E42,gerald2,0)))</f>
        <v>0</v>
      </c>
      <c r="M42" s="21">
        <f>IF(SUM(L42-'bases de donnée'!E$4)&lt;0,0,SUM(L42-'bases de donnée'!E$4))</f>
        <v>0</v>
      </c>
      <c r="N42" s="155">
        <v>0</v>
      </c>
      <c r="O42" s="73">
        <f t="shared" si="38"/>
        <v>1.0416666666666667</v>
      </c>
      <c r="P42" s="53">
        <f>'bases de donnée'!E$10</f>
        <v>2</v>
      </c>
      <c r="Q42" s="120">
        <f t="shared" si="39"/>
        <v>0</v>
      </c>
      <c r="R42" s="30"/>
      <c r="S42" s="77">
        <f>IF(SUM(MOD(I42-G42,1)-IF(I42&gt;G42,MAX(0,MIN(I42,'bases de donnée'!E$16/24)-MAX('planning '!G42,7/24)),MAX(0,'bases de donnée'!E$16/24-MAX('planning '!G42,7/24))+MAX(0,MIN('planning '!I42,'bases de donnée'!E$16/24)-7/24)))&lt;0,0,SUM(MOD('planning '!I42-'planning '!G42,1)-IF('planning '!I42&gt;'planning '!G42,MAX(0,MIN('planning '!I42,'bases de donnée'!E$16/24)-MAX('planning '!G42,7/24)),MAX(0,'bases de donnée'!E$16/24-MAX('planning '!G42,7/24))+MAX(0,MIN('planning '!I42,'bases de donnée'!E$16/24)-7/24))))</f>
        <v>0</v>
      </c>
      <c r="T42" s="82"/>
      <c r="U42" s="77" t="str">
        <f t="shared" si="33"/>
        <v>00:00</v>
      </c>
      <c r="V42" s="78">
        <f>IF(SUM(IF(O42&gt;("36:00"*1),O42-("36:00"*1),0)-V40-V41)&lt;0,0,SUM(IF(O42&gt;("36:00"*1),O42-("36:00"*1),0)-V37-V38-V39-V40-V41))</f>
        <v>0</v>
      </c>
      <c r="W42" s="47"/>
      <c r="X42" s="48">
        <f t="shared" si="34"/>
        <v>0</v>
      </c>
      <c r="Y42" s="32"/>
      <c r="Z42" s="49">
        <f t="shared" si="35"/>
        <v>0</v>
      </c>
      <c r="AA42" s="48">
        <f t="shared" si="36"/>
        <v>0</v>
      </c>
      <c r="AB42" s="47"/>
      <c r="AC42" s="55"/>
      <c r="AD42" s="33">
        <f t="shared" si="37"/>
        <v>0</v>
      </c>
      <c r="AE42" s="33">
        <f t="shared" si="5"/>
        <v>0</v>
      </c>
    </row>
    <row r="43" spans="2:31" x14ac:dyDescent="0.3">
      <c r="B43"/>
      <c r="C43" s="14" t="s">
        <v>5</v>
      </c>
      <c r="D43" s="43">
        <f t="shared" si="40"/>
        <v>42037</v>
      </c>
      <c r="E43" s="29" t="s">
        <v>28</v>
      </c>
      <c r="F43" s="192"/>
      <c r="G43" s="194"/>
      <c r="H43" s="194"/>
      <c r="I43" s="194"/>
      <c r="J43" s="193">
        <f>IF(OR(E43="férié travaillé",E43="travail"),(I43-G43+IF(G43&gt;I43,1)-H43),INDEX('bases de donnée'!$E$20:'bases de donnée'!$E$32,MATCH(E43,gerald2,0)))</f>
        <v>0</v>
      </c>
      <c r="K43" s="20">
        <f>IF(SUM(J43-'bases de donnée'!E$7)&lt;0,0,SUM(J43-'bases de donnée'!E$7))</f>
        <v>0</v>
      </c>
      <c r="L43" s="11">
        <f>IF(OR(E43="férié travaillé",E43="travail"),I43-G43+IF(G43&gt;I43,1),INDEX('bases de donnée'!$E$20:'bases de donnée'!$E$32,MATCH(E43,gerald2,0)))</f>
        <v>0</v>
      </c>
      <c r="M43" s="21">
        <f>IF(SUM(L43-'bases de donnée'!E$4)&lt;0,0,SUM(L43-'bases de donnée'!E$4))</f>
        <v>0</v>
      </c>
      <c r="N43" s="155">
        <v>0</v>
      </c>
      <c r="O43" s="73">
        <f t="shared" si="38"/>
        <v>1.0416666666666667</v>
      </c>
      <c r="P43" s="33">
        <f>IF(SUM(O43-'bases de donnée'!E$10)&lt;0,0,SUM(O43-'bases de donnée'!E$10))</f>
        <v>0</v>
      </c>
      <c r="Q43" s="120">
        <f t="shared" si="39"/>
        <v>0</v>
      </c>
      <c r="R43" s="30"/>
      <c r="S43" s="77">
        <f>IF(SUM(MOD(I43-G43,1)-IF(I43&gt;G43,MAX(0,MIN(I43,'bases de donnée'!E$16/24)-MAX('planning '!G43,7/24)),MAX(0,'bases de donnée'!E$16/24-MAX('planning '!G43,7/24))+MAX(0,MIN('planning '!I43,'bases de donnée'!E$16/24)-7/24)))&lt;0,0,SUM(MOD('planning '!I43-'planning '!G43,1)-IF('planning '!I43&gt;'planning '!G43,MAX(0,MIN('planning '!I43,'bases de donnée'!E$16/24)-MAX('planning '!G43,7/24)),MAX(0,'bases de donnée'!E$16/24-MAX('planning '!G43,7/24))+MAX(0,MIN('planning '!I43,'bases de donnée'!E$16/24)-7/24))))</f>
        <v>0</v>
      </c>
      <c r="T43" s="77">
        <f>J43</f>
        <v>0</v>
      </c>
      <c r="U43" s="77" t="str">
        <f t="shared" si="33"/>
        <v>00:00</v>
      </c>
      <c r="V43" s="78">
        <f>IF(SUM(IF(O43&gt;("36:00"*1),O43-("36:00"*1),0)-V41-V42)&lt;0,0,SUM(IF(O43&gt;("36:00"*1),O43-("36:00"*1),0)-V37-V38-V39-V40-V41-V42))</f>
        <v>0</v>
      </c>
      <c r="W43" s="47"/>
      <c r="X43" s="48">
        <f t="shared" si="34"/>
        <v>0</v>
      </c>
      <c r="Y43" s="48">
        <f>IF(SUM(T43-S43)&lt;0,0,SUM(T43-S43))</f>
        <v>0</v>
      </c>
      <c r="Z43" s="56">
        <f>IF(SUM(U43-T43-S43)&lt;0,0,SUM(U43-T43-S43))</f>
        <v>0</v>
      </c>
      <c r="AA43" s="48">
        <f>IF(SUM(V43-S43-T43-U43)&lt;0,0,SUM(V43-S43-T43-U43))</f>
        <v>0</v>
      </c>
      <c r="AB43" s="47"/>
      <c r="AC43" s="57">
        <f>IF(SUM(T43-Y43)&lt;0,0,SUM(T43-Y43))</f>
        <v>0</v>
      </c>
      <c r="AD43" s="33">
        <f>IF(SUM(U43-Z43)&lt;0,0,SUM(U43-Z43))</f>
        <v>0</v>
      </c>
      <c r="AE43" s="33">
        <f t="shared" si="5"/>
        <v>0</v>
      </c>
    </row>
    <row r="44" spans="2:31" x14ac:dyDescent="0.3">
      <c r="B44"/>
      <c r="C44" s="25"/>
      <c r="D44" s="90"/>
      <c r="E44" s="90"/>
      <c r="F44" s="25"/>
      <c r="G44" s="47"/>
      <c r="H44" s="47"/>
      <c r="I44" s="47"/>
      <c r="J44" s="47"/>
      <c r="K44" s="92"/>
      <c r="L44" s="91"/>
      <c r="M44" s="91"/>
      <c r="N44" s="91"/>
      <c r="O44" s="93"/>
      <c r="P44" s="47"/>
      <c r="Q44" s="30"/>
      <c r="R44" s="30"/>
      <c r="S44" s="47"/>
      <c r="T44" s="47"/>
      <c r="U44" s="47"/>
      <c r="V44" s="93"/>
      <c r="W44" s="47"/>
      <c r="X44" s="47"/>
      <c r="Y44" s="47"/>
      <c r="Z44" s="47"/>
      <c r="AA44" s="47"/>
      <c r="AB44" s="47"/>
      <c r="AC44" s="47"/>
      <c r="AD44" s="47"/>
      <c r="AE44" s="47"/>
    </row>
    <row r="45" spans="2:31" x14ac:dyDescent="0.3">
      <c r="B45" s="9" t="s">
        <v>40</v>
      </c>
      <c r="C45" s="9" t="s">
        <v>6</v>
      </c>
      <c r="D45" s="58">
        <f>D43+1</f>
        <v>42038</v>
      </c>
      <c r="E45" s="29" t="s">
        <v>29</v>
      </c>
      <c r="F45" s="190"/>
      <c r="G45" s="194">
        <v>0.375</v>
      </c>
      <c r="H45" s="194">
        <v>3.125E-2</v>
      </c>
      <c r="I45" s="194">
        <v>0.70833333333333337</v>
      </c>
      <c r="J45" s="193">
        <f>IF(OR(E45="férié travaillé",E45="travail"),(I45-G45+IF(G45&gt;I45,1)-H45),INDEX('bases de donnée'!$E$20:'bases de donnée'!$E$32,MATCH(E45,gerald2,0)))</f>
        <v>0.30208333333333337</v>
      </c>
      <c r="K45" s="20">
        <f>IF(SUM(J45-'bases de donnée'!E$7)&lt;0,0,SUM(J45-'bases de donnée'!E$7))</f>
        <v>0</v>
      </c>
      <c r="L45" s="11">
        <f>IF(OR(E45="férié travaillé",E45="travail"),I45-G45+IF(G45&gt;I45,1),INDEX('bases de donnée'!$E$20:'bases de donnée'!$E$32,MATCH(E45,gerald2,0)))</f>
        <v>0.33333333333333337</v>
      </c>
      <c r="M45" s="21">
        <f>IF(SUM(L45-'bases de donnée'!E$4)&lt;0,0,SUM(L45-'bases de donnée'!E$4))</f>
        <v>0</v>
      </c>
      <c r="N45" s="155">
        <v>0</v>
      </c>
      <c r="O45" s="59">
        <f>J45</f>
        <v>0.30208333333333337</v>
      </c>
      <c r="P45" s="122">
        <f>SUM(Q45:Q51)</f>
        <v>6</v>
      </c>
      <c r="Q45" s="120">
        <f>IF(AND(G45&lt;&gt;"",I45&lt;&gt;""),1,0+OR(N(I44)&lt;N(G44),E45="récupération",E45="congé 1 jour",E45="congé 1/2 jour ",E45="congé 5h24",E45="arrêt maladie",E45="arrêt travail",E45="férié ",E45="congé parentale",E45="congé de naissance"))</f>
        <v>1</v>
      </c>
      <c r="R45" s="30"/>
      <c r="S45" s="77">
        <f>IF(SUM(MOD(I45-G45,1)-IF(I45&gt;G45,MAX(0,MIN(I45,'bases de donnée'!E$16/24)-MAX('planning '!G45,7/24)),MAX(0,'bases de donnée'!E$16/24-MAX('planning '!G45,7/24))+MAX(0,MIN('planning '!I45,'bases de donnée'!E$16/24)-7/24)))&lt;0,0,SUM(MOD('planning '!I45-'planning '!G45,1)-IF('planning '!I45&gt;'planning '!G45,MAX(0,MIN('planning '!I45,'bases de donnée'!E$16/24)-MAX('planning '!G45,7/24)),MAX(0,'bases de donnée'!E$16/24-MAX('planning '!G45,7/24))+MAX(0,MIN('planning '!I45,'bases de donnée'!E$16/24)-7/24))))</f>
        <v>0</v>
      </c>
      <c r="T45" s="81"/>
      <c r="U45" s="77" t="str">
        <f t="shared" ref="U45:U51" si="41">IF(E45&lt;&gt;"travail",IF(E45="férié travaillé",MOD(I45-G45,1)-H45,"00:00"),"00:00")</f>
        <v>00:00</v>
      </c>
      <c r="V45" s="78"/>
      <c r="W45" s="47"/>
      <c r="X45" s="48">
        <f t="shared" ref="X45:X59" si="42">S45</f>
        <v>0</v>
      </c>
      <c r="Y45" s="31"/>
      <c r="Z45" s="49">
        <f t="shared" ref="Z45:Z50" si="43">IF(SUM(U45-X45)&lt;0,0,SUM(U45-X45))</f>
        <v>0</v>
      </c>
      <c r="AA45" s="48">
        <f t="shared" ref="AA45:AA50" si="44">IF(SUM(V45-X45-Z45)&lt;0,0,SUM(V45-X45-Z45))</f>
        <v>0</v>
      </c>
      <c r="AB45" s="47"/>
      <c r="AC45" s="50"/>
      <c r="AD45" s="33">
        <f t="shared" ref="AD45:AD50" si="45">IF(SUM(U45-Z45)&lt;0,0,SUM(U45-Z45))</f>
        <v>0</v>
      </c>
      <c r="AE45" s="33">
        <f t="shared" si="5"/>
        <v>0</v>
      </c>
    </row>
    <row r="46" spans="2:31" x14ac:dyDescent="0.3">
      <c r="B46" s="60">
        <f>B38+1</f>
        <v>5</v>
      </c>
      <c r="C46" s="9" t="s">
        <v>7</v>
      </c>
      <c r="D46" s="58">
        <f>D45+1</f>
        <v>42039</v>
      </c>
      <c r="E46" s="29" t="s">
        <v>29</v>
      </c>
      <c r="F46" s="191"/>
      <c r="G46" s="194">
        <v>0.375</v>
      </c>
      <c r="H46" s="194">
        <v>3.125E-2</v>
      </c>
      <c r="I46" s="194">
        <v>0.70833333333333337</v>
      </c>
      <c r="J46" s="193">
        <f>IF(OR(E46="férié travaillé",E46="travail"),(I46-G46+IF(G46&gt;I46,1)-H46),INDEX('bases de donnée'!$E$20:'bases de donnée'!$E$32,MATCH(E46,gerald2,0)))</f>
        <v>0.30208333333333337</v>
      </c>
      <c r="K46" s="20">
        <f>IF(SUM(J46-'bases de donnée'!E$7)&lt;0,0,SUM(J46-'bases de donnée'!E$7))</f>
        <v>0</v>
      </c>
      <c r="L46" s="11">
        <f>IF(OR(E46="férié travaillé",E46="travail"),I46-G46+IF(G46&gt;I46,1),INDEX('bases de donnée'!$E$20:'bases de donnée'!$E$32,MATCH(E46,gerald2,0)))</f>
        <v>0.33333333333333337</v>
      </c>
      <c r="M46" s="21">
        <f>IF(SUM(L46-'bases de donnée'!E$4)&lt;0,0,SUM(L46-'bases de donnée'!E$4))</f>
        <v>0</v>
      </c>
      <c r="N46" s="155">
        <v>0</v>
      </c>
      <c r="O46" s="74">
        <f t="shared" ref="O46:O51" si="46">O45+J46</f>
        <v>0.60416666666666674</v>
      </c>
      <c r="P46" s="121">
        <f>IF(SUM(P45-'bases de donnée'!E$6)&lt;0,0,SUM(P45-'bases de donnée'!E$6))</f>
        <v>0</v>
      </c>
      <c r="Q46" s="120">
        <f t="shared" ref="Q46:Q51" si="47">IF(AND(G46&lt;&gt;"",I46&lt;&gt;""),1,0+OR(N(I45)&lt;N(G45),E46="récupération",E46="congé 1 jour",E46="congé 1/2 jour ",E46="congé 5h24",E46="arrêt maladie",E46="arrêt travail",E46="férié ",E46="congé parentale",E46="congé de naissance"))</f>
        <v>1</v>
      </c>
      <c r="R46" s="30"/>
      <c r="S46" s="77">
        <f>IF(SUM(MOD(I46-G46,1)-IF(I46&gt;G46,MAX(0,MIN(I46,'bases de donnée'!E$16/24)-MAX('planning '!G46,7/24)),MAX(0,'bases de donnée'!E$16/24-MAX('planning '!G46,7/24))+MAX(0,MIN('planning '!I46,'bases de donnée'!E$16/24)-7/24)))&lt;0,0,SUM(MOD('planning '!I46-'planning '!G46,1)-IF('planning '!I46&gt;'planning '!G46,MAX(0,MIN('planning '!I46,'bases de donnée'!E$16/24)-MAX('planning '!G46,7/24)),MAX(0,'bases de donnée'!E$16/24-MAX('planning '!G46,7/24))+MAX(0,MIN('planning '!I46,'bases de donnée'!E$16/24)-7/24))))</f>
        <v>0</v>
      </c>
      <c r="T46" s="82"/>
      <c r="U46" s="77" t="str">
        <f t="shared" si="41"/>
        <v>00:00</v>
      </c>
      <c r="V46" s="78">
        <f>IF(SUM(IF(O46&gt;('bases de donnée'!E$9*1),O46-('bases de donnée'!E$9*1),0)-V45)&lt;0,0,SUM(IF(O46&gt;('bases de donnée'!E$9*1),O46-('bases de donnée'!E$9*1),0)-V45))</f>
        <v>0</v>
      </c>
      <c r="W46" s="47"/>
      <c r="X46" s="48">
        <f t="shared" si="42"/>
        <v>0</v>
      </c>
      <c r="Y46" s="42"/>
      <c r="Z46" s="49">
        <f t="shared" si="43"/>
        <v>0</v>
      </c>
      <c r="AA46" s="48">
        <f t="shared" si="44"/>
        <v>0</v>
      </c>
      <c r="AB46" s="47"/>
      <c r="AC46" s="54"/>
      <c r="AD46" s="33">
        <f t="shared" si="45"/>
        <v>0</v>
      </c>
      <c r="AE46" s="33">
        <f t="shared" si="5"/>
        <v>0</v>
      </c>
    </row>
    <row r="47" spans="2:31" x14ac:dyDescent="0.3">
      <c r="B47"/>
      <c r="C47" s="9" t="s">
        <v>8</v>
      </c>
      <c r="D47" s="58">
        <f t="shared" ref="D47:D51" si="48">D46+1</f>
        <v>42040</v>
      </c>
      <c r="E47" s="29" t="s">
        <v>29</v>
      </c>
      <c r="F47" s="191"/>
      <c r="G47" s="194">
        <v>0.375</v>
      </c>
      <c r="H47" s="194">
        <v>3.125E-2</v>
      </c>
      <c r="I47" s="194">
        <v>0.70833333333333337</v>
      </c>
      <c r="J47" s="193">
        <f>IF(OR(E47="férié travaillé",E47="travail"),(I47-G47+IF(G47&gt;I47,1)-H47),INDEX('bases de donnée'!$E$20:'bases de donnée'!$E$32,MATCH(E47,gerald2,0)))</f>
        <v>0.30208333333333337</v>
      </c>
      <c r="K47" s="20">
        <f>IF(SUM(J47-'bases de donnée'!E$7)&lt;0,0,SUM(J47-'bases de donnée'!E$7))</f>
        <v>0</v>
      </c>
      <c r="L47" s="11">
        <f>IF(OR(E47="férié travaillé",E47="travail"),I47-G47+IF(G47&gt;I47,1),INDEX('bases de donnée'!$E$20:'bases de donnée'!$E$32,MATCH(E47,gerald2,0)))</f>
        <v>0.33333333333333337</v>
      </c>
      <c r="M47" s="21">
        <f>IF(SUM(L47-'bases de donnée'!E$4)&lt;0,0,SUM(L47-'bases de donnée'!E$4))</f>
        <v>0</v>
      </c>
      <c r="N47" s="155">
        <v>0</v>
      </c>
      <c r="O47" s="74">
        <f t="shared" si="46"/>
        <v>0.90625000000000011</v>
      </c>
      <c r="P47" s="34" t="s">
        <v>46</v>
      </c>
      <c r="Q47" s="120">
        <f t="shared" si="47"/>
        <v>1</v>
      </c>
      <c r="R47" s="30"/>
      <c r="S47" s="77">
        <f>IF(SUM(MOD(I47-G47,1)-IF(I47&gt;G47,MAX(0,MIN(I47,'bases de donnée'!E$16/24)-MAX('planning '!G47,7/24)),MAX(0,'bases de donnée'!E$16/24-MAX('planning '!G47,7/24))+MAX(0,MIN('planning '!I47,'bases de donnée'!E$16/24)-7/24)))&lt;0,0,SUM(MOD('planning '!I47-'planning '!G47,1)-IF('planning '!I47&gt;'planning '!G47,MAX(0,MIN('planning '!I47,'bases de donnée'!E$16/24)-MAX('planning '!G47,7/24)),MAX(0,'bases de donnée'!E$16/24-MAX('planning '!G47,7/24))+MAX(0,MIN('planning '!I47,'bases de donnée'!E$16/24)-7/24))))</f>
        <v>0</v>
      </c>
      <c r="T47" s="82"/>
      <c r="U47" s="77" t="str">
        <f t="shared" si="41"/>
        <v>00:00</v>
      </c>
      <c r="V47" s="78">
        <f>IF(SUM(IF(O47&gt;("36:00"*1),O47-("36:00"*1),0)-V45-V46)&lt;0,0,SUM(IF(O47&gt;("36:00"*1),O47-("36:00"*1),0)-V45-V46))</f>
        <v>0</v>
      </c>
      <c r="W47" s="47"/>
      <c r="X47" s="48">
        <f t="shared" si="42"/>
        <v>0</v>
      </c>
      <c r="Y47" s="42"/>
      <c r="Z47" s="49">
        <f t="shared" si="43"/>
        <v>0</v>
      </c>
      <c r="AA47" s="48">
        <f t="shared" si="44"/>
        <v>0</v>
      </c>
      <c r="AB47" s="47"/>
      <c r="AC47" s="54"/>
      <c r="AD47" s="33">
        <f t="shared" si="45"/>
        <v>0</v>
      </c>
      <c r="AE47" s="33">
        <f t="shared" si="5"/>
        <v>0</v>
      </c>
    </row>
    <row r="48" spans="2:31" x14ac:dyDescent="0.3">
      <c r="B48"/>
      <c r="C48" s="9" t="s">
        <v>9</v>
      </c>
      <c r="D48" s="58">
        <f t="shared" si="48"/>
        <v>42041</v>
      </c>
      <c r="E48" s="29" t="s">
        <v>29</v>
      </c>
      <c r="F48" s="191"/>
      <c r="G48" s="194">
        <v>0.375</v>
      </c>
      <c r="H48" s="194">
        <v>3.125E-2</v>
      </c>
      <c r="I48" s="194">
        <v>0.70833333333333337</v>
      </c>
      <c r="J48" s="193">
        <f>IF(OR(E48="férié travaillé",E48="travail"),(I48-G48+IF(G48&gt;I48,1)-H48),INDEX('bases de donnée'!$E$20:'bases de donnée'!$E$32,MATCH(E48,gerald2,0)))</f>
        <v>0.30208333333333337</v>
      </c>
      <c r="K48" s="20">
        <f>IF(SUM(J48-'bases de donnée'!E$7)&lt;0,0,SUM(J48-'bases de donnée'!E$7))</f>
        <v>0</v>
      </c>
      <c r="L48" s="11">
        <f>IF(OR(E48="férié travaillé",E48="travail"),I48-G48+IF(G48&gt;I48,1),INDEX('bases de donnée'!$E$20:'bases de donnée'!$E$32,MATCH(E48,gerald2,0)))</f>
        <v>0.33333333333333337</v>
      </c>
      <c r="M48" s="21">
        <f>IF(SUM(L48-'bases de donnée'!E$4)&lt;0,0,SUM(L48-'bases de donnée'!E$4))</f>
        <v>0</v>
      </c>
      <c r="N48" s="155">
        <v>0</v>
      </c>
      <c r="O48" s="74">
        <f t="shared" si="46"/>
        <v>1.2083333333333335</v>
      </c>
      <c r="P48" s="86">
        <f>O51</f>
        <v>1.9895833333333335</v>
      </c>
      <c r="Q48" s="120">
        <f t="shared" si="47"/>
        <v>1</v>
      </c>
      <c r="R48" s="30"/>
      <c r="S48" s="77">
        <f>IF(SUM(MOD(I48-G48,1)-IF(I48&gt;G48,MAX(0,MIN(I48,'bases de donnée'!E$16/24)-MAX('planning '!G48,7/24)),MAX(0,'bases de donnée'!E$16/24-MAX('planning '!G48,7/24))+MAX(0,MIN('planning '!I48,'bases de donnée'!E$16/24)-7/24)))&lt;0,0,SUM(MOD('planning '!I48-'planning '!G48,1)-IF('planning '!I48&gt;'planning '!G48,MAX(0,MIN('planning '!I48,'bases de donnée'!E$16/24)-MAX('planning '!G48,7/24)),MAX(0,'bases de donnée'!E$16/24-MAX('planning '!G48,7/24))+MAX(0,MIN('planning '!I48,'bases de donnée'!E$16/24)-7/24))))</f>
        <v>0</v>
      </c>
      <c r="T48" s="82"/>
      <c r="U48" s="77" t="str">
        <f t="shared" si="41"/>
        <v>00:00</v>
      </c>
      <c r="V48" s="78">
        <f>IF(SUM(IF(O48&gt;("36:00"*1),O48-("36:00"*1),0)-V46-V47)&lt;0,0,SUM(IF(O48&gt;("36:00"*1),O48-("36:00"*1),0)-V45-V46-V47))</f>
        <v>0</v>
      </c>
      <c r="W48" s="47"/>
      <c r="X48" s="48">
        <f t="shared" si="42"/>
        <v>0</v>
      </c>
      <c r="Y48" s="42"/>
      <c r="Z48" s="49">
        <f t="shared" si="43"/>
        <v>0</v>
      </c>
      <c r="AA48" s="48">
        <f t="shared" si="44"/>
        <v>0</v>
      </c>
      <c r="AB48" s="47"/>
      <c r="AC48" s="54"/>
      <c r="AD48" s="33">
        <f t="shared" si="45"/>
        <v>0</v>
      </c>
      <c r="AE48" s="33">
        <f t="shared" si="5"/>
        <v>0</v>
      </c>
    </row>
    <row r="49" spans="2:31" x14ac:dyDescent="0.3">
      <c r="B49"/>
      <c r="C49" s="9" t="s">
        <v>3</v>
      </c>
      <c r="D49" s="58">
        <f t="shared" si="48"/>
        <v>42042</v>
      </c>
      <c r="E49" s="29" t="s">
        <v>29</v>
      </c>
      <c r="F49" s="191"/>
      <c r="G49" s="194">
        <v>0.39583333333333331</v>
      </c>
      <c r="H49" s="194">
        <v>3.125E-2</v>
      </c>
      <c r="I49" s="194">
        <v>0.70833333333333337</v>
      </c>
      <c r="J49" s="193">
        <f>IF(OR(E49="férié travaillé",E49="travail"),(I49-G49+IF(G49&gt;I49,1)-H49),INDEX('bases de donnée'!$E$20:'bases de donnée'!$E$32,MATCH(E49,gerald2,0)))</f>
        <v>0.28125000000000006</v>
      </c>
      <c r="K49" s="20">
        <f>IF(SUM(J49-'bases de donnée'!E$7)&lt;0,0,SUM(J49-'bases de donnée'!E$7))</f>
        <v>0</v>
      </c>
      <c r="L49" s="11">
        <f>IF(OR(E49="férié travaillé",E49="travail"),I49-G49+IF(G49&gt;I49,1),INDEX('bases de donnée'!$E$20:'bases de donnée'!$E$32,MATCH(E49,gerald2,0)))</f>
        <v>0.31250000000000006</v>
      </c>
      <c r="M49" s="21">
        <f>IF(SUM(L49-'bases de donnée'!E$4)&lt;0,0,SUM(L49-'bases de donnée'!E$4))</f>
        <v>0</v>
      </c>
      <c r="N49" s="155">
        <v>0</v>
      </c>
      <c r="O49" s="74">
        <f t="shared" si="46"/>
        <v>1.4895833333333335</v>
      </c>
      <c r="P49" s="8" t="s">
        <v>48</v>
      </c>
      <c r="Q49" s="120">
        <f t="shared" si="47"/>
        <v>1</v>
      </c>
      <c r="R49" s="30"/>
      <c r="S49" s="77">
        <f>IF(SUM(MOD(I49-G49,1)-IF(I49&gt;G49,MAX(0,MIN(I49,'bases de donnée'!E$16/24)-MAX('planning '!G49,7/24)),MAX(0,'bases de donnée'!E$16/24-MAX('planning '!G49,7/24))+MAX(0,MIN('planning '!I49,'bases de donnée'!E$16/24)-7/24)))&lt;0,0,SUM(MOD('planning '!I49-'planning '!G49,1)-IF('planning '!I49&gt;'planning '!G49,MAX(0,MIN('planning '!I49,'bases de donnée'!E$16/24)-MAX('planning '!G49,7/24)),MAX(0,'bases de donnée'!E$16/24-MAX('planning '!G49,7/24))+MAX(0,MIN('planning '!I49,'bases de donnée'!E$16/24)-7/24))))</f>
        <v>0</v>
      </c>
      <c r="T49" s="82"/>
      <c r="U49" s="77" t="str">
        <f t="shared" si="41"/>
        <v>00:00</v>
      </c>
      <c r="V49" s="78">
        <f>IF(SUM(IF(O49&gt;("36:00"*1),O49-("36:00"*1),0)-V47-V48)&lt;0,0,SUM(IF(O49&gt;("36:00"*1),O49-("36:00"*1),0)-V45-V46-V47-V48))</f>
        <v>0</v>
      </c>
      <c r="W49" s="47"/>
      <c r="X49" s="48">
        <f t="shared" si="42"/>
        <v>0</v>
      </c>
      <c r="Y49" s="42"/>
      <c r="Z49" s="49">
        <f t="shared" si="43"/>
        <v>0</v>
      </c>
      <c r="AA49" s="48">
        <f t="shared" si="44"/>
        <v>0</v>
      </c>
      <c r="AB49" s="47"/>
      <c r="AC49" s="54"/>
      <c r="AD49" s="33">
        <f t="shared" si="45"/>
        <v>0</v>
      </c>
      <c r="AE49" s="33">
        <f t="shared" si="5"/>
        <v>0</v>
      </c>
    </row>
    <row r="50" spans="2:31" x14ac:dyDescent="0.3">
      <c r="B50"/>
      <c r="C50" s="9" t="s">
        <v>4</v>
      </c>
      <c r="D50" s="58">
        <f t="shared" si="48"/>
        <v>42043</v>
      </c>
      <c r="E50" s="29" t="s">
        <v>29</v>
      </c>
      <c r="F50" s="191"/>
      <c r="G50" s="194">
        <v>0.5</v>
      </c>
      <c r="H50" s="194"/>
      <c r="I50" s="215">
        <v>1</v>
      </c>
      <c r="J50" s="193">
        <f>IF(OR(E50="férié travaillé",E50="travail"),(I50-G50+IF(G50&gt;I50,1)-H50),INDEX('bases de donnée'!$E$20:'bases de donnée'!$E$32,MATCH(E50,gerald2,0)))</f>
        <v>0.5</v>
      </c>
      <c r="K50" s="20">
        <f>IF(SUM(J50-'bases de donnée'!E$7)&lt;0,0,SUM(J50-'bases de donnée'!E$7))</f>
        <v>8.3333333333333315E-2</v>
      </c>
      <c r="L50" s="11">
        <f>IF(OR(E50="férié travaillé",E50="travail"),I50-G50+IF(G50&gt;I50,1),INDEX('bases de donnée'!$E$20:'bases de donnée'!$E$32,MATCH(E50,gerald2,0)))</f>
        <v>0.5</v>
      </c>
      <c r="M50" s="21">
        <f>IF(SUM(L50-'bases de donnée'!E$4)&lt;0,0,SUM(L50-'bases de donnée'!E$4))</f>
        <v>0</v>
      </c>
      <c r="N50" s="155">
        <v>0</v>
      </c>
      <c r="O50" s="74">
        <f t="shared" si="46"/>
        <v>1.9895833333333335</v>
      </c>
      <c r="P50" s="61">
        <f>'bases de donnée'!E$10</f>
        <v>2</v>
      </c>
      <c r="Q50" s="120">
        <f t="shared" si="47"/>
        <v>1</v>
      </c>
      <c r="R50" s="30"/>
      <c r="S50" s="77">
        <f>IF(SUM(MOD(I50-G50,1)-IF(I50&gt;G50,MAX(0,MIN(I50,'bases de donnée'!E$16/24)-MAX('planning '!G50,7/24)),MAX(0,'bases de donnée'!E$16/24-MAX('planning '!G50,7/24))+MAX(0,MIN('planning '!I50,'bases de donnée'!E$16/24)-7/24)))&lt;0,0,SUM(MOD('planning '!I50-'planning '!G50,1)-IF('planning '!I50&gt;'planning '!G50,MAX(0,MIN('planning '!I50,'bases de donnée'!E$16/24)-MAX('planning '!G50,7/24)),MAX(0,'bases de donnée'!E$16/24-MAX('planning '!G50,7/24))+MAX(0,MIN('planning '!I50,'bases de donnée'!E$16/24)-7/24))))</f>
        <v>0.125</v>
      </c>
      <c r="T50" s="82"/>
      <c r="U50" s="77" t="str">
        <f t="shared" si="41"/>
        <v>00:00</v>
      </c>
      <c r="V50" s="78">
        <f>IF(SUM(IF(O50&gt;("36:00"*1),O50-("36:00"*1),0)-V48-V49)&lt;0,0,SUM(IF(O50&gt;("36:00"*1),O50-("36:00"*1),0)-V45-V46-V47-V48-V49))</f>
        <v>0.48958333333333348</v>
      </c>
      <c r="W50" s="47"/>
      <c r="X50" s="48">
        <f t="shared" si="42"/>
        <v>0.125</v>
      </c>
      <c r="Y50" s="32"/>
      <c r="Z50" s="49">
        <f t="shared" si="43"/>
        <v>0</v>
      </c>
      <c r="AA50" s="48">
        <f t="shared" si="44"/>
        <v>0.36458333333333348</v>
      </c>
      <c r="AB50" s="47"/>
      <c r="AC50" s="55"/>
      <c r="AD50" s="33">
        <f t="shared" si="45"/>
        <v>0</v>
      </c>
      <c r="AE50" s="33">
        <f t="shared" si="5"/>
        <v>0.125</v>
      </c>
    </row>
    <row r="51" spans="2:31" x14ac:dyDescent="0.3">
      <c r="B51"/>
      <c r="C51" s="9" t="s">
        <v>5</v>
      </c>
      <c r="D51" s="58">
        <f t="shared" si="48"/>
        <v>42044</v>
      </c>
      <c r="E51" s="29" t="s">
        <v>28</v>
      </c>
      <c r="F51" s="192"/>
      <c r="G51" s="195"/>
      <c r="H51" s="194"/>
      <c r="I51" s="195"/>
      <c r="J51" s="193">
        <f>IF(OR(E51="férié travaillé",E51="travail"),(I51-G51+IF(G51&gt;I51,1)-H51),INDEX('bases de donnée'!$E$20:'bases de donnée'!$E$32,MATCH(E51,gerald2,0)))</f>
        <v>0</v>
      </c>
      <c r="K51" s="20">
        <f>IF(SUM(J51-'bases de donnée'!E$7)&lt;0,0,SUM(J51-'bases de donnée'!E$7))</f>
        <v>0</v>
      </c>
      <c r="L51" s="11">
        <f>IF(OR(E51="férié travaillé",E51="travail"),I51-G51+IF(G51&gt;I51,1),INDEX('bases de donnée'!$E$20:'bases de donnée'!$E$32,MATCH(E51,gerald2,0)))</f>
        <v>0</v>
      </c>
      <c r="M51" s="21">
        <f>IF(SUM(L51-'bases de donnée'!E$4)&lt;0,0,SUM(L51-'bases de donnée'!E$4))</f>
        <v>0</v>
      </c>
      <c r="N51" s="155">
        <v>0</v>
      </c>
      <c r="O51" s="74">
        <f t="shared" si="46"/>
        <v>1.9895833333333335</v>
      </c>
      <c r="P51" s="33">
        <f>IF(SUM(O51-'bases de donnée'!E$10)&lt;0,0,SUM(O51-'bases de donnée'!E$10))</f>
        <v>0</v>
      </c>
      <c r="Q51" s="120">
        <f t="shared" si="47"/>
        <v>0</v>
      </c>
      <c r="R51" s="30"/>
      <c r="S51" s="77">
        <f>IF(SUM(MOD(I51-G51,1)-IF(I51&gt;G51,MAX(0,MIN(I51,'bases de donnée'!E$16/24)-MAX('planning '!G51,7/24)),MAX(0,'bases de donnée'!E$16/24-MAX('planning '!G51,7/24))+MAX(0,MIN('planning '!I51,'bases de donnée'!E$16/24)-7/24)))&lt;0,0,SUM(MOD('planning '!I51-'planning '!G51,1)-IF('planning '!I51&gt;'planning '!G51,MAX(0,MIN('planning '!I51,'bases de donnée'!E$16/24)-MAX('planning '!G51,7/24)),MAX(0,'bases de donnée'!E$16/24-MAX('planning '!G51,7/24))+MAX(0,MIN('planning '!I51,'bases de donnée'!E$16/24)-7/24))))</f>
        <v>0</v>
      </c>
      <c r="T51" s="77">
        <f>J51</f>
        <v>0</v>
      </c>
      <c r="U51" s="77" t="str">
        <f t="shared" si="41"/>
        <v>00:00</v>
      </c>
      <c r="V51" s="78">
        <f>IF(SUM(IF(O51&gt;("36:00"*1),O51-("36:00"*1),0)-V49-V50)&lt;0,0,SUM(IF(O51&gt;("36:00"*1),O51-("36:00"*1),0)-V45-V46-V47-V48-V49-V50))</f>
        <v>0</v>
      </c>
      <c r="W51" s="47"/>
      <c r="X51" s="48">
        <f t="shared" si="42"/>
        <v>0</v>
      </c>
      <c r="Y51" s="48">
        <f>IF(SUM(T51-S51)&lt;0,0,SUM(T51-S51))</f>
        <v>0</v>
      </c>
      <c r="Z51" s="56">
        <f>IF(SUM(U51-T51-S51)&lt;0,0,SUM(U51-T51-S51))</f>
        <v>0</v>
      </c>
      <c r="AA51" s="48">
        <f>IF(SUM(V51-S51-T51-U51)&lt;0,0,SUM(V51-S51-T51-U51))</f>
        <v>0</v>
      </c>
      <c r="AB51" s="47"/>
      <c r="AC51" s="57">
        <f>IF(SUM(T51-Y51)&lt;0,0,SUM(T51-Y51))</f>
        <v>0</v>
      </c>
      <c r="AD51" s="33">
        <f>IF(SUM(U51-Z51)&lt;0,0,SUM(U51-Z51))</f>
        <v>0</v>
      </c>
      <c r="AE51" s="33">
        <f t="shared" si="5"/>
        <v>0</v>
      </c>
    </row>
    <row r="52" spans="2:31" x14ac:dyDescent="0.3">
      <c r="B52"/>
      <c r="C52" s="25"/>
      <c r="D52" s="90"/>
      <c r="E52" s="90"/>
      <c r="F52" s="25"/>
      <c r="G52" s="47"/>
      <c r="H52" s="47"/>
      <c r="I52" s="47"/>
      <c r="J52" s="47"/>
      <c r="K52" s="92"/>
      <c r="L52" s="91"/>
      <c r="M52" s="91"/>
      <c r="N52" s="91"/>
      <c r="O52" s="93"/>
      <c r="P52" s="47"/>
      <c r="Q52" s="30"/>
      <c r="R52" s="30"/>
      <c r="S52" s="47"/>
      <c r="T52" s="47"/>
      <c r="U52" s="47"/>
      <c r="V52" s="93"/>
      <c r="W52" s="47"/>
      <c r="X52" s="47"/>
      <c r="Y52" s="47"/>
      <c r="Z52" s="47"/>
      <c r="AA52" s="47"/>
      <c r="AB52" s="47"/>
      <c r="AC52" s="47"/>
      <c r="AD52" s="47"/>
      <c r="AE52" s="47"/>
    </row>
    <row r="53" spans="2:31" x14ac:dyDescent="0.3">
      <c r="B53" s="14" t="s">
        <v>40</v>
      </c>
      <c r="C53" s="14" t="s">
        <v>6</v>
      </c>
      <c r="D53" s="43">
        <f>D51+1</f>
        <v>42045</v>
      </c>
      <c r="E53" s="29" t="s">
        <v>28</v>
      </c>
      <c r="F53" s="190"/>
      <c r="G53" s="194"/>
      <c r="H53" s="194"/>
      <c r="I53" s="194"/>
      <c r="J53" s="193">
        <f>IF(OR(E53="férié travaillé",E53="travail"),(I53-G53+IF(G53&gt;I53,1)-H53),INDEX('bases de donnée'!$E$20:'bases de donnée'!$E$32,MATCH(E53,gerald2,0)))</f>
        <v>0</v>
      </c>
      <c r="K53" s="20">
        <f>IF(SUM(J53-'bases de donnée'!E$7)&lt;0,0,SUM(J53-'bases de donnée'!E$7))</f>
        <v>0</v>
      </c>
      <c r="L53" s="11">
        <f>IF(OR(E53="férié travaillé",E53="travail"),I53-G53+IF(G53&gt;I53,1),INDEX('bases de donnée'!$E$20:'bases de donnée'!$E$32,MATCH(E53,gerald2,0)))</f>
        <v>0</v>
      </c>
      <c r="M53" s="21">
        <f>IF(SUM(L53-'bases de donnée'!E$4)&lt;0,0,SUM(L53-'bases de donnée'!E$4))</f>
        <v>0</v>
      </c>
      <c r="N53" s="155">
        <v>0</v>
      </c>
      <c r="O53" s="45">
        <f>J53</f>
        <v>0</v>
      </c>
      <c r="P53" s="122">
        <f>SUM(Q53:Q59)</f>
        <v>3</v>
      </c>
      <c r="Q53" s="120">
        <f>IF(AND(G53&lt;&gt;"",I53&lt;&gt;""),1,0+OR(N(I52)&lt;N(G52),E53="récupération",E53="congé 1 jour",E53="congé 1/2 jour ",E53="congé 5h24",E53="arrêt maladie",E53="arrêt travail",E53="férié ",E53="congé parentale",E53="congé de naissance"))</f>
        <v>0</v>
      </c>
      <c r="R53" s="30"/>
      <c r="S53" s="77">
        <f>IF(SUM(MOD(I53-G53,1)-IF(I53&gt;G53,MAX(0,MIN(I53,'bases de donnée'!E$16/24)-MAX('planning '!G53,7/24)),MAX(0,'bases de donnée'!E$16/24-MAX('planning '!G53,7/24))+MAX(0,MIN('planning '!I53,'bases de donnée'!E$16/24)-7/24)))&lt;0,0,SUM(MOD('planning '!I53-'planning '!G53,1)-IF('planning '!I53&gt;'planning '!G53,MAX(0,MIN('planning '!I53,'bases de donnée'!E$16/24)-MAX('planning '!G53,7/24)),MAX(0,'bases de donnée'!E$16/24-MAX('planning '!G53,7/24))+MAX(0,MIN('planning '!I53,'bases de donnée'!E$16/24)-7/24))))</f>
        <v>0</v>
      </c>
      <c r="T53" s="50"/>
      <c r="U53" s="84" t="str">
        <f t="shared" ref="U53:U59" si="49">IF(E53&lt;&gt;"travail",IF(E53="férié travaillé",MOD(I53-G53,1)-H53,"00:00"),"00:00")</f>
        <v>00:00</v>
      </c>
      <c r="V53" s="78"/>
      <c r="W53" s="47"/>
      <c r="X53" s="48">
        <f t="shared" si="42"/>
        <v>0</v>
      </c>
      <c r="Y53" s="31"/>
      <c r="Z53" s="49">
        <f t="shared" ref="Z53:Z58" si="50">IF(SUM(U53-X53)&lt;0,0,SUM(U53-X53))</f>
        <v>0</v>
      </c>
      <c r="AA53" s="48">
        <f t="shared" ref="AA53:AA58" si="51">IF(SUM(V53-X53-Z53)&lt;0,0,SUM(V53-X53-Z53))</f>
        <v>0</v>
      </c>
      <c r="AB53" s="47"/>
      <c r="AC53" s="50"/>
      <c r="AD53" s="33">
        <f t="shared" ref="AD53:AD58" si="52">IF(SUM(U53-Z53)&lt;0,0,SUM(U53-Z53))</f>
        <v>0</v>
      </c>
      <c r="AE53" s="33">
        <f t="shared" si="5"/>
        <v>0</v>
      </c>
    </row>
    <row r="54" spans="2:31" x14ac:dyDescent="0.3">
      <c r="B54" s="51">
        <f>B46+1</f>
        <v>6</v>
      </c>
      <c r="C54" s="14" t="s">
        <v>7</v>
      </c>
      <c r="D54" s="43">
        <f>D53+1</f>
        <v>42046</v>
      </c>
      <c r="E54" s="29" t="s">
        <v>29</v>
      </c>
      <c r="F54" s="191"/>
      <c r="G54" s="194">
        <v>0.375</v>
      </c>
      <c r="H54" s="194">
        <v>3.125E-2</v>
      </c>
      <c r="I54" s="194">
        <v>0.70833333333333337</v>
      </c>
      <c r="J54" s="193">
        <f>IF(OR(E54="férié travaillé",E54="travail"),(I54-G54+IF(G54&gt;I54,1)-H54),INDEX('bases de donnée'!$E$20:'bases de donnée'!$E$32,MATCH(E54,gerald2,0)))</f>
        <v>0.30208333333333337</v>
      </c>
      <c r="K54" s="20">
        <f>IF(SUM(J54-'bases de donnée'!E$7)&lt;0,0,SUM(J54-'bases de donnée'!E$7))</f>
        <v>0</v>
      </c>
      <c r="L54" s="11">
        <f>IF(OR(E54="férié travaillé",E54="travail"),I54-G54+IF(G54&gt;I54,1),INDEX('bases de donnée'!$E$20:'bases de donnée'!$E$32,MATCH(E54,gerald2,0)))</f>
        <v>0.33333333333333337</v>
      </c>
      <c r="M54" s="21">
        <f>IF(SUM(L54-'bases de donnée'!E$4)&lt;0,0,SUM(L54-'bases de donnée'!E$4))</f>
        <v>0</v>
      </c>
      <c r="N54" s="155">
        <v>0</v>
      </c>
      <c r="O54" s="73">
        <f t="shared" ref="O54:O59" si="53">O53+J54</f>
        <v>0.30208333333333337</v>
      </c>
      <c r="P54" s="121">
        <f>IF(SUM(P53-'bases de donnée'!E$6)&lt;0,0,SUM(P53-'bases de donnée'!E$6))</f>
        <v>0</v>
      </c>
      <c r="Q54" s="120">
        <f t="shared" ref="Q54:Q59" si="54">IF(AND(G54&lt;&gt;"",I54&lt;&gt;""),1,0+OR(N(I53)&lt;N(G53),E54="récupération",E54="congé 1 jour",E54="congé 1/2 jour ",E54="congé 5h24",E54="arrêt maladie",E54="arrêt travail",E54="férié ",E54="congé parentale",E54="congé de naissance"))</f>
        <v>1</v>
      </c>
      <c r="R54" s="30"/>
      <c r="S54" s="77">
        <f>IF(SUM(MOD(I54-G54,1)-IF(I54&gt;G54,MAX(0,MIN(I54,'bases de donnée'!E$16/24)-MAX('planning '!G54,7/24)),MAX(0,'bases de donnée'!E$16/24-MAX('planning '!G54,7/24))+MAX(0,MIN('planning '!I54,'bases de donnée'!E$16/24)-7/24)))&lt;0,0,SUM(MOD('planning '!I54-'planning '!G54,1)-IF('planning '!I54&gt;'planning '!G54,MAX(0,MIN('planning '!I54,'bases de donnée'!E$16/24)-MAX('planning '!G54,7/24)),MAX(0,'bases de donnée'!E$16/24-MAX('planning '!G54,7/24))+MAX(0,MIN('planning '!I54,'bases de donnée'!E$16/24)-7/24))))</f>
        <v>0</v>
      </c>
      <c r="T54" s="54"/>
      <c r="U54" s="84" t="str">
        <f t="shared" si="49"/>
        <v>00:00</v>
      </c>
      <c r="V54" s="78">
        <f>IF(SUM(IF(O54&gt;('bases de donnée'!E$9*1),O54-('bases de donnée'!E$9*1),0)-V53)&lt;0,0,SUM(IF(O54&gt;('bases de donnée'!E$9*1),O54-('bases de donnée'!E$9*1),0)-V53))</f>
        <v>0</v>
      </c>
      <c r="W54" s="47"/>
      <c r="X54" s="48">
        <f t="shared" si="42"/>
        <v>0</v>
      </c>
      <c r="Y54" s="42"/>
      <c r="Z54" s="49">
        <f t="shared" si="50"/>
        <v>0</v>
      </c>
      <c r="AA54" s="48">
        <f t="shared" si="51"/>
        <v>0</v>
      </c>
      <c r="AB54" s="47"/>
      <c r="AC54" s="54"/>
      <c r="AD54" s="33">
        <f t="shared" si="52"/>
        <v>0</v>
      </c>
      <c r="AE54" s="33">
        <f t="shared" si="5"/>
        <v>0</v>
      </c>
    </row>
    <row r="55" spans="2:31" x14ac:dyDescent="0.3">
      <c r="B55"/>
      <c r="C55" s="14" t="s">
        <v>8</v>
      </c>
      <c r="D55" s="43">
        <f t="shared" ref="D55:D59" si="55">D54+1</f>
        <v>42047</v>
      </c>
      <c r="E55" s="29" t="s">
        <v>28</v>
      </c>
      <c r="F55" s="191"/>
      <c r="G55" s="194"/>
      <c r="H55" s="194"/>
      <c r="I55" s="194"/>
      <c r="J55" s="193">
        <f>IF(OR(E55="férié travaillé",E55="travail"),(I55-G55+IF(G55&gt;I55,1)-H55),INDEX('bases de donnée'!$E$20:'bases de donnée'!$E$32,MATCH(E55,gerald2,0)))</f>
        <v>0</v>
      </c>
      <c r="K55" s="20">
        <f>IF(SUM(J55-'bases de donnée'!E$7)&lt;0,0,SUM(J55-'bases de donnée'!E$7))</f>
        <v>0</v>
      </c>
      <c r="L55" s="11">
        <f>IF(OR(E55="férié travaillé",E55="travail"),I55-G55+IF(G55&gt;I55,1),INDEX('bases de donnée'!$E$20:'bases de donnée'!$E$32,MATCH(E55,gerald2,0)))</f>
        <v>0</v>
      </c>
      <c r="M55" s="21">
        <f>IF(SUM(L55-'bases de donnée'!E$4)&lt;0,0,SUM(L55-'bases de donnée'!E$4))</f>
        <v>0</v>
      </c>
      <c r="N55" s="155">
        <v>0</v>
      </c>
      <c r="O55" s="73">
        <f t="shared" si="53"/>
        <v>0.30208333333333337</v>
      </c>
      <c r="P55" s="34" t="s">
        <v>46</v>
      </c>
      <c r="Q55" s="120">
        <f t="shared" si="54"/>
        <v>0</v>
      </c>
      <c r="R55" s="30"/>
      <c r="S55" s="77">
        <f>IF(SUM(MOD(I55-G55,1)-IF(I55&gt;G55,MAX(0,MIN(I55,'bases de donnée'!E$16/24)-MAX('planning '!G55,7/24)),MAX(0,'bases de donnée'!E$16/24-MAX('planning '!G55,7/24))+MAX(0,MIN('planning '!I55,'bases de donnée'!E$16/24)-7/24)))&lt;0,0,SUM(MOD('planning '!I55-'planning '!G55,1)-IF('planning '!I55&gt;'planning '!G55,MAX(0,MIN('planning '!I55,'bases de donnée'!E$16/24)-MAX('planning '!G55,7/24)),MAX(0,'bases de donnée'!E$16/24-MAX('planning '!G55,7/24))+MAX(0,MIN('planning '!I55,'bases de donnée'!E$16/24)-7/24))))</f>
        <v>0</v>
      </c>
      <c r="T55" s="54"/>
      <c r="U55" s="84" t="str">
        <f t="shared" si="49"/>
        <v>00:00</v>
      </c>
      <c r="V55" s="78">
        <f>IF(SUM(IF(O55&gt;("36:00"*1),O55-("36:00"*1),0)-V53-V54)&lt;0,0,SUM(IF(O55&gt;("36:00"*1),O55-("36:00"*1),0)-V53-V54))</f>
        <v>0</v>
      </c>
      <c r="W55" s="47"/>
      <c r="X55" s="48">
        <f t="shared" si="42"/>
        <v>0</v>
      </c>
      <c r="Y55" s="42"/>
      <c r="Z55" s="49">
        <f t="shared" si="50"/>
        <v>0</v>
      </c>
      <c r="AA55" s="48">
        <f t="shared" si="51"/>
        <v>0</v>
      </c>
      <c r="AB55" s="47"/>
      <c r="AC55" s="54"/>
      <c r="AD55" s="33">
        <f t="shared" si="52"/>
        <v>0</v>
      </c>
      <c r="AE55" s="33">
        <f t="shared" si="5"/>
        <v>0</v>
      </c>
    </row>
    <row r="56" spans="2:31" x14ac:dyDescent="0.3">
      <c r="B56"/>
      <c r="C56" s="14" t="s">
        <v>9</v>
      </c>
      <c r="D56" s="43">
        <f t="shared" si="55"/>
        <v>42048</v>
      </c>
      <c r="E56" s="29" t="s">
        <v>28</v>
      </c>
      <c r="F56" s="191"/>
      <c r="G56" s="194"/>
      <c r="H56" s="194"/>
      <c r="I56" s="194"/>
      <c r="J56" s="193">
        <f>IF(OR(E56="férié travaillé",E56="travail"),(I56-G56+IF(G56&gt;I56,1)-H56),INDEX('bases de donnée'!$E$20:'bases de donnée'!$E$32,MATCH(E56,gerald2,0)))</f>
        <v>0</v>
      </c>
      <c r="K56" s="20">
        <f>IF(SUM(J56-'bases de donnée'!E$7)&lt;0,0,SUM(J56-'bases de donnée'!E$7))</f>
        <v>0</v>
      </c>
      <c r="L56" s="11">
        <f>IF(OR(E56="férié travaillé",E56="travail"),I56-G56+IF(G56&gt;I56,1),INDEX('bases de donnée'!$E$20:'bases de donnée'!$E$32,MATCH(E56,gerald2,0)))</f>
        <v>0</v>
      </c>
      <c r="M56" s="21">
        <f>IF(SUM(L56-'bases de donnée'!E$4)&lt;0,0,SUM(L56-'bases de donnée'!E$4))</f>
        <v>0</v>
      </c>
      <c r="N56" s="155">
        <v>0</v>
      </c>
      <c r="O56" s="73">
        <f t="shared" si="53"/>
        <v>0.30208333333333337</v>
      </c>
      <c r="P56" s="86">
        <f>O59</f>
        <v>0.75</v>
      </c>
      <c r="Q56" s="120">
        <f t="shared" si="54"/>
        <v>0</v>
      </c>
      <c r="R56" s="30"/>
      <c r="S56" s="77">
        <f>IF(SUM(MOD(I56-G56,1)-IF(I56&gt;G56,MAX(0,MIN(I56,'bases de donnée'!E$16/24)-MAX('planning '!G56,7/24)),MAX(0,'bases de donnée'!E$16/24-MAX('planning '!G56,7/24))+MAX(0,MIN('planning '!I56,'bases de donnée'!E$16/24)-7/24)))&lt;0,0,SUM(MOD('planning '!I56-'planning '!G56,1)-IF('planning '!I56&gt;'planning '!G56,MAX(0,MIN('planning '!I56,'bases de donnée'!E$16/24)-MAX('planning '!G56,7/24)),MAX(0,'bases de donnée'!E$16/24-MAX('planning '!G56,7/24))+MAX(0,MIN('planning '!I56,'bases de donnée'!E$16/24)-7/24))))</f>
        <v>0</v>
      </c>
      <c r="T56" s="54"/>
      <c r="U56" s="84" t="str">
        <f t="shared" si="49"/>
        <v>00:00</v>
      </c>
      <c r="V56" s="78">
        <f>IF(SUM(IF(O56&gt;("36:00"*1),O56-("36:00"*1),0)-V54-V55)&lt;0,0,SUM(IF(O56&gt;("36:00"*1),O56-("36:00"*1),0)-V53-V54-V55))</f>
        <v>0</v>
      </c>
      <c r="W56" s="47"/>
      <c r="X56" s="48">
        <f t="shared" si="42"/>
        <v>0</v>
      </c>
      <c r="Y56" s="42"/>
      <c r="Z56" s="49">
        <f t="shared" si="50"/>
        <v>0</v>
      </c>
      <c r="AA56" s="48">
        <f t="shared" si="51"/>
        <v>0</v>
      </c>
      <c r="AB56" s="47"/>
      <c r="AC56" s="54"/>
      <c r="AD56" s="33">
        <f t="shared" si="52"/>
        <v>0</v>
      </c>
      <c r="AE56" s="33">
        <f t="shared" si="5"/>
        <v>0</v>
      </c>
    </row>
    <row r="57" spans="2:31" x14ac:dyDescent="0.3">
      <c r="B57"/>
      <c r="C57" s="14" t="s">
        <v>3</v>
      </c>
      <c r="D57" s="43">
        <f t="shared" si="55"/>
        <v>42049</v>
      </c>
      <c r="E57" s="29" t="s">
        <v>29</v>
      </c>
      <c r="F57" s="191"/>
      <c r="G57" s="194">
        <v>0.58333333333333337</v>
      </c>
      <c r="H57" s="194"/>
      <c r="I57" s="194">
        <v>3.125E-2</v>
      </c>
      <c r="J57" s="193">
        <f>IF(OR(E57="férié travaillé",E57="travail"),(I57-G57+IF(G57&gt;I57,1)-H57),INDEX('bases de donnée'!$E$20:'bases de donnée'!$E$32,MATCH(E57,gerald2,0)))</f>
        <v>0.44791666666666663</v>
      </c>
      <c r="K57" s="20">
        <f>IF(SUM(J57-'bases de donnée'!E$7)&lt;0,0,SUM(J57-'bases de donnée'!E$7))</f>
        <v>3.1249999999999944E-2</v>
      </c>
      <c r="L57" s="11">
        <f>IF(OR(E57="férié travaillé",E57="travail"),I57-G57+IF(G57&gt;I57,1),INDEX('bases de donnée'!$E$20:'bases de donnée'!$E$32,MATCH(E57,gerald2,0)))</f>
        <v>0.44791666666666663</v>
      </c>
      <c r="M57" s="21">
        <f>IF(SUM(L57-'bases de donnée'!E$4)&lt;0,0,SUM(L57-'bases de donnée'!E$4))</f>
        <v>0</v>
      </c>
      <c r="N57" s="155">
        <v>0</v>
      </c>
      <c r="O57" s="73">
        <f t="shared" si="53"/>
        <v>0.75</v>
      </c>
      <c r="P57" s="12" t="s">
        <v>48</v>
      </c>
      <c r="Q57" s="120">
        <f t="shared" si="54"/>
        <v>1</v>
      </c>
      <c r="R57" s="30"/>
      <c r="S57" s="77">
        <f>IF(SUM(MOD(I57-G57,1)-IF(I57&gt;G57,MAX(0,MIN(I57,'bases de donnée'!E$16/24)-MAX('planning '!G57,7/24)),MAX(0,'bases de donnée'!E$16/24-MAX('planning '!G57,7/24))+MAX(0,MIN('planning '!I57,'bases de donnée'!E$16/24)-7/24)))&lt;0,0,SUM(MOD('planning '!I57-'planning '!G57,1)-IF('planning '!I57&gt;'planning '!G57,MAX(0,MIN('planning '!I57,'bases de donnée'!E$16/24)-MAX('planning '!G57,7/24)),MAX(0,'bases de donnée'!E$16/24-MAX('planning '!G57,7/24))+MAX(0,MIN('planning '!I57,'bases de donnée'!E$16/24)-7/24))))</f>
        <v>0.15625</v>
      </c>
      <c r="T57" s="54"/>
      <c r="U57" s="84" t="str">
        <f t="shared" si="49"/>
        <v>00:00</v>
      </c>
      <c r="V57" s="78">
        <f>IF(SUM(IF(O57&gt;("36:00"*1),O57-("36:00"*1),0)-V55-V56)&lt;0,0,SUM(IF(O57&gt;("36:00"*1),O57-("36:00"*1),0)-V53-V54-V55-V56))</f>
        <v>0</v>
      </c>
      <c r="W57" s="47"/>
      <c r="X57" s="48">
        <f t="shared" si="42"/>
        <v>0.15625</v>
      </c>
      <c r="Y57" s="42"/>
      <c r="Z57" s="49">
        <f t="shared" si="50"/>
        <v>0</v>
      </c>
      <c r="AA57" s="48">
        <f t="shared" si="51"/>
        <v>0</v>
      </c>
      <c r="AB57" s="47"/>
      <c r="AC57" s="54"/>
      <c r="AD57" s="33">
        <f t="shared" si="52"/>
        <v>0</v>
      </c>
      <c r="AE57" s="33">
        <f t="shared" si="5"/>
        <v>0</v>
      </c>
    </row>
    <row r="58" spans="2:31" x14ac:dyDescent="0.3">
      <c r="B58"/>
      <c r="C58" s="14" t="s">
        <v>4</v>
      </c>
      <c r="D58" s="43">
        <f t="shared" si="55"/>
        <v>42050</v>
      </c>
      <c r="E58" s="29" t="s">
        <v>28</v>
      </c>
      <c r="F58" s="191"/>
      <c r="G58" s="194"/>
      <c r="H58" s="194"/>
      <c r="I58" s="194"/>
      <c r="J58" s="193">
        <f>IF(OR(E58="férié travaillé",E58="travail"),(I58-G58+IF(G58&gt;I58,1)-H58),INDEX('bases de donnée'!$E$20:'bases de donnée'!$E$32,MATCH(E58,gerald2,0)))</f>
        <v>0</v>
      </c>
      <c r="K58" s="20">
        <f>IF(SUM(J58-'bases de donnée'!E$7)&lt;0,0,SUM(J58-'bases de donnée'!E$7))</f>
        <v>0</v>
      </c>
      <c r="L58" s="11">
        <f>IF(OR(E58="férié travaillé",E58="travail"),I58-G58+IF(G58&gt;I58,1),INDEX('bases de donnée'!$E$20:'bases de donnée'!$E$32,MATCH(E58,gerald2,0)))</f>
        <v>0</v>
      </c>
      <c r="M58" s="21">
        <f>IF(SUM(L58-'bases de donnée'!E$4)&lt;0,0,SUM(L58-'bases de donnée'!E$4))</f>
        <v>0</v>
      </c>
      <c r="N58" s="155">
        <v>0</v>
      </c>
      <c r="O58" s="73">
        <f t="shared" si="53"/>
        <v>0.75</v>
      </c>
      <c r="P58" s="53">
        <f>'bases de donnée'!E$10</f>
        <v>2</v>
      </c>
      <c r="Q58" s="120">
        <f t="shared" si="54"/>
        <v>1</v>
      </c>
      <c r="R58" s="30"/>
      <c r="S58" s="77">
        <f>IF(SUM(MOD(I58-G58,1)-IF(I58&gt;G58,MAX(0,MIN(I58,'bases de donnée'!E$16/24)-MAX('planning '!G58,7/24)),MAX(0,'bases de donnée'!E$16/24-MAX('planning '!G58,7/24))+MAX(0,MIN('planning '!I58,'bases de donnée'!E$16/24)-7/24)))&lt;0,0,SUM(MOD('planning '!I58-'planning '!G58,1)-IF('planning '!I58&gt;'planning '!G58,MAX(0,MIN('planning '!I58,'bases de donnée'!E$16/24)-MAX('planning '!G58,7/24)),MAX(0,'bases de donnée'!E$16/24-MAX('planning '!G58,7/24))+MAX(0,MIN('planning '!I58,'bases de donnée'!E$16/24)-7/24))))</f>
        <v>0</v>
      </c>
      <c r="T58" s="55"/>
      <c r="U58" s="84" t="str">
        <f t="shared" si="49"/>
        <v>00:00</v>
      </c>
      <c r="V58" s="78">
        <f>IF(SUM(IF(O58&gt;("36:00"*1),O58-("36:00"*1),0)-V56-V57)&lt;0,0,SUM(IF(O58&gt;("36:00"*1),O58-("36:00"*1),0)-V53-V54-V55-V56-V57))</f>
        <v>0</v>
      </c>
      <c r="W58" s="47"/>
      <c r="X58" s="48">
        <f t="shared" si="42"/>
        <v>0</v>
      </c>
      <c r="Y58" s="32"/>
      <c r="Z58" s="49">
        <f t="shared" si="50"/>
        <v>0</v>
      </c>
      <c r="AA58" s="48">
        <f t="shared" si="51"/>
        <v>0</v>
      </c>
      <c r="AB58" s="47"/>
      <c r="AC58" s="55"/>
      <c r="AD58" s="33">
        <f t="shared" si="52"/>
        <v>0</v>
      </c>
      <c r="AE58" s="33">
        <f t="shared" si="5"/>
        <v>0</v>
      </c>
    </row>
    <row r="59" spans="2:31" x14ac:dyDescent="0.3">
      <c r="B59"/>
      <c r="C59" s="14" t="s">
        <v>5</v>
      </c>
      <c r="D59" s="43">
        <f t="shared" si="55"/>
        <v>42051</v>
      </c>
      <c r="E59" s="29" t="s">
        <v>28</v>
      </c>
      <c r="F59" s="192"/>
      <c r="G59" s="194"/>
      <c r="H59" s="194"/>
      <c r="I59" s="194"/>
      <c r="J59" s="193">
        <f>IF(OR(E59="férié travaillé",E59="travail"),(I59-G59+IF(G59&gt;I59,1)-H59),INDEX('bases de donnée'!$E$20:'bases de donnée'!$E$32,MATCH(E59,gerald2,0)))</f>
        <v>0</v>
      </c>
      <c r="K59" s="20">
        <f>IF(SUM(J59-'bases de donnée'!E$7)&lt;0,0,SUM(J59-'bases de donnée'!E$7))</f>
        <v>0</v>
      </c>
      <c r="L59" s="11">
        <f>IF(OR(E59="férié travaillé",E59="travail"),I59-G59+IF(G59&gt;I59,1),INDEX('bases de donnée'!$E$20:'bases de donnée'!$E$32,MATCH(E59,gerald2,0)))</f>
        <v>0</v>
      </c>
      <c r="M59" s="21">
        <f>IF(SUM(L59-'bases de donnée'!E$4)&lt;0,0,SUM(L59-'bases de donnée'!E$4))</f>
        <v>0</v>
      </c>
      <c r="N59" s="155">
        <v>0</v>
      </c>
      <c r="O59" s="73">
        <f t="shared" si="53"/>
        <v>0.75</v>
      </c>
      <c r="P59" s="33">
        <f>IF(SUM(O59-'bases de donnée'!E$10)&lt;0,0,SUM(O59-'bases de donnée'!E$10))</f>
        <v>0</v>
      </c>
      <c r="Q59" s="120">
        <f t="shared" si="54"/>
        <v>0</v>
      </c>
      <c r="R59" s="30"/>
      <c r="S59" s="77">
        <f>IF(SUM(MOD(I59-G59,1)-IF(I59&gt;G59,MAX(0,MIN(I59,'bases de donnée'!E$16/24)-MAX('planning '!G59,7/24)),MAX(0,'bases de donnée'!E$16/24-MAX('planning '!G59,7/24))+MAX(0,MIN('planning '!I59,'bases de donnée'!E$16/24)-7/24)))&lt;0,0,SUM(MOD('planning '!I59-'planning '!G59,1)-IF('planning '!I59&gt;'planning '!G59,MAX(0,MIN('planning '!I59,'bases de donnée'!E$16/24)-MAX('planning '!G59,7/24)),MAX(0,'bases de donnée'!E$16/24-MAX('planning '!G59,7/24))+MAX(0,MIN('planning '!I59,'bases de donnée'!E$16/24)-7/24))))</f>
        <v>0</v>
      </c>
      <c r="T59" s="79">
        <f>J59</f>
        <v>0</v>
      </c>
      <c r="U59" s="77" t="str">
        <f t="shared" si="49"/>
        <v>00:00</v>
      </c>
      <c r="V59" s="78">
        <f>IF(SUM(IF(O59&gt;("36:00"*1),O59-("36:00"*1),0)-V57-V58)&lt;0,0,SUM(IF(O59&gt;("36:00"*1),O59-("36:00"*1),0)-V53-V54-V55-V56-V57-V58))</f>
        <v>0</v>
      </c>
      <c r="W59" s="47"/>
      <c r="X59" s="48">
        <f t="shared" si="42"/>
        <v>0</v>
      </c>
      <c r="Y59" s="48">
        <f>IF(SUM(T59-S59)&lt;0,0,SUM(T59-S59))</f>
        <v>0</v>
      </c>
      <c r="Z59" s="56">
        <f>IF(SUM(U59-T59-S59)&lt;0,0,SUM(U59-T59-S59))</f>
        <v>0</v>
      </c>
      <c r="AA59" s="48">
        <f>IF(SUM(V59-S59-T59-U59)&lt;0,0,SUM(V59-S59-T59-U59))</f>
        <v>0</v>
      </c>
      <c r="AB59" s="47"/>
      <c r="AC59" s="57">
        <f>IF(SUM(T59-Y59)&lt;0,0,SUM(T59-Y59))</f>
        <v>0</v>
      </c>
      <c r="AD59" s="33">
        <f>IF(SUM(U59-Z59)&lt;0,0,SUM(U59-Z59))</f>
        <v>0</v>
      </c>
      <c r="AE59" s="33">
        <f t="shared" si="5"/>
        <v>0</v>
      </c>
    </row>
    <row r="60" spans="2:31" x14ac:dyDescent="0.3">
      <c r="B60"/>
      <c r="C60" s="25"/>
      <c r="D60" s="90"/>
      <c r="E60" s="90"/>
      <c r="F60" s="25"/>
      <c r="G60" s="47"/>
      <c r="H60" s="47"/>
      <c r="I60" s="47"/>
      <c r="J60" s="47"/>
      <c r="K60" s="92"/>
      <c r="L60" s="91"/>
      <c r="M60" s="91"/>
      <c r="N60" s="91"/>
      <c r="O60" s="93"/>
      <c r="P60" s="47"/>
      <c r="Q60" s="30"/>
      <c r="R60" s="30"/>
      <c r="S60" s="47"/>
      <c r="T60" s="47"/>
      <c r="U60" s="47"/>
      <c r="V60" s="93"/>
      <c r="W60" s="47"/>
      <c r="X60" s="47"/>
      <c r="Y60" s="47"/>
      <c r="Z60" s="47"/>
      <c r="AA60" s="47"/>
      <c r="AB60" s="47"/>
      <c r="AC60" s="47"/>
      <c r="AD60" s="47"/>
      <c r="AE60" s="47"/>
    </row>
    <row r="61" spans="2:31" x14ac:dyDescent="0.3">
      <c r="B61" s="9" t="s">
        <v>40</v>
      </c>
      <c r="C61" s="9" t="s">
        <v>6</v>
      </c>
      <c r="D61" s="58">
        <f>D59+1</f>
        <v>42052</v>
      </c>
      <c r="E61" s="29" t="s">
        <v>29</v>
      </c>
      <c r="F61" s="190"/>
      <c r="G61" s="194">
        <v>0.375</v>
      </c>
      <c r="H61" s="194">
        <v>3.125E-2</v>
      </c>
      <c r="I61" s="194">
        <v>0.76041666666666663</v>
      </c>
      <c r="J61" s="193">
        <f>IF(OR(E61="férié travaillé",E61="travail"),(I61-G61+IF(G61&gt;I61,1)-H61),INDEX('bases de donnée'!$E$20:'bases de donnée'!$E$32,MATCH(E61,gerald2,0)))</f>
        <v>0.35416666666666663</v>
      </c>
      <c r="K61" s="20">
        <f>IF(SUM(J61-'bases de donnée'!E$7)&lt;0,0,SUM(J61-'bases de donnée'!E$7))</f>
        <v>0</v>
      </c>
      <c r="L61" s="11">
        <f>IF(OR(E61="férié travaillé",E61="travail"),I61-G61+IF(G61&gt;I61,1),INDEX('bases de donnée'!$E$20:'bases de donnée'!$E$32,MATCH(E61,gerald2,0)))</f>
        <v>0.38541666666666663</v>
      </c>
      <c r="M61" s="21">
        <f>IF(SUM(L61-'bases de donnée'!E$4)&lt;0,0,SUM(L61-'bases de donnée'!E$4))</f>
        <v>0</v>
      </c>
      <c r="N61" s="155">
        <v>0</v>
      </c>
      <c r="O61" s="59">
        <f>J61</f>
        <v>0.35416666666666663</v>
      </c>
      <c r="P61" s="122">
        <f>SUM(Q61:Q67)</f>
        <v>5</v>
      </c>
      <c r="Q61" s="120">
        <f>IF(AND(G61&lt;&gt;"",I61&lt;&gt;""),1,0+OR(N(I60)&lt;N(G60),E61="récupération",E61="congé 1 jour",E61="congé 1/2 jour ",E61="congé 5h24",E61="arrêt maladie",E61="arrêt travail",E61="férié ",E61="congé parentale",E61="congé de naissance"))</f>
        <v>1</v>
      </c>
      <c r="R61" s="30"/>
      <c r="S61" s="77">
        <f>IF(SUM(MOD(I61-G61,1)-IF(I61&gt;G61,MAX(0,MIN(I61,'bases de donnée'!E$16/24)-MAX('planning '!G61,7/24)),MAX(0,'bases de donnée'!E$16/24-MAX('planning '!G61,7/24))+MAX(0,MIN('planning '!I61,'bases de donnée'!E$16/24)-7/24)))&lt;0,0,SUM(MOD('planning '!I61-'planning '!G61,1)-IF('planning '!I61&gt;'planning '!G61,MAX(0,MIN('planning '!I61,'bases de donnée'!E$16/24)-MAX('planning '!G61,7/24)),MAX(0,'bases de donnée'!E$16/24-MAX('planning '!G61,7/24))+MAX(0,MIN('planning '!I61,'bases de donnée'!E$16/24)-7/24))))</f>
        <v>0</v>
      </c>
      <c r="T61" s="81"/>
      <c r="U61" s="77" t="str">
        <f t="shared" ref="U61:U67" si="56">IF(E61&lt;&gt;"travail",IF(E61="férié travaillé",MOD(I61-G61,1)-H61,"00:00"),"00:00")</f>
        <v>00:00</v>
      </c>
      <c r="V61" s="78"/>
      <c r="W61" s="47"/>
      <c r="X61" s="48">
        <f t="shared" ref="X61:X133" si="57">S61</f>
        <v>0</v>
      </c>
      <c r="Y61" s="31"/>
      <c r="Z61" s="49">
        <f t="shared" ref="Z61:Z66" si="58">IF(SUM(U61-X61)&lt;0,0,SUM(U61-X61))</f>
        <v>0</v>
      </c>
      <c r="AA61" s="48">
        <f t="shared" ref="AA61:AA66" si="59">IF(SUM(V61-X61-Z61)&lt;0,0,SUM(V61-X61-Z61))</f>
        <v>0</v>
      </c>
      <c r="AB61" s="47"/>
      <c r="AC61" s="50"/>
      <c r="AD61" s="33">
        <f t="shared" ref="AD61:AD66" si="60">IF(SUM(U61-Z61)&lt;0,0,SUM(U61-Z61))</f>
        <v>0</v>
      </c>
      <c r="AE61" s="33">
        <f t="shared" si="5"/>
        <v>0</v>
      </c>
    </row>
    <row r="62" spans="2:31" x14ac:dyDescent="0.3">
      <c r="B62" s="60">
        <f>B54+1</f>
        <v>7</v>
      </c>
      <c r="C62" s="9" t="s">
        <v>7</v>
      </c>
      <c r="D62" s="58">
        <f>D61+1</f>
        <v>42053</v>
      </c>
      <c r="E62" s="29" t="s">
        <v>29</v>
      </c>
      <c r="F62" s="191"/>
      <c r="G62" s="194">
        <v>0.375</v>
      </c>
      <c r="H62" s="194">
        <v>3.125E-2</v>
      </c>
      <c r="I62" s="194">
        <v>0.77083333333333337</v>
      </c>
      <c r="J62" s="193">
        <f>IF(OR(E62="férié travaillé",E62="travail"),(I62-G62+IF(G62&gt;I62,1)-H62),INDEX('bases de donnée'!$E$20:'bases de donnée'!$E$32,MATCH(E62,gerald2,0)))</f>
        <v>0.36458333333333337</v>
      </c>
      <c r="K62" s="20">
        <f>IF(SUM(J62-'bases de donnée'!E$7)&lt;0,0,SUM(J62-'bases de donnée'!E$7))</f>
        <v>0</v>
      </c>
      <c r="L62" s="11">
        <f>IF(OR(E62="férié travaillé",E62="travail"),I62-G62+IF(G62&gt;I62,1),INDEX('bases de donnée'!$E$20:'bases de donnée'!$E$32,MATCH(E62,gerald2,0)))</f>
        <v>0.39583333333333337</v>
      </c>
      <c r="M62" s="21">
        <f>IF(SUM(L62-'bases de donnée'!E$4)&lt;0,0,SUM(L62-'bases de donnée'!E$4))</f>
        <v>0</v>
      </c>
      <c r="N62" s="155">
        <v>0</v>
      </c>
      <c r="O62" s="74">
        <f t="shared" ref="O62:O67" si="61">O61+J62</f>
        <v>0.71875</v>
      </c>
      <c r="P62" s="121">
        <f>IF(SUM(P61-'bases de donnée'!E$6)&lt;0,0,SUM(P61-'bases de donnée'!E$6))</f>
        <v>0</v>
      </c>
      <c r="Q62" s="120">
        <f t="shared" ref="Q62:Q67" si="62">IF(AND(G62&lt;&gt;"",I62&lt;&gt;""),1,0+OR(N(I61)&lt;N(G61),E62="récupération",E62="congé 1 jour",E62="congé 1/2 jour ",E62="congé 5h24",E62="arrêt maladie",E62="arrêt travail",E62="férié ",E62="congé parentale",E62="congé de naissance"))</f>
        <v>1</v>
      </c>
      <c r="R62" s="30"/>
      <c r="S62" s="77">
        <f>IF(SUM(MOD(I62-G62,1)-IF(I62&gt;G62,MAX(0,MIN(I62,'bases de donnée'!E$16/24)-MAX('planning '!G62,7/24)),MAX(0,'bases de donnée'!E$16/24-MAX('planning '!G62,7/24))+MAX(0,MIN('planning '!I62,'bases de donnée'!E$16/24)-7/24)))&lt;0,0,SUM(MOD('planning '!I62-'planning '!G62,1)-IF('planning '!I62&gt;'planning '!G62,MAX(0,MIN('planning '!I62,'bases de donnée'!E$16/24)-MAX('planning '!G62,7/24)),MAX(0,'bases de donnée'!E$16/24-MAX('planning '!G62,7/24))+MAX(0,MIN('planning '!I62,'bases de donnée'!E$16/24)-7/24))))</f>
        <v>0</v>
      </c>
      <c r="T62" s="82"/>
      <c r="U62" s="77" t="str">
        <f t="shared" si="56"/>
        <v>00:00</v>
      </c>
      <c r="V62" s="78">
        <f>IF(SUM(IF(O62&gt;('bases de donnée'!E$9*1),O62-('bases de donnée'!E$9*1),0)-V61)&lt;0,0,SUM(IF(O62&gt;('bases de donnée'!E$9*1),O62-('bases de donnée'!E$9*1),0)-V61))</f>
        <v>0</v>
      </c>
      <c r="W62" s="47"/>
      <c r="X62" s="48">
        <f t="shared" si="57"/>
        <v>0</v>
      </c>
      <c r="Y62" s="42"/>
      <c r="Z62" s="49">
        <f t="shared" si="58"/>
        <v>0</v>
      </c>
      <c r="AA62" s="48">
        <f t="shared" si="59"/>
        <v>0</v>
      </c>
      <c r="AB62" s="47"/>
      <c r="AC62" s="54"/>
      <c r="AD62" s="33">
        <f t="shared" si="60"/>
        <v>0</v>
      </c>
      <c r="AE62" s="33">
        <f t="shared" si="5"/>
        <v>0</v>
      </c>
    </row>
    <row r="63" spans="2:31" x14ac:dyDescent="0.3">
      <c r="B63"/>
      <c r="C63" s="9" t="s">
        <v>8</v>
      </c>
      <c r="D63" s="58">
        <f t="shared" ref="D63:D67" si="63">D62+1</f>
        <v>42054</v>
      </c>
      <c r="E63" s="29" t="s">
        <v>29</v>
      </c>
      <c r="F63" s="191"/>
      <c r="G63" s="194">
        <v>0.375</v>
      </c>
      <c r="H63" s="194">
        <v>3.125E-2</v>
      </c>
      <c r="I63" s="194">
        <v>0.75</v>
      </c>
      <c r="J63" s="193">
        <f>IF(OR(E63="férié travaillé",E63="travail"),(I63-G63+IF(G63&gt;I63,1)-H63),INDEX('bases de donnée'!$E$20:'bases de donnée'!$E$32,MATCH(E63,gerald2,0)))</f>
        <v>0.34375</v>
      </c>
      <c r="K63" s="20">
        <f>IF(SUM(J63-'bases de donnée'!E$7)&lt;0,0,SUM(J63-'bases de donnée'!E$7))</f>
        <v>0</v>
      </c>
      <c r="L63" s="11">
        <f>IF(OR(E63="férié travaillé",E63="travail"),I63-G63+IF(G63&gt;I63,1),INDEX('bases de donnée'!$E$20:'bases de donnée'!$E$32,MATCH(E63,gerald2,0)))</f>
        <v>0.375</v>
      </c>
      <c r="M63" s="21">
        <f>IF(SUM(L63-'bases de donnée'!E$4)&lt;0,0,SUM(L63-'bases de donnée'!E$4))</f>
        <v>0</v>
      </c>
      <c r="N63" s="155">
        <v>0</v>
      </c>
      <c r="O63" s="74">
        <f t="shared" si="61"/>
        <v>1.0625</v>
      </c>
      <c r="P63" s="34" t="s">
        <v>46</v>
      </c>
      <c r="Q63" s="120">
        <f t="shared" si="62"/>
        <v>1</v>
      </c>
      <c r="R63" s="30"/>
      <c r="S63" s="77">
        <f>IF(SUM(MOD(I63-G63,1)-IF(I63&gt;G63,MAX(0,MIN(I63,'bases de donnée'!E$16/24)-MAX('planning '!G63,7/24)),MAX(0,'bases de donnée'!E$16/24-MAX('planning '!G63,7/24))+MAX(0,MIN('planning '!I63,'bases de donnée'!E$16/24)-7/24)))&lt;0,0,SUM(MOD('planning '!I63-'planning '!G63,1)-IF('planning '!I63&gt;'planning '!G63,MAX(0,MIN('planning '!I63,'bases de donnée'!E$16/24)-MAX('planning '!G63,7/24)),MAX(0,'bases de donnée'!E$16/24-MAX('planning '!G63,7/24))+MAX(0,MIN('planning '!I63,'bases de donnée'!E$16/24)-7/24))))</f>
        <v>0</v>
      </c>
      <c r="T63" s="82"/>
      <c r="U63" s="77" t="str">
        <f t="shared" si="56"/>
        <v>00:00</v>
      </c>
      <c r="V63" s="78">
        <f>IF(SUM(IF(O63&gt;("36:00"*1),O63-("36:00"*1),0)-V61-V62)&lt;0,0,SUM(IF(O63&gt;("36:00"*1),O63-("36:00"*1),0)-V61-V62))</f>
        <v>0</v>
      </c>
      <c r="W63" s="47"/>
      <c r="X63" s="48">
        <f t="shared" si="57"/>
        <v>0</v>
      </c>
      <c r="Y63" s="42"/>
      <c r="Z63" s="49">
        <f t="shared" si="58"/>
        <v>0</v>
      </c>
      <c r="AA63" s="48">
        <f t="shared" si="59"/>
        <v>0</v>
      </c>
      <c r="AB63" s="47"/>
      <c r="AC63" s="54"/>
      <c r="AD63" s="33">
        <f t="shared" si="60"/>
        <v>0</v>
      </c>
      <c r="AE63" s="33">
        <f t="shared" si="5"/>
        <v>0</v>
      </c>
    </row>
    <row r="64" spans="2:31" x14ac:dyDescent="0.3">
      <c r="B64"/>
      <c r="C64" s="9" t="s">
        <v>9</v>
      </c>
      <c r="D64" s="58">
        <f t="shared" si="63"/>
        <v>42055</v>
      </c>
      <c r="E64" s="29" t="s">
        <v>29</v>
      </c>
      <c r="F64" s="191"/>
      <c r="G64" s="194">
        <v>0.38541666666666669</v>
      </c>
      <c r="H64" s="194">
        <v>3.125E-2</v>
      </c>
      <c r="I64" s="194">
        <v>0.75</v>
      </c>
      <c r="J64" s="193">
        <f>IF(OR(E64="férié travaillé",E64="travail"),(I64-G64+IF(G64&gt;I64,1)-H64),INDEX('bases de donnée'!$E$20:'bases de donnée'!$E$32,MATCH(E64,gerald2,0)))</f>
        <v>0.33333333333333331</v>
      </c>
      <c r="K64" s="20">
        <f>IF(SUM(J64-'bases de donnée'!E$7)&lt;0,0,SUM(J64-'bases de donnée'!E$7))</f>
        <v>0</v>
      </c>
      <c r="L64" s="11">
        <f>IF(OR(E64="férié travaillé",E64="travail"),I64-G64+IF(G64&gt;I64,1),INDEX('bases de donnée'!$E$20:'bases de donnée'!$E$32,MATCH(E64,gerald2,0)))</f>
        <v>0.36458333333333331</v>
      </c>
      <c r="M64" s="21">
        <f>IF(SUM(L64-'bases de donnée'!E$4)&lt;0,0,SUM(L64-'bases de donnée'!E$4))</f>
        <v>0</v>
      </c>
      <c r="N64" s="155">
        <v>0</v>
      </c>
      <c r="O64" s="74">
        <f t="shared" si="61"/>
        <v>1.3958333333333333</v>
      </c>
      <c r="P64" s="86">
        <f>O67</f>
        <v>1.6979166666666665</v>
      </c>
      <c r="Q64" s="120">
        <f t="shared" si="62"/>
        <v>1</v>
      </c>
      <c r="R64" s="30"/>
      <c r="S64" s="77">
        <f>IF(SUM(MOD(I64-G64,1)-IF(I64&gt;G64,MAX(0,MIN(I64,'bases de donnée'!E$16/24)-MAX('planning '!G64,7/24)),MAX(0,'bases de donnée'!E$16/24-MAX('planning '!G64,7/24))+MAX(0,MIN('planning '!I64,'bases de donnée'!E$16/24)-7/24)))&lt;0,0,SUM(MOD('planning '!I64-'planning '!G64,1)-IF('planning '!I64&gt;'planning '!G64,MAX(0,MIN('planning '!I64,'bases de donnée'!E$16/24)-MAX('planning '!G64,7/24)),MAX(0,'bases de donnée'!E$16/24-MAX('planning '!G64,7/24))+MAX(0,MIN('planning '!I64,'bases de donnée'!E$16/24)-7/24))))</f>
        <v>0</v>
      </c>
      <c r="T64" s="82"/>
      <c r="U64" s="77" t="str">
        <f t="shared" si="56"/>
        <v>00:00</v>
      </c>
      <c r="V64" s="78">
        <f>IF(SUM(IF(O64&gt;("36:00"*1),O64-("36:00"*1),0)-V62-V63)&lt;0,0,SUM(IF(O64&gt;("36:00"*1),O64-("36:00"*1),0)-V61-V62-V63))</f>
        <v>0</v>
      </c>
      <c r="W64" s="47"/>
      <c r="X64" s="48">
        <f t="shared" si="57"/>
        <v>0</v>
      </c>
      <c r="Y64" s="42"/>
      <c r="Z64" s="49">
        <f t="shared" si="58"/>
        <v>0</v>
      </c>
      <c r="AA64" s="48">
        <f t="shared" si="59"/>
        <v>0</v>
      </c>
      <c r="AB64" s="47"/>
      <c r="AC64" s="54"/>
      <c r="AD64" s="33">
        <f t="shared" si="60"/>
        <v>0</v>
      </c>
      <c r="AE64" s="33">
        <f t="shared" si="5"/>
        <v>0</v>
      </c>
    </row>
    <row r="65" spans="2:31" x14ac:dyDescent="0.3">
      <c r="B65"/>
      <c r="C65" s="9" t="s">
        <v>3</v>
      </c>
      <c r="D65" s="58">
        <f t="shared" si="63"/>
        <v>42056</v>
      </c>
      <c r="E65" s="29" t="s">
        <v>29</v>
      </c>
      <c r="F65" s="191"/>
      <c r="G65" s="194">
        <v>0.375</v>
      </c>
      <c r="H65" s="194">
        <v>3.125E-2</v>
      </c>
      <c r="I65" s="194">
        <v>0.70833333333333337</v>
      </c>
      <c r="J65" s="193">
        <f>IF(OR(E65="férié travaillé",E65="travail"),(I65-G65+IF(G65&gt;I65,1)-H65),INDEX('bases de donnée'!$E$20:'bases de donnée'!$E$32,MATCH(E65,gerald2,0)))</f>
        <v>0.30208333333333337</v>
      </c>
      <c r="K65" s="20">
        <f>IF(SUM(J65-'bases de donnée'!E$7)&lt;0,0,SUM(J65-'bases de donnée'!E$7))</f>
        <v>0</v>
      </c>
      <c r="L65" s="11">
        <f>IF(OR(E65="férié travaillé",E65="travail"),I65-G65+IF(G65&gt;I65,1),INDEX('bases de donnée'!$E$20:'bases de donnée'!$E$32,MATCH(E65,gerald2,0)))</f>
        <v>0.33333333333333337</v>
      </c>
      <c r="M65" s="21">
        <f>IF(SUM(L65-'bases de donnée'!E$4)&lt;0,0,SUM(L65-'bases de donnée'!E$4))</f>
        <v>0</v>
      </c>
      <c r="N65" s="155">
        <v>0</v>
      </c>
      <c r="O65" s="74">
        <f t="shared" si="61"/>
        <v>1.6979166666666665</v>
      </c>
      <c r="P65" s="8" t="s">
        <v>48</v>
      </c>
      <c r="Q65" s="120">
        <f t="shared" si="62"/>
        <v>1</v>
      </c>
      <c r="R65" s="30"/>
      <c r="S65" s="77">
        <f>IF(SUM(MOD(I65-G65,1)-IF(I65&gt;G65,MAX(0,MIN(I65,'bases de donnée'!E$16/24)-MAX('planning '!G65,7/24)),MAX(0,'bases de donnée'!E$16/24-MAX('planning '!G65,7/24))+MAX(0,MIN('planning '!I65,'bases de donnée'!E$16/24)-7/24)))&lt;0,0,SUM(MOD('planning '!I65-'planning '!G65,1)-IF('planning '!I65&gt;'planning '!G65,MAX(0,MIN('planning '!I65,'bases de donnée'!E$16/24)-MAX('planning '!G65,7/24)),MAX(0,'bases de donnée'!E$16/24-MAX('planning '!G65,7/24))+MAX(0,MIN('planning '!I65,'bases de donnée'!E$16/24)-7/24))))</f>
        <v>0</v>
      </c>
      <c r="T65" s="82"/>
      <c r="U65" s="77" t="str">
        <f t="shared" si="56"/>
        <v>00:00</v>
      </c>
      <c r="V65" s="78">
        <f>IF(SUM(IF(O65&gt;("36:00"*1),O65-("36:00"*1),0)-V63-V64)&lt;0,0,SUM(IF(O65&gt;("36:00"*1),O65-("36:00"*1),0)-V61-V62-V63-V64))</f>
        <v>0.19791666666666652</v>
      </c>
      <c r="W65" s="47"/>
      <c r="X65" s="48">
        <f t="shared" si="57"/>
        <v>0</v>
      </c>
      <c r="Y65" s="42"/>
      <c r="Z65" s="49">
        <f t="shared" si="58"/>
        <v>0</v>
      </c>
      <c r="AA65" s="48">
        <f t="shared" si="59"/>
        <v>0.19791666666666652</v>
      </c>
      <c r="AB65" s="47"/>
      <c r="AC65" s="54"/>
      <c r="AD65" s="33">
        <f t="shared" si="60"/>
        <v>0</v>
      </c>
      <c r="AE65" s="33">
        <f t="shared" si="5"/>
        <v>0</v>
      </c>
    </row>
    <row r="66" spans="2:31" x14ac:dyDescent="0.3">
      <c r="B66"/>
      <c r="C66" s="9" t="s">
        <v>4</v>
      </c>
      <c r="D66" s="58">
        <f t="shared" si="63"/>
        <v>42057</v>
      </c>
      <c r="E66" s="29" t="s">
        <v>28</v>
      </c>
      <c r="F66" s="191"/>
      <c r="G66" s="194"/>
      <c r="H66" s="194"/>
      <c r="I66" s="194"/>
      <c r="J66" s="193">
        <f>IF(OR(E66="férié travaillé",E66="travail"),(I66-G66+IF(G66&gt;I66,1)-H66),INDEX('bases de donnée'!$E$20:'bases de donnée'!$E$32,MATCH(E66,gerald2,0)))</f>
        <v>0</v>
      </c>
      <c r="K66" s="20">
        <f>IF(SUM(J66-'bases de donnée'!E$7)&lt;0,0,SUM(J66-'bases de donnée'!E$7))</f>
        <v>0</v>
      </c>
      <c r="L66" s="11">
        <f>IF(OR(E66="férié travaillé",E66="travail"),I66-G66+IF(G66&gt;I66,1),INDEX('bases de donnée'!$E$20:'bases de donnée'!$E$32,MATCH(E66,gerald2,0)))</f>
        <v>0</v>
      </c>
      <c r="M66" s="21">
        <f>IF(SUM(L66-'bases de donnée'!E$4)&lt;0,0,SUM(L66-'bases de donnée'!E$4))</f>
        <v>0</v>
      </c>
      <c r="N66" s="155">
        <v>0</v>
      </c>
      <c r="O66" s="74">
        <f t="shared" si="61"/>
        <v>1.6979166666666665</v>
      </c>
      <c r="P66" s="61">
        <f>'bases de donnée'!E$10</f>
        <v>2</v>
      </c>
      <c r="Q66" s="120">
        <f t="shared" si="62"/>
        <v>0</v>
      </c>
      <c r="R66" s="30"/>
      <c r="S66" s="77">
        <f>IF(SUM(MOD(I66-G66,1)-IF(I66&gt;G66,MAX(0,MIN(I66,'bases de donnée'!E$16/24)-MAX('planning '!G66,7/24)),MAX(0,'bases de donnée'!E$16/24-MAX('planning '!G66,7/24))+MAX(0,MIN('planning '!I66,'bases de donnée'!E$16/24)-7/24)))&lt;0,0,SUM(MOD('planning '!I66-'planning '!G66,1)-IF('planning '!I66&gt;'planning '!G66,MAX(0,MIN('planning '!I66,'bases de donnée'!E$16/24)-MAX('planning '!G66,7/24)),MAX(0,'bases de donnée'!E$16/24-MAX('planning '!G66,7/24))+MAX(0,MIN('planning '!I66,'bases de donnée'!E$16/24)-7/24))))</f>
        <v>0</v>
      </c>
      <c r="T66" s="82"/>
      <c r="U66" s="77" t="str">
        <f t="shared" si="56"/>
        <v>00:00</v>
      </c>
      <c r="V66" s="78">
        <f>IF(SUM(IF(O66&gt;("36:00"*1),O66-("36:00"*1),0)-V64-V65)&lt;0,0,SUM(IF(O66&gt;("36:00"*1),O66-("36:00"*1),0)-V61-V62-V63-V64-V65))</f>
        <v>0</v>
      </c>
      <c r="W66" s="47"/>
      <c r="X66" s="48">
        <f t="shared" si="57"/>
        <v>0</v>
      </c>
      <c r="Y66" s="32"/>
      <c r="Z66" s="49">
        <f t="shared" si="58"/>
        <v>0</v>
      </c>
      <c r="AA66" s="48">
        <f t="shared" si="59"/>
        <v>0</v>
      </c>
      <c r="AB66" s="47"/>
      <c r="AC66" s="55"/>
      <c r="AD66" s="33">
        <f t="shared" si="60"/>
        <v>0</v>
      </c>
      <c r="AE66" s="33">
        <f t="shared" si="5"/>
        <v>0</v>
      </c>
    </row>
    <row r="67" spans="2:31" x14ac:dyDescent="0.3">
      <c r="B67"/>
      <c r="C67" s="9" t="s">
        <v>5</v>
      </c>
      <c r="D67" s="58">
        <f t="shared" si="63"/>
        <v>42058</v>
      </c>
      <c r="E67" s="29" t="s">
        <v>28</v>
      </c>
      <c r="F67" s="192"/>
      <c r="G67" s="194"/>
      <c r="H67" s="194"/>
      <c r="I67" s="194"/>
      <c r="J67" s="193">
        <f>IF(OR(E67="férié travaillé",E67="travail"),(I67-G67+IF(G67&gt;I67,1)-H67),INDEX('bases de donnée'!$E$20:'bases de donnée'!$E$32,MATCH(E67,gerald2,0)))</f>
        <v>0</v>
      </c>
      <c r="K67" s="20">
        <f>IF(SUM(J67-'bases de donnée'!E$7)&lt;0,0,SUM(J67-'bases de donnée'!E$7))</f>
        <v>0</v>
      </c>
      <c r="L67" s="11">
        <f>IF(OR(E67="férié travaillé",E67="travail"),I67-G67+IF(G67&gt;I67,1),INDEX('bases de donnée'!$E$20:'bases de donnée'!$E$32,MATCH(E67,gerald2,0)))</f>
        <v>0</v>
      </c>
      <c r="M67" s="21">
        <f>IF(SUM(L67-'bases de donnée'!E$4)&lt;0,0,SUM(L67-'bases de donnée'!E$4))</f>
        <v>0</v>
      </c>
      <c r="N67" s="155">
        <v>0</v>
      </c>
      <c r="O67" s="74">
        <f t="shared" si="61"/>
        <v>1.6979166666666665</v>
      </c>
      <c r="P67" s="33">
        <f>IF(SUM(O67-'bases de donnée'!E$10)&lt;0,0,SUM(O67-'bases de donnée'!E$10))</f>
        <v>0</v>
      </c>
      <c r="Q67" s="120">
        <f t="shared" si="62"/>
        <v>0</v>
      </c>
      <c r="R67" s="30"/>
      <c r="S67" s="77">
        <f>IF(SUM(MOD(I67-G67,1)-IF(I67&gt;G67,MAX(0,MIN(I67,'bases de donnée'!E$16/24)-MAX('planning '!G67,7/24)),MAX(0,'bases de donnée'!E$16/24-MAX('planning '!G67,7/24))+MAX(0,MIN('planning '!I67,'bases de donnée'!E$16/24)-7/24)))&lt;0,0,SUM(MOD('planning '!I67-'planning '!G67,1)-IF('planning '!I67&gt;'planning '!G67,MAX(0,MIN('planning '!I67,'bases de donnée'!E$16/24)-MAX('planning '!G67,7/24)),MAX(0,'bases de donnée'!E$16/24-MAX('planning '!G67,7/24))+MAX(0,MIN('planning '!I67,'bases de donnée'!E$16/24)-7/24))))</f>
        <v>0</v>
      </c>
      <c r="T67" s="77">
        <f>J67</f>
        <v>0</v>
      </c>
      <c r="U67" s="77" t="str">
        <f t="shared" si="56"/>
        <v>00:00</v>
      </c>
      <c r="V67" s="78">
        <f>IF(SUM(IF(O67&gt;("36:00"*1),O67-("36:00"*1),0)-V65-V66)&lt;0,0,SUM(IF(O67&gt;("36:00"*1),O67-("36:00"*1),0)-V61-V62-V63-V64-V65-V66))</f>
        <v>0</v>
      </c>
      <c r="W67" s="47"/>
      <c r="X67" s="48">
        <f t="shared" si="57"/>
        <v>0</v>
      </c>
      <c r="Y67" s="48">
        <f>IF(SUM(T67-S67)&lt;0,0,SUM(T67-S67))</f>
        <v>0</v>
      </c>
      <c r="Z67" s="56">
        <f>IF(SUM(U67-T67-S67)&lt;0,0,SUM(U67-T67-S67))</f>
        <v>0</v>
      </c>
      <c r="AA67" s="48">
        <f>IF(SUM(V67-S67-T67-U67)&lt;0,0,SUM(V67-S67-T67-U67))</f>
        <v>0</v>
      </c>
      <c r="AB67" s="47"/>
      <c r="AC67" s="57">
        <f>IF(SUM(T67-Y67)&lt;0,0,SUM(T67-Y67))</f>
        <v>0</v>
      </c>
      <c r="AD67" s="33">
        <f>IF(SUM(U67-Z67)&lt;0,0,SUM(U67-Z67))</f>
        <v>0</v>
      </c>
      <c r="AE67" s="33">
        <f t="shared" si="5"/>
        <v>0</v>
      </c>
    </row>
    <row r="68" spans="2:31" x14ac:dyDescent="0.3">
      <c r="B68"/>
      <c r="C68" s="25"/>
      <c r="D68" s="90"/>
      <c r="E68" s="90"/>
      <c r="F68" s="25"/>
      <c r="G68" s="47"/>
      <c r="H68" s="47"/>
      <c r="I68" s="47"/>
      <c r="J68" s="47"/>
      <c r="K68" s="92"/>
      <c r="L68" s="91"/>
      <c r="M68" s="91"/>
      <c r="N68" s="91"/>
      <c r="O68" s="93"/>
      <c r="P68" s="47"/>
      <c r="Q68" s="30"/>
      <c r="R68" s="30"/>
      <c r="S68" s="47"/>
      <c r="T68" s="47"/>
      <c r="U68" s="47"/>
      <c r="V68" s="93"/>
      <c r="W68" s="47"/>
      <c r="X68" s="47"/>
      <c r="Y68" s="47"/>
      <c r="Z68" s="47"/>
      <c r="AA68" s="47"/>
      <c r="AB68" s="47"/>
      <c r="AC68" s="47"/>
      <c r="AD68" s="47"/>
      <c r="AE68" s="47"/>
    </row>
    <row r="69" spans="2:31" x14ac:dyDescent="0.3">
      <c r="B69" s="14" t="s">
        <v>40</v>
      </c>
      <c r="C69" s="14" t="s">
        <v>6</v>
      </c>
      <c r="D69" s="43">
        <f>D67+1</f>
        <v>42059</v>
      </c>
      <c r="E69" s="29" t="s">
        <v>34</v>
      </c>
      <c r="F69" s="190"/>
      <c r="G69" s="194"/>
      <c r="H69" s="194"/>
      <c r="I69" s="194"/>
      <c r="J69" s="193">
        <f>IF(OR(E69="férié travaillé",E69="travail"),(I69-G69+IF(G69&gt;I69,1)-H69),INDEX('bases de donnée'!$E$20:'bases de donnée'!$E$32,MATCH(E69,gerald2,0)))</f>
        <v>0.3</v>
      </c>
      <c r="K69" s="20">
        <f>IF(SUM(J69-'bases de donnée'!E$7)&lt;0,0,SUM(J69-'bases de donnée'!E$7))</f>
        <v>0</v>
      </c>
      <c r="L69" s="11">
        <f>IF(OR(E69="férié travaillé",E69="travail"),I69-G69+IF(G69&gt;I69,1),INDEX('bases de donnée'!$E$20:'bases de donnée'!$E$32,MATCH(E69,gerald2,0)))</f>
        <v>0.3</v>
      </c>
      <c r="M69" s="21">
        <f>IF(SUM(L69-'bases de donnée'!E$4)&lt;0,0,SUM(L69-'bases de donnée'!E$4))</f>
        <v>0</v>
      </c>
      <c r="N69" s="155">
        <v>0</v>
      </c>
      <c r="O69" s="45">
        <f>J69</f>
        <v>0.3</v>
      </c>
      <c r="P69" s="122">
        <f>SUM(Q69:Q75)</f>
        <v>5</v>
      </c>
      <c r="Q69" s="120">
        <f>IF(AND(G69&lt;&gt;"",I69&lt;&gt;""),1,0+OR(N(I68)&lt;N(G68),E69="récupération",E69="congé 1 jour",E69="congé 1/2 jour ",E69="congé 5h24",E69="arrêt maladie",E69="arrêt travail",E69="férié ",E69="congé parentale",E69="congé de naissance"))</f>
        <v>1</v>
      </c>
      <c r="R69" s="30"/>
      <c r="S69" s="77">
        <f>IF(SUM(MOD(I69-G69,1)-IF(I69&gt;G69,MAX(0,MIN(I69,'bases de donnée'!E$16/24)-MAX('planning '!G69,7/24)),MAX(0,'bases de donnée'!E$16/24-MAX('planning '!G69,7/24))+MAX(0,MIN('planning '!I69,'bases de donnée'!E$16/24)-7/24)))&lt;0,0,SUM(MOD('planning '!I69-'planning '!G69,1)-IF('planning '!I69&gt;'planning '!G69,MAX(0,MIN('planning '!I69,'bases de donnée'!E$16/24)-MAX('planning '!G69,7/24)),MAX(0,'bases de donnée'!E$16/24-MAX('planning '!G69,7/24))+MAX(0,MIN('planning '!I69,'bases de donnée'!E$16/24)-7/24))))</f>
        <v>0</v>
      </c>
      <c r="T69" s="81"/>
      <c r="U69" s="77" t="str">
        <f t="shared" ref="U69:U75" si="64">IF(E69&lt;&gt;"travail",IF(E69="férié travaillé",MOD(I69-G69,1)-H69,"00:00"),"00:00")</f>
        <v>00:00</v>
      </c>
      <c r="V69" s="78"/>
      <c r="W69" s="47"/>
      <c r="X69" s="48">
        <f t="shared" si="57"/>
        <v>0</v>
      </c>
      <c r="Y69" s="31"/>
      <c r="Z69" s="49">
        <f t="shared" ref="Z69:Z74" si="65">IF(SUM(U69-X69)&lt;0,0,SUM(U69-X69))</f>
        <v>0</v>
      </c>
      <c r="AA69" s="48">
        <f t="shared" ref="AA69:AA74" si="66">IF(SUM(V69-X69-Z69)&lt;0,0,SUM(V69-X69-Z69))</f>
        <v>0</v>
      </c>
      <c r="AB69" s="47"/>
      <c r="AC69" s="50"/>
      <c r="AD69" s="33">
        <f t="shared" ref="AD69:AD74" si="67">IF(SUM(U69-Z69)&lt;0,0,SUM(U69-Z69))</f>
        <v>0</v>
      </c>
      <c r="AE69" s="33">
        <f t="shared" si="5"/>
        <v>0</v>
      </c>
    </row>
    <row r="70" spans="2:31" x14ac:dyDescent="0.3">
      <c r="B70" s="51">
        <f>B62+1</f>
        <v>8</v>
      </c>
      <c r="C70" s="14" t="s">
        <v>7</v>
      </c>
      <c r="D70" s="43">
        <f>D69+1</f>
        <v>42060</v>
      </c>
      <c r="E70" s="29" t="s">
        <v>34</v>
      </c>
      <c r="F70" s="191"/>
      <c r="G70" s="194"/>
      <c r="H70" s="194"/>
      <c r="I70" s="194"/>
      <c r="J70" s="193">
        <f>IF(OR(E70="férié travaillé",E70="travail"),(I70-G70+IF(G70&gt;I70,1)-H70),INDEX('bases de donnée'!$E$20:'bases de donnée'!$E$32,MATCH(E70,gerald2,0)))</f>
        <v>0.3</v>
      </c>
      <c r="K70" s="20">
        <f>IF(SUM(J70-'bases de donnée'!E$7)&lt;0,0,SUM(J70-'bases de donnée'!E$7))</f>
        <v>0</v>
      </c>
      <c r="L70" s="11">
        <f>IF(OR(E70="férié travaillé",E70="travail"),I70-G70+IF(G70&gt;I70,1),INDEX('bases de donnée'!$E$20:'bases de donnée'!$E$32,MATCH(E70,gerald2,0)))</f>
        <v>0.3</v>
      </c>
      <c r="M70" s="21">
        <f>IF(SUM(L70-'bases de donnée'!E$4)&lt;0,0,SUM(L70-'bases de donnée'!E$4))</f>
        <v>0</v>
      </c>
      <c r="N70" s="155">
        <v>0</v>
      </c>
      <c r="O70" s="73">
        <f t="shared" ref="O70:O75" si="68">O69+J70</f>
        <v>0.6</v>
      </c>
      <c r="P70" s="121">
        <f>IF(SUM(P69-'bases de donnée'!E$6)&lt;0,0,SUM(P69-'bases de donnée'!E$6))</f>
        <v>0</v>
      </c>
      <c r="Q70" s="120">
        <f t="shared" ref="Q70:Q75" si="69">IF(AND(G70&lt;&gt;"",I70&lt;&gt;""),1,0+OR(N(I69)&lt;N(G69),E70="récupération",E70="congé 1 jour",E70="congé 1/2 jour ",E70="congé 5h24",E70="arrêt maladie",E70="arrêt travail",E70="férié ",E70="congé parentale",E70="congé de naissance"))</f>
        <v>1</v>
      </c>
      <c r="R70" s="30"/>
      <c r="S70" s="77">
        <f>IF(SUM(MOD(I70-G70,1)-IF(I70&gt;G70,MAX(0,MIN(I70,'bases de donnée'!E$16/24)-MAX('planning '!G70,7/24)),MAX(0,'bases de donnée'!E$16/24-MAX('planning '!G70,7/24))+MAX(0,MIN('planning '!I70,'bases de donnée'!E$16/24)-7/24)))&lt;0,0,SUM(MOD('planning '!I70-'planning '!G70,1)-IF('planning '!I70&gt;'planning '!G70,MAX(0,MIN('planning '!I70,'bases de donnée'!E$16/24)-MAX('planning '!G70,7/24)),MAX(0,'bases de donnée'!E$16/24-MAX('planning '!G70,7/24))+MAX(0,MIN('planning '!I70,'bases de donnée'!E$16/24)-7/24))))</f>
        <v>0</v>
      </c>
      <c r="T70" s="82"/>
      <c r="U70" s="77" t="str">
        <f t="shared" si="64"/>
        <v>00:00</v>
      </c>
      <c r="V70" s="78">
        <f>IF(SUM(IF(O70&gt;('bases de donnée'!E$9*1),O70-('bases de donnée'!E$9*1),0)-V69)&lt;0,0,SUM(IF(O70&gt;('bases de donnée'!E$9*1),O70-('bases de donnée'!E$9*1),0)-V69))</f>
        <v>0</v>
      </c>
      <c r="W70" s="47"/>
      <c r="X70" s="48">
        <f t="shared" si="57"/>
        <v>0</v>
      </c>
      <c r="Y70" s="42"/>
      <c r="Z70" s="49">
        <f t="shared" si="65"/>
        <v>0</v>
      </c>
      <c r="AA70" s="48">
        <f t="shared" si="66"/>
        <v>0</v>
      </c>
      <c r="AB70" s="47"/>
      <c r="AC70" s="54"/>
      <c r="AD70" s="33">
        <f t="shared" si="67"/>
        <v>0</v>
      </c>
      <c r="AE70" s="33">
        <f t="shared" si="5"/>
        <v>0</v>
      </c>
    </row>
    <row r="71" spans="2:31" x14ac:dyDescent="0.3">
      <c r="B71"/>
      <c r="C71" s="14" t="s">
        <v>8</v>
      </c>
      <c r="D71" s="43">
        <f t="shared" ref="D71:D75" si="70">D70+1</f>
        <v>42061</v>
      </c>
      <c r="E71" s="29" t="s">
        <v>29</v>
      </c>
      <c r="F71" s="191"/>
      <c r="G71" s="194">
        <v>0.375</v>
      </c>
      <c r="H71" s="194">
        <v>3.125E-2</v>
      </c>
      <c r="I71" s="194">
        <v>0.70833333333333337</v>
      </c>
      <c r="J71" s="193">
        <f>IF(OR(E71="férié travaillé",E71="travail"),(I71-G71+IF(G71&gt;I71,1)-H71),INDEX('bases de donnée'!$E$20:'bases de donnée'!$E$32,MATCH(E71,gerald2,0)))</f>
        <v>0.30208333333333337</v>
      </c>
      <c r="K71" s="20">
        <f>IF(SUM(J71-'bases de donnée'!E$7)&lt;0,0,SUM(J71-'bases de donnée'!E$7))</f>
        <v>0</v>
      </c>
      <c r="L71" s="11">
        <f>IF(OR(E71="férié travaillé",E71="travail"),I71-G71+IF(G71&gt;I71,1),INDEX('bases de donnée'!$E$20:'bases de donnée'!$E$32,MATCH(E71,gerald2,0)))</f>
        <v>0.33333333333333337</v>
      </c>
      <c r="M71" s="21">
        <f>IF(SUM(L71-'bases de donnée'!E$4)&lt;0,0,SUM(L71-'bases de donnée'!E$4))</f>
        <v>0</v>
      </c>
      <c r="N71" s="155">
        <v>0</v>
      </c>
      <c r="O71" s="73">
        <f t="shared" si="68"/>
        <v>0.90208333333333335</v>
      </c>
      <c r="P71" s="34" t="s">
        <v>46</v>
      </c>
      <c r="Q71" s="120">
        <f t="shared" si="69"/>
        <v>1</v>
      </c>
      <c r="R71" s="30"/>
      <c r="S71" s="77">
        <f>IF(SUM(MOD(I71-G71,1)-IF(I71&gt;G71,MAX(0,MIN(I71,'bases de donnée'!E$16/24)-MAX('planning '!G71,7/24)),MAX(0,'bases de donnée'!E$16/24-MAX('planning '!G71,7/24))+MAX(0,MIN('planning '!I71,'bases de donnée'!E$16/24)-7/24)))&lt;0,0,SUM(MOD('planning '!I71-'planning '!G71,1)-IF('planning '!I71&gt;'planning '!G71,MAX(0,MIN('planning '!I71,'bases de donnée'!E$16/24)-MAX('planning '!G71,7/24)),MAX(0,'bases de donnée'!E$16/24-MAX('planning '!G71,7/24))+MAX(0,MIN('planning '!I71,'bases de donnée'!E$16/24)-7/24))))</f>
        <v>0</v>
      </c>
      <c r="T71" s="82"/>
      <c r="U71" s="77" t="str">
        <f t="shared" si="64"/>
        <v>00:00</v>
      </c>
      <c r="V71" s="78">
        <f>IF(SUM(IF(O71&gt;("36:00"*1),O71-("36:00"*1),0)-V69-V70)&lt;0,0,SUM(IF(O71&gt;("36:00"*1),O71-("36:00"*1),0)-V69-V70))</f>
        <v>0</v>
      </c>
      <c r="W71" s="47"/>
      <c r="X71" s="48">
        <f t="shared" si="57"/>
        <v>0</v>
      </c>
      <c r="Y71" s="42"/>
      <c r="Z71" s="49">
        <f t="shared" si="65"/>
        <v>0</v>
      </c>
      <c r="AA71" s="48">
        <f t="shared" si="66"/>
        <v>0</v>
      </c>
      <c r="AB71" s="47"/>
      <c r="AC71" s="54"/>
      <c r="AD71" s="33">
        <f t="shared" si="67"/>
        <v>0</v>
      </c>
      <c r="AE71" s="33">
        <f t="shared" si="5"/>
        <v>0</v>
      </c>
    </row>
    <row r="72" spans="2:31" x14ac:dyDescent="0.3">
      <c r="B72"/>
      <c r="C72" s="14" t="s">
        <v>9</v>
      </c>
      <c r="D72" s="43">
        <f t="shared" si="70"/>
        <v>42062</v>
      </c>
      <c r="E72" s="29" t="s">
        <v>29</v>
      </c>
      <c r="F72" s="191"/>
      <c r="G72" s="194">
        <v>0.375</v>
      </c>
      <c r="H72" s="194">
        <v>3.125E-2</v>
      </c>
      <c r="I72" s="194">
        <v>0.70833333333333337</v>
      </c>
      <c r="J72" s="193">
        <f>IF(OR(E72="férié travaillé",E72="travail"),(I72-G72+IF(G72&gt;I72,1)-H72),INDEX('bases de donnée'!$E$20:'bases de donnée'!$E$32,MATCH(E72,gerald2,0)))</f>
        <v>0.30208333333333337</v>
      </c>
      <c r="K72" s="20">
        <f>IF(SUM(J72-'bases de donnée'!E$7)&lt;0,0,SUM(J72-'bases de donnée'!E$7))</f>
        <v>0</v>
      </c>
      <c r="L72" s="11">
        <f>IF(OR(E72="férié travaillé",E72="travail"),I72-G72+IF(G72&gt;I72,1),INDEX('bases de donnée'!$E$20:'bases de donnée'!$E$32,MATCH(E72,gerald2,0)))</f>
        <v>0.33333333333333337</v>
      </c>
      <c r="M72" s="21">
        <f>IF(SUM(L72-'bases de donnée'!E$4)&lt;0,0,SUM(L72-'bases de donnée'!E$4))</f>
        <v>0</v>
      </c>
      <c r="N72" s="155">
        <v>0</v>
      </c>
      <c r="O72" s="73">
        <f t="shared" si="68"/>
        <v>1.2041666666666666</v>
      </c>
      <c r="P72" s="86">
        <f>O75</f>
        <v>1.5062500000000001</v>
      </c>
      <c r="Q72" s="120">
        <f t="shared" si="69"/>
        <v>1</v>
      </c>
      <c r="R72" s="30"/>
      <c r="S72" s="77">
        <f>IF(SUM(MOD(I72-G72,1)-IF(I72&gt;G72,MAX(0,MIN(I72,'bases de donnée'!E$16/24)-MAX('planning '!G72,7/24)),MAX(0,'bases de donnée'!E$16/24-MAX('planning '!G72,7/24))+MAX(0,MIN('planning '!I72,'bases de donnée'!E$16/24)-7/24)))&lt;0,0,SUM(MOD('planning '!I72-'planning '!G72,1)-IF('planning '!I72&gt;'planning '!G72,MAX(0,MIN('planning '!I72,'bases de donnée'!E$16/24)-MAX('planning '!G72,7/24)),MAX(0,'bases de donnée'!E$16/24-MAX('planning '!G72,7/24))+MAX(0,MIN('planning '!I72,'bases de donnée'!E$16/24)-7/24))))</f>
        <v>0</v>
      </c>
      <c r="T72" s="82"/>
      <c r="U72" s="77" t="str">
        <f t="shared" si="64"/>
        <v>00:00</v>
      </c>
      <c r="V72" s="78">
        <f>IF(SUM(IF(O72&gt;("36:00"*1),O72-("36:00"*1),0)-V70-V71)&lt;0,0,SUM(IF(O72&gt;("36:00"*1),O72-("36:00"*1),0)-V69-V70-V71))</f>
        <v>0</v>
      </c>
      <c r="W72" s="47"/>
      <c r="X72" s="48">
        <f t="shared" si="57"/>
        <v>0</v>
      </c>
      <c r="Y72" s="42"/>
      <c r="Z72" s="49">
        <f t="shared" si="65"/>
        <v>0</v>
      </c>
      <c r="AA72" s="48">
        <f t="shared" si="66"/>
        <v>0</v>
      </c>
      <c r="AB72" s="47"/>
      <c r="AC72" s="54"/>
      <c r="AD72" s="33">
        <f t="shared" si="67"/>
        <v>0</v>
      </c>
      <c r="AE72" s="33">
        <f t="shared" si="5"/>
        <v>0</v>
      </c>
    </row>
    <row r="73" spans="2:31" x14ac:dyDescent="0.3">
      <c r="B73"/>
      <c r="C73" s="14" t="s">
        <v>3</v>
      </c>
      <c r="D73" s="43">
        <f t="shared" si="70"/>
        <v>42063</v>
      </c>
      <c r="E73" s="29" t="s">
        <v>29</v>
      </c>
      <c r="F73" s="191"/>
      <c r="G73" s="194">
        <v>0.375</v>
      </c>
      <c r="H73" s="194">
        <v>3.125E-2</v>
      </c>
      <c r="I73" s="194">
        <v>0.70833333333333337</v>
      </c>
      <c r="J73" s="193">
        <f>IF(OR(E73="férié travaillé",E73="travail"),(I73-G73+IF(G73&gt;I73,1)-H73),INDEX('bases de donnée'!$E$20:'bases de donnée'!$E$32,MATCH(E73,gerald2,0)))</f>
        <v>0.30208333333333337</v>
      </c>
      <c r="K73" s="20">
        <f>IF(SUM(J73-'bases de donnée'!E$7)&lt;0,0,SUM(J73-'bases de donnée'!E$7))</f>
        <v>0</v>
      </c>
      <c r="L73" s="11">
        <f>IF(OR(E73="férié travaillé",E73="travail"),I73-G73+IF(G73&gt;I73,1),INDEX('bases de donnée'!$E$20:'bases de donnée'!$E$32,MATCH(E73,gerald2,0)))</f>
        <v>0.33333333333333337</v>
      </c>
      <c r="M73" s="21">
        <f>IF(SUM(L73-'bases de donnée'!E$4)&lt;0,0,SUM(L73-'bases de donnée'!E$4))</f>
        <v>0</v>
      </c>
      <c r="N73" s="155">
        <v>0</v>
      </c>
      <c r="O73" s="73">
        <f t="shared" si="68"/>
        <v>1.5062500000000001</v>
      </c>
      <c r="P73" s="12" t="s">
        <v>48</v>
      </c>
      <c r="Q73" s="120">
        <f t="shared" si="69"/>
        <v>1</v>
      </c>
      <c r="R73" s="30"/>
      <c r="S73" s="77">
        <f>IF(SUM(MOD(I73-G73,1)-IF(I73&gt;G73,MAX(0,MIN(I73,'bases de donnée'!E$16/24)-MAX('planning '!G73,7/24)),MAX(0,'bases de donnée'!E$16/24-MAX('planning '!G73,7/24))+MAX(0,MIN('planning '!I73,'bases de donnée'!E$16/24)-7/24)))&lt;0,0,SUM(MOD('planning '!I73-'planning '!G73,1)-IF('planning '!I73&gt;'planning '!G73,MAX(0,MIN('planning '!I73,'bases de donnée'!E$16/24)-MAX('planning '!G73,7/24)),MAX(0,'bases de donnée'!E$16/24-MAX('planning '!G73,7/24))+MAX(0,MIN('planning '!I73,'bases de donnée'!E$16/24)-7/24))))</f>
        <v>0</v>
      </c>
      <c r="T73" s="82"/>
      <c r="U73" s="77" t="str">
        <f t="shared" si="64"/>
        <v>00:00</v>
      </c>
      <c r="V73" s="78">
        <f>IF(SUM(IF(O73&gt;("36:00"*1),O73-("36:00"*1),0)-V71-V72)&lt;0,0,SUM(IF(O73&gt;("36:00"*1),O73-("36:00"*1),0)-V69-V70-V71-V72))</f>
        <v>6.2500000000000888E-3</v>
      </c>
      <c r="W73" s="47"/>
      <c r="X73" s="48">
        <f t="shared" si="57"/>
        <v>0</v>
      </c>
      <c r="Y73" s="42"/>
      <c r="Z73" s="49">
        <f t="shared" si="65"/>
        <v>0</v>
      </c>
      <c r="AA73" s="48">
        <f t="shared" si="66"/>
        <v>6.2500000000000888E-3</v>
      </c>
      <c r="AB73" s="47"/>
      <c r="AC73" s="54"/>
      <c r="AD73" s="33">
        <f t="shared" si="67"/>
        <v>0</v>
      </c>
      <c r="AE73" s="33">
        <f t="shared" si="5"/>
        <v>0</v>
      </c>
    </row>
    <row r="74" spans="2:31" x14ac:dyDescent="0.3">
      <c r="B74"/>
      <c r="C74" s="14" t="s">
        <v>4</v>
      </c>
      <c r="D74" s="43">
        <f t="shared" si="70"/>
        <v>42064</v>
      </c>
      <c r="E74" s="29" t="s">
        <v>28</v>
      </c>
      <c r="F74" s="191"/>
      <c r="G74" s="194"/>
      <c r="H74" s="194"/>
      <c r="I74" s="194"/>
      <c r="J74" s="193">
        <f>IF(OR(E74="férié travaillé",E74="travail"),(I74-G74+IF(G74&gt;I74,1)-H74),INDEX('bases de donnée'!$E$20:'bases de donnée'!$E$32,MATCH(E74,gerald2,0)))</f>
        <v>0</v>
      </c>
      <c r="K74" s="20">
        <f>IF(SUM(J74-'bases de donnée'!E$7)&lt;0,0,SUM(J74-'bases de donnée'!E$7))</f>
        <v>0</v>
      </c>
      <c r="L74" s="11">
        <f>IF(OR(E74="férié travaillé",E74="travail"),I74-G74+IF(G74&gt;I74,1),INDEX('bases de donnée'!$E$20:'bases de donnée'!$E$32,MATCH(E74,gerald2,0)))</f>
        <v>0</v>
      </c>
      <c r="M74" s="21">
        <f>IF(SUM(L74-'bases de donnée'!E$4)&lt;0,0,SUM(L74-'bases de donnée'!E$4))</f>
        <v>0</v>
      </c>
      <c r="N74" s="155">
        <v>0</v>
      </c>
      <c r="O74" s="73">
        <f t="shared" si="68"/>
        <v>1.5062500000000001</v>
      </c>
      <c r="P74" s="53">
        <f>'bases de donnée'!E$10</f>
        <v>2</v>
      </c>
      <c r="Q74" s="120">
        <f t="shared" si="69"/>
        <v>0</v>
      </c>
      <c r="R74" s="30"/>
      <c r="S74" s="77">
        <f>IF(SUM(MOD(I74-G74,1)-IF(I74&gt;G74,MAX(0,MIN(I74,'bases de donnée'!E$16/24)-MAX('planning '!G74,7/24)),MAX(0,'bases de donnée'!E$16/24-MAX('planning '!G74,7/24))+MAX(0,MIN('planning '!I74,'bases de donnée'!E$16/24)-7/24)))&lt;0,0,SUM(MOD('planning '!I74-'planning '!G74,1)-IF('planning '!I74&gt;'planning '!G74,MAX(0,MIN('planning '!I74,'bases de donnée'!E$16/24)-MAX('planning '!G74,7/24)),MAX(0,'bases de donnée'!E$16/24-MAX('planning '!G74,7/24))+MAX(0,MIN('planning '!I74,'bases de donnée'!E$16/24)-7/24))))</f>
        <v>0</v>
      </c>
      <c r="T74" s="82"/>
      <c r="U74" s="77" t="str">
        <f t="shared" si="64"/>
        <v>00:00</v>
      </c>
      <c r="V74" s="78">
        <f>IF(SUM(IF(O74&gt;("36:00"*1),O74-("36:00"*1),0)-V72-V73)&lt;0,0,SUM(IF(O74&gt;("36:00"*1),O74-("36:00"*1),0)-V69-V70-V71-V72-V73))</f>
        <v>0</v>
      </c>
      <c r="W74" s="47"/>
      <c r="X74" s="48">
        <f t="shared" si="57"/>
        <v>0</v>
      </c>
      <c r="Y74" s="32"/>
      <c r="Z74" s="49">
        <f t="shared" si="65"/>
        <v>0</v>
      </c>
      <c r="AA74" s="48">
        <f t="shared" si="66"/>
        <v>0</v>
      </c>
      <c r="AB74" s="47"/>
      <c r="AC74" s="55"/>
      <c r="AD74" s="33">
        <f t="shared" si="67"/>
        <v>0</v>
      </c>
      <c r="AE74" s="33">
        <f t="shared" si="5"/>
        <v>0</v>
      </c>
    </row>
    <row r="75" spans="2:31" x14ac:dyDescent="0.3">
      <c r="B75"/>
      <c r="C75" s="14" t="s">
        <v>5</v>
      </c>
      <c r="D75" s="43">
        <f t="shared" si="70"/>
        <v>42065</v>
      </c>
      <c r="E75" s="29" t="s">
        <v>28</v>
      </c>
      <c r="F75" s="192"/>
      <c r="G75" s="194"/>
      <c r="H75" s="194"/>
      <c r="I75" s="194"/>
      <c r="J75" s="193">
        <f>IF(OR(E75="férié travaillé",E75="travail"),(I75-G75+IF(G75&gt;I75,1)-H75),INDEX('bases de donnée'!$E$20:'bases de donnée'!$E$32,MATCH(E75,gerald2,0)))</f>
        <v>0</v>
      </c>
      <c r="K75" s="20">
        <f>IF(SUM(J75-'bases de donnée'!E$7)&lt;0,0,SUM(J75-'bases de donnée'!E$7))</f>
        <v>0</v>
      </c>
      <c r="L75" s="11">
        <f>IF(OR(E75="férié travaillé",E75="travail"),I75-G75+IF(G75&gt;I75,1),INDEX('bases de donnée'!$E$20:'bases de donnée'!$E$32,MATCH(E75,gerald2,0)))</f>
        <v>0</v>
      </c>
      <c r="M75" s="21">
        <f>IF(SUM(L75-'bases de donnée'!E$4)&lt;0,0,SUM(L75-'bases de donnée'!E$4))</f>
        <v>0</v>
      </c>
      <c r="N75" s="155">
        <v>0</v>
      </c>
      <c r="O75" s="73">
        <f t="shared" si="68"/>
        <v>1.5062500000000001</v>
      </c>
      <c r="P75" s="33">
        <f>IF(SUM(O75-'bases de donnée'!E$10)&lt;0,0,SUM(O75-'bases de donnée'!E$10))</f>
        <v>0</v>
      </c>
      <c r="Q75" s="120">
        <f t="shared" si="69"/>
        <v>0</v>
      </c>
      <c r="R75" s="30"/>
      <c r="S75" s="77">
        <f>IF(SUM(MOD(I75-G75,1)-IF(I75&gt;G75,MAX(0,MIN(I75,'bases de donnée'!E$16/24)-MAX('planning '!G75,7/24)),MAX(0,'bases de donnée'!E$16/24-MAX('planning '!G75,7/24))+MAX(0,MIN('planning '!I75,'bases de donnée'!E$16/24)-7/24)))&lt;0,0,SUM(MOD('planning '!I75-'planning '!G75,1)-IF('planning '!I75&gt;'planning '!G75,MAX(0,MIN('planning '!I75,'bases de donnée'!E$16/24)-MAX('planning '!G75,7/24)),MAX(0,'bases de donnée'!E$16/24-MAX('planning '!G75,7/24))+MAX(0,MIN('planning '!I75,'bases de donnée'!E$16/24)-7/24))))</f>
        <v>0</v>
      </c>
      <c r="T75" s="77">
        <f>J75</f>
        <v>0</v>
      </c>
      <c r="U75" s="77" t="str">
        <f t="shared" si="64"/>
        <v>00:00</v>
      </c>
      <c r="V75" s="78">
        <f>IF(SUM(IF(O75&gt;("36:00"*1),O75-("36:00"*1),0)-V73-V74)&lt;0,0,SUM(IF(O75&gt;("36:00"*1),O75-("36:00"*1),0)-V69-V70-V71-V72-V73-V74))</f>
        <v>0</v>
      </c>
      <c r="W75" s="47"/>
      <c r="X75" s="48">
        <f t="shared" si="57"/>
        <v>0</v>
      </c>
      <c r="Y75" s="48">
        <f>IF(SUM(T75-S75)&lt;0,0,SUM(T75-S75))</f>
        <v>0</v>
      </c>
      <c r="Z75" s="56">
        <f>IF(SUM(U75-T75-S75)&lt;0,0,SUM(U75-T75-S75))</f>
        <v>0</v>
      </c>
      <c r="AA75" s="48">
        <f>IF(SUM(V75-S75-T75-U75)&lt;0,0,SUM(V75-S75-T75-U75))</f>
        <v>0</v>
      </c>
      <c r="AB75" s="47"/>
      <c r="AC75" s="57">
        <f>IF(SUM(T75-Y75)&lt;0,0,SUM(T75-Y75))</f>
        <v>0</v>
      </c>
      <c r="AD75" s="33">
        <f>IF(SUM(U75-Z75)&lt;0,0,SUM(U75-Z75))</f>
        <v>0</v>
      </c>
      <c r="AE75" s="33">
        <f t="shared" si="5"/>
        <v>0</v>
      </c>
    </row>
    <row r="76" spans="2:31" x14ac:dyDescent="0.3">
      <c r="B76"/>
      <c r="C76" s="25"/>
      <c r="D76" s="90"/>
      <c r="E76" s="90"/>
      <c r="F76" s="25"/>
      <c r="G76" s="47"/>
      <c r="H76" s="47"/>
      <c r="I76" s="47"/>
      <c r="J76" s="47"/>
      <c r="K76" s="92"/>
      <c r="L76" s="91"/>
      <c r="M76" s="91"/>
      <c r="N76" s="91"/>
      <c r="O76" s="93"/>
      <c r="P76" s="47"/>
      <c r="Q76" s="30"/>
      <c r="R76" s="30"/>
      <c r="S76" s="47"/>
      <c r="T76" s="47"/>
      <c r="U76" s="47"/>
      <c r="V76" s="93"/>
      <c r="W76" s="47"/>
      <c r="X76" s="47"/>
      <c r="Y76" s="47"/>
      <c r="Z76" s="47"/>
      <c r="AA76" s="47"/>
      <c r="AB76" s="47"/>
      <c r="AC76" s="47"/>
      <c r="AD76" s="47"/>
      <c r="AE76" s="47"/>
    </row>
    <row r="77" spans="2:31" x14ac:dyDescent="0.3">
      <c r="B77" s="9" t="s">
        <v>40</v>
      </c>
      <c r="C77" s="9" t="s">
        <v>6</v>
      </c>
      <c r="D77" s="58">
        <f>D75+1</f>
        <v>42066</v>
      </c>
      <c r="E77" s="29" t="s">
        <v>29</v>
      </c>
      <c r="F77" s="190"/>
      <c r="G77" s="194">
        <v>0.375</v>
      </c>
      <c r="H77" s="194">
        <v>3.125E-2</v>
      </c>
      <c r="I77" s="194">
        <v>0.70833333333333337</v>
      </c>
      <c r="J77" s="193">
        <f>IF(OR(E77="férié travaillé",E77="travail"),(I77-G77+IF(G77&gt;I77,1)-H77),INDEX('bases de donnée'!$E$20:'bases de donnée'!$E$32,MATCH(E77,gerald2,0)))</f>
        <v>0.30208333333333337</v>
      </c>
      <c r="K77" s="20">
        <f>IF(SUM(J77-'bases de donnée'!E$7)&lt;0,0,SUM(J77-'bases de donnée'!E$7))</f>
        <v>0</v>
      </c>
      <c r="L77" s="11">
        <f>IF(OR(E77="férié travaillé",E77="travail"),I77-G77+IF(G77&gt;I77,1),INDEX('bases de donnée'!$E$20:'bases de donnée'!$E$32,MATCH(E77,gerald2,0)))</f>
        <v>0.33333333333333337</v>
      </c>
      <c r="M77" s="21">
        <f>IF(SUM(L77-'bases de donnée'!E$4)&lt;0,0,SUM(L77-'bases de donnée'!E$4))</f>
        <v>0</v>
      </c>
      <c r="N77" s="155">
        <v>0</v>
      </c>
      <c r="O77" s="59">
        <f>J77</f>
        <v>0.30208333333333337</v>
      </c>
      <c r="P77" s="122">
        <f>SUM(Q77:Q83)</f>
        <v>5</v>
      </c>
      <c r="Q77" s="120">
        <f>IF(AND(G77&lt;&gt;"",I77&lt;&gt;""),1,0+OR(N(I76)&lt;N(G76),E77="récupération",E77="congé 1 jour",E77="congé 1/2 jour ",E77="congé 5h24",E77="arrêt maladie",E77="arrêt travail",E77="férié ",E77="congé parentale",E77="congé de naissance"))</f>
        <v>1</v>
      </c>
      <c r="R77" s="30"/>
      <c r="S77" s="77">
        <f>IF(SUM(MOD(I77-G77,1)-IF(I77&gt;G77,MAX(0,MIN(I77,'bases de donnée'!E$16/24)-MAX('planning '!G77,7/24)),MAX(0,'bases de donnée'!E$16/24-MAX('planning '!G77,7/24))+MAX(0,MIN('planning '!I77,'bases de donnée'!E$16/24)-7/24)))&lt;0,0,SUM(MOD('planning '!I77-'planning '!G77,1)-IF('planning '!I77&gt;'planning '!G77,MAX(0,MIN('planning '!I77,'bases de donnée'!E$16/24)-MAX('planning '!G77,7/24)),MAX(0,'bases de donnée'!E$16/24-MAX('planning '!G77,7/24))+MAX(0,MIN('planning '!I77,'bases de donnée'!E$16/24)-7/24))))</f>
        <v>0</v>
      </c>
      <c r="T77" s="50"/>
      <c r="U77" s="77" t="str">
        <f t="shared" ref="U77:U83" si="71">IF(E77&lt;&gt;"travail",IF(E77="férié travaillé",MOD(I77-G77,1)-H77,"00:00"),"00:00")</f>
        <v>00:00</v>
      </c>
      <c r="V77" s="78"/>
      <c r="W77" s="47"/>
      <c r="X77" s="48">
        <f t="shared" si="57"/>
        <v>0</v>
      </c>
      <c r="Y77" s="31"/>
      <c r="Z77" s="49">
        <f t="shared" ref="Z77:Z82" si="72">IF(SUM(U77-X77)&lt;0,0,SUM(U77-X77))</f>
        <v>0</v>
      </c>
      <c r="AA77" s="48">
        <f t="shared" ref="AA77:AA82" si="73">IF(SUM(V77-X77-Z77)&lt;0,0,SUM(V77-X77-Z77))</f>
        <v>0</v>
      </c>
      <c r="AB77" s="47"/>
      <c r="AC77" s="50"/>
      <c r="AD77" s="33">
        <f t="shared" ref="AD77:AD82" si="74">IF(SUM(U77-Z77)&lt;0,0,SUM(U77-Z77))</f>
        <v>0</v>
      </c>
      <c r="AE77" s="33">
        <f t="shared" si="5"/>
        <v>0</v>
      </c>
    </row>
    <row r="78" spans="2:31" x14ac:dyDescent="0.3">
      <c r="B78" s="60">
        <f>B70+1</f>
        <v>9</v>
      </c>
      <c r="C78" s="9" t="s">
        <v>7</v>
      </c>
      <c r="D78" s="58">
        <f>D77+1</f>
        <v>42067</v>
      </c>
      <c r="E78" s="29" t="s">
        <v>29</v>
      </c>
      <c r="F78" s="191"/>
      <c r="G78" s="194">
        <v>0.375</v>
      </c>
      <c r="H78" s="194">
        <v>3.125E-2</v>
      </c>
      <c r="I78" s="194">
        <v>0.76041666666666663</v>
      </c>
      <c r="J78" s="193">
        <f>IF(OR(E78="férié travaillé",E78="travail"),(I78-G78+IF(G78&gt;I78,1)-H78),INDEX('bases de donnée'!$E$20:'bases de donnée'!$E$32,MATCH(E78,gerald2,0)))</f>
        <v>0.35416666666666663</v>
      </c>
      <c r="K78" s="20">
        <f>IF(SUM(J78-'bases de donnée'!E$7)&lt;0,0,SUM(J78-'bases de donnée'!E$7))</f>
        <v>0</v>
      </c>
      <c r="L78" s="11">
        <f>IF(OR(E78="férié travaillé",E78="travail"),I78-G78+IF(G78&gt;I78,1),INDEX('bases de donnée'!$E$20:'bases de donnée'!$E$32,MATCH(E78,gerald2,0)))</f>
        <v>0.38541666666666663</v>
      </c>
      <c r="M78" s="21">
        <f>IF(SUM(L78-'bases de donnée'!E$4)&lt;0,0,SUM(L78-'bases de donnée'!E$4))</f>
        <v>0</v>
      </c>
      <c r="N78" s="155">
        <v>0</v>
      </c>
      <c r="O78" s="74">
        <f t="shared" ref="O78:O83" si="75">O77+J78</f>
        <v>0.65625</v>
      </c>
      <c r="P78" s="121">
        <f>IF(SUM(P77-'bases de donnée'!E$6)&lt;0,0,SUM(P77-'bases de donnée'!E$6))</f>
        <v>0</v>
      </c>
      <c r="Q78" s="120">
        <f t="shared" ref="Q78:Q83" si="76">IF(AND(G78&lt;&gt;"",I78&lt;&gt;""),1,0+OR(N(I77)&lt;N(G77),E78="récupération",E78="congé 1 jour",E78="congé 1/2 jour ",E78="congé 5h24",E78="arrêt maladie",E78="arrêt travail",E78="férié ",E78="congé parentale",E78="congé de naissance"))</f>
        <v>1</v>
      </c>
      <c r="R78" s="30"/>
      <c r="S78" s="77">
        <f>IF(SUM(MOD(I78-G78,1)-IF(I78&gt;G78,MAX(0,MIN(I78,'bases de donnée'!E$16/24)-MAX('planning '!G78,7/24)),MAX(0,'bases de donnée'!E$16/24-MAX('planning '!G78,7/24))+MAX(0,MIN('planning '!I78,'bases de donnée'!E$16/24)-7/24)))&lt;0,0,SUM(MOD('planning '!I78-'planning '!G78,1)-IF('planning '!I78&gt;'planning '!G78,MAX(0,MIN('planning '!I78,'bases de donnée'!E$16/24)-MAX('planning '!G78,7/24)),MAX(0,'bases de donnée'!E$16/24-MAX('planning '!G78,7/24))+MAX(0,MIN('planning '!I78,'bases de donnée'!E$16/24)-7/24))))</f>
        <v>0</v>
      </c>
      <c r="T78" s="54"/>
      <c r="U78" s="77" t="str">
        <f t="shared" si="71"/>
        <v>00:00</v>
      </c>
      <c r="V78" s="78">
        <f>IF(SUM(IF(O78&gt;('bases de donnée'!E$9*1),O78-('bases de donnée'!E$9*1),0)-V77)&lt;0,0,SUM(IF(O78&gt;('bases de donnée'!E$9*1),O78-('bases de donnée'!E$9*1),0)-V77))</f>
        <v>0</v>
      </c>
      <c r="W78" s="47"/>
      <c r="X78" s="48">
        <f t="shared" si="57"/>
        <v>0</v>
      </c>
      <c r="Y78" s="42"/>
      <c r="Z78" s="49">
        <f t="shared" si="72"/>
        <v>0</v>
      </c>
      <c r="AA78" s="48">
        <f t="shared" si="73"/>
        <v>0</v>
      </c>
      <c r="AB78" s="47"/>
      <c r="AC78" s="54"/>
      <c r="AD78" s="33">
        <f t="shared" si="74"/>
        <v>0</v>
      </c>
      <c r="AE78" s="33">
        <f t="shared" ref="AE78:AE150" si="77">IF(SUM(V78-AA78)&lt;0,0,SUM(V78-AA78))</f>
        <v>0</v>
      </c>
    </row>
    <row r="79" spans="2:31" x14ac:dyDescent="0.3">
      <c r="B79"/>
      <c r="C79" s="9" t="s">
        <v>8</v>
      </c>
      <c r="D79" s="58">
        <f t="shared" ref="D79:D83" si="78">D78+1</f>
        <v>42068</v>
      </c>
      <c r="E79" s="29" t="s">
        <v>29</v>
      </c>
      <c r="F79" s="191"/>
      <c r="G79" s="194">
        <v>0.41666666666666669</v>
      </c>
      <c r="H79" s="194">
        <v>3.125E-2</v>
      </c>
      <c r="I79" s="194">
        <v>0.77083333333333337</v>
      </c>
      <c r="J79" s="193">
        <f>IF(OR(E79="férié travaillé",E79="travail"),(I79-G79+IF(G79&gt;I79,1)-H79),INDEX('bases de donnée'!$E$20:'bases de donnée'!$E$32,MATCH(E79,gerald2,0)))</f>
        <v>0.32291666666666669</v>
      </c>
      <c r="K79" s="20">
        <f>IF(SUM(J79-'bases de donnée'!E$7)&lt;0,0,SUM(J79-'bases de donnée'!E$7))</f>
        <v>0</v>
      </c>
      <c r="L79" s="11">
        <f>IF(OR(E79="férié travaillé",E79="travail"),I79-G79+IF(G79&gt;I79,1),INDEX('bases de donnée'!$E$20:'bases de donnée'!$E$32,MATCH(E79,gerald2,0)))</f>
        <v>0.35416666666666669</v>
      </c>
      <c r="M79" s="21">
        <f>IF(SUM(L79-'bases de donnée'!E$4)&lt;0,0,SUM(L79-'bases de donnée'!E$4))</f>
        <v>0</v>
      </c>
      <c r="N79" s="155">
        <v>0</v>
      </c>
      <c r="O79" s="74">
        <f t="shared" si="75"/>
        <v>0.97916666666666674</v>
      </c>
      <c r="P79" s="34" t="s">
        <v>46</v>
      </c>
      <c r="Q79" s="120">
        <f t="shared" si="76"/>
        <v>1</v>
      </c>
      <c r="R79" s="30"/>
      <c r="S79" s="77">
        <f>IF(SUM(MOD(I79-G79,1)-IF(I79&gt;G79,MAX(0,MIN(I79,'bases de donnée'!E$16/24)-MAX('planning '!G79,7/24)),MAX(0,'bases de donnée'!E$16/24-MAX('planning '!G79,7/24))+MAX(0,MIN('planning '!I79,'bases de donnée'!E$16/24)-7/24)))&lt;0,0,SUM(MOD('planning '!I79-'planning '!G79,1)-IF('planning '!I79&gt;'planning '!G79,MAX(0,MIN('planning '!I79,'bases de donnée'!E$16/24)-MAX('planning '!G79,7/24)),MAX(0,'bases de donnée'!E$16/24-MAX('planning '!G79,7/24))+MAX(0,MIN('planning '!I79,'bases de donnée'!E$16/24)-7/24))))</f>
        <v>0</v>
      </c>
      <c r="T79" s="54"/>
      <c r="U79" s="77" t="str">
        <f t="shared" si="71"/>
        <v>00:00</v>
      </c>
      <c r="V79" s="78">
        <f>IF(SUM(IF(O79&gt;("36:00"*1),O79-("36:00"*1),0)-V77-V78)&lt;0,0,SUM(IF(O79&gt;("36:00"*1),O79-("36:00"*1),0)-V77-V78))</f>
        <v>0</v>
      </c>
      <c r="W79" s="47"/>
      <c r="X79" s="48">
        <f t="shared" si="57"/>
        <v>0</v>
      </c>
      <c r="Y79" s="42"/>
      <c r="Z79" s="49">
        <f t="shared" si="72"/>
        <v>0</v>
      </c>
      <c r="AA79" s="48">
        <f t="shared" si="73"/>
        <v>0</v>
      </c>
      <c r="AB79" s="47"/>
      <c r="AC79" s="54"/>
      <c r="AD79" s="33">
        <f t="shared" si="74"/>
        <v>0</v>
      </c>
      <c r="AE79" s="33">
        <f t="shared" si="77"/>
        <v>0</v>
      </c>
    </row>
    <row r="80" spans="2:31" x14ac:dyDescent="0.3">
      <c r="B80"/>
      <c r="C80" s="9" t="s">
        <v>9</v>
      </c>
      <c r="D80" s="58">
        <f t="shared" si="78"/>
        <v>42069</v>
      </c>
      <c r="E80" s="29" t="s">
        <v>29</v>
      </c>
      <c r="F80" s="191"/>
      <c r="G80" s="194">
        <v>0.5</v>
      </c>
      <c r="H80" s="194">
        <v>3.125E-2</v>
      </c>
      <c r="I80" s="194">
        <v>0.90625</v>
      </c>
      <c r="J80" s="193">
        <f>IF(OR(E80="férié travaillé",E80="travail"),(I80-G80+IF(G80&gt;I80,1)-H80),INDEX('bases de donnée'!$E$20:'bases de donnée'!$E$32,MATCH(E80,gerald2,0)))</f>
        <v>0.375</v>
      </c>
      <c r="K80" s="20">
        <f>IF(SUM(J80-'bases de donnée'!E$7)&lt;0,0,SUM(J80-'bases de donnée'!E$7))</f>
        <v>0</v>
      </c>
      <c r="L80" s="11">
        <f>IF(OR(E80="férié travaillé",E80="travail"),I80-G80+IF(G80&gt;I80,1),INDEX('bases de donnée'!$E$20:'bases de donnée'!$E$32,MATCH(E80,gerald2,0)))</f>
        <v>0.40625</v>
      </c>
      <c r="M80" s="21">
        <f>IF(SUM(L80-'bases de donnée'!E$4)&lt;0,0,SUM(L80-'bases de donnée'!E$4))</f>
        <v>0</v>
      </c>
      <c r="N80" s="155">
        <v>0</v>
      </c>
      <c r="O80" s="74">
        <f t="shared" si="75"/>
        <v>1.3541666666666667</v>
      </c>
      <c r="P80" s="86">
        <f>O83</f>
        <v>1.5208333333333335</v>
      </c>
      <c r="Q80" s="120">
        <f t="shared" si="76"/>
        <v>1</v>
      </c>
      <c r="R80" s="30"/>
      <c r="S80" s="77">
        <f>IF(SUM(MOD(I80-G80,1)-IF(I80&gt;G80,MAX(0,MIN(I80,'bases de donnée'!E$16/24)-MAX('planning '!G80,7/24)),MAX(0,'bases de donnée'!E$16/24-MAX('planning '!G80,7/24))+MAX(0,MIN('planning '!I80,'bases de donnée'!E$16/24)-7/24)))&lt;0,0,SUM(MOD('planning '!I80-'planning '!G80,1)-IF('planning '!I80&gt;'planning '!G80,MAX(0,MIN('planning '!I80,'bases de donnée'!E$16/24)-MAX('planning '!G80,7/24)),MAX(0,'bases de donnée'!E$16/24-MAX('planning '!G80,7/24))+MAX(0,MIN('planning '!I80,'bases de donnée'!E$16/24)-7/24))))</f>
        <v>3.125E-2</v>
      </c>
      <c r="T80" s="54"/>
      <c r="U80" s="77" t="str">
        <f t="shared" si="71"/>
        <v>00:00</v>
      </c>
      <c r="V80" s="78">
        <f>IF(SUM(IF(O80&gt;("36:00"*1),O80-("36:00"*1),0)-V78-V79)&lt;0,0,SUM(IF(O80&gt;("36:00"*1),O80-("36:00"*1),0)-V77-V78-V79))</f>
        <v>0</v>
      </c>
      <c r="W80" s="47"/>
      <c r="X80" s="48">
        <f t="shared" si="57"/>
        <v>3.125E-2</v>
      </c>
      <c r="Y80" s="42"/>
      <c r="Z80" s="49">
        <f t="shared" si="72"/>
        <v>0</v>
      </c>
      <c r="AA80" s="48">
        <f t="shared" si="73"/>
        <v>0</v>
      </c>
      <c r="AB80" s="47"/>
      <c r="AC80" s="54"/>
      <c r="AD80" s="33">
        <f t="shared" si="74"/>
        <v>0</v>
      </c>
      <c r="AE80" s="33">
        <f t="shared" si="77"/>
        <v>0</v>
      </c>
    </row>
    <row r="81" spans="2:31" x14ac:dyDescent="0.3">
      <c r="B81"/>
      <c r="C81" s="9" t="s">
        <v>3</v>
      </c>
      <c r="D81" s="58">
        <f t="shared" si="78"/>
        <v>42070</v>
      </c>
      <c r="E81" s="29" t="s">
        <v>29</v>
      </c>
      <c r="F81" s="191"/>
      <c r="G81" s="194">
        <v>0.375</v>
      </c>
      <c r="H81" s="194"/>
      <c r="I81" s="194">
        <v>0.54166666666666663</v>
      </c>
      <c r="J81" s="193">
        <f>IF(OR(E81="férié travaillé",E81="travail"),(I81-G81+IF(G81&gt;I81,1)-H81),INDEX('bases de donnée'!$E$20:'bases de donnée'!$E$32,MATCH(E81,gerald2,0)))</f>
        <v>0.16666666666666663</v>
      </c>
      <c r="K81" s="20">
        <f>IF(SUM(J81-'bases de donnée'!E$7)&lt;0,0,SUM(J81-'bases de donnée'!E$7))</f>
        <v>0</v>
      </c>
      <c r="L81" s="11">
        <f>IF(OR(E81="férié travaillé",E81="travail"),I81-G81+IF(G81&gt;I81,1),INDEX('bases de donnée'!$E$20:'bases de donnée'!$E$32,MATCH(E81,gerald2,0)))</f>
        <v>0.16666666666666663</v>
      </c>
      <c r="M81" s="21">
        <f>IF(SUM(L81-'bases de donnée'!E$4)&lt;0,0,SUM(L81-'bases de donnée'!E$4))</f>
        <v>0</v>
      </c>
      <c r="N81" s="155">
        <v>0</v>
      </c>
      <c r="O81" s="74">
        <f t="shared" si="75"/>
        <v>1.5208333333333335</v>
      </c>
      <c r="P81" s="8" t="s">
        <v>48</v>
      </c>
      <c r="Q81" s="120">
        <f t="shared" si="76"/>
        <v>1</v>
      </c>
      <c r="R81" s="30"/>
      <c r="S81" s="77">
        <f>IF(SUM(MOD(I81-G81,1)-IF(I81&gt;G81,MAX(0,MIN(I81,'bases de donnée'!E$16/24)-MAX('planning '!G81,7/24)),MAX(0,'bases de donnée'!E$16/24-MAX('planning '!G81,7/24))+MAX(0,MIN('planning '!I81,'bases de donnée'!E$16/24)-7/24)))&lt;0,0,SUM(MOD('planning '!I81-'planning '!G81,1)-IF('planning '!I81&gt;'planning '!G81,MAX(0,MIN('planning '!I81,'bases de donnée'!E$16/24)-MAX('planning '!G81,7/24)),MAX(0,'bases de donnée'!E$16/24-MAX('planning '!G81,7/24))+MAX(0,MIN('planning '!I81,'bases de donnée'!E$16/24)-7/24))))</f>
        <v>0</v>
      </c>
      <c r="T81" s="54"/>
      <c r="U81" s="77" t="str">
        <f t="shared" si="71"/>
        <v>00:00</v>
      </c>
      <c r="V81" s="78">
        <f>IF(SUM(IF(O81&gt;("36:00"*1),O81-("36:00"*1),0)-V79-V80)&lt;0,0,SUM(IF(O81&gt;("36:00"*1),O81-("36:00"*1),0)-V77-V78-V79-V80))</f>
        <v>2.0833333333333481E-2</v>
      </c>
      <c r="W81" s="47"/>
      <c r="X81" s="48">
        <f t="shared" si="57"/>
        <v>0</v>
      </c>
      <c r="Y81" s="42"/>
      <c r="Z81" s="49">
        <f t="shared" si="72"/>
        <v>0</v>
      </c>
      <c r="AA81" s="48">
        <f t="shared" si="73"/>
        <v>2.0833333333333481E-2</v>
      </c>
      <c r="AB81" s="47"/>
      <c r="AC81" s="54"/>
      <c r="AD81" s="33">
        <f t="shared" si="74"/>
        <v>0</v>
      </c>
      <c r="AE81" s="33">
        <f t="shared" si="77"/>
        <v>0</v>
      </c>
    </row>
    <row r="82" spans="2:31" x14ac:dyDescent="0.3">
      <c r="B82"/>
      <c r="C82" s="9" t="s">
        <v>4</v>
      </c>
      <c r="D82" s="58">
        <f t="shared" si="78"/>
        <v>42071</v>
      </c>
      <c r="E82" s="29" t="s">
        <v>28</v>
      </c>
      <c r="F82" s="191"/>
      <c r="G82" s="194"/>
      <c r="H82" s="194"/>
      <c r="I82" s="194"/>
      <c r="J82" s="193">
        <f>IF(OR(E82="férié travaillé",E82="travail"),(I82-G82+IF(G82&gt;I82,1)-H82),INDEX('bases de donnée'!$E$20:'bases de donnée'!$E$32,MATCH(E82,gerald2,0)))</f>
        <v>0</v>
      </c>
      <c r="K82" s="20">
        <f>IF(SUM(J82-'bases de donnée'!E$7)&lt;0,0,SUM(J82-'bases de donnée'!E$7))</f>
        <v>0</v>
      </c>
      <c r="L82" s="11">
        <f>IF(OR(E82="férié travaillé",E82="travail"),I82-G82+IF(G82&gt;I82,1),INDEX('bases de donnée'!$E$20:'bases de donnée'!$E$32,MATCH(E82,gerald2,0)))</f>
        <v>0</v>
      </c>
      <c r="M82" s="21">
        <f>IF(SUM(L82-'bases de donnée'!E$4)&lt;0,0,SUM(L82-'bases de donnée'!E$4))</f>
        <v>0</v>
      </c>
      <c r="N82" s="155">
        <v>0</v>
      </c>
      <c r="O82" s="74">
        <f t="shared" si="75"/>
        <v>1.5208333333333335</v>
      </c>
      <c r="P82" s="61">
        <f>'bases de donnée'!E$10</f>
        <v>2</v>
      </c>
      <c r="Q82" s="120">
        <f t="shared" si="76"/>
        <v>0</v>
      </c>
      <c r="R82" s="30"/>
      <c r="S82" s="77">
        <f>IF(SUM(MOD(I82-G82,1)-IF(I82&gt;G82,MAX(0,MIN(I82,'bases de donnée'!E$16/24)-MAX('planning '!G82,7/24)),MAX(0,'bases de donnée'!E$16/24-MAX('planning '!G82,7/24))+MAX(0,MIN('planning '!I82,'bases de donnée'!E$16/24)-7/24)))&lt;0,0,SUM(MOD('planning '!I82-'planning '!G82,1)-IF('planning '!I82&gt;'planning '!G82,MAX(0,MIN('planning '!I82,'bases de donnée'!E$16/24)-MAX('planning '!G82,7/24)),MAX(0,'bases de donnée'!E$16/24-MAX('planning '!G82,7/24))+MAX(0,MIN('planning '!I82,'bases de donnée'!E$16/24)-7/24))))</f>
        <v>0</v>
      </c>
      <c r="T82" s="55"/>
      <c r="U82" s="77" t="str">
        <f t="shared" si="71"/>
        <v>00:00</v>
      </c>
      <c r="V82" s="78">
        <f>IF(SUM(IF(O82&gt;("36:00"*1),O82-("36:00"*1),0)-V80-V81)&lt;0,0,SUM(IF(O82&gt;("36:00"*1),O82-("36:00"*1),0)-V77-V78-V79-V80-V81))</f>
        <v>0</v>
      </c>
      <c r="W82" s="47"/>
      <c r="X82" s="48">
        <f t="shared" si="57"/>
        <v>0</v>
      </c>
      <c r="Y82" s="32"/>
      <c r="Z82" s="49">
        <f t="shared" si="72"/>
        <v>0</v>
      </c>
      <c r="AA82" s="48">
        <f t="shared" si="73"/>
        <v>0</v>
      </c>
      <c r="AB82" s="47"/>
      <c r="AC82" s="55"/>
      <c r="AD82" s="33">
        <f t="shared" si="74"/>
        <v>0</v>
      </c>
      <c r="AE82" s="33">
        <f t="shared" si="77"/>
        <v>0</v>
      </c>
    </row>
    <row r="83" spans="2:31" x14ac:dyDescent="0.3">
      <c r="B83"/>
      <c r="C83" s="9" t="s">
        <v>5</v>
      </c>
      <c r="D83" s="58">
        <f t="shared" si="78"/>
        <v>42072</v>
      </c>
      <c r="E83" s="29" t="s">
        <v>28</v>
      </c>
      <c r="F83" s="192"/>
      <c r="G83" s="194"/>
      <c r="H83" s="194"/>
      <c r="I83" s="194"/>
      <c r="J83" s="193">
        <f>IF(OR(E83="férié travaillé",E83="travail"),(I83-G83+IF(G83&gt;I83,1)-H83),INDEX('bases de donnée'!$E$20:'bases de donnée'!$E$32,MATCH(E83,gerald2,0)))</f>
        <v>0</v>
      </c>
      <c r="K83" s="20">
        <f>IF(SUM(J83-'bases de donnée'!E$7)&lt;0,0,SUM(J83-'bases de donnée'!E$7))</f>
        <v>0</v>
      </c>
      <c r="L83" s="11">
        <f>IF(OR(E83="férié travaillé",E83="travail"),I83-G83+IF(G83&gt;I83,1),INDEX('bases de donnée'!$E$20:'bases de donnée'!$E$32,MATCH(E83,gerald2,0)))</f>
        <v>0</v>
      </c>
      <c r="M83" s="21">
        <f>IF(SUM(L83-'bases de donnée'!E$4)&lt;0,0,SUM(L83-'bases de donnée'!E$4))</f>
        <v>0</v>
      </c>
      <c r="N83" s="155">
        <v>0</v>
      </c>
      <c r="O83" s="74">
        <f t="shared" si="75"/>
        <v>1.5208333333333335</v>
      </c>
      <c r="P83" s="33">
        <f>IF(SUM(O83-'bases de donnée'!E$10)&lt;0,0,SUM(O83-'bases de donnée'!E$10))</f>
        <v>0</v>
      </c>
      <c r="Q83" s="120">
        <f t="shared" si="76"/>
        <v>0</v>
      </c>
      <c r="R83" s="30"/>
      <c r="S83" s="77">
        <f>IF(SUM(MOD(I83-G83,1)-IF(I83&gt;G83,MAX(0,MIN(I83,'bases de donnée'!E$16/24)-MAX('planning '!G83,7/24)),MAX(0,'bases de donnée'!E$16/24-MAX('planning '!G83,7/24))+MAX(0,MIN('planning '!I83,'bases de donnée'!E$16/24)-7/24)))&lt;0,0,SUM(MOD('planning '!I83-'planning '!G83,1)-IF('planning '!I83&gt;'planning '!G83,MAX(0,MIN('planning '!I83,'bases de donnée'!E$16/24)-MAX('planning '!G83,7/24)),MAX(0,'bases de donnée'!E$16/24-MAX('planning '!G83,7/24))+MAX(0,MIN('planning '!I83,'bases de donnée'!E$16/24)-7/24))))</f>
        <v>0</v>
      </c>
      <c r="T83" s="77">
        <f>J83</f>
        <v>0</v>
      </c>
      <c r="U83" s="77" t="str">
        <f t="shared" si="71"/>
        <v>00:00</v>
      </c>
      <c r="V83" s="78">
        <f>IF(SUM(IF(O83&gt;("36:00"*1),O83-("36:00"*1),0)-V81-V82)&lt;0,0,SUM(IF(O83&gt;("36:00"*1),O83-("36:00"*1),0)-V77-V78-V79-V80-V81-V82))</f>
        <v>0</v>
      </c>
      <c r="W83" s="47"/>
      <c r="X83" s="48">
        <f t="shared" si="57"/>
        <v>0</v>
      </c>
      <c r="Y83" s="48">
        <f>IF(SUM(T83-S83)&lt;0,0,SUM(T83-S83))</f>
        <v>0</v>
      </c>
      <c r="Z83" s="56">
        <f>IF(SUM(U83-T83-S83)&lt;0,0,SUM(U83-T83-S83))</f>
        <v>0</v>
      </c>
      <c r="AA83" s="48">
        <f>IF(SUM(V83-S83-T83-U83)&lt;0,0,SUM(V83-S83-T83-U83))</f>
        <v>0</v>
      </c>
      <c r="AB83" s="47"/>
      <c r="AC83" s="57">
        <f>IF(SUM(T83-Y83)&lt;0,0,SUM(T83-Y83))</f>
        <v>0</v>
      </c>
      <c r="AD83" s="33">
        <f>IF(SUM(U83-Z83)&lt;0,0,SUM(U83-Z83))</f>
        <v>0</v>
      </c>
      <c r="AE83" s="33">
        <f t="shared" si="77"/>
        <v>0</v>
      </c>
    </row>
    <row r="84" spans="2:31" x14ac:dyDescent="0.3">
      <c r="B84"/>
      <c r="C84" s="25"/>
      <c r="D84" s="90"/>
      <c r="E84" s="90"/>
      <c r="F84" s="25"/>
      <c r="G84" s="47"/>
      <c r="H84" s="47"/>
      <c r="I84" s="47"/>
      <c r="J84" s="47"/>
      <c r="K84" s="92"/>
      <c r="L84" s="91"/>
      <c r="M84" s="91"/>
      <c r="N84" s="91"/>
      <c r="O84" s="93"/>
      <c r="P84" s="47"/>
      <c r="Q84" s="30"/>
      <c r="R84" s="30"/>
      <c r="S84" s="47"/>
      <c r="T84" s="47"/>
      <c r="U84" s="47"/>
      <c r="V84" s="93"/>
      <c r="W84" s="47"/>
      <c r="X84" s="47"/>
      <c r="Y84" s="47"/>
      <c r="Z84" s="47"/>
      <c r="AA84" s="47"/>
      <c r="AB84" s="47"/>
      <c r="AC84" s="47"/>
      <c r="AD84" s="47"/>
      <c r="AE84" s="47"/>
    </row>
    <row r="85" spans="2:31" x14ac:dyDescent="0.3">
      <c r="B85" s="14" t="s">
        <v>40</v>
      </c>
      <c r="C85" s="14" t="s">
        <v>6</v>
      </c>
      <c r="D85" s="43">
        <f>D83+1</f>
        <v>42073</v>
      </c>
      <c r="E85" s="29" t="s">
        <v>29</v>
      </c>
      <c r="F85" s="190"/>
      <c r="G85" s="194">
        <v>0.375</v>
      </c>
      <c r="H85" s="194">
        <v>3.125E-2</v>
      </c>
      <c r="I85" s="194">
        <v>0.72916666666666663</v>
      </c>
      <c r="J85" s="193">
        <f>IF(OR(E85="férié travaillé",E85="travail"),(I85-G85+IF(G85&gt;I85,1)-H85),INDEX('bases de donnée'!$E$20:'bases de donnée'!$E$32,MATCH(E85,gerald2,0)))</f>
        <v>0.32291666666666663</v>
      </c>
      <c r="K85" s="20">
        <f>IF(SUM(J85-'bases de donnée'!E$7)&lt;0,0,SUM(J85-'bases de donnée'!E$7))</f>
        <v>0</v>
      </c>
      <c r="L85" s="11">
        <f>IF(OR(E85="férié travaillé",E85="travail"),I85-G85+IF(G85&gt;I85,1),INDEX('bases de donnée'!$E$20:'bases de donnée'!$E$32,MATCH(E85,gerald2,0)))</f>
        <v>0.35416666666666663</v>
      </c>
      <c r="M85" s="21">
        <f>IF(SUM(L85-'bases de donnée'!E$4)&lt;0,0,SUM(L85-'bases de donnée'!E$4))</f>
        <v>0</v>
      </c>
      <c r="N85" s="155">
        <v>0</v>
      </c>
      <c r="O85" s="45">
        <f>J85</f>
        <v>0.32291666666666663</v>
      </c>
      <c r="P85" s="122">
        <f>SUM(Q85:Q91)</f>
        <v>5</v>
      </c>
      <c r="Q85" s="120">
        <f>IF(AND(G85&lt;&gt;"",I85&lt;&gt;""),1,0+OR(N(I84)&lt;N(G84),E85="récupération",E85="congé 1 jour",E85="congé 1/2 jour ",E85="congé 5h24",E85="arrêt maladie",E85="arrêt travail",E85="férié ",E85="congé parentale",E85="congé de naissance"))</f>
        <v>1</v>
      </c>
      <c r="R85" s="30"/>
      <c r="S85" s="77">
        <f>IF(SUM(MOD(I85-G85,1)-IF(I85&gt;G85,MAX(0,MIN(I85,'bases de donnée'!E$16/24)-MAX('planning '!G85,7/24)),MAX(0,'bases de donnée'!E$16/24-MAX('planning '!G85,7/24))+MAX(0,MIN('planning '!I85,'bases de donnée'!E$16/24)-7/24)))&lt;0,0,SUM(MOD('planning '!I85-'planning '!G85,1)-IF('planning '!I85&gt;'planning '!G85,MAX(0,MIN('planning '!I85,'bases de donnée'!E$16/24)-MAX('planning '!G85,7/24)),MAX(0,'bases de donnée'!E$16/24-MAX('planning '!G85,7/24))+MAX(0,MIN('planning '!I85,'bases de donnée'!E$16/24)-7/24))))</f>
        <v>0</v>
      </c>
      <c r="T85" s="81"/>
      <c r="U85" s="77" t="str">
        <f t="shared" ref="U85:U91" si="79">IF(E85&lt;&gt;"travail",IF(E85="férié travaillé",MOD(I85-G85,1)-H85,"00:00"),"00:00")</f>
        <v>00:00</v>
      </c>
      <c r="V85" s="78"/>
      <c r="W85" s="47"/>
      <c r="X85" s="48">
        <f t="shared" si="57"/>
        <v>0</v>
      </c>
      <c r="Y85" s="31"/>
      <c r="Z85" s="49">
        <f t="shared" ref="Z85:Z90" si="80">IF(SUM(U85-X85)&lt;0,0,SUM(U85-X85))</f>
        <v>0</v>
      </c>
      <c r="AA85" s="48">
        <f t="shared" ref="AA85:AA90" si="81">IF(SUM(V85-X85-Z85)&lt;0,0,SUM(V85-X85-Z85))</f>
        <v>0</v>
      </c>
      <c r="AB85" s="47"/>
      <c r="AC85" s="50"/>
      <c r="AD85" s="33">
        <f t="shared" ref="AD85:AD90" si="82">IF(SUM(U85-Z85)&lt;0,0,SUM(U85-Z85))</f>
        <v>0</v>
      </c>
      <c r="AE85" s="33">
        <f t="shared" si="77"/>
        <v>0</v>
      </c>
    </row>
    <row r="86" spans="2:31" x14ac:dyDescent="0.3">
      <c r="B86" s="51">
        <f>B78+1</f>
        <v>10</v>
      </c>
      <c r="C86" s="14" t="s">
        <v>7</v>
      </c>
      <c r="D86" s="43">
        <f>D85+1</f>
        <v>42074</v>
      </c>
      <c r="E86" s="29" t="s">
        <v>29</v>
      </c>
      <c r="F86" s="191"/>
      <c r="G86" s="194">
        <v>0.375</v>
      </c>
      <c r="H86" s="194">
        <v>3.125E-2</v>
      </c>
      <c r="I86" s="194">
        <v>0.76041666666666663</v>
      </c>
      <c r="J86" s="193">
        <f>IF(OR(E86="férié travaillé",E86="travail"),(I86-G86+IF(G86&gt;I86,1)-H86),INDEX('bases de donnée'!$E$20:'bases de donnée'!$E$32,MATCH(E86,gerald2,0)))</f>
        <v>0.35416666666666663</v>
      </c>
      <c r="K86" s="20">
        <f>IF(SUM(J86-'bases de donnée'!E$7)&lt;0,0,SUM(J86-'bases de donnée'!E$7))</f>
        <v>0</v>
      </c>
      <c r="L86" s="11">
        <f>IF(OR(E86="férié travaillé",E86="travail"),I86-G86+IF(G86&gt;I86,1),INDEX('bases de donnée'!$E$20:'bases de donnée'!$E$32,MATCH(E86,gerald2,0)))</f>
        <v>0.38541666666666663</v>
      </c>
      <c r="M86" s="21">
        <f>IF(SUM(L86-'bases de donnée'!E$4)&lt;0,0,SUM(L86-'bases de donnée'!E$4))</f>
        <v>0</v>
      </c>
      <c r="N86" s="155">
        <v>0</v>
      </c>
      <c r="O86" s="73">
        <f t="shared" ref="O86:O91" si="83">O85+J86</f>
        <v>0.67708333333333326</v>
      </c>
      <c r="P86" s="121">
        <f>IF(SUM(P85-'bases de donnée'!E$6)&lt;0,0,SUM(P85-'bases de donnée'!E$6))</f>
        <v>0</v>
      </c>
      <c r="Q86" s="120">
        <f t="shared" ref="Q86:Q91" si="84">IF(AND(G86&lt;&gt;"",I86&lt;&gt;""),1,0+OR(N(I85)&lt;N(G85),E86="récupération",E86="congé 1 jour",E86="congé 1/2 jour ",E86="congé 5h24",E86="arrêt maladie",E86="arrêt travail",E86="férié ",E86="congé parentale",E86="congé de naissance"))</f>
        <v>1</v>
      </c>
      <c r="R86" s="30"/>
      <c r="S86" s="77">
        <f>IF(SUM(MOD(I86-G86,1)-IF(I86&gt;G86,MAX(0,MIN(I86,'bases de donnée'!E$16/24)-MAX('planning '!G86,7/24)),MAX(0,'bases de donnée'!E$16/24-MAX('planning '!G86,7/24))+MAX(0,MIN('planning '!I86,'bases de donnée'!E$16/24)-7/24)))&lt;0,0,SUM(MOD('planning '!I86-'planning '!G86,1)-IF('planning '!I86&gt;'planning '!G86,MAX(0,MIN('planning '!I86,'bases de donnée'!E$16/24)-MAX('planning '!G86,7/24)),MAX(0,'bases de donnée'!E$16/24-MAX('planning '!G86,7/24))+MAX(0,MIN('planning '!I86,'bases de donnée'!E$16/24)-7/24))))</f>
        <v>0</v>
      </c>
      <c r="T86" s="82"/>
      <c r="U86" s="77" t="str">
        <f t="shared" si="79"/>
        <v>00:00</v>
      </c>
      <c r="V86" s="78">
        <f>IF(SUM(IF(O86&gt;('bases de donnée'!E$9*1),O86-('bases de donnée'!E$9*1),0)-V85)&lt;0,0,SUM(IF(O86&gt;('bases de donnée'!E$9*1),O86-('bases de donnée'!E$9*1),0)-V85))</f>
        <v>0</v>
      </c>
      <c r="W86" s="47"/>
      <c r="X86" s="48">
        <f t="shared" si="57"/>
        <v>0</v>
      </c>
      <c r="Y86" s="42"/>
      <c r="Z86" s="49">
        <f t="shared" si="80"/>
        <v>0</v>
      </c>
      <c r="AA86" s="48">
        <f t="shared" si="81"/>
        <v>0</v>
      </c>
      <c r="AB86" s="47"/>
      <c r="AC86" s="54"/>
      <c r="AD86" s="33">
        <f t="shared" si="82"/>
        <v>0</v>
      </c>
      <c r="AE86" s="33">
        <f t="shared" si="77"/>
        <v>0</v>
      </c>
    </row>
    <row r="87" spans="2:31" x14ac:dyDescent="0.3">
      <c r="B87"/>
      <c r="C87" s="14" t="s">
        <v>8</v>
      </c>
      <c r="D87" s="43">
        <f t="shared" ref="D87:D91" si="85">D86+1</f>
        <v>42075</v>
      </c>
      <c r="E87" s="29" t="s">
        <v>29</v>
      </c>
      <c r="F87" s="191"/>
      <c r="G87" s="194">
        <v>0.375</v>
      </c>
      <c r="H87" s="194">
        <v>3.125E-2</v>
      </c>
      <c r="I87" s="194">
        <v>0.72916666666666663</v>
      </c>
      <c r="J87" s="193">
        <f>IF(OR(E87="férié travaillé",E87="travail"),(I87-G87+IF(G87&gt;I87,1)-H87),INDEX('bases de donnée'!$E$20:'bases de donnée'!$E$32,MATCH(E87,gerald2,0)))</f>
        <v>0.32291666666666663</v>
      </c>
      <c r="K87" s="20">
        <f>IF(SUM(J87-'bases de donnée'!E$7)&lt;0,0,SUM(J87-'bases de donnée'!E$7))</f>
        <v>0</v>
      </c>
      <c r="L87" s="11">
        <f>IF(OR(E87="férié travaillé",E87="travail"),I87-G87+IF(G87&gt;I87,1),INDEX('bases de donnée'!$E$20:'bases de donnée'!$E$32,MATCH(E87,gerald2,0)))</f>
        <v>0.35416666666666663</v>
      </c>
      <c r="M87" s="21">
        <f>IF(SUM(L87-'bases de donnée'!E$4)&lt;0,0,SUM(L87-'bases de donnée'!E$4))</f>
        <v>0</v>
      </c>
      <c r="N87" s="155">
        <v>0</v>
      </c>
      <c r="O87" s="73">
        <f t="shared" si="83"/>
        <v>0.99999999999999989</v>
      </c>
      <c r="P87" s="34" t="s">
        <v>46</v>
      </c>
      <c r="Q87" s="120">
        <f t="shared" si="84"/>
        <v>1</v>
      </c>
      <c r="R87" s="30"/>
      <c r="S87" s="77">
        <f>IF(SUM(MOD(I87-G87,1)-IF(I87&gt;G87,MAX(0,MIN(I87,'bases de donnée'!E$16/24)-MAX('planning '!G87,7/24)),MAX(0,'bases de donnée'!E$16/24-MAX('planning '!G87,7/24))+MAX(0,MIN('planning '!I87,'bases de donnée'!E$16/24)-7/24)))&lt;0,0,SUM(MOD('planning '!I87-'planning '!G87,1)-IF('planning '!I87&gt;'planning '!G87,MAX(0,MIN('planning '!I87,'bases de donnée'!E$16/24)-MAX('planning '!G87,7/24)),MAX(0,'bases de donnée'!E$16/24-MAX('planning '!G87,7/24))+MAX(0,MIN('planning '!I87,'bases de donnée'!E$16/24)-7/24))))</f>
        <v>0</v>
      </c>
      <c r="T87" s="82"/>
      <c r="U87" s="77" t="str">
        <f t="shared" si="79"/>
        <v>00:00</v>
      </c>
      <c r="V87" s="78">
        <f>IF(SUM(IF(O87&gt;("36:00"*1),O87-("36:00"*1),0)-V85-V86)&lt;0,0,SUM(IF(O87&gt;("36:00"*1),O87-("36:00"*1),0)-V85-V86))</f>
        <v>0</v>
      </c>
      <c r="W87" s="47"/>
      <c r="X87" s="48">
        <f t="shared" si="57"/>
        <v>0</v>
      </c>
      <c r="Y87" s="42"/>
      <c r="Z87" s="49">
        <f t="shared" si="80"/>
        <v>0</v>
      </c>
      <c r="AA87" s="48">
        <f t="shared" si="81"/>
        <v>0</v>
      </c>
      <c r="AB87" s="47"/>
      <c r="AC87" s="54"/>
      <c r="AD87" s="33">
        <f t="shared" si="82"/>
        <v>0</v>
      </c>
      <c r="AE87" s="33">
        <f t="shared" si="77"/>
        <v>0</v>
      </c>
    </row>
    <row r="88" spans="2:31" x14ac:dyDescent="0.3">
      <c r="B88"/>
      <c r="C88" s="14" t="s">
        <v>9</v>
      </c>
      <c r="D88" s="43">
        <f t="shared" si="85"/>
        <v>42076</v>
      </c>
      <c r="E88" s="29" t="s">
        <v>29</v>
      </c>
      <c r="F88" s="191"/>
      <c r="G88" s="194">
        <v>0.375</v>
      </c>
      <c r="H88" s="194">
        <v>3.125E-2</v>
      </c>
      <c r="I88" s="194">
        <v>0.72916666666666663</v>
      </c>
      <c r="J88" s="193">
        <f>IF(OR(E88="férié travaillé",E88="travail"),(I88-G88+IF(G88&gt;I88,1)-H88),INDEX('bases de donnée'!$E$20:'bases de donnée'!$E$32,MATCH(E88,gerald2,0)))</f>
        <v>0.32291666666666663</v>
      </c>
      <c r="K88" s="20">
        <f>IF(SUM(J88-'bases de donnée'!E$7)&lt;0,0,SUM(J88-'bases de donnée'!E$7))</f>
        <v>0</v>
      </c>
      <c r="L88" s="11">
        <f>IF(OR(E88="férié travaillé",E88="travail"),I88-G88+IF(G88&gt;I88,1),INDEX('bases de donnée'!$E$20:'bases de donnée'!$E$32,MATCH(E88,gerald2,0)))</f>
        <v>0.35416666666666663</v>
      </c>
      <c r="M88" s="21">
        <f>IF(SUM(L88-'bases de donnée'!E$4)&lt;0,0,SUM(L88-'bases de donnée'!E$4))</f>
        <v>0</v>
      </c>
      <c r="N88" s="155">
        <v>0</v>
      </c>
      <c r="O88" s="73">
        <f t="shared" si="83"/>
        <v>1.3229166666666665</v>
      </c>
      <c r="P88" s="86">
        <f>O91</f>
        <v>1.625</v>
      </c>
      <c r="Q88" s="120">
        <f t="shared" si="84"/>
        <v>1</v>
      </c>
      <c r="R88" s="30"/>
      <c r="S88" s="77">
        <f>IF(SUM(MOD(I88-G88,1)-IF(I88&gt;G88,MAX(0,MIN(I88,'bases de donnée'!E$16/24)-MAX('planning '!G88,7/24)),MAX(0,'bases de donnée'!E$16/24-MAX('planning '!G88,7/24))+MAX(0,MIN('planning '!I88,'bases de donnée'!E$16/24)-7/24)))&lt;0,0,SUM(MOD('planning '!I88-'planning '!G88,1)-IF('planning '!I88&gt;'planning '!G88,MAX(0,MIN('planning '!I88,'bases de donnée'!E$16/24)-MAX('planning '!G88,7/24)),MAX(0,'bases de donnée'!E$16/24-MAX('planning '!G88,7/24))+MAX(0,MIN('planning '!I88,'bases de donnée'!E$16/24)-7/24))))</f>
        <v>0</v>
      </c>
      <c r="T88" s="82"/>
      <c r="U88" s="77" t="str">
        <f t="shared" si="79"/>
        <v>00:00</v>
      </c>
      <c r="V88" s="78">
        <f>IF(SUM(IF(O88&gt;("36:00"*1),O88-("36:00"*1),0)-V86-V87)&lt;0,0,SUM(IF(O88&gt;("36:00"*1),O88-("36:00"*1),0)-V85-V86-V87))</f>
        <v>0</v>
      </c>
      <c r="W88" s="47"/>
      <c r="X88" s="48">
        <f t="shared" si="57"/>
        <v>0</v>
      </c>
      <c r="Y88" s="42"/>
      <c r="Z88" s="49">
        <f t="shared" si="80"/>
        <v>0</v>
      </c>
      <c r="AA88" s="48">
        <f t="shared" si="81"/>
        <v>0</v>
      </c>
      <c r="AB88" s="47"/>
      <c r="AC88" s="54"/>
      <c r="AD88" s="33">
        <f t="shared" si="82"/>
        <v>0</v>
      </c>
      <c r="AE88" s="33">
        <f t="shared" si="77"/>
        <v>0</v>
      </c>
    </row>
    <row r="89" spans="2:31" x14ac:dyDescent="0.3">
      <c r="B89"/>
      <c r="C89" s="14" t="s">
        <v>3</v>
      </c>
      <c r="D89" s="43">
        <f t="shared" si="85"/>
        <v>42077</v>
      </c>
      <c r="E89" s="29" t="s">
        <v>29</v>
      </c>
      <c r="F89" s="191"/>
      <c r="G89" s="194">
        <v>0.375</v>
      </c>
      <c r="H89" s="194">
        <v>3.125E-2</v>
      </c>
      <c r="I89" s="194">
        <v>0.70833333333333337</v>
      </c>
      <c r="J89" s="193">
        <f>IF(OR(E89="férié travaillé",E89="travail"),(I89-G89+IF(G89&gt;I89,1)-H89),INDEX('bases de donnée'!$E$20:'bases de donnée'!$E$32,MATCH(E89,gerald2,0)))</f>
        <v>0.30208333333333337</v>
      </c>
      <c r="K89" s="20">
        <f>IF(SUM(J89-'bases de donnée'!E$7)&lt;0,0,SUM(J89-'bases de donnée'!E$7))</f>
        <v>0</v>
      </c>
      <c r="L89" s="11">
        <f>IF(OR(E89="férié travaillé",E89="travail"),I89-G89+IF(G89&gt;I89,1),INDEX('bases de donnée'!$E$20:'bases de donnée'!$E$32,MATCH(E89,gerald2,0)))</f>
        <v>0.33333333333333337</v>
      </c>
      <c r="M89" s="21">
        <f>IF(SUM(L89-'bases de donnée'!E$4)&lt;0,0,SUM(L89-'bases de donnée'!E$4))</f>
        <v>0</v>
      </c>
      <c r="N89" s="155">
        <v>0</v>
      </c>
      <c r="O89" s="73">
        <f t="shared" si="83"/>
        <v>1.625</v>
      </c>
      <c r="P89" s="12" t="s">
        <v>48</v>
      </c>
      <c r="Q89" s="120">
        <f t="shared" si="84"/>
        <v>1</v>
      </c>
      <c r="R89" s="30"/>
      <c r="S89" s="77">
        <f>IF(SUM(MOD(I89-G89,1)-IF(I89&gt;G89,MAX(0,MIN(I89,'bases de donnée'!E$16/24)-MAX('planning '!G89,7/24)),MAX(0,'bases de donnée'!E$16/24-MAX('planning '!G89,7/24))+MAX(0,MIN('planning '!I89,'bases de donnée'!E$16/24)-7/24)))&lt;0,0,SUM(MOD('planning '!I89-'planning '!G89,1)-IF('planning '!I89&gt;'planning '!G89,MAX(0,MIN('planning '!I89,'bases de donnée'!E$16/24)-MAX('planning '!G89,7/24)),MAX(0,'bases de donnée'!E$16/24-MAX('planning '!G89,7/24))+MAX(0,MIN('planning '!I89,'bases de donnée'!E$16/24)-7/24))))</f>
        <v>0</v>
      </c>
      <c r="T89" s="82"/>
      <c r="U89" s="77" t="str">
        <f t="shared" si="79"/>
        <v>00:00</v>
      </c>
      <c r="V89" s="78">
        <f>IF(SUM(IF(O89&gt;("36:00"*1),O89-("36:00"*1),0)-V87-V88)&lt;0,0,SUM(IF(O89&gt;("36:00"*1),O89-("36:00"*1),0)-V85-V86-V87-V88))</f>
        <v>0.125</v>
      </c>
      <c r="W89" s="47"/>
      <c r="X89" s="48">
        <f t="shared" si="57"/>
        <v>0</v>
      </c>
      <c r="Y89" s="42"/>
      <c r="Z89" s="49">
        <f t="shared" si="80"/>
        <v>0</v>
      </c>
      <c r="AA89" s="48">
        <f t="shared" si="81"/>
        <v>0.125</v>
      </c>
      <c r="AB89" s="47"/>
      <c r="AC89" s="54"/>
      <c r="AD89" s="33">
        <f t="shared" si="82"/>
        <v>0</v>
      </c>
      <c r="AE89" s="33">
        <f t="shared" si="77"/>
        <v>0</v>
      </c>
    </row>
    <row r="90" spans="2:31" x14ac:dyDescent="0.3">
      <c r="B90"/>
      <c r="C90" s="14" t="s">
        <v>4</v>
      </c>
      <c r="D90" s="43">
        <f t="shared" si="85"/>
        <v>42078</v>
      </c>
      <c r="E90" s="29" t="s">
        <v>28</v>
      </c>
      <c r="F90" s="191"/>
      <c r="G90" s="194"/>
      <c r="H90" s="194"/>
      <c r="I90" s="194"/>
      <c r="J90" s="193">
        <f>IF(OR(E90="férié travaillé",E90="travail"),(I90-G90+IF(G90&gt;I90,1)-H90),INDEX('bases de donnée'!$E$20:'bases de donnée'!$E$32,MATCH(E90,gerald2,0)))</f>
        <v>0</v>
      </c>
      <c r="K90" s="20">
        <f>IF(SUM(J90-'bases de donnée'!E$7)&lt;0,0,SUM(J90-'bases de donnée'!E$7))</f>
        <v>0</v>
      </c>
      <c r="L90" s="11">
        <f>IF(OR(E90="férié travaillé",E90="travail"),I90-G90+IF(G90&gt;I90,1),INDEX('bases de donnée'!$E$20:'bases de donnée'!$E$32,MATCH(E90,gerald2,0)))</f>
        <v>0</v>
      </c>
      <c r="M90" s="21">
        <f>IF(SUM(L90-'bases de donnée'!E$4)&lt;0,0,SUM(L90-'bases de donnée'!E$4))</f>
        <v>0</v>
      </c>
      <c r="N90" s="155">
        <v>0</v>
      </c>
      <c r="O90" s="73">
        <f t="shared" si="83"/>
        <v>1.625</v>
      </c>
      <c r="P90" s="53">
        <f>'bases de donnée'!E$10</f>
        <v>2</v>
      </c>
      <c r="Q90" s="120">
        <f t="shared" si="84"/>
        <v>0</v>
      </c>
      <c r="R90" s="30"/>
      <c r="S90" s="77">
        <f>IF(SUM(MOD(I90-G90,1)-IF(I90&gt;G90,MAX(0,MIN(I90,'bases de donnée'!E$16/24)-MAX('planning '!G90,7/24)),MAX(0,'bases de donnée'!E$16/24-MAX('planning '!G90,7/24))+MAX(0,MIN('planning '!I90,'bases de donnée'!E$16/24)-7/24)))&lt;0,0,SUM(MOD('planning '!I90-'planning '!G90,1)-IF('planning '!I90&gt;'planning '!G90,MAX(0,MIN('planning '!I90,'bases de donnée'!E$16/24)-MAX('planning '!G90,7/24)),MAX(0,'bases de donnée'!E$16/24-MAX('planning '!G90,7/24))+MAX(0,MIN('planning '!I90,'bases de donnée'!E$16/24)-7/24))))</f>
        <v>0</v>
      </c>
      <c r="T90" s="82"/>
      <c r="U90" s="77" t="str">
        <f t="shared" si="79"/>
        <v>00:00</v>
      </c>
      <c r="V90" s="78">
        <f>IF(SUM(IF(O90&gt;("36:00"*1),O90-("36:00"*1),0)-V88-V89)&lt;0,0,SUM(IF(O90&gt;("36:00"*1),O90-("36:00"*1),0)-V85-V86-V87-V88-V89))</f>
        <v>0</v>
      </c>
      <c r="W90" s="47"/>
      <c r="X90" s="48">
        <f t="shared" si="57"/>
        <v>0</v>
      </c>
      <c r="Y90" s="32"/>
      <c r="Z90" s="49">
        <f t="shared" si="80"/>
        <v>0</v>
      </c>
      <c r="AA90" s="48">
        <f t="shared" si="81"/>
        <v>0</v>
      </c>
      <c r="AB90" s="47"/>
      <c r="AC90" s="55"/>
      <c r="AD90" s="33">
        <f t="shared" si="82"/>
        <v>0</v>
      </c>
      <c r="AE90" s="33">
        <f t="shared" si="77"/>
        <v>0</v>
      </c>
    </row>
    <row r="91" spans="2:31" x14ac:dyDescent="0.3">
      <c r="B91"/>
      <c r="C91" s="14" t="s">
        <v>5</v>
      </c>
      <c r="D91" s="43">
        <f t="shared" si="85"/>
        <v>42079</v>
      </c>
      <c r="E91" s="29" t="s">
        <v>28</v>
      </c>
      <c r="F91" s="192"/>
      <c r="G91" s="194"/>
      <c r="H91" s="194"/>
      <c r="I91" s="194"/>
      <c r="J91" s="193">
        <f>IF(OR(E91="férié travaillé",E91="travail"),(I91-G91+IF(G91&gt;I91,1)-H91),INDEX('bases de donnée'!$E$20:'bases de donnée'!$E$32,MATCH(E91,gerald2,0)))</f>
        <v>0</v>
      </c>
      <c r="K91" s="20">
        <f>IF(SUM(J91-'bases de donnée'!E$7)&lt;0,0,SUM(J91-'bases de donnée'!E$7))</f>
        <v>0</v>
      </c>
      <c r="L91" s="11">
        <f>IF(OR(E91="férié travaillé",E91="travail"),I91-G91+IF(G91&gt;I91,1),INDEX('bases de donnée'!$E$20:'bases de donnée'!$E$32,MATCH(E91,gerald2,0)))</f>
        <v>0</v>
      </c>
      <c r="M91" s="21">
        <f>IF(SUM(L91-'bases de donnée'!E$4)&lt;0,0,SUM(L91-'bases de donnée'!E$4))</f>
        <v>0</v>
      </c>
      <c r="N91" s="155">
        <v>0</v>
      </c>
      <c r="O91" s="73">
        <f t="shared" si="83"/>
        <v>1.625</v>
      </c>
      <c r="P91" s="33">
        <f>IF(SUM(O91-'bases de donnée'!E$10)&lt;0,0,SUM(O91-'bases de donnée'!E$10))</f>
        <v>0</v>
      </c>
      <c r="Q91" s="120">
        <f t="shared" si="84"/>
        <v>0</v>
      </c>
      <c r="R91" s="30"/>
      <c r="S91" s="77">
        <f>IF(SUM(MOD(I91-G91,1)-IF(I91&gt;G91,MAX(0,MIN(I91,'bases de donnée'!E$16/24)-MAX('planning '!G91,7/24)),MAX(0,'bases de donnée'!E$16/24-MAX('planning '!G91,7/24))+MAX(0,MIN('planning '!I91,'bases de donnée'!E$16/24)-7/24)))&lt;0,0,SUM(MOD('planning '!I91-'planning '!G91,1)-IF('planning '!I91&gt;'planning '!G91,MAX(0,MIN('planning '!I91,'bases de donnée'!E$16/24)-MAX('planning '!G91,7/24)),MAX(0,'bases de donnée'!E$16/24-MAX('planning '!G91,7/24))+MAX(0,MIN('planning '!I91,'bases de donnée'!E$16/24)-7/24))))</f>
        <v>0</v>
      </c>
      <c r="T91" s="77">
        <f>J91</f>
        <v>0</v>
      </c>
      <c r="U91" s="77" t="str">
        <f t="shared" si="79"/>
        <v>00:00</v>
      </c>
      <c r="V91" s="78">
        <f>IF(SUM(IF(O91&gt;("36:00"*1),O91-("36:00"*1),0)-V89-V90)&lt;0,0,SUM(IF(O91&gt;("36:00"*1),O91-("36:00"*1),0)-V85-V86-V87-V88-V89-V90))</f>
        <v>0</v>
      </c>
      <c r="W91" s="47"/>
      <c r="X91" s="48">
        <f t="shared" si="57"/>
        <v>0</v>
      </c>
      <c r="Y91" s="48">
        <f>IF(SUM(T91-S91)&lt;0,0,SUM(T91-S91))</f>
        <v>0</v>
      </c>
      <c r="Z91" s="56">
        <f>IF(SUM(U91-T91-S91)&lt;0,0,SUM(U91-T91-S91))</f>
        <v>0</v>
      </c>
      <c r="AA91" s="48">
        <f>IF(SUM(V91-S91-T91-U91)&lt;0,0,SUM(V91-S91-T91-U91))</f>
        <v>0</v>
      </c>
      <c r="AB91" s="47"/>
      <c r="AC91" s="57">
        <f>IF(SUM(T91-Y91)&lt;0,0,SUM(T91-Y91))</f>
        <v>0</v>
      </c>
      <c r="AD91" s="33">
        <f>IF(SUM(U91-Z91)&lt;0,0,SUM(U91-Z91))</f>
        <v>0</v>
      </c>
      <c r="AE91" s="33">
        <f t="shared" si="77"/>
        <v>0</v>
      </c>
    </row>
    <row r="92" spans="2:31" x14ac:dyDescent="0.3">
      <c r="B92"/>
      <c r="C92" s="25"/>
      <c r="D92" s="90"/>
      <c r="E92" s="90"/>
      <c r="F92" s="25"/>
      <c r="G92" s="47"/>
      <c r="H92" s="47"/>
      <c r="I92" s="47"/>
      <c r="J92" s="47"/>
      <c r="K92" s="92"/>
      <c r="L92" s="91"/>
      <c r="M92" s="91"/>
      <c r="N92" s="91"/>
      <c r="O92" s="93"/>
      <c r="P92" s="47"/>
      <c r="Q92" s="30"/>
      <c r="R92" s="30"/>
      <c r="S92" s="47"/>
      <c r="T92" s="47"/>
      <c r="U92" s="47"/>
      <c r="V92" s="93"/>
      <c r="W92" s="47"/>
      <c r="X92" s="47"/>
      <c r="Y92" s="47"/>
      <c r="Z92" s="47"/>
      <c r="AA92" s="47"/>
      <c r="AB92" s="47"/>
      <c r="AC92" s="47"/>
      <c r="AD92" s="47"/>
      <c r="AE92" s="47"/>
    </row>
    <row r="93" spans="2:31" x14ac:dyDescent="0.3">
      <c r="B93" s="9" t="s">
        <v>40</v>
      </c>
      <c r="C93" s="9" t="s">
        <v>6</v>
      </c>
      <c r="D93" s="58">
        <f>D91+1</f>
        <v>42080</v>
      </c>
      <c r="E93" s="29" t="s">
        <v>29</v>
      </c>
      <c r="F93" s="190"/>
      <c r="G93" s="194">
        <v>0.375</v>
      </c>
      <c r="H93" s="194">
        <v>3.125E-2</v>
      </c>
      <c r="I93" s="194">
        <v>0.71875</v>
      </c>
      <c r="J93" s="193">
        <f>IF(OR(E93="férié travaillé",E93="travail"),(I93-G93+IF(G93&gt;I93,1)-H93),INDEX('bases de donnée'!$E$20:'bases de donnée'!$E$32,MATCH(E93,gerald2,0)))</f>
        <v>0.3125</v>
      </c>
      <c r="K93" s="20">
        <f>IF(SUM(J93-'bases de donnée'!E$7)&lt;0,0,SUM(J93-'bases de donnée'!E$7))</f>
        <v>0</v>
      </c>
      <c r="L93" s="11">
        <f>IF(OR(E93="férié travaillé",E93="travail"),I93-G93+IF(G93&gt;I93,1),INDEX('bases de donnée'!$E$20:'bases de donnée'!$E$32,MATCH(E93,gerald2,0)))</f>
        <v>0.34375</v>
      </c>
      <c r="M93" s="21">
        <f>IF(SUM(L93-'bases de donnée'!E$4)&lt;0,0,SUM(L93-'bases de donnée'!E$4))</f>
        <v>0</v>
      </c>
      <c r="N93" s="155">
        <v>0</v>
      </c>
      <c r="O93" s="59">
        <f>J93</f>
        <v>0.3125</v>
      </c>
      <c r="P93" s="122">
        <f>SUM(Q93:Q99)</f>
        <v>5</v>
      </c>
      <c r="Q93" s="120">
        <f>IF(AND(G93&lt;&gt;"",I93&lt;&gt;""),1,0+OR(N(I92)&lt;N(G92),E93="récupération",E93="congé 1 jour",E93="congé 1/2 jour ",E93="congé 5h24",E93="arrêt maladie",E93="arrêt travail",E93="férié ",E93="congé parentale",E93="congé de naissance"))</f>
        <v>1</v>
      </c>
      <c r="R93" s="30"/>
      <c r="S93" s="77">
        <f>IF(SUM(MOD(I93-G93,1)-IF(I93&gt;G93,MAX(0,MIN(I93,'bases de donnée'!E$16/24)-MAX('planning '!G93,7/24)),MAX(0,'bases de donnée'!E$16/24-MAX('planning '!G93,7/24))+MAX(0,MIN('planning '!I93,'bases de donnée'!E$16/24)-7/24)))&lt;0,0,SUM(MOD('planning '!I93-'planning '!G93,1)-IF('planning '!I93&gt;'planning '!G93,MAX(0,MIN('planning '!I93,'bases de donnée'!E$16/24)-MAX('planning '!G93,7/24)),MAX(0,'bases de donnée'!E$16/24-MAX('planning '!G93,7/24))+MAX(0,MIN('planning '!I93,'bases de donnée'!E$16/24)-7/24))))</f>
        <v>0</v>
      </c>
      <c r="T93" s="81"/>
      <c r="U93" s="77" t="str">
        <f t="shared" ref="U93:U99" si="86">IF(E93&lt;&gt;"travail",IF(E93="férié travaillé",MOD(I93-G93,1)-H93,"00:00"),"00:00")</f>
        <v>00:00</v>
      </c>
      <c r="V93" s="78"/>
      <c r="W93" s="47"/>
      <c r="X93" s="48">
        <f t="shared" si="57"/>
        <v>0</v>
      </c>
      <c r="Y93" s="31"/>
      <c r="Z93" s="49">
        <f t="shared" ref="Z93:Z98" si="87">IF(SUM(U93-X93)&lt;0,0,SUM(U93-X93))</f>
        <v>0</v>
      </c>
      <c r="AA93" s="48">
        <f t="shared" ref="AA93:AA98" si="88">IF(SUM(V93-X93-Z93)&lt;0,0,SUM(V93-X93-Z93))</f>
        <v>0</v>
      </c>
      <c r="AB93" s="47"/>
      <c r="AC93" s="50"/>
      <c r="AD93" s="33">
        <f t="shared" ref="AD93:AD98" si="89">IF(SUM(U93-Z93)&lt;0,0,SUM(U93-Z93))</f>
        <v>0</v>
      </c>
      <c r="AE93" s="33">
        <f t="shared" si="77"/>
        <v>0</v>
      </c>
    </row>
    <row r="94" spans="2:31" x14ac:dyDescent="0.3">
      <c r="B94" s="60">
        <f>B86+1</f>
        <v>11</v>
      </c>
      <c r="C94" s="9" t="s">
        <v>7</v>
      </c>
      <c r="D94" s="58">
        <f>D93+1</f>
        <v>42081</v>
      </c>
      <c r="E94" s="29" t="s">
        <v>29</v>
      </c>
      <c r="F94" s="191"/>
      <c r="G94" s="194">
        <v>0.375</v>
      </c>
      <c r="H94" s="194">
        <v>3.125E-2</v>
      </c>
      <c r="I94" s="194">
        <v>0.91666666666666663</v>
      </c>
      <c r="J94" s="193">
        <f>IF(OR(E94="férié travaillé",E94="travail"),(I94-G94+IF(G94&gt;I94,1)-H94),INDEX('bases de donnée'!$E$20:'bases de donnée'!$E$32,MATCH(E94,gerald2,0)))</f>
        <v>0.51041666666666663</v>
      </c>
      <c r="K94" s="20">
        <f>IF(SUM(J94-'bases de donnée'!E$7)&lt;0,0,SUM(J94-'bases de donnée'!E$7))</f>
        <v>9.3749999999999944E-2</v>
      </c>
      <c r="L94" s="11">
        <f>IF(OR(E94="férié travaillé",E94="travail"),I94-G94+IF(G94&gt;I94,1),INDEX('bases de donnée'!$E$20:'bases de donnée'!$E$32,MATCH(E94,gerald2,0)))</f>
        <v>0.54166666666666663</v>
      </c>
      <c r="M94" s="21">
        <f>IF(SUM(L94-'bases de donnée'!E$4)&lt;0,0,SUM(L94-'bases de donnée'!E$4))</f>
        <v>4.166666666666663E-2</v>
      </c>
      <c r="N94" s="155">
        <v>0</v>
      </c>
      <c r="O94" s="74">
        <f t="shared" ref="O94:O99" si="90">O93+J94</f>
        <v>0.82291666666666663</v>
      </c>
      <c r="P94" s="121">
        <f>IF(SUM(P93-'bases de donnée'!E$6)&lt;0,0,SUM(P93-'bases de donnée'!E$6))</f>
        <v>0</v>
      </c>
      <c r="Q94" s="120">
        <f t="shared" ref="Q94:Q99" si="91">IF(AND(G94&lt;&gt;"",I94&lt;&gt;""),1,0+OR(N(I93)&lt;N(G93),E94="récupération",E94="congé 1 jour",E94="congé 1/2 jour ",E94="congé 5h24",E94="arrêt maladie",E94="arrêt travail",E94="férié ",E94="congé parentale",E94="congé de naissance"))</f>
        <v>1</v>
      </c>
      <c r="R94" s="30"/>
      <c r="S94" s="77">
        <f>IF(SUM(MOD(I94-G94,1)-IF(I94&gt;G94,MAX(0,MIN(I94,'bases de donnée'!E$16/24)-MAX('planning '!G94,7/24)),MAX(0,'bases de donnée'!E$16/24-MAX('planning '!G94,7/24))+MAX(0,MIN('planning '!I94,'bases de donnée'!E$16/24)-7/24)))&lt;0,0,SUM(MOD('planning '!I94-'planning '!G94,1)-IF('planning '!I94&gt;'planning '!G94,MAX(0,MIN('planning '!I94,'bases de donnée'!E$16/24)-MAX('planning '!G94,7/24)),MAX(0,'bases de donnée'!E$16/24-MAX('planning '!G94,7/24))+MAX(0,MIN('planning '!I94,'bases de donnée'!E$16/24)-7/24))))</f>
        <v>4.166666666666663E-2</v>
      </c>
      <c r="T94" s="82"/>
      <c r="U94" s="77" t="str">
        <f t="shared" si="86"/>
        <v>00:00</v>
      </c>
      <c r="V94" s="78">
        <f>IF(SUM(IF(O94&gt;('bases de donnée'!E$9*1),O94-('bases de donnée'!E$9*1),0)-V93)&lt;0,0,SUM(IF(O94&gt;('bases de donnée'!E$9*1),O94-('bases de donnée'!E$9*1),0)-V93))</f>
        <v>0</v>
      </c>
      <c r="W94" s="47"/>
      <c r="X94" s="48">
        <f t="shared" si="57"/>
        <v>4.166666666666663E-2</v>
      </c>
      <c r="Y94" s="42"/>
      <c r="Z94" s="49">
        <f t="shared" si="87"/>
        <v>0</v>
      </c>
      <c r="AA94" s="48">
        <f t="shared" si="88"/>
        <v>0</v>
      </c>
      <c r="AB94" s="47"/>
      <c r="AC94" s="54"/>
      <c r="AD94" s="33">
        <f t="shared" si="89"/>
        <v>0</v>
      </c>
      <c r="AE94" s="33">
        <f t="shared" si="77"/>
        <v>0</v>
      </c>
    </row>
    <row r="95" spans="2:31" x14ac:dyDescent="0.3">
      <c r="B95"/>
      <c r="C95" s="9" t="s">
        <v>8</v>
      </c>
      <c r="D95" s="58">
        <f t="shared" ref="D95:D99" si="92">D94+1</f>
        <v>42082</v>
      </c>
      <c r="E95" s="29" t="s">
        <v>29</v>
      </c>
      <c r="F95" s="191"/>
      <c r="G95" s="194">
        <v>0.375</v>
      </c>
      <c r="H95" s="194">
        <v>3.125E-2</v>
      </c>
      <c r="I95" s="194">
        <v>0.72916666666666663</v>
      </c>
      <c r="J95" s="193">
        <f>IF(OR(E95="férié travaillé",E95="travail"),(I95-G95+IF(G95&gt;I95,1)-H95),INDEX('bases de donnée'!$E$20:'bases de donnée'!$E$32,MATCH(E95,gerald2,0)))</f>
        <v>0.32291666666666663</v>
      </c>
      <c r="K95" s="20">
        <f>IF(SUM(J95-'bases de donnée'!E$7)&lt;0,0,SUM(J95-'bases de donnée'!E$7))</f>
        <v>0</v>
      </c>
      <c r="L95" s="11">
        <f>IF(OR(E95="férié travaillé",E95="travail"),I95-G95+IF(G95&gt;I95,1),INDEX('bases de donnée'!$E$20:'bases de donnée'!$E$32,MATCH(E95,gerald2,0)))</f>
        <v>0.35416666666666663</v>
      </c>
      <c r="M95" s="21">
        <f>IF(SUM(L95-'bases de donnée'!E$4)&lt;0,0,SUM(L95-'bases de donnée'!E$4))</f>
        <v>0</v>
      </c>
      <c r="N95" s="155">
        <v>0</v>
      </c>
      <c r="O95" s="74">
        <f t="shared" si="90"/>
        <v>1.1458333333333333</v>
      </c>
      <c r="P95" s="34" t="s">
        <v>46</v>
      </c>
      <c r="Q95" s="120">
        <f t="shared" si="91"/>
        <v>1</v>
      </c>
      <c r="R95" s="30"/>
      <c r="S95" s="77">
        <f>IF(SUM(MOD(I95-G95,1)-IF(I95&gt;G95,MAX(0,MIN(I95,'bases de donnée'!E$16/24)-MAX('planning '!G95,7/24)),MAX(0,'bases de donnée'!E$16/24-MAX('planning '!G95,7/24))+MAX(0,MIN('planning '!I95,'bases de donnée'!E$16/24)-7/24)))&lt;0,0,SUM(MOD('planning '!I95-'planning '!G95,1)-IF('planning '!I95&gt;'planning '!G95,MAX(0,MIN('planning '!I95,'bases de donnée'!E$16/24)-MAX('planning '!G95,7/24)),MAX(0,'bases de donnée'!E$16/24-MAX('planning '!G95,7/24))+MAX(0,MIN('planning '!I95,'bases de donnée'!E$16/24)-7/24))))</f>
        <v>0</v>
      </c>
      <c r="T95" s="82"/>
      <c r="U95" s="77" t="str">
        <f t="shared" si="86"/>
        <v>00:00</v>
      </c>
      <c r="V95" s="78">
        <f>IF(SUM(IF(O95&gt;("36:00"*1),O95-("36:00"*1),0)-V93-V94)&lt;0,0,SUM(IF(O95&gt;("36:00"*1),O95-("36:00"*1),0)-V93-V94))</f>
        <v>0</v>
      </c>
      <c r="W95" s="47"/>
      <c r="X95" s="48">
        <f t="shared" si="57"/>
        <v>0</v>
      </c>
      <c r="Y95" s="42"/>
      <c r="Z95" s="49">
        <f t="shared" si="87"/>
        <v>0</v>
      </c>
      <c r="AA95" s="48">
        <f t="shared" si="88"/>
        <v>0</v>
      </c>
      <c r="AB95" s="47"/>
      <c r="AC95" s="54"/>
      <c r="AD95" s="33">
        <f t="shared" si="89"/>
        <v>0</v>
      </c>
      <c r="AE95" s="33">
        <f t="shared" si="77"/>
        <v>0</v>
      </c>
    </row>
    <row r="96" spans="2:31" x14ac:dyDescent="0.3">
      <c r="B96"/>
      <c r="C96" s="9" t="s">
        <v>9</v>
      </c>
      <c r="D96" s="58">
        <f t="shared" si="92"/>
        <v>42083</v>
      </c>
      <c r="E96" s="29" t="s">
        <v>29</v>
      </c>
      <c r="F96" s="191"/>
      <c r="G96" s="194">
        <v>0.375</v>
      </c>
      <c r="H96" s="194">
        <v>3.125E-2</v>
      </c>
      <c r="I96" s="194">
        <v>0.71875</v>
      </c>
      <c r="J96" s="193">
        <f>IF(OR(E96="férié travaillé",E96="travail"),(I96-G96+IF(G96&gt;I96,1)-H96),INDEX('bases de donnée'!$E$20:'bases de donnée'!$E$32,MATCH(E96,gerald2,0)))</f>
        <v>0.3125</v>
      </c>
      <c r="K96" s="20">
        <f>IF(SUM(J96-'bases de donnée'!E$7)&lt;0,0,SUM(J96-'bases de donnée'!E$7))</f>
        <v>0</v>
      </c>
      <c r="L96" s="11">
        <f>IF(OR(E96="férié travaillé",E96="travail"),I96-G96+IF(G96&gt;I96,1),INDEX('bases de donnée'!$E$20:'bases de donnée'!$E$32,MATCH(E96,gerald2,0)))</f>
        <v>0.34375</v>
      </c>
      <c r="M96" s="21">
        <f>IF(SUM(L96-'bases de donnée'!E$4)&lt;0,0,SUM(L96-'bases de donnée'!E$4))</f>
        <v>0</v>
      </c>
      <c r="N96" s="155">
        <v>0</v>
      </c>
      <c r="O96" s="74">
        <f t="shared" si="90"/>
        <v>1.4583333333333333</v>
      </c>
      <c r="P96" s="86">
        <f>O99</f>
        <v>1.7604166666666665</v>
      </c>
      <c r="Q96" s="120">
        <f t="shared" si="91"/>
        <v>1</v>
      </c>
      <c r="R96" s="30"/>
      <c r="S96" s="77">
        <f>IF(SUM(MOD(I96-G96,1)-IF(I96&gt;G96,MAX(0,MIN(I96,'bases de donnée'!E$16/24)-MAX('planning '!G96,7/24)),MAX(0,'bases de donnée'!E$16/24-MAX('planning '!G96,7/24))+MAX(0,MIN('planning '!I96,'bases de donnée'!E$16/24)-7/24)))&lt;0,0,SUM(MOD('planning '!I96-'planning '!G96,1)-IF('planning '!I96&gt;'planning '!G96,MAX(0,MIN('planning '!I96,'bases de donnée'!E$16/24)-MAX('planning '!G96,7/24)),MAX(0,'bases de donnée'!E$16/24-MAX('planning '!G96,7/24))+MAX(0,MIN('planning '!I96,'bases de donnée'!E$16/24)-7/24))))</f>
        <v>0</v>
      </c>
      <c r="T96" s="82"/>
      <c r="U96" s="77" t="str">
        <f t="shared" si="86"/>
        <v>00:00</v>
      </c>
      <c r="V96" s="78">
        <f>IF(SUM(IF(O96&gt;("36:00"*1),O96-("36:00"*1),0)-V94-V95)&lt;0,0,SUM(IF(O96&gt;("36:00"*1),O96-("36:00"*1),0)-V93-V94-V95))</f>
        <v>0</v>
      </c>
      <c r="W96" s="47"/>
      <c r="X96" s="48">
        <f t="shared" si="57"/>
        <v>0</v>
      </c>
      <c r="Y96" s="42"/>
      <c r="Z96" s="49">
        <f t="shared" si="87"/>
        <v>0</v>
      </c>
      <c r="AA96" s="48">
        <f t="shared" si="88"/>
        <v>0</v>
      </c>
      <c r="AB96" s="47"/>
      <c r="AC96" s="54"/>
      <c r="AD96" s="33">
        <f t="shared" si="89"/>
        <v>0</v>
      </c>
      <c r="AE96" s="33">
        <f t="shared" si="77"/>
        <v>0</v>
      </c>
    </row>
    <row r="97" spans="2:31" x14ac:dyDescent="0.3">
      <c r="B97"/>
      <c r="C97" s="9" t="s">
        <v>3</v>
      </c>
      <c r="D97" s="58">
        <f t="shared" si="92"/>
        <v>42084</v>
      </c>
      <c r="E97" s="29" t="s">
        <v>29</v>
      </c>
      <c r="F97" s="191"/>
      <c r="G97" s="194">
        <v>0.375</v>
      </c>
      <c r="H97" s="194">
        <v>3.125E-2</v>
      </c>
      <c r="I97" s="194">
        <v>0.70833333333333337</v>
      </c>
      <c r="J97" s="193">
        <f>IF(OR(E97="férié travaillé",E97="travail"),(I97-G97+IF(G97&gt;I97,1)-H97),INDEX('bases de donnée'!$E$20:'bases de donnée'!$E$32,MATCH(E97,gerald2,0)))</f>
        <v>0.30208333333333337</v>
      </c>
      <c r="K97" s="20">
        <f>IF(SUM(J97-'bases de donnée'!E$7)&lt;0,0,SUM(J97-'bases de donnée'!E$7))</f>
        <v>0</v>
      </c>
      <c r="L97" s="11">
        <f>IF(OR(E97="férié travaillé",E97="travail"),I97-G97+IF(G97&gt;I97,1),INDEX('bases de donnée'!$E$20:'bases de donnée'!$E$32,MATCH(E97,gerald2,0)))</f>
        <v>0.33333333333333337</v>
      </c>
      <c r="M97" s="21">
        <f>IF(SUM(L97-'bases de donnée'!E$4)&lt;0,0,SUM(L97-'bases de donnée'!E$4))</f>
        <v>0</v>
      </c>
      <c r="N97" s="155">
        <v>0</v>
      </c>
      <c r="O97" s="74">
        <f t="shared" si="90"/>
        <v>1.7604166666666665</v>
      </c>
      <c r="P97" s="8" t="s">
        <v>48</v>
      </c>
      <c r="Q97" s="120">
        <f t="shared" si="91"/>
        <v>1</v>
      </c>
      <c r="R97" s="30"/>
      <c r="S97" s="77">
        <f>IF(SUM(MOD(I97-G97,1)-IF(I97&gt;G97,MAX(0,MIN(I97,'bases de donnée'!E$16/24)-MAX('planning '!G97,7/24)),MAX(0,'bases de donnée'!E$16/24-MAX('planning '!G97,7/24))+MAX(0,MIN('planning '!I97,'bases de donnée'!E$16/24)-7/24)))&lt;0,0,SUM(MOD('planning '!I97-'planning '!G97,1)-IF('planning '!I97&gt;'planning '!G97,MAX(0,MIN('planning '!I97,'bases de donnée'!E$16/24)-MAX('planning '!G97,7/24)),MAX(0,'bases de donnée'!E$16/24-MAX('planning '!G97,7/24))+MAX(0,MIN('planning '!I97,'bases de donnée'!E$16/24)-7/24))))</f>
        <v>0</v>
      </c>
      <c r="T97" s="82"/>
      <c r="U97" s="77" t="str">
        <f t="shared" si="86"/>
        <v>00:00</v>
      </c>
      <c r="V97" s="78">
        <f>IF(SUM(IF(O97&gt;("36:00"*1),O97-("36:00"*1),0)-V95-V96)&lt;0,0,SUM(IF(O97&gt;("36:00"*1),O97-("36:00"*1),0)-V93-V94-V95-V96))</f>
        <v>0.26041666666666652</v>
      </c>
      <c r="W97" s="47"/>
      <c r="X97" s="48">
        <f t="shared" si="57"/>
        <v>0</v>
      </c>
      <c r="Y97" s="42"/>
      <c r="Z97" s="49">
        <f t="shared" si="87"/>
        <v>0</v>
      </c>
      <c r="AA97" s="48">
        <f t="shared" si="88"/>
        <v>0.26041666666666652</v>
      </c>
      <c r="AB97" s="47"/>
      <c r="AC97" s="54"/>
      <c r="AD97" s="33">
        <f t="shared" si="89"/>
        <v>0</v>
      </c>
      <c r="AE97" s="33">
        <f t="shared" si="77"/>
        <v>0</v>
      </c>
    </row>
    <row r="98" spans="2:31" x14ac:dyDescent="0.3">
      <c r="B98"/>
      <c r="C98" s="9" t="s">
        <v>4</v>
      </c>
      <c r="D98" s="58">
        <f t="shared" si="92"/>
        <v>42085</v>
      </c>
      <c r="E98" s="29" t="s">
        <v>28</v>
      </c>
      <c r="F98" s="191"/>
      <c r="G98" s="194"/>
      <c r="H98" s="194"/>
      <c r="I98" s="194"/>
      <c r="J98" s="193">
        <f>IF(OR(E98="férié travaillé",E98="travail"),(I98-G98+IF(G98&gt;I98,1)-H98),INDEX('bases de donnée'!$E$20:'bases de donnée'!$E$32,MATCH(E98,gerald2,0)))</f>
        <v>0</v>
      </c>
      <c r="K98" s="20">
        <f>IF(SUM(J98-'bases de donnée'!E$7)&lt;0,0,SUM(J98-'bases de donnée'!E$7))</f>
        <v>0</v>
      </c>
      <c r="L98" s="11">
        <f>IF(OR(E98="férié travaillé",E98="travail"),I98-G98+IF(G98&gt;I98,1),INDEX('bases de donnée'!$E$20:'bases de donnée'!$E$32,MATCH(E98,gerald2,0)))</f>
        <v>0</v>
      </c>
      <c r="M98" s="21">
        <f>IF(SUM(L98-'bases de donnée'!E$4)&lt;0,0,SUM(L98-'bases de donnée'!E$4))</f>
        <v>0</v>
      </c>
      <c r="N98" s="155">
        <v>0</v>
      </c>
      <c r="O98" s="74">
        <f t="shared" si="90"/>
        <v>1.7604166666666665</v>
      </c>
      <c r="P98" s="61">
        <f>'bases de donnée'!E$10</f>
        <v>2</v>
      </c>
      <c r="Q98" s="120">
        <f t="shared" si="91"/>
        <v>0</v>
      </c>
      <c r="R98" s="30"/>
      <c r="S98" s="77">
        <f>IF(SUM(MOD(I98-G98,1)-IF(I98&gt;G98,MAX(0,MIN(I98,'bases de donnée'!E$16/24)-MAX('planning '!G98,7/24)),MAX(0,'bases de donnée'!E$16/24-MAX('planning '!G98,7/24))+MAX(0,MIN('planning '!I98,'bases de donnée'!E$16/24)-7/24)))&lt;0,0,SUM(MOD('planning '!I98-'planning '!G98,1)-IF('planning '!I98&gt;'planning '!G98,MAX(0,MIN('planning '!I98,'bases de donnée'!E$16/24)-MAX('planning '!G98,7/24)),MAX(0,'bases de donnée'!E$16/24-MAX('planning '!G98,7/24))+MAX(0,MIN('planning '!I98,'bases de donnée'!E$16/24)-7/24))))</f>
        <v>0</v>
      </c>
      <c r="T98" s="82"/>
      <c r="U98" s="77" t="str">
        <f t="shared" si="86"/>
        <v>00:00</v>
      </c>
      <c r="V98" s="78">
        <f>IF(SUM(IF(O98&gt;("36:00"*1),O98-("36:00"*1),0)-V96-V97)&lt;0,0,SUM(IF(O98&gt;("36:00"*1),O98-("36:00"*1),0)-V93-V94-V95-V96-V97))</f>
        <v>0</v>
      </c>
      <c r="W98" s="47"/>
      <c r="X98" s="48">
        <f t="shared" si="57"/>
        <v>0</v>
      </c>
      <c r="Y98" s="32"/>
      <c r="Z98" s="49">
        <f t="shared" si="87"/>
        <v>0</v>
      </c>
      <c r="AA98" s="48">
        <f t="shared" si="88"/>
        <v>0</v>
      </c>
      <c r="AB98" s="47"/>
      <c r="AC98" s="55"/>
      <c r="AD98" s="33">
        <f t="shared" si="89"/>
        <v>0</v>
      </c>
      <c r="AE98" s="33">
        <f t="shared" si="77"/>
        <v>0</v>
      </c>
    </row>
    <row r="99" spans="2:31" x14ac:dyDescent="0.3">
      <c r="B99"/>
      <c r="C99" s="9" t="s">
        <v>5</v>
      </c>
      <c r="D99" s="58">
        <f t="shared" si="92"/>
        <v>42086</v>
      </c>
      <c r="E99" s="29" t="s">
        <v>28</v>
      </c>
      <c r="F99" s="192"/>
      <c r="G99" s="194"/>
      <c r="H99" s="194"/>
      <c r="I99" s="194"/>
      <c r="J99" s="193">
        <f>IF(OR(E99="férié travaillé",E99="travail"),(I99-G99+IF(G99&gt;I99,1)-H99),INDEX('bases de donnée'!$E$20:'bases de donnée'!$E$32,MATCH(E99,gerald2,0)))</f>
        <v>0</v>
      </c>
      <c r="K99" s="20">
        <f>IF(SUM(J99-'bases de donnée'!E$7)&lt;0,0,SUM(J99-'bases de donnée'!E$7))</f>
        <v>0</v>
      </c>
      <c r="L99" s="11">
        <f>IF(OR(E99="férié travaillé",E99="travail"),I99-G99+IF(G99&gt;I99,1),INDEX('bases de donnée'!$E$20:'bases de donnée'!$E$32,MATCH(E99,gerald2,0)))</f>
        <v>0</v>
      </c>
      <c r="M99" s="21">
        <f>IF(SUM(L99-'bases de donnée'!E$4)&lt;0,0,SUM(L99-'bases de donnée'!E$4))</f>
        <v>0</v>
      </c>
      <c r="N99" s="155">
        <v>0</v>
      </c>
      <c r="O99" s="74">
        <f t="shared" si="90"/>
        <v>1.7604166666666665</v>
      </c>
      <c r="P99" s="33">
        <f>IF(SUM(O99-'bases de donnée'!E$10)&lt;0,0,SUM(O99-'bases de donnée'!E$10))</f>
        <v>0</v>
      </c>
      <c r="Q99" s="120">
        <f t="shared" si="91"/>
        <v>0</v>
      </c>
      <c r="R99" s="30"/>
      <c r="S99" s="77">
        <f>IF(SUM(MOD(I99-G99,1)-IF(I99&gt;G99,MAX(0,MIN(I99,'bases de donnée'!E$16/24)-MAX('planning '!G99,7/24)),MAX(0,'bases de donnée'!E$16/24-MAX('planning '!G99,7/24))+MAX(0,MIN('planning '!I99,'bases de donnée'!E$16/24)-7/24)))&lt;0,0,SUM(MOD('planning '!I99-'planning '!G99,1)-IF('planning '!I99&gt;'planning '!G99,MAX(0,MIN('planning '!I99,'bases de donnée'!E$16/24)-MAX('planning '!G99,7/24)),MAX(0,'bases de donnée'!E$16/24-MAX('planning '!G99,7/24))+MAX(0,MIN('planning '!I99,'bases de donnée'!E$16/24)-7/24))))</f>
        <v>0</v>
      </c>
      <c r="T99" s="77">
        <f>J99</f>
        <v>0</v>
      </c>
      <c r="U99" s="77" t="str">
        <f t="shared" si="86"/>
        <v>00:00</v>
      </c>
      <c r="V99" s="78">
        <f>IF(SUM(IF(O99&gt;("36:00"*1),O99-("36:00"*1),0)-V97-V98)&lt;0,0,SUM(IF(O99&gt;("36:00"*1),O99-("36:00"*1),0)-V93-V94-V95-V96-V97-V98))</f>
        <v>0</v>
      </c>
      <c r="W99" s="47"/>
      <c r="X99" s="48">
        <f t="shared" si="57"/>
        <v>0</v>
      </c>
      <c r="Y99" s="48">
        <f>IF(SUM(T99-S99)&lt;0,0,SUM(T99-S99))</f>
        <v>0</v>
      </c>
      <c r="Z99" s="56">
        <f>IF(SUM(U99-T99-S99)&lt;0,0,SUM(U99-T99-S99))</f>
        <v>0</v>
      </c>
      <c r="AA99" s="48">
        <f>IF(SUM(V99-S99-T99-U99)&lt;0,0,SUM(V99-S99-T99-U99))</f>
        <v>0</v>
      </c>
      <c r="AB99" s="47"/>
      <c r="AC99" s="57">
        <f>IF(SUM(T99-Y99)&lt;0,0,SUM(T99-Y99))</f>
        <v>0</v>
      </c>
      <c r="AD99" s="33">
        <f>IF(SUM(U99-Z99)&lt;0,0,SUM(U99-Z99))</f>
        <v>0</v>
      </c>
      <c r="AE99" s="33">
        <f t="shared" si="77"/>
        <v>0</v>
      </c>
    </row>
    <row r="100" spans="2:31" x14ac:dyDescent="0.3">
      <c r="B100"/>
      <c r="C100" s="25"/>
      <c r="D100" s="90"/>
      <c r="E100" s="90"/>
      <c r="F100" s="25"/>
      <c r="G100" s="196"/>
      <c r="H100" s="197"/>
      <c r="I100" s="196"/>
      <c r="J100" s="47"/>
      <c r="K100" s="92"/>
      <c r="L100" s="91"/>
      <c r="M100" s="91"/>
      <c r="N100" s="91"/>
      <c r="O100" s="93"/>
      <c r="P100" s="47"/>
      <c r="Q100" s="30"/>
      <c r="R100" s="30"/>
      <c r="S100" s="47"/>
      <c r="T100" s="47"/>
      <c r="U100" s="47"/>
      <c r="V100" s="93"/>
      <c r="W100" s="47"/>
      <c r="X100" s="47"/>
      <c r="Y100" s="47"/>
      <c r="Z100" s="47"/>
      <c r="AA100" s="47"/>
      <c r="AB100" s="47"/>
      <c r="AC100" s="47"/>
      <c r="AD100" s="47"/>
      <c r="AE100" s="47"/>
    </row>
    <row r="101" spans="2:31" x14ac:dyDescent="0.3">
      <c r="B101" s="14" t="s">
        <v>40</v>
      </c>
      <c r="C101" s="14" t="s">
        <v>6</v>
      </c>
      <c r="D101" s="43">
        <f>D99+1</f>
        <v>42087</v>
      </c>
      <c r="E101" s="29" t="s">
        <v>29</v>
      </c>
      <c r="F101" s="190"/>
      <c r="G101" s="194">
        <v>0.375</v>
      </c>
      <c r="H101" s="194">
        <v>3.125E-2</v>
      </c>
      <c r="I101" s="194">
        <v>0.71875</v>
      </c>
      <c r="J101" s="193">
        <f>IF(OR(E101="férié travaillé",E101="travail"),(I101-G101+IF(G101&gt;I101,1)-H101),INDEX('bases de donnée'!$E$20:'bases de donnée'!$E$32,MATCH(E101,gerald2,0)))</f>
        <v>0.3125</v>
      </c>
      <c r="K101" s="20">
        <f>IF(SUM(J101-'bases de donnée'!E$7)&lt;0,0,SUM(J101-'bases de donnée'!E$7))</f>
        <v>0</v>
      </c>
      <c r="L101" s="11">
        <f>IF(OR(E101="férié travaillé",E101="travail"),I101-G101+IF(G101&gt;I101,1),INDEX('bases de donnée'!$E$20:'bases de donnée'!$E$32,MATCH(E101,gerald2,0)))</f>
        <v>0.34375</v>
      </c>
      <c r="M101" s="21">
        <f>IF(SUM(L101-'bases de donnée'!E$4)&lt;0,0,SUM(L101-'bases de donnée'!E$4))</f>
        <v>0</v>
      </c>
      <c r="N101" s="155">
        <v>0</v>
      </c>
      <c r="O101" s="46">
        <f>J101</f>
        <v>0.3125</v>
      </c>
      <c r="P101" s="122">
        <f>SUM(Q101:Q107)</f>
        <v>4</v>
      </c>
      <c r="Q101" s="120">
        <f>IF(AND(G101&lt;&gt;"",I101&lt;&gt;""),1,0+OR(N(I100)&lt;N(G100),E101="récupération",E101="congé 1 jour",E101="congé 1/2 jour ",E101="congé 5h24",E101="arrêt maladie",E101="arrêt travail",E101="férié ",E101="congé parentale",E101="congé de naissance"))</f>
        <v>1</v>
      </c>
      <c r="R101" s="30"/>
      <c r="S101" s="77">
        <f>IF(SUM(MOD(I101-G101,1)-IF(I101&gt;G101,MAX(0,MIN(I101,'bases de donnée'!E$16/24)-MAX('planning '!G101,7/24)),MAX(0,'bases de donnée'!E$16/24-MAX('planning '!G101,7/24))+MAX(0,MIN('planning '!I101,'bases de donnée'!E$16/24)-7/24)))&lt;0,0,SUM(MOD('planning '!I101-'planning '!G101,1)-IF('planning '!I101&gt;'planning '!G101,MAX(0,MIN('planning '!I101,'bases de donnée'!E$16/24)-MAX('planning '!G101,7/24)),MAX(0,'bases de donnée'!E$16/24-MAX('planning '!G101,7/24))+MAX(0,MIN('planning '!I101,'bases de donnée'!E$16/24)-7/24))))</f>
        <v>0</v>
      </c>
      <c r="T101" s="81"/>
      <c r="U101" s="77" t="str">
        <f t="shared" ref="U101:U107" si="93">IF(E101&lt;&gt;"travail",IF(E101="férié travaillé",MOD(I101-G101,1)-H101,"00:00"),"00:00")</f>
        <v>00:00</v>
      </c>
      <c r="V101" s="78"/>
      <c r="W101" s="47"/>
      <c r="X101" s="56">
        <f t="shared" si="57"/>
        <v>0</v>
      </c>
      <c r="Y101" s="31"/>
      <c r="Z101" s="103">
        <f t="shared" ref="Z101:Z106" si="94">IF(SUM(U101-X101)&lt;0,0,SUM(U101-X101))</f>
        <v>0</v>
      </c>
      <c r="AA101" s="48">
        <f t="shared" ref="AA101:AA106" si="95">IF(SUM(V101-X101-Z101)&lt;0,0,SUM(V101-X101-Z101))</f>
        <v>0</v>
      </c>
      <c r="AB101" s="47"/>
      <c r="AC101" s="50"/>
      <c r="AD101" s="33">
        <f t="shared" ref="AD101:AD106" si="96">IF(SUM(U101-Z101)&lt;0,0,SUM(U101-Z101))</f>
        <v>0</v>
      </c>
      <c r="AE101" s="33">
        <f t="shared" si="77"/>
        <v>0</v>
      </c>
    </row>
    <row r="102" spans="2:31" x14ac:dyDescent="0.3">
      <c r="B102" s="97">
        <f>B94+1</f>
        <v>12</v>
      </c>
      <c r="C102" s="94" t="s">
        <v>7</v>
      </c>
      <c r="D102" s="95">
        <f>D101+1</f>
        <v>42088</v>
      </c>
      <c r="E102" s="29" t="s">
        <v>28</v>
      </c>
      <c r="F102" s="191"/>
      <c r="G102" s="194"/>
      <c r="H102" s="194"/>
      <c r="I102" s="194"/>
      <c r="J102" s="193">
        <f>IF(OR(E102="férié travaillé",E102="travail"),(I102-G102+IF(G102&gt;I102,1)-H102),INDEX('bases de donnée'!$E$20:'bases de donnée'!$E$32,MATCH(E102,gerald2,0)))</f>
        <v>0</v>
      </c>
      <c r="K102" s="20">
        <f>IF(SUM(J102-'bases de donnée'!E$7)&lt;0,0,SUM(J102-'bases de donnée'!E$7))</f>
        <v>0</v>
      </c>
      <c r="L102" s="11">
        <f>IF(OR(E102="férié travaillé",E102="travail"),I102-G102+IF(G102&gt;I102,1),INDEX('bases de donnée'!$E$20:'bases de donnée'!$E$32,MATCH(E102,gerald2,0)))</f>
        <v>0</v>
      </c>
      <c r="M102" s="21">
        <f>IF(SUM(L102-'bases de donnée'!E$4)&lt;0,0,SUM(L102-'bases de donnée'!E$4))</f>
        <v>0</v>
      </c>
      <c r="N102" s="155">
        <v>0</v>
      </c>
      <c r="O102" s="98">
        <f>O101+J102</f>
        <v>0.3125</v>
      </c>
      <c r="P102" s="121">
        <f>IF(SUM(P101-'bases de donnée'!E$6)&lt;0,0,SUM(P101-'bases de donnée'!E$6))</f>
        <v>0</v>
      </c>
      <c r="Q102" s="120">
        <f t="shared" ref="Q102:Q107" si="97">IF(AND(G102&lt;&gt;"",I102&lt;&gt;""),1,0+OR(N(I101)&lt;N(G101),E102="récupération",E102="congé 1 jour",E102="congé 1/2 jour ",E102="congé 5h24",E102="arrêt maladie",E102="arrêt travail",E102="férié ",E102="congé parentale",E102="congé de naissance"))</f>
        <v>0</v>
      </c>
      <c r="R102" s="30"/>
      <c r="S102" s="79">
        <f>IF(SUM(MOD(I102-G102,1)-IF(I102&gt;G102,MAX(0,MIN(I102,'bases de donnée'!E$16/24)-MAX('planning '!G102,7/24)),MAX(0,'bases de donnée'!E$16/24-MAX('planning '!G102,7/24))+MAX(0,MIN('planning '!I102,'bases de donnée'!E$16/24)-7/24)))&lt;0,0,SUM(MOD('planning '!I102-'planning '!G102,1)-IF('planning '!I102&gt;'planning '!G102,MAX(0,MIN('planning '!I102,'bases de donnée'!E$16/24)-MAX('planning '!G102,7/24)),MAX(0,'bases de donnée'!E$16/24-MAX('planning '!G102,7/24))+MAX(0,MIN('planning '!I102,'bases de donnée'!E$16/24)-7/24))))</f>
        <v>0</v>
      </c>
      <c r="T102" s="82"/>
      <c r="U102" s="77" t="str">
        <f t="shared" si="93"/>
        <v>00:00</v>
      </c>
      <c r="V102" s="78">
        <f>IF(SUM(IF(O102&gt;('bases de donnée'!E$9*1),O102-('bases de donnée'!E$9*1),0)-V101)&lt;0,0,SUM(IF(O102&gt;('bases de donnée'!E$9*1),O102-('bases de donnée'!E$9*1),0)-V101))</f>
        <v>0</v>
      </c>
      <c r="W102" s="47"/>
      <c r="X102" s="56">
        <f t="shared" si="57"/>
        <v>0</v>
      </c>
      <c r="Y102" s="42"/>
      <c r="Z102" s="103">
        <f t="shared" si="94"/>
        <v>0</v>
      </c>
      <c r="AA102" s="48">
        <f t="shared" si="95"/>
        <v>0</v>
      </c>
      <c r="AB102" s="47"/>
      <c r="AC102" s="54"/>
      <c r="AD102" s="33">
        <f t="shared" si="96"/>
        <v>0</v>
      </c>
      <c r="AE102" s="33">
        <f t="shared" si="77"/>
        <v>0</v>
      </c>
    </row>
    <row r="103" spans="2:31" x14ac:dyDescent="0.3">
      <c r="B103"/>
      <c r="C103" s="14" t="s">
        <v>8</v>
      </c>
      <c r="D103" s="43">
        <f t="shared" ref="D103:D107" si="98">D102+1</f>
        <v>42089</v>
      </c>
      <c r="E103" s="29" t="s">
        <v>29</v>
      </c>
      <c r="F103" s="191"/>
      <c r="G103" s="194">
        <v>0.375</v>
      </c>
      <c r="H103" s="194">
        <v>3.125E-2</v>
      </c>
      <c r="I103" s="194">
        <v>0.72916666666666663</v>
      </c>
      <c r="J103" s="193">
        <f>IF(OR(E103="férié travaillé",E103="travail"),(I103-G103+IF(G103&gt;I103,1)-H103),INDEX('bases de donnée'!$E$20:'bases de donnée'!$E$32,MATCH(E103,gerald2,0)))</f>
        <v>0.32291666666666663</v>
      </c>
      <c r="K103" s="20">
        <f>IF(SUM(J103-'bases de donnée'!E$7)&lt;0,0,SUM(J103-'bases de donnée'!E$7))</f>
        <v>0</v>
      </c>
      <c r="L103" s="11">
        <f>IF(OR(E103="férié travaillé",E103="travail"),I103-G103+IF(G103&gt;I103,1),INDEX('bases de donnée'!$E$20:'bases de donnée'!$E$32,MATCH(E103,gerald2,0)))</f>
        <v>0.35416666666666663</v>
      </c>
      <c r="M103" s="21">
        <f>IF(SUM(L103-'bases de donnée'!E$4)&lt;0,0,SUM(L103-'bases de donnée'!E$4))</f>
        <v>0</v>
      </c>
      <c r="N103" s="155">
        <v>0</v>
      </c>
      <c r="O103" s="73">
        <f t="shared" ref="O103:O107" si="99">O102+J103</f>
        <v>0.63541666666666663</v>
      </c>
      <c r="P103" s="34" t="s">
        <v>46</v>
      </c>
      <c r="Q103" s="120">
        <f t="shared" si="97"/>
        <v>1</v>
      </c>
      <c r="R103" s="30"/>
      <c r="S103" s="77">
        <f>IF(SUM(MOD(I103-G103,1)-IF(I103&gt;G103,MAX(0,MIN(I103,'bases de donnée'!E$16/24)-MAX('planning '!G103,7/24)),MAX(0,'bases de donnée'!E$16/24-MAX('planning '!G103,7/24))+MAX(0,MIN('planning '!I103,'bases de donnée'!E$16/24)-7/24)))&lt;0,0,SUM(MOD('planning '!I103-'planning '!G103,1)-IF('planning '!I103&gt;'planning '!G103,MAX(0,MIN('planning '!I103,'bases de donnée'!E$16/24)-MAX('planning '!G103,7/24)),MAX(0,'bases de donnée'!E$16/24-MAX('planning '!G103,7/24))+MAX(0,MIN('planning '!I103,'bases de donnée'!E$16/24)-7/24))))</f>
        <v>0</v>
      </c>
      <c r="T103" s="82"/>
      <c r="U103" s="77" t="str">
        <f t="shared" si="93"/>
        <v>00:00</v>
      </c>
      <c r="V103" s="78">
        <f>IF(SUM(IF(O103&gt;("36:00"*1),O103-("36:00"*1),0)-V101-V102)&lt;0,0,SUM(IF(O103&gt;("36:00"*1),O103-("36:00"*1),0)-V101-V102))</f>
        <v>0</v>
      </c>
      <c r="W103" s="47"/>
      <c r="X103" s="100">
        <f t="shared" si="57"/>
        <v>0</v>
      </c>
      <c r="Y103" s="42"/>
      <c r="Z103" s="96">
        <f t="shared" si="94"/>
        <v>0</v>
      </c>
      <c r="AA103" s="67">
        <f t="shared" si="95"/>
        <v>0</v>
      </c>
      <c r="AB103" s="47"/>
      <c r="AC103" s="54"/>
      <c r="AD103" s="33">
        <f t="shared" si="96"/>
        <v>0</v>
      </c>
      <c r="AE103" s="33">
        <f t="shared" si="77"/>
        <v>0</v>
      </c>
    </row>
    <row r="104" spans="2:31" x14ac:dyDescent="0.3">
      <c r="B104"/>
      <c r="C104" s="14" t="s">
        <v>9</v>
      </c>
      <c r="D104" s="43">
        <f t="shared" si="98"/>
        <v>42090</v>
      </c>
      <c r="E104" s="29" t="s">
        <v>29</v>
      </c>
      <c r="F104" s="191"/>
      <c r="G104" s="194">
        <v>0.375</v>
      </c>
      <c r="H104" s="194">
        <v>3.125E-2</v>
      </c>
      <c r="I104" s="194">
        <v>0.72916666666666663</v>
      </c>
      <c r="J104" s="193">
        <f>IF(OR(E104="férié travaillé",E104="travail"),(I104-G104+IF(G104&gt;I104,1)-H104),INDEX('bases de donnée'!$E$20:'bases de donnée'!$E$32,MATCH(E104,gerald2,0)))</f>
        <v>0.32291666666666663</v>
      </c>
      <c r="K104" s="20">
        <f>IF(SUM(J104-'bases de donnée'!E$7)&lt;0,0,SUM(J104-'bases de donnée'!E$7))</f>
        <v>0</v>
      </c>
      <c r="L104" s="11">
        <f>IF(OR(E104="férié travaillé",E104="travail"),I104-G104+IF(G104&gt;I104,1),INDEX('bases de donnée'!$E$20:'bases de donnée'!$E$32,MATCH(E104,gerald2,0)))</f>
        <v>0.35416666666666663</v>
      </c>
      <c r="M104" s="21">
        <f>IF(SUM(L104-'bases de donnée'!E$4)&lt;0,0,SUM(L104-'bases de donnée'!E$4))</f>
        <v>0</v>
      </c>
      <c r="N104" s="155">
        <v>0</v>
      </c>
      <c r="O104" s="73">
        <f t="shared" si="99"/>
        <v>0.95833333333333326</v>
      </c>
      <c r="P104" s="86">
        <f>O107</f>
        <v>1.2708333333333333</v>
      </c>
      <c r="Q104" s="120">
        <f t="shared" si="97"/>
        <v>1</v>
      </c>
      <c r="R104" s="30"/>
      <c r="S104" s="77">
        <f>IF(SUM(MOD(I104-G104,1)-IF(I104&gt;G104,MAX(0,MIN(I104,'bases de donnée'!E$16/24)-MAX('planning '!G104,7/24)),MAX(0,'bases de donnée'!E$16/24-MAX('planning '!G104,7/24))+MAX(0,MIN('planning '!I104,'bases de donnée'!E$16/24)-7/24)))&lt;0,0,SUM(MOD('planning '!I104-'planning '!G104,1)-IF('planning '!I104&gt;'planning '!G104,MAX(0,MIN('planning '!I104,'bases de donnée'!E$16/24)-MAX('planning '!G104,7/24)),MAX(0,'bases de donnée'!E$16/24-MAX('planning '!G104,7/24))+MAX(0,MIN('planning '!I104,'bases de donnée'!E$16/24)-7/24))))</f>
        <v>0</v>
      </c>
      <c r="T104" s="82"/>
      <c r="U104" s="77" t="str">
        <f t="shared" si="93"/>
        <v>00:00</v>
      </c>
      <c r="V104" s="78">
        <f>IF(SUM(IF(O104&gt;("36:00"*1),O104-("36:00"*1),0)-V102-V103)&lt;0,0,SUM(IF(O104&gt;("36:00"*1),O104-("36:00"*1),0)-V101-V102-V103))</f>
        <v>0</v>
      </c>
      <c r="W104" s="47"/>
      <c r="X104" s="56">
        <f t="shared" si="57"/>
        <v>0</v>
      </c>
      <c r="Y104" s="42"/>
      <c r="Z104" s="104">
        <f t="shared" si="94"/>
        <v>0</v>
      </c>
      <c r="AA104" s="48">
        <f t="shared" si="95"/>
        <v>0</v>
      </c>
      <c r="AB104" s="47"/>
      <c r="AC104" s="54"/>
      <c r="AD104" s="33">
        <f t="shared" si="96"/>
        <v>0</v>
      </c>
      <c r="AE104" s="33">
        <f t="shared" si="77"/>
        <v>0</v>
      </c>
    </row>
    <row r="105" spans="2:31" x14ac:dyDescent="0.3">
      <c r="B105"/>
      <c r="C105" s="14" t="s">
        <v>3</v>
      </c>
      <c r="D105" s="43">
        <f t="shared" si="98"/>
        <v>42091</v>
      </c>
      <c r="E105" s="29" t="s">
        <v>29</v>
      </c>
      <c r="F105" s="191"/>
      <c r="G105" s="194">
        <v>0.375</v>
      </c>
      <c r="H105" s="194">
        <v>3.125E-2</v>
      </c>
      <c r="I105" s="194">
        <v>0.71875</v>
      </c>
      <c r="J105" s="193">
        <f>IF(OR(E105="férié travaillé",E105="travail"),(I105-G105+IF(G105&gt;I105,1)-H105),INDEX('bases de donnée'!$E$20:'bases de donnée'!$E$32,MATCH(E105,gerald2,0)))</f>
        <v>0.3125</v>
      </c>
      <c r="K105" s="20">
        <f>IF(SUM(J105-'bases de donnée'!E$7)&lt;0,0,SUM(J105-'bases de donnée'!E$7))</f>
        <v>0</v>
      </c>
      <c r="L105" s="11">
        <f>IF(OR(E105="férié travaillé",E105="travail"),I105-G105+IF(G105&gt;I105,1),INDEX('bases de donnée'!$E$20:'bases de donnée'!$E$32,MATCH(E105,gerald2,0)))</f>
        <v>0.34375</v>
      </c>
      <c r="M105" s="21">
        <f>IF(SUM(L105-'bases de donnée'!E$4)&lt;0,0,SUM(L105-'bases de donnée'!E$4))</f>
        <v>0</v>
      </c>
      <c r="N105" s="155">
        <v>0</v>
      </c>
      <c r="O105" s="73">
        <f t="shared" si="99"/>
        <v>1.2708333333333333</v>
      </c>
      <c r="P105" s="12" t="s">
        <v>48</v>
      </c>
      <c r="Q105" s="120">
        <f t="shared" si="97"/>
        <v>1</v>
      </c>
      <c r="R105" s="30"/>
      <c r="S105" s="77">
        <f>IF(SUM(MOD(I105-G105,1)-IF(I105&gt;G105,MAX(0,MIN(I105,'bases de donnée'!E$16/24)-MAX('planning '!G105,7/24)),MAX(0,'bases de donnée'!E$16/24-MAX('planning '!G105,7/24))+MAX(0,MIN('planning '!I105,'bases de donnée'!E$16/24)-7/24)))&lt;0,0,SUM(MOD('planning '!I105-'planning '!G105,1)-IF('planning '!I105&gt;'planning '!G105,MAX(0,MIN('planning '!I105,'bases de donnée'!E$16/24)-MAX('planning '!G105,7/24)),MAX(0,'bases de donnée'!E$16/24-MAX('planning '!G105,7/24))+MAX(0,MIN('planning '!I105,'bases de donnée'!E$16/24)-7/24))))</f>
        <v>0</v>
      </c>
      <c r="T105" s="82"/>
      <c r="U105" s="77" t="str">
        <f t="shared" si="93"/>
        <v>00:00</v>
      </c>
      <c r="V105" s="78">
        <f>IF(SUM(IF(O105&gt;("36:00"*1),O105-("36:00"*1),0)-V103-V104)&lt;0,0,SUM(IF(O105&gt;("36:00"*1),O105-("36:00"*1),0)-V101-V102-V103-V104))</f>
        <v>0</v>
      </c>
      <c r="W105" s="47"/>
      <c r="X105" s="56">
        <f t="shared" si="57"/>
        <v>0</v>
      </c>
      <c r="Y105" s="42"/>
      <c r="Z105" s="104">
        <f t="shared" si="94"/>
        <v>0</v>
      </c>
      <c r="AA105" s="48">
        <f t="shared" si="95"/>
        <v>0</v>
      </c>
      <c r="AB105" s="47"/>
      <c r="AC105" s="54"/>
      <c r="AD105" s="33">
        <f t="shared" si="96"/>
        <v>0</v>
      </c>
      <c r="AE105" s="33">
        <f t="shared" si="77"/>
        <v>0</v>
      </c>
    </row>
    <row r="106" spans="2:31" x14ac:dyDescent="0.3">
      <c r="B106"/>
      <c r="C106" s="14" t="s">
        <v>4</v>
      </c>
      <c r="D106" s="43">
        <f t="shared" si="98"/>
        <v>42092</v>
      </c>
      <c r="E106" s="29" t="s">
        <v>28</v>
      </c>
      <c r="F106" s="191"/>
      <c r="G106" s="194"/>
      <c r="H106" s="194"/>
      <c r="I106" s="194"/>
      <c r="J106" s="193">
        <f>IF(OR(E106="férié travaillé",E106="travail"),(I106-G106+IF(G106&gt;I106,1)-H106),INDEX('bases de donnée'!$E$20:'bases de donnée'!$E$32,MATCH(E106,gerald2,0)))</f>
        <v>0</v>
      </c>
      <c r="K106" s="20">
        <f>IF(SUM(J106-'bases de donnée'!E$7)&lt;0,0,SUM(J106-'bases de donnée'!E$7))</f>
        <v>0</v>
      </c>
      <c r="L106" s="11">
        <f>IF(OR(E106="férié travaillé",E106="travail"),I106-G106+IF(G106&gt;I106,1),INDEX('bases de donnée'!$E$20:'bases de donnée'!$E$32,MATCH(E106,gerald2,0)))</f>
        <v>0</v>
      </c>
      <c r="M106" s="21">
        <f>IF(SUM(L106-'bases de donnée'!E$4)&lt;0,0,SUM(L106-'bases de donnée'!E$4))</f>
        <v>0</v>
      </c>
      <c r="N106" s="155">
        <v>0</v>
      </c>
      <c r="O106" s="73">
        <f t="shared" si="99"/>
        <v>1.2708333333333333</v>
      </c>
      <c r="P106" s="53">
        <f>'bases de donnée'!E$10</f>
        <v>2</v>
      </c>
      <c r="Q106" s="120">
        <f t="shared" si="97"/>
        <v>0</v>
      </c>
      <c r="R106" s="30"/>
      <c r="S106" s="77">
        <f>IF(SUM(MOD(I106-G106,1)-IF(I106&gt;G106,MAX(0,MIN(I106,'bases de donnée'!E$16/24)-MAX('planning '!G106,7/24)),MAX(0,'bases de donnée'!E$16/24-MAX('planning '!G106,7/24))+MAX(0,MIN('planning '!I106,'bases de donnée'!E$16/24)-7/24)))&lt;0,0,SUM(MOD('planning '!I106-'planning '!G106,1)-IF('planning '!I106&gt;'planning '!G106,MAX(0,MIN('planning '!I106,'bases de donnée'!E$16/24)-MAX('planning '!G106,7/24)),MAX(0,'bases de donnée'!E$16/24-MAX('planning '!G106,7/24))+MAX(0,MIN('planning '!I106,'bases de donnée'!E$16/24)-7/24))))</f>
        <v>0</v>
      </c>
      <c r="T106" s="82"/>
      <c r="U106" s="77" t="str">
        <f t="shared" si="93"/>
        <v>00:00</v>
      </c>
      <c r="V106" s="78">
        <f>IF(SUM(IF(O106&gt;("36:00"*1),O106-("36:00"*1),0)-V104-V105)&lt;0,0,SUM(IF(O106&gt;("36:00"*1),O106-("36:00"*1),0)-V101-V102-V103-V104-V105))</f>
        <v>0</v>
      </c>
      <c r="W106" s="47"/>
      <c r="X106" s="56">
        <f t="shared" si="57"/>
        <v>0</v>
      </c>
      <c r="Y106" s="32"/>
      <c r="Z106" s="104">
        <f t="shared" si="94"/>
        <v>0</v>
      </c>
      <c r="AA106" s="48">
        <f t="shared" si="95"/>
        <v>0</v>
      </c>
      <c r="AB106" s="47"/>
      <c r="AC106" s="55"/>
      <c r="AD106" s="33">
        <f t="shared" si="96"/>
        <v>0</v>
      </c>
      <c r="AE106" s="33">
        <f t="shared" si="77"/>
        <v>0</v>
      </c>
    </row>
    <row r="107" spans="2:31" x14ac:dyDescent="0.3">
      <c r="B107"/>
      <c r="C107" s="14" t="s">
        <v>5</v>
      </c>
      <c r="D107" s="43">
        <f t="shared" si="98"/>
        <v>42093</v>
      </c>
      <c r="E107" s="29" t="s">
        <v>28</v>
      </c>
      <c r="F107" s="192"/>
      <c r="G107" s="194"/>
      <c r="H107" s="194"/>
      <c r="I107" s="194"/>
      <c r="J107" s="193">
        <f>IF(OR(E107="férié travaillé",E107="travail"),(I107-G107+IF(G107&gt;I107,1)-H107),INDEX('bases de donnée'!$E$20:'bases de donnée'!$E$32,MATCH(E107,gerald2,0)))</f>
        <v>0</v>
      </c>
      <c r="K107" s="20">
        <f>IF(SUM(J107-'bases de donnée'!E$7)&lt;0,0,SUM(J107-'bases de donnée'!E$7))</f>
        <v>0</v>
      </c>
      <c r="L107" s="11">
        <f>IF(OR(E107="férié travaillé",E107="travail"),I107-G107+IF(G107&gt;I107,1),INDEX('bases de donnée'!$E$20:'bases de donnée'!$E$32,MATCH(E107,gerald2,0)))</f>
        <v>0</v>
      </c>
      <c r="M107" s="21">
        <f>IF(SUM(L107-'bases de donnée'!E$4)&lt;0,0,SUM(L107-'bases de donnée'!E$4))</f>
        <v>0</v>
      </c>
      <c r="N107" s="155">
        <v>0</v>
      </c>
      <c r="O107" s="73">
        <f t="shared" si="99"/>
        <v>1.2708333333333333</v>
      </c>
      <c r="P107" s="33">
        <f>IF(SUM(O107-'bases de donnée'!E$10)&lt;0,0,SUM(O107-'bases de donnée'!E$10))</f>
        <v>0</v>
      </c>
      <c r="Q107" s="120">
        <f t="shared" si="97"/>
        <v>0</v>
      </c>
      <c r="R107" s="30"/>
      <c r="S107" s="77">
        <f>IF(SUM(MOD(I107-G107,1)-IF(I107&gt;G107,MAX(0,MIN(I107,'bases de donnée'!E$16/24)-MAX('planning '!G107,7/24)),MAX(0,'bases de donnée'!E$16/24-MAX('planning '!G107,7/24))+MAX(0,MIN('planning '!I107,'bases de donnée'!E$16/24)-7/24)))&lt;0,0,SUM(MOD('planning '!I107-'planning '!G107,1)-IF('planning '!I107&gt;'planning '!G107,MAX(0,MIN('planning '!I107,'bases de donnée'!E$16/24)-MAX('planning '!G107,7/24)),MAX(0,'bases de donnée'!E$16/24-MAX('planning '!G107,7/24))+MAX(0,MIN('planning '!I107,'bases de donnée'!E$16/24)-7/24))))</f>
        <v>0</v>
      </c>
      <c r="T107" s="77">
        <f>J107</f>
        <v>0</v>
      </c>
      <c r="U107" s="77" t="str">
        <f t="shared" si="93"/>
        <v>00:00</v>
      </c>
      <c r="V107" s="78">
        <f>IF(SUM(IF(O107&gt;("36:00"*1),O107-("36:00"*1),0)-V105-V106)&lt;0,0,SUM(IF(O107&gt;("36:00"*1),O107-("36:00"*1),0)-V101-V102-V103-V104-V105-V106))</f>
        <v>0</v>
      </c>
      <c r="W107" s="47"/>
      <c r="X107" s="48">
        <f t="shared" si="57"/>
        <v>0</v>
      </c>
      <c r="Y107" s="67">
        <f>IF(SUM(T107-S107)&lt;0,0,SUM(T107-S107))</f>
        <v>0</v>
      </c>
      <c r="Z107" s="56">
        <f>IF(SUM(U107-T107-S107)&lt;0,0,SUM(U107-T107-S107))</f>
        <v>0</v>
      </c>
      <c r="AA107" s="48">
        <f>IF(SUM(V107-S107-T107-U107)&lt;0,0,SUM(V107-S107-T107-U107))</f>
        <v>0</v>
      </c>
      <c r="AB107" s="47"/>
      <c r="AC107" s="57">
        <f>IF(SUM(T107-Y107)&lt;0,0,SUM(T107-Y107))</f>
        <v>0</v>
      </c>
      <c r="AD107" s="33">
        <f>IF(SUM(U107-Z107)&lt;0,0,SUM(U107-Z107))</f>
        <v>0</v>
      </c>
      <c r="AE107" s="33">
        <f t="shared" si="77"/>
        <v>0</v>
      </c>
    </row>
    <row r="108" spans="2:31" x14ac:dyDescent="0.3">
      <c r="B108"/>
      <c r="C108" s="25"/>
      <c r="D108" s="90"/>
      <c r="E108" s="90"/>
      <c r="F108" s="25"/>
      <c r="G108" s="185"/>
      <c r="H108" s="185"/>
      <c r="I108" s="185"/>
      <c r="J108" s="47"/>
      <c r="K108" s="92"/>
      <c r="L108" s="91"/>
      <c r="M108" s="91"/>
      <c r="N108" s="91"/>
      <c r="O108" s="93"/>
      <c r="P108" s="47"/>
      <c r="Q108" s="30"/>
      <c r="R108" s="30"/>
      <c r="S108" s="47"/>
      <c r="T108" s="47"/>
      <c r="U108" s="47"/>
      <c r="V108" s="93"/>
      <c r="W108" s="47"/>
      <c r="X108" s="47"/>
      <c r="Y108" s="47"/>
      <c r="Z108" s="47"/>
      <c r="AA108" s="47"/>
      <c r="AB108" s="47"/>
      <c r="AC108" s="47"/>
      <c r="AD108" s="47"/>
      <c r="AE108" s="47"/>
    </row>
    <row r="109" spans="2:31" x14ac:dyDescent="0.3">
      <c r="B109" s="9" t="s">
        <v>40</v>
      </c>
      <c r="C109" s="9" t="s">
        <v>6</v>
      </c>
      <c r="D109" s="58">
        <f>D107+1</f>
        <v>42094</v>
      </c>
      <c r="E109" s="29" t="s">
        <v>29</v>
      </c>
      <c r="F109" s="190"/>
      <c r="G109" s="194">
        <v>0.375</v>
      </c>
      <c r="H109" s="194">
        <v>3.125E-2</v>
      </c>
      <c r="I109" s="194">
        <v>0.70833333333333337</v>
      </c>
      <c r="J109" s="193">
        <f>IF(OR(E109="férié travaillé",E109="travail"),(I109-G109+IF(G109&gt;I109,1)-H109),INDEX('bases de donnée'!$E$20:'bases de donnée'!$E$32,MATCH(E109,gerald2,0)))</f>
        <v>0.30208333333333337</v>
      </c>
      <c r="K109" s="20">
        <f>IF(SUM(J109-'bases de donnée'!E$7)&lt;0,0,SUM(J109-'bases de donnée'!E$7))</f>
        <v>0</v>
      </c>
      <c r="L109" s="11">
        <f>IF(OR(E109="férié travaillé",E109="travail"),I109-G109+IF(G109&gt;I109,1),INDEX('bases de donnée'!$E$20:'bases de donnée'!$E$32,MATCH(E109,gerald2,0)))</f>
        <v>0.33333333333333337</v>
      </c>
      <c r="M109" s="21">
        <f>IF(SUM(L109-'bases de donnée'!E$4)&lt;0,0,SUM(L109-'bases de donnée'!E$4))</f>
        <v>0</v>
      </c>
      <c r="N109" s="155">
        <v>0</v>
      </c>
      <c r="O109" s="59">
        <f>J109</f>
        <v>0.30208333333333337</v>
      </c>
      <c r="P109" s="122">
        <f>SUM(Q109:Q115)</f>
        <v>5</v>
      </c>
      <c r="Q109" s="120">
        <f>IF(AND(G109&lt;&gt;"",I109&lt;&gt;""),1,0+OR(N(I108)&lt;N(G108),E109="récupération",E109="congé 1 jour",E109="congé 1/2 jour ",E109="congé 5h24",E109="arrêt maladie",E109="arrêt travail",E109="férié ",E109="congé parentale",E109="congé de naissance"))</f>
        <v>1</v>
      </c>
      <c r="R109" s="30"/>
      <c r="S109" s="77">
        <f>IF(SUM(MOD(I109-G109,1)-IF(I109&gt;G109,MAX(0,MIN(I109,'bases de donnée'!E$16/24)-MAX('planning '!G109,7/24)),MAX(0,'bases de donnée'!E$16/24-MAX('planning '!G109,7/24))+MAX(0,MIN('planning '!I109,'bases de donnée'!E$16/24)-7/24)))&lt;0,0,SUM(MOD('planning '!I109-'planning '!G109,1)-IF('planning '!I109&gt;'planning '!G109,MAX(0,MIN('planning '!I109,'bases de donnée'!E$16/24)-MAX('planning '!G109,7/24)),MAX(0,'bases de donnée'!E$16/24-MAX('planning '!G109,7/24))+MAX(0,MIN('planning '!I109,'bases de donnée'!E$16/24)-7/24))))</f>
        <v>0</v>
      </c>
      <c r="T109" s="81"/>
      <c r="U109" s="77" t="str">
        <f t="shared" ref="U109:U115" si="100">IF(E109&lt;&gt;"travail",IF(E109="férié travaillé",MOD(I109-G109,1)-H109,"00:00"),"00:00")</f>
        <v>00:00</v>
      </c>
      <c r="V109" s="78"/>
      <c r="W109" s="47"/>
      <c r="X109" s="48">
        <f t="shared" si="57"/>
        <v>0</v>
      </c>
      <c r="Y109" s="31"/>
      <c r="Z109" s="49">
        <f t="shared" ref="Z109:Z114" si="101">IF(SUM(U109-X109)&lt;0,0,SUM(U109-X109))</f>
        <v>0</v>
      </c>
      <c r="AA109" s="48">
        <f t="shared" ref="AA109:AA114" si="102">IF(SUM(V109-X109-Z109)&lt;0,0,SUM(V109-X109-Z109))</f>
        <v>0</v>
      </c>
      <c r="AB109" s="47"/>
      <c r="AC109" s="50"/>
      <c r="AD109" s="33">
        <f t="shared" ref="AD109:AD114" si="103">IF(SUM(U109-Z109)&lt;0,0,SUM(U109-Z109))</f>
        <v>0</v>
      </c>
      <c r="AE109" s="33">
        <f t="shared" si="77"/>
        <v>0</v>
      </c>
    </row>
    <row r="110" spans="2:31" x14ac:dyDescent="0.3">
      <c r="B110" s="60">
        <f>B102+1</f>
        <v>13</v>
      </c>
      <c r="C110" s="9" t="s">
        <v>7</v>
      </c>
      <c r="D110" s="58">
        <f>D109+1</f>
        <v>42095</v>
      </c>
      <c r="E110" s="29" t="s">
        <v>29</v>
      </c>
      <c r="F110" s="191"/>
      <c r="G110" s="194">
        <v>0.375</v>
      </c>
      <c r="H110" s="194">
        <v>3.125E-2</v>
      </c>
      <c r="I110" s="194">
        <v>0.71875</v>
      </c>
      <c r="J110" s="193">
        <f>IF(OR(E110="férié travaillé",E110="travail"),(I110-G110+IF(G110&gt;I110,1)-H110),INDEX('bases de donnée'!$E$20:'bases de donnée'!$E$32,MATCH(E110,gerald2,0)))</f>
        <v>0.3125</v>
      </c>
      <c r="K110" s="20">
        <f>IF(SUM(J110-'bases de donnée'!E$7)&lt;0,0,SUM(J110-'bases de donnée'!E$7))</f>
        <v>0</v>
      </c>
      <c r="L110" s="11">
        <f>IF(OR(E110="férié travaillé",E110="travail"),I110-G110+IF(G110&gt;I110,1),INDEX('bases de donnée'!$E$20:'bases de donnée'!$E$32,MATCH(E110,gerald2,0)))</f>
        <v>0.34375</v>
      </c>
      <c r="M110" s="21">
        <f>IF(SUM(L110-'bases de donnée'!E$4)&lt;0,0,SUM(L110-'bases de donnée'!E$4))</f>
        <v>0</v>
      </c>
      <c r="N110" s="155">
        <v>0</v>
      </c>
      <c r="O110" s="74">
        <f t="shared" ref="O110:O114" si="104">O109+J110</f>
        <v>0.61458333333333337</v>
      </c>
      <c r="P110" s="121">
        <f>IF(SUM(P109-'bases de donnée'!E$6)&lt;0,0,SUM(P109-'bases de donnée'!E$6))</f>
        <v>0</v>
      </c>
      <c r="Q110" s="120">
        <f t="shared" ref="Q110:Q115" si="105">IF(AND(G110&lt;&gt;"",I110&lt;&gt;""),1,0+OR(N(I109)&lt;N(G109),E110="récupération",E110="congé 1 jour",E110="congé 1/2 jour ",E110="congé 5h24",E110="arrêt maladie",E110="arrêt travail",E110="férié ",E110="congé parentale",E110="congé de naissance"))</f>
        <v>1</v>
      </c>
      <c r="R110" s="30"/>
      <c r="S110" s="77">
        <f>IF(SUM(MOD(I110-G110,1)-IF(I110&gt;G110,MAX(0,MIN(I110,'bases de donnée'!E$16/24)-MAX('planning '!G110,7/24)),MAX(0,'bases de donnée'!E$16/24-MAX('planning '!G110,7/24))+MAX(0,MIN('planning '!I110,'bases de donnée'!E$16/24)-7/24)))&lt;0,0,SUM(MOD('planning '!I110-'planning '!G110,1)-IF('planning '!I110&gt;'planning '!G110,MAX(0,MIN('planning '!I110,'bases de donnée'!E$16/24)-MAX('planning '!G110,7/24)),MAX(0,'bases de donnée'!E$16/24-MAX('planning '!G110,7/24))+MAX(0,MIN('planning '!I110,'bases de donnée'!E$16/24)-7/24))))</f>
        <v>0</v>
      </c>
      <c r="T110" s="82"/>
      <c r="U110" s="77" t="str">
        <f t="shared" si="100"/>
        <v>00:00</v>
      </c>
      <c r="V110" s="78">
        <f>IF(SUM(IF(O110&gt;('bases de donnée'!E$9*1),O110-('bases de donnée'!E$9*1),0)-V109)&lt;0,0,SUM(IF(O110&gt;('bases de donnée'!E$9*1),O110-('bases de donnée'!E$9*1),0)-V109))</f>
        <v>0</v>
      </c>
      <c r="W110" s="47"/>
      <c r="X110" s="48">
        <f t="shared" si="57"/>
        <v>0</v>
      </c>
      <c r="Y110" s="42"/>
      <c r="Z110" s="49">
        <f t="shared" si="101"/>
        <v>0</v>
      </c>
      <c r="AA110" s="48">
        <f t="shared" si="102"/>
        <v>0</v>
      </c>
      <c r="AB110" s="47"/>
      <c r="AC110" s="54"/>
      <c r="AD110" s="33">
        <f t="shared" si="103"/>
        <v>0</v>
      </c>
      <c r="AE110" s="33">
        <f t="shared" si="77"/>
        <v>0</v>
      </c>
    </row>
    <row r="111" spans="2:31" x14ac:dyDescent="0.3">
      <c r="B111"/>
      <c r="C111" s="9" t="s">
        <v>8</v>
      </c>
      <c r="D111" s="58">
        <f t="shared" ref="D111:D114" si="106">D110+1</f>
        <v>42096</v>
      </c>
      <c r="E111" s="29" t="s">
        <v>29</v>
      </c>
      <c r="F111" s="191"/>
      <c r="G111" s="194">
        <v>0.375</v>
      </c>
      <c r="H111" s="194">
        <v>3.125E-2</v>
      </c>
      <c r="I111" s="194">
        <v>0.71875</v>
      </c>
      <c r="J111" s="193">
        <f>IF(OR(E111="férié travaillé",E111="travail"),(I111-G111+IF(G111&gt;I111,1)-H111),INDEX('bases de donnée'!$E$20:'bases de donnée'!$E$32,MATCH(E111,gerald2,0)))</f>
        <v>0.3125</v>
      </c>
      <c r="K111" s="20">
        <f>IF(SUM(J111-'bases de donnée'!E$7)&lt;0,0,SUM(J111-'bases de donnée'!E$7))</f>
        <v>0</v>
      </c>
      <c r="L111" s="11">
        <f>IF(OR(E111="férié travaillé",E111="travail"),I111-G111+IF(G111&gt;I111,1),INDEX('bases de donnée'!$E$20:'bases de donnée'!$E$32,MATCH(E111,gerald2,0)))</f>
        <v>0.34375</v>
      </c>
      <c r="M111" s="21">
        <f>IF(SUM(L111-'bases de donnée'!E$4)&lt;0,0,SUM(L111-'bases de donnée'!E$4))</f>
        <v>0</v>
      </c>
      <c r="N111" s="155">
        <v>0</v>
      </c>
      <c r="O111" s="74">
        <f t="shared" si="104"/>
        <v>0.92708333333333337</v>
      </c>
      <c r="P111" s="34" t="s">
        <v>46</v>
      </c>
      <c r="Q111" s="120">
        <f t="shared" si="105"/>
        <v>1</v>
      </c>
      <c r="R111" s="30"/>
      <c r="S111" s="77">
        <f>IF(SUM(MOD(I111-G111,1)-IF(I111&gt;G111,MAX(0,MIN(I111,'bases de donnée'!E$16/24)-MAX('planning '!G111,7/24)),MAX(0,'bases de donnée'!E$16/24-MAX('planning '!G111,7/24))+MAX(0,MIN('planning '!I111,'bases de donnée'!E$16/24)-7/24)))&lt;0,0,SUM(MOD('planning '!I111-'planning '!G111,1)-IF('planning '!I111&gt;'planning '!G111,MAX(0,MIN('planning '!I111,'bases de donnée'!E$16/24)-MAX('planning '!G111,7/24)),MAX(0,'bases de donnée'!E$16/24-MAX('planning '!G111,7/24))+MAX(0,MIN('planning '!I111,'bases de donnée'!E$16/24)-7/24))))</f>
        <v>0</v>
      </c>
      <c r="T111" s="82"/>
      <c r="U111" s="77" t="str">
        <f t="shared" si="100"/>
        <v>00:00</v>
      </c>
      <c r="V111" s="78">
        <f>IF(SUM(IF(O111&gt;("36:00"*1),O111-("36:00"*1),0)-V109-V110)&lt;0,0,SUM(IF(O111&gt;("36:00"*1),O111-("36:00"*1),0)-V109-V110))</f>
        <v>0</v>
      </c>
      <c r="W111" s="47"/>
      <c r="X111" s="48">
        <f t="shared" si="57"/>
        <v>0</v>
      </c>
      <c r="Y111" s="42"/>
      <c r="Z111" s="49">
        <f t="shared" si="101"/>
        <v>0</v>
      </c>
      <c r="AA111" s="48">
        <f t="shared" si="102"/>
        <v>0</v>
      </c>
      <c r="AB111" s="47"/>
      <c r="AC111" s="54"/>
      <c r="AD111" s="33">
        <f t="shared" si="103"/>
        <v>0</v>
      </c>
      <c r="AE111" s="33">
        <f t="shared" si="77"/>
        <v>0</v>
      </c>
    </row>
    <row r="112" spans="2:31" x14ac:dyDescent="0.3">
      <c r="B112"/>
      <c r="C112" s="9" t="s">
        <v>9</v>
      </c>
      <c r="D112" s="58">
        <f t="shared" si="106"/>
        <v>42097</v>
      </c>
      <c r="E112" s="29" t="s">
        <v>29</v>
      </c>
      <c r="F112" s="191"/>
      <c r="G112" s="194">
        <v>0.58333333333333337</v>
      </c>
      <c r="H112" s="194"/>
      <c r="I112" s="194">
        <v>0.95833333333333337</v>
      </c>
      <c r="J112" s="193">
        <f>IF(OR(E112="férié travaillé",E112="travail"),(I112-G112+IF(G112&gt;I112,1)-H112),INDEX('bases de donnée'!$E$20:'bases de donnée'!$E$32,MATCH(E112,gerald2,0)))</f>
        <v>0.375</v>
      </c>
      <c r="K112" s="20">
        <f>IF(SUM(J112-'bases de donnée'!E$7)&lt;0,0,SUM(J112-'bases de donnée'!E$7))</f>
        <v>0</v>
      </c>
      <c r="L112" s="11">
        <f>IF(OR(E112="férié travaillé",E112="travail"),I112-G112+IF(G112&gt;I112,1),INDEX('bases de donnée'!$E$20:'bases de donnée'!$E$32,MATCH(E112,gerald2,0)))</f>
        <v>0.375</v>
      </c>
      <c r="M112" s="21">
        <f>IF(SUM(L112-'bases de donnée'!E$4)&lt;0,0,SUM(L112-'bases de donnée'!E$4))</f>
        <v>0</v>
      </c>
      <c r="N112" s="155">
        <v>0</v>
      </c>
      <c r="O112" s="74">
        <f t="shared" si="104"/>
        <v>1.3020833333333335</v>
      </c>
      <c r="P112" s="86">
        <f>O115</f>
        <v>1.5625000000000002</v>
      </c>
      <c r="Q112" s="120">
        <f t="shared" si="105"/>
        <v>1</v>
      </c>
      <c r="R112" s="30"/>
      <c r="S112" s="77">
        <f>IF(SUM(MOD(I112-G112,1)-IF(I112&gt;G112,MAX(0,MIN(I112,'bases de donnée'!E$16/24)-MAX('planning '!G112,7/24)),MAX(0,'bases de donnée'!E$16/24-MAX('planning '!G112,7/24))+MAX(0,MIN('planning '!I112,'bases de donnée'!E$16/24)-7/24)))&lt;0,0,SUM(MOD('planning '!I112-'planning '!G112,1)-IF('planning '!I112&gt;'planning '!G112,MAX(0,MIN('planning '!I112,'bases de donnée'!E$16/24)-MAX('planning '!G112,7/24)),MAX(0,'bases de donnée'!E$16/24-MAX('planning '!G112,7/24))+MAX(0,MIN('planning '!I112,'bases de donnée'!E$16/24)-7/24))))</f>
        <v>8.333333333333337E-2</v>
      </c>
      <c r="T112" s="82"/>
      <c r="U112" s="77" t="str">
        <f t="shared" si="100"/>
        <v>00:00</v>
      </c>
      <c r="V112" s="78">
        <f>IF(SUM(IF(O112&gt;("36:00"*1),O112-("36:00"*1),0)-V110-V111)&lt;0,0,SUM(IF(O112&gt;("36:00"*1),O112-("36:00"*1),0)-V109-V110-V111))</f>
        <v>0</v>
      </c>
      <c r="W112" s="47"/>
      <c r="X112" s="48">
        <f t="shared" si="57"/>
        <v>8.333333333333337E-2</v>
      </c>
      <c r="Y112" s="42"/>
      <c r="Z112" s="49">
        <f t="shared" si="101"/>
        <v>0</v>
      </c>
      <c r="AA112" s="48">
        <f t="shared" si="102"/>
        <v>0</v>
      </c>
      <c r="AB112" s="47"/>
      <c r="AC112" s="54"/>
      <c r="AD112" s="33">
        <f t="shared" si="103"/>
        <v>0</v>
      </c>
      <c r="AE112" s="33">
        <f t="shared" si="77"/>
        <v>0</v>
      </c>
    </row>
    <row r="113" spans="2:31" x14ac:dyDescent="0.3">
      <c r="B113"/>
      <c r="C113" s="9" t="s">
        <v>3</v>
      </c>
      <c r="D113" s="58">
        <f t="shared" si="106"/>
        <v>42098</v>
      </c>
      <c r="E113" s="29" t="s">
        <v>29</v>
      </c>
      <c r="F113" s="191"/>
      <c r="G113" s="194">
        <v>0.41666666666666669</v>
      </c>
      <c r="H113" s="194">
        <v>3.125E-2</v>
      </c>
      <c r="I113" s="194">
        <v>0.70833333333333337</v>
      </c>
      <c r="J113" s="193">
        <f>IF(OR(E113="férié travaillé",E113="travail"),(I113-G113+IF(G113&gt;I113,1)-H113),INDEX('bases de donnée'!$E$20:'bases de donnée'!$E$32,MATCH(E113,gerald2,0)))</f>
        <v>0.26041666666666669</v>
      </c>
      <c r="K113" s="20">
        <f>IF(SUM(J113-'bases de donnée'!E$7)&lt;0,0,SUM(J113-'bases de donnée'!E$7))</f>
        <v>0</v>
      </c>
      <c r="L113" s="11">
        <f>IF(OR(E113="férié travaillé",E113="travail"),I113-G113+IF(G113&gt;I113,1),INDEX('bases de donnée'!$E$20:'bases de donnée'!$E$32,MATCH(E113,gerald2,0)))</f>
        <v>0.29166666666666669</v>
      </c>
      <c r="M113" s="21">
        <f>IF(SUM(L113-'bases de donnée'!E$4)&lt;0,0,SUM(L113-'bases de donnée'!E$4))</f>
        <v>0</v>
      </c>
      <c r="N113" s="155">
        <v>0</v>
      </c>
      <c r="O113" s="74">
        <f t="shared" si="104"/>
        <v>1.5625000000000002</v>
      </c>
      <c r="P113" s="8" t="s">
        <v>48</v>
      </c>
      <c r="Q113" s="120">
        <f t="shared" si="105"/>
        <v>1</v>
      </c>
      <c r="R113" s="30"/>
      <c r="S113" s="77">
        <f>IF(SUM(MOD(I113-G113,1)-IF(I113&gt;G113,MAX(0,MIN(I113,'bases de donnée'!E$16/24)-MAX('planning '!G113,7/24)),MAX(0,'bases de donnée'!E$16/24-MAX('planning '!G113,7/24))+MAX(0,MIN('planning '!I113,'bases de donnée'!E$16/24)-7/24)))&lt;0,0,SUM(MOD('planning '!I113-'planning '!G113,1)-IF('planning '!I113&gt;'planning '!G113,MAX(0,MIN('planning '!I113,'bases de donnée'!E$16/24)-MAX('planning '!G113,7/24)),MAX(0,'bases de donnée'!E$16/24-MAX('planning '!G113,7/24))+MAX(0,MIN('planning '!I113,'bases de donnée'!E$16/24)-7/24))))</f>
        <v>0</v>
      </c>
      <c r="T113" s="82"/>
      <c r="U113" s="77" t="str">
        <f t="shared" si="100"/>
        <v>00:00</v>
      </c>
      <c r="V113" s="78">
        <f>IF(SUM(IF(O113&gt;("36:00"*1),O113-("36:00"*1),0)-V111-V112)&lt;0,0,SUM(IF(O113&gt;("36:00"*1),O113-("36:00"*1),0)-V109-V110-V111-V112))</f>
        <v>6.2500000000000222E-2</v>
      </c>
      <c r="W113" s="47"/>
      <c r="X113" s="48">
        <f t="shared" si="57"/>
        <v>0</v>
      </c>
      <c r="Y113" s="42"/>
      <c r="Z113" s="49">
        <f t="shared" si="101"/>
        <v>0</v>
      </c>
      <c r="AA113" s="48">
        <f t="shared" si="102"/>
        <v>6.2500000000000222E-2</v>
      </c>
      <c r="AB113" s="47"/>
      <c r="AC113" s="54"/>
      <c r="AD113" s="33">
        <f t="shared" si="103"/>
        <v>0</v>
      </c>
      <c r="AE113" s="33">
        <f t="shared" si="77"/>
        <v>0</v>
      </c>
    </row>
    <row r="114" spans="2:31" x14ac:dyDescent="0.3">
      <c r="B114"/>
      <c r="C114" s="9" t="s">
        <v>4</v>
      </c>
      <c r="D114" s="58">
        <f t="shared" si="106"/>
        <v>42099</v>
      </c>
      <c r="E114" s="29" t="s">
        <v>28</v>
      </c>
      <c r="F114" s="191"/>
      <c r="G114" s="194"/>
      <c r="H114" s="194"/>
      <c r="I114" s="194"/>
      <c r="J114" s="193">
        <f>IF(OR(E114="férié travaillé",E114="travail"),(I114-G114+IF(G114&gt;I114,1)-H114),INDEX('bases de donnée'!$E$20:'bases de donnée'!$E$32,MATCH(E114,gerald2,0)))</f>
        <v>0</v>
      </c>
      <c r="K114" s="20">
        <f>IF(SUM(J114-'bases de donnée'!E$7)&lt;0,0,SUM(J114-'bases de donnée'!E$7))</f>
        <v>0</v>
      </c>
      <c r="L114" s="11">
        <f>IF(OR(E114="férié travaillé",E114="travail"),I114-G114+IF(G114&gt;I114,1),INDEX('bases de donnée'!$E$20:'bases de donnée'!$E$32,MATCH(E114,gerald2,0)))</f>
        <v>0</v>
      </c>
      <c r="M114" s="21">
        <f>IF(SUM(L114-'bases de donnée'!E$4)&lt;0,0,SUM(L114-'bases de donnée'!E$4))</f>
        <v>0</v>
      </c>
      <c r="N114" s="155">
        <v>0</v>
      </c>
      <c r="O114" s="74">
        <f t="shared" si="104"/>
        <v>1.5625000000000002</v>
      </c>
      <c r="P114" s="61">
        <f>'bases de donnée'!E$10</f>
        <v>2</v>
      </c>
      <c r="Q114" s="120">
        <f t="shared" si="105"/>
        <v>0</v>
      </c>
      <c r="R114" s="30"/>
      <c r="S114" s="85">
        <f>IF(SUM(MOD(I114-G114,1)-IF(I114&gt;G114,MAX(0,MIN(I114,'bases de donnée'!E$16/24)-MAX('planning '!G114,7/24)),MAX(0,'bases de donnée'!E$16/24-MAX('planning '!G114,7/24))+MAX(0,MIN('planning '!I114,'bases de donnée'!E$16/24)-7/24)))&lt;0,0,SUM(MOD('planning '!I114-'planning '!G114,1)-IF('planning '!I114&gt;'planning '!G114,MAX(0,MIN('planning '!I114,'bases de donnée'!E$16/24)-MAX('planning '!G114,7/24)),MAX(0,'bases de donnée'!E$16/24-MAX('planning '!G114,7/24))+MAX(0,MIN('planning '!I114,'bases de donnée'!E$16/24)-7/24))))</f>
        <v>0</v>
      </c>
      <c r="T114" s="82"/>
      <c r="U114" s="85" t="str">
        <f t="shared" si="100"/>
        <v>00:00</v>
      </c>
      <c r="V114" s="89">
        <f>IF(SUM(IF(O114&gt;("36:00"*1),O114-("36:00"*1),0)-V112-V113)&lt;0,0,SUM(IF(O114&gt;("36:00"*1),O114-("36:00"*1),0)-V109-V110-V111-V112-V113))</f>
        <v>0</v>
      </c>
      <c r="W114" s="47"/>
      <c r="X114" s="48">
        <f t="shared" si="57"/>
        <v>0</v>
      </c>
      <c r="Y114" s="42"/>
      <c r="Z114" s="48">
        <f t="shared" si="101"/>
        <v>0</v>
      </c>
      <c r="AA114" s="48">
        <f t="shared" si="102"/>
        <v>0</v>
      </c>
      <c r="AB114" s="47"/>
      <c r="AC114" s="54"/>
      <c r="AD114" s="33">
        <f t="shared" si="103"/>
        <v>0</v>
      </c>
      <c r="AE114" s="33">
        <f t="shared" si="77"/>
        <v>0</v>
      </c>
    </row>
    <row r="115" spans="2:31" x14ac:dyDescent="0.3">
      <c r="B115"/>
      <c r="C115" s="64" t="s">
        <v>5</v>
      </c>
      <c r="D115" s="65">
        <f>D114+1</f>
        <v>42100</v>
      </c>
      <c r="E115" s="29" t="s">
        <v>28</v>
      </c>
      <c r="F115" s="192"/>
      <c r="G115" s="194"/>
      <c r="H115" s="194"/>
      <c r="I115" s="194"/>
      <c r="J115" s="193">
        <f>IF(OR(E115="férié travaillé",E115="travail"),(I115-G115+IF(G115&gt;I115,1)-H115),INDEX('bases de donnée'!$E$20:'bases de donnée'!$E$32,MATCH(E115,gerald2,0)))</f>
        <v>0</v>
      </c>
      <c r="K115" s="20">
        <f>IF(SUM(J115-'bases de donnée'!E$7)&lt;0,0,SUM(J115-'bases de donnée'!E$7))</f>
        <v>0</v>
      </c>
      <c r="L115" s="11">
        <f>IF(OR(E115="férié travaillé",E115="travail"),I115-G115+IF(G115&gt;I115,1),INDEX('bases de donnée'!$E$20:'bases de donnée'!$E$32,MATCH(E115,gerald2,0)))</f>
        <v>0</v>
      </c>
      <c r="M115" s="21">
        <f>IF(SUM(L115-'bases de donnée'!E$4)&lt;0,0,SUM(L115-'bases de donnée'!E$4))</f>
        <v>0</v>
      </c>
      <c r="N115" s="155">
        <v>0</v>
      </c>
      <c r="O115" s="99">
        <f>O114+J115</f>
        <v>1.5625000000000002</v>
      </c>
      <c r="P115" s="33">
        <f>IF(SUM(O115-'bases de donnée'!E$10)&lt;0,0,SUM(O115-'bases de donnée'!E$10))</f>
        <v>0</v>
      </c>
      <c r="Q115" s="120">
        <f t="shared" si="105"/>
        <v>0</v>
      </c>
      <c r="R115" s="30"/>
      <c r="S115" s="77">
        <f>IF(SUM(MOD(I115-G115,1)-IF(I115&gt;G115,MAX(0,MIN(I115,'bases de donnée'!E$16/24)-MAX('planning '!G115,7/24)),MAX(0,'bases de donnée'!E$16/24-MAX('planning '!G115,7/24))+MAX(0,MIN('planning '!I115,'bases de donnée'!E$16/24)-7/24)))&lt;0,0,SUM(MOD('planning '!I115-'planning '!G115,1)-IF('planning '!I115&gt;'planning '!G115,MAX(0,MIN('planning '!I115,'bases de donnée'!E$16/24)-MAX('planning '!G115,7/24)),MAX(0,'bases de donnée'!E$16/24-MAX('planning '!G115,7/24))+MAX(0,MIN('planning '!I115,'bases de donnée'!E$16/24)-7/24))))</f>
        <v>0</v>
      </c>
      <c r="T115" s="77">
        <f>J115</f>
        <v>0</v>
      </c>
      <c r="U115" s="77" t="str">
        <f t="shared" si="100"/>
        <v>00:00</v>
      </c>
      <c r="V115" s="78">
        <f>IF(SUM(IF(O115&gt;("36:00"*1),O115-("36:00"*1),0)-V113-V114)&lt;0,0,SUM(IF(O115&gt;("36:00"*1),O115-("36:00"*1),0)-V109-V110-V111-V112-V113-V114))</f>
        <v>0</v>
      </c>
      <c r="W115" s="47"/>
      <c r="X115" s="67">
        <f t="shared" si="57"/>
        <v>0</v>
      </c>
      <c r="Y115" s="48">
        <f>IF(SUM(T115-S115)&lt;0,0,SUM(T115-S115))</f>
        <v>0</v>
      </c>
      <c r="Z115" s="48">
        <f>IF(SUM(U115-T115-S115)&lt;0,0,SUM(U115-T115-S115))</f>
        <v>0</v>
      </c>
      <c r="AA115" s="48">
        <f>IF(SUM(V115-S115-T115-U115)&lt;0,0,SUM(V115-S115-T115-U115))</f>
        <v>0</v>
      </c>
      <c r="AB115" s="47"/>
      <c r="AC115" s="33">
        <f>IF(SUM(T115-Y115)&lt;0,0,SUM(T115-Y115))</f>
        <v>0</v>
      </c>
      <c r="AD115" s="33">
        <f>IF(SUM(U115-Z115)&lt;0,0,SUM(U115-Z115))</f>
        <v>0</v>
      </c>
      <c r="AE115" s="33">
        <f t="shared" si="77"/>
        <v>0</v>
      </c>
    </row>
    <row r="116" spans="2:31" x14ac:dyDescent="0.3">
      <c r="B116"/>
      <c r="C116" s="25"/>
      <c r="D116" s="90"/>
      <c r="E116" s="90"/>
      <c r="F116" s="25"/>
      <c r="G116" s="185"/>
      <c r="H116" s="185"/>
      <c r="I116" s="185"/>
      <c r="J116" s="47"/>
      <c r="K116" s="92"/>
      <c r="L116" s="91"/>
      <c r="M116" s="91"/>
      <c r="N116" s="91"/>
      <c r="O116" s="93"/>
      <c r="P116" s="47"/>
      <c r="Q116" s="30"/>
      <c r="R116" s="30"/>
      <c r="S116" s="47"/>
      <c r="T116" s="47"/>
      <c r="U116" s="47"/>
      <c r="V116" s="93"/>
      <c r="W116" s="47"/>
      <c r="X116" s="47"/>
      <c r="Y116" s="47"/>
      <c r="Z116" s="47"/>
      <c r="AA116" s="47"/>
      <c r="AB116" s="47"/>
      <c r="AC116" s="47"/>
      <c r="AD116" s="47"/>
      <c r="AE116" s="47"/>
    </row>
    <row r="117" spans="2:31" x14ac:dyDescent="0.3">
      <c r="B117" s="14" t="s">
        <v>40</v>
      </c>
      <c r="C117" s="14" t="s">
        <v>6</v>
      </c>
      <c r="D117" s="43">
        <f>D115+1</f>
        <v>42101</v>
      </c>
      <c r="E117" s="29" t="s">
        <v>29</v>
      </c>
      <c r="F117" s="190"/>
      <c r="G117" s="194">
        <v>0.41666666666666669</v>
      </c>
      <c r="H117" s="194">
        <v>3.125E-2</v>
      </c>
      <c r="I117" s="194">
        <v>0.64583333333333337</v>
      </c>
      <c r="J117" s="193">
        <f>IF(OR(E117="férié travaillé",E117="travail"),(I117-G117+IF(G117&gt;I117,1)-H117),INDEX('bases de donnée'!$E$20:'bases de donnée'!$E$32,MATCH(E117,gerald2,0)))</f>
        <v>0.19791666666666669</v>
      </c>
      <c r="K117" s="20">
        <f>IF(SUM(J117-'bases de donnée'!E$7)&lt;0,0,SUM(J117-'bases de donnée'!E$7))</f>
        <v>0</v>
      </c>
      <c r="L117" s="11">
        <f>IF(OR(E117="férié travaillé",E117="travail"),I117-G117+IF(G117&gt;I117,1),INDEX('bases de donnée'!$E$20:'bases de donnée'!$E$32,MATCH(E117,gerald2,0)))</f>
        <v>0.22916666666666669</v>
      </c>
      <c r="M117" s="21">
        <f>IF(SUM(L117-'bases de donnée'!E$4)&lt;0,0,SUM(L117-'bases de donnée'!E$4))</f>
        <v>0</v>
      </c>
      <c r="N117" s="155">
        <v>0</v>
      </c>
      <c r="O117" s="45">
        <f>J117</f>
        <v>0.19791666666666669</v>
      </c>
      <c r="P117" s="122">
        <f>SUM(Q117:Q123)</f>
        <v>5</v>
      </c>
      <c r="Q117" s="120">
        <f>IF(AND(G117&lt;&gt;"",I117&lt;&gt;""),1,0+OR(N(I116)&lt;N(G116),E117="récupération",E117="congé 1 jour",E117="congé 1/2 jour ",E117="congé 5h24",E117="arrêt maladie",E117="arrêt travail",E117="férié ",E117="congé parentale",E117="congé de naissance"))</f>
        <v>1</v>
      </c>
      <c r="R117" s="30"/>
      <c r="S117" s="77">
        <f>IF(SUM(MOD(I117-G117,1)-IF(I117&gt;G117,MAX(0,MIN(I117,'bases de donnée'!E$16/24)-MAX('planning '!G117,7/24)),MAX(0,'bases de donnée'!E$16/24-MAX('planning '!G117,7/24))+MAX(0,MIN('planning '!I117,'bases de donnée'!E$16/24)-7/24)))&lt;0,0,SUM(MOD('planning '!I117-'planning '!G117,1)-IF('planning '!I117&gt;'planning '!G117,MAX(0,MIN('planning '!I117,'bases de donnée'!E$16/24)-MAX('planning '!G117,7/24)),MAX(0,'bases de donnée'!E$16/24-MAX('planning '!G117,7/24))+MAX(0,MIN('planning '!I117,'bases de donnée'!E$16/24)-7/24))))</f>
        <v>0</v>
      </c>
      <c r="T117" s="81"/>
      <c r="U117" s="77" t="str">
        <f t="shared" ref="U117:U123" si="107">IF(E117&lt;&gt;"travail",IF(E117="férié travaillé",MOD(I117-G117,1)-H117,"00:00"),"00:00")</f>
        <v>00:00</v>
      </c>
      <c r="V117" s="78"/>
      <c r="W117" s="47"/>
      <c r="X117" s="48">
        <f t="shared" si="57"/>
        <v>0</v>
      </c>
      <c r="Y117" s="31"/>
      <c r="Z117" s="49">
        <f t="shared" ref="Z117:Z122" si="108">IF(SUM(U117-X117)&lt;0,0,SUM(U117-X117))</f>
        <v>0</v>
      </c>
      <c r="AA117" s="48">
        <f t="shared" ref="AA117:AA122" si="109">IF(SUM(V117-X117-Z117)&lt;0,0,SUM(V117-X117-Z117))</f>
        <v>0</v>
      </c>
      <c r="AB117" s="47"/>
      <c r="AC117" s="50"/>
      <c r="AD117" s="33">
        <f t="shared" ref="AD117:AD122" si="110">IF(SUM(U117-Z117)&lt;0,0,SUM(U117-Z117))</f>
        <v>0</v>
      </c>
      <c r="AE117" s="33">
        <f t="shared" si="77"/>
        <v>0</v>
      </c>
    </row>
    <row r="118" spans="2:31" x14ac:dyDescent="0.3">
      <c r="B118" s="51">
        <f>B110+1</f>
        <v>14</v>
      </c>
      <c r="C118" s="14" t="s">
        <v>7</v>
      </c>
      <c r="D118" s="43">
        <f>D117+1</f>
        <v>42102</v>
      </c>
      <c r="E118" s="29" t="s">
        <v>29</v>
      </c>
      <c r="F118" s="191"/>
      <c r="G118" s="194">
        <v>0.375</v>
      </c>
      <c r="H118" s="194">
        <v>3.125E-2</v>
      </c>
      <c r="I118" s="194">
        <v>0.70833333333333337</v>
      </c>
      <c r="J118" s="193">
        <f>IF(OR(E118="férié travaillé",E118="travail"),(I118-G118+IF(G118&gt;I118,1)-H118),INDEX('bases de donnée'!$E$20:'bases de donnée'!$E$32,MATCH(E118,gerald2,0)))</f>
        <v>0.30208333333333337</v>
      </c>
      <c r="K118" s="20">
        <f>IF(SUM(J118-'bases de donnée'!E$7)&lt;0,0,SUM(J118-'bases de donnée'!E$7))</f>
        <v>0</v>
      </c>
      <c r="L118" s="11">
        <f>IF(OR(E118="férié travaillé",E118="travail"),I118-G118+IF(G118&gt;I118,1),INDEX('bases de donnée'!$E$20:'bases de donnée'!$E$32,MATCH(E118,gerald2,0)))</f>
        <v>0.33333333333333337</v>
      </c>
      <c r="M118" s="21">
        <f>IF(SUM(L118-'bases de donnée'!E$4)&lt;0,0,SUM(L118-'bases de donnée'!E$4))</f>
        <v>0</v>
      </c>
      <c r="N118" s="155">
        <v>0</v>
      </c>
      <c r="O118" s="73">
        <f t="shared" ref="O118:O123" si="111">O117+J118</f>
        <v>0.5</v>
      </c>
      <c r="P118" s="121">
        <f>IF(SUM(P117-'bases de donnée'!E$6)&lt;0,0,SUM(P117-'bases de donnée'!E$6))</f>
        <v>0</v>
      </c>
      <c r="Q118" s="120">
        <f t="shared" ref="Q118:Q123" si="112">IF(AND(G118&lt;&gt;"",I118&lt;&gt;""),1,0+OR(N(I117)&lt;N(G117),E118="récupération",E118="congé 1 jour",E118="congé 1/2 jour ",E118="congé 5h24",E118="arrêt maladie",E118="arrêt travail",E118="férié ",E118="congé parentale",E118="congé de naissance"))</f>
        <v>1</v>
      </c>
      <c r="R118" s="30"/>
      <c r="S118" s="77">
        <f>IF(SUM(MOD(I118-G118,1)-IF(I118&gt;G118,MAX(0,MIN(I118,'bases de donnée'!E$16/24)-MAX('planning '!G118,7/24)),MAX(0,'bases de donnée'!E$16/24-MAX('planning '!G118,7/24))+MAX(0,MIN('planning '!I118,'bases de donnée'!E$16/24)-7/24)))&lt;0,0,SUM(MOD('planning '!I118-'planning '!G118,1)-IF('planning '!I118&gt;'planning '!G118,MAX(0,MIN('planning '!I118,'bases de donnée'!E$16/24)-MAX('planning '!G118,7/24)),MAX(0,'bases de donnée'!E$16/24-MAX('planning '!G118,7/24))+MAX(0,MIN('planning '!I118,'bases de donnée'!E$16/24)-7/24))))</f>
        <v>0</v>
      </c>
      <c r="T118" s="82"/>
      <c r="U118" s="77" t="str">
        <f t="shared" si="107"/>
        <v>00:00</v>
      </c>
      <c r="V118" s="78">
        <f>IF(SUM(IF(O118&gt;('bases de donnée'!E$9*1),O118-('bases de donnée'!E$9*1),0)-V117)&lt;0,0,SUM(IF(O118&gt;('bases de donnée'!E$9*1),O118-('bases de donnée'!E$9*1),0)-V117))</f>
        <v>0</v>
      </c>
      <c r="W118" s="47"/>
      <c r="X118" s="48">
        <f t="shared" si="57"/>
        <v>0</v>
      </c>
      <c r="Y118" s="42"/>
      <c r="Z118" s="49">
        <f t="shared" si="108"/>
        <v>0</v>
      </c>
      <c r="AA118" s="48">
        <f t="shared" si="109"/>
        <v>0</v>
      </c>
      <c r="AB118" s="47"/>
      <c r="AC118" s="54"/>
      <c r="AD118" s="33">
        <f t="shared" si="110"/>
        <v>0</v>
      </c>
      <c r="AE118" s="33">
        <f t="shared" si="77"/>
        <v>0</v>
      </c>
    </row>
    <row r="119" spans="2:31" x14ac:dyDescent="0.3">
      <c r="B119"/>
      <c r="C119" s="14" t="s">
        <v>8</v>
      </c>
      <c r="D119" s="43">
        <f t="shared" ref="D119:D123" si="113">D118+1</f>
        <v>42103</v>
      </c>
      <c r="E119" s="29" t="s">
        <v>29</v>
      </c>
      <c r="F119" s="191"/>
      <c r="G119" s="194">
        <v>0.58333333333333337</v>
      </c>
      <c r="H119" s="194"/>
      <c r="I119" s="194">
        <v>1.0416666666666666E-2</v>
      </c>
      <c r="J119" s="193">
        <f>IF(OR(E119="férié travaillé",E119="travail"),(I119-G119+IF(G119&gt;I119,1)-H119),INDEX('bases de donnée'!$E$20:'bases de donnée'!$E$32,MATCH(E119,gerald2,0)))</f>
        <v>0.42708333333333326</v>
      </c>
      <c r="K119" s="20">
        <f>IF(SUM(J119-'bases de donnée'!E$7)&lt;0,0,SUM(J119-'bases de donnée'!E$7))</f>
        <v>1.0416666666666574E-2</v>
      </c>
      <c r="L119" s="11">
        <f>IF(OR(E119="férié travaillé",E119="travail"),I119-G119+IF(G119&gt;I119,1),INDEX('bases de donnée'!$E$20:'bases de donnée'!$E$32,MATCH(E119,gerald2,0)))</f>
        <v>0.42708333333333326</v>
      </c>
      <c r="M119" s="21">
        <f>IF(SUM(L119-'bases de donnée'!E$4)&lt;0,0,SUM(L119-'bases de donnée'!E$4))</f>
        <v>0</v>
      </c>
      <c r="N119" s="155">
        <v>0</v>
      </c>
      <c r="O119" s="73">
        <f t="shared" si="111"/>
        <v>0.92708333333333326</v>
      </c>
      <c r="P119" s="34" t="s">
        <v>46</v>
      </c>
      <c r="Q119" s="120">
        <f t="shared" si="112"/>
        <v>1</v>
      </c>
      <c r="R119" s="30"/>
      <c r="S119" s="77">
        <f>IF(SUM(MOD(I119-G119,1)-IF(I119&gt;G119,MAX(0,MIN(I119,'bases de donnée'!E$16/24)-MAX('planning '!G119,7/24)),MAX(0,'bases de donnée'!E$16/24-MAX('planning '!G119,7/24))+MAX(0,MIN('planning '!I119,'bases de donnée'!E$16/24)-7/24)))&lt;0,0,SUM(MOD('planning '!I119-'planning '!G119,1)-IF('planning '!I119&gt;'planning '!G119,MAX(0,MIN('planning '!I119,'bases de donnée'!E$16/24)-MAX('planning '!G119,7/24)),MAX(0,'bases de donnée'!E$16/24-MAX('planning '!G119,7/24))+MAX(0,MIN('planning '!I119,'bases de donnée'!E$16/24)-7/24))))</f>
        <v>0.13541666666666663</v>
      </c>
      <c r="T119" s="82"/>
      <c r="U119" s="77" t="str">
        <f t="shared" si="107"/>
        <v>00:00</v>
      </c>
      <c r="V119" s="78">
        <f>IF(SUM(IF(O119&gt;("36:00"*1),O119-("36:00"*1),0)-V117-V118)&lt;0,0,SUM(IF(O119&gt;("36:00"*1),O119-("36:00"*1),0)-V117-V118))</f>
        <v>0</v>
      </c>
      <c r="W119" s="47"/>
      <c r="X119" s="48">
        <f t="shared" si="57"/>
        <v>0.13541666666666663</v>
      </c>
      <c r="Y119" s="42"/>
      <c r="Z119" s="49">
        <f t="shared" si="108"/>
        <v>0</v>
      </c>
      <c r="AA119" s="48">
        <f t="shared" si="109"/>
        <v>0</v>
      </c>
      <c r="AB119" s="47"/>
      <c r="AC119" s="54"/>
      <c r="AD119" s="33">
        <f t="shared" si="110"/>
        <v>0</v>
      </c>
      <c r="AE119" s="33">
        <f t="shared" si="77"/>
        <v>0</v>
      </c>
    </row>
    <row r="120" spans="2:31" x14ac:dyDescent="0.3">
      <c r="B120"/>
      <c r="C120" s="14" t="s">
        <v>9</v>
      </c>
      <c r="D120" s="43">
        <f t="shared" si="113"/>
        <v>42104</v>
      </c>
      <c r="E120" s="29" t="s">
        <v>28</v>
      </c>
      <c r="F120" s="191"/>
      <c r="G120" s="194"/>
      <c r="H120" s="194"/>
      <c r="I120" s="194"/>
      <c r="J120" s="193">
        <f>IF(OR(E120="férié travaillé",E120="travail"),(I120-G120+IF(G120&gt;I120,1)-H120),INDEX('bases de donnée'!$E$20:'bases de donnée'!$E$32,MATCH(E120,gerald2,0)))</f>
        <v>0</v>
      </c>
      <c r="K120" s="20">
        <f>IF(SUM(J120-'bases de donnée'!E$7)&lt;0,0,SUM(J120-'bases de donnée'!E$7))</f>
        <v>0</v>
      </c>
      <c r="L120" s="11">
        <f>IF(OR(E120="férié travaillé",E120="travail"),I120-G120+IF(G120&gt;I120,1),INDEX('bases de donnée'!$E$20:'bases de donnée'!$E$32,MATCH(E120,gerald2,0)))</f>
        <v>0</v>
      </c>
      <c r="M120" s="21">
        <f>IF(SUM(L120-'bases de donnée'!E$4)&lt;0,0,SUM(L120-'bases de donnée'!E$4))</f>
        <v>0</v>
      </c>
      <c r="N120" s="155">
        <v>0</v>
      </c>
      <c r="O120" s="73">
        <f t="shared" si="111"/>
        <v>0.92708333333333326</v>
      </c>
      <c r="P120" s="86">
        <f>O123</f>
        <v>1.1875</v>
      </c>
      <c r="Q120" s="120">
        <f t="shared" si="112"/>
        <v>1</v>
      </c>
      <c r="R120" s="30"/>
      <c r="S120" s="77">
        <f>IF(SUM(MOD(I120-G120,1)-IF(I120&gt;G120,MAX(0,MIN(I120,'bases de donnée'!E$16/24)-MAX('planning '!G120,7/24)),MAX(0,'bases de donnée'!E$16/24-MAX('planning '!G120,7/24))+MAX(0,MIN('planning '!I120,'bases de donnée'!E$16/24)-7/24)))&lt;0,0,SUM(MOD('planning '!I120-'planning '!G120,1)-IF('planning '!I120&gt;'planning '!G120,MAX(0,MIN('planning '!I120,'bases de donnée'!E$16/24)-MAX('planning '!G120,7/24)),MAX(0,'bases de donnée'!E$16/24-MAX('planning '!G120,7/24))+MAX(0,MIN('planning '!I120,'bases de donnée'!E$16/24)-7/24))))</f>
        <v>0</v>
      </c>
      <c r="T120" s="82"/>
      <c r="U120" s="77" t="str">
        <f t="shared" si="107"/>
        <v>00:00</v>
      </c>
      <c r="V120" s="78">
        <f>IF(SUM(IF(O120&gt;("36:00"*1),O120-("36:00"*1),0)-V118-V119)&lt;0,0,SUM(IF(O120&gt;("36:00"*1),O120-("36:00"*1),0)-V117-V118-V119))</f>
        <v>0</v>
      </c>
      <c r="W120" s="47"/>
      <c r="X120" s="48">
        <f t="shared" si="57"/>
        <v>0</v>
      </c>
      <c r="Y120" s="42"/>
      <c r="Z120" s="49">
        <f t="shared" si="108"/>
        <v>0</v>
      </c>
      <c r="AA120" s="48">
        <f t="shared" si="109"/>
        <v>0</v>
      </c>
      <c r="AB120" s="47"/>
      <c r="AC120" s="54"/>
      <c r="AD120" s="33">
        <f t="shared" si="110"/>
        <v>0</v>
      </c>
      <c r="AE120" s="33">
        <f t="shared" si="77"/>
        <v>0</v>
      </c>
    </row>
    <row r="121" spans="2:31" x14ac:dyDescent="0.3">
      <c r="B121"/>
      <c r="C121" s="14" t="s">
        <v>3</v>
      </c>
      <c r="D121" s="43">
        <f t="shared" si="113"/>
        <v>42105</v>
      </c>
      <c r="E121" s="29" t="s">
        <v>29</v>
      </c>
      <c r="F121" s="191"/>
      <c r="G121" s="194">
        <v>0.39583333333333331</v>
      </c>
      <c r="H121" s="194">
        <v>3.125E-2</v>
      </c>
      <c r="I121" s="194">
        <v>0.6875</v>
      </c>
      <c r="J121" s="193">
        <f>IF(OR(E121="férié travaillé",E121="travail"),(I121-G121+IF(G121&gt;I121,1)-H121),INDEX('bases de donnée'!$E$20:'bases de donnée'!$E$32,MATCH(E121,gerald2,0)))</f>
        <v>0.26041666666666669</v>
      </c>
      <c r="K121" s="20">
        <f>IF(SUM(J121-'bases de donnée'!E$7)&lt;0,0,SUM(J121-'bases de donnée'!E$7))</f>
        <v>0</v>
      </c>
      <c r="L121" s="11">
        <f>IF(OR(E121="férié travaillé",E121="travail"),I121-G121+IF(G121&gt;I121,1),INDEX('bases de donnée'!$E$20:'bases de donnée'!$E$32,MATCH(E121,gerald2,0)))</f>
        <v>0.29166666666666669</v>
      </c>
      <c r="M121" s="21">
        <f>IF(SUM(L121-'bases de donnée'!E$4)&lt;0,0,SUM(L121-'bases de donnée'!E$4))</f>
        <v>0</v>
      </c>
      <c r="N121" s="155">
        <v>0</v>
      </c>
      <c r="O121" s="73">
        <f t="shared" si="111"/>
        <v>1.1875</v>
      </c>
      <c r="P121" s="12" t="s">
        <v>48</v>
      </c>
      <c r="Q121" s="120">
        <f t="shared" si="112"/>
        <v>1</v>
      </c>
      <c r="R121" s="30"/>
      <c r="S121" s="77">
        <f>IF(SUM(MOD(I121-G121,1)-IF(I121&gt;G121,MAX(0,MIN(I121,'bases de donnée'!E$16/24)-MAX('planning '!G121,7/24)),MAX(0,'bases de donnée'!E$16/24-MAX('planning '!G121,7/24))+MAX(0,MIN('planning '!I121,'bases de donnée'!E$16/24)-7/24)))&lt;0,0,SUM(MOD('planning '!I121-'planning '!G121,1)-IF('planning '!I121&gt;'planning '!G121,MAX(0,MIN('planning '!I121,'bases de donnée'!E$16/24)-MAX('planning '!G121,7/24)),MAX(0,'bases de donnée'!E$16/24-MAX('planning '!G121,7/24))+MAX(0,MIN('planning '!I121,'bases de donnée'!E$16/24)-7/24))))</f>
        <v>0</v>
      </c>
      <c r="T121" s="82"/>
      <c r="U121" s="77" t="str">
        <f t="shared" si="107"/>
        <v>00:00</v>
      </c>
      <c r="V121" s="78">
        <f>IF(SUM(IF(O121&gt;("36:00"*1),O121-("36:00"*1),0)-V119-V120)&lt;0,0,SUM(IF(O121&gt;("36:00"*1),O121-("36:00"*1),0)-V117-V118-V119-V120))</f>
        <v>0</v>
      </c>
      <c r="W121" s="47"/>
      <c r="X121" s="48">
        <f t="shared" si="57"/>
        <v>0</v>
      </c>
      <c r="Y121" s="42"/>
      <c r="Z121" s="49">
        <f t="shared" si="108"/>
        <v>0</v>
      </c>
      <c r="AA121" s="48">
        <f t="shared" si="109"/>
        <v>0</v>
      </c>
      <c r="AB121" s="47"/>
      <c r="AC121" s="54"/>
      <c r="AD121" s="33">
        <f t="shared" si="110"/>
        <v>0</v>
      </c>
      <c r="AE121" s="33">
        <f t="shared" si="77"/>
        <v>0</v>
      </c>
    </row>
    <row r="122" spans="2:31" x14ac:dyDescent="0.3">
      <c r="B122"/>
      <c r="C122" s="14" t="s">
        <v>4</v>
      </c>
      <c r="D122" s="43">
        <f t="shared" si="113"/>
        <v>42106</v>
      </c>
      <c r="E122" s="29" t="s">
        <v>28</v>
      </c>
      <c r="F122" s="191"/>
      <c r="G122" s="194"/>
      <c r="H122" s="194"/>
      <c r="I122" s="194"/>
      <c r="J122" s="193">
        <f>IF(OR(E122="férié travaillé",E122="travail"),(I122-G122+IF(G122&gt;I122,1)-H122),INDEX('bases de donnée'!$E$20:'bases de donnée'!$E$32,MATCH(E122,gerald2,0)))</f>
        <v>0</v>
      </c>
      <c r="K122" s="20">
        <f>IF(SUM(J122-'bases de donnée'!E$7)&lt;0,0,SUM(J122-'bases de donnée'!E$7))</f>
        <v>0</v>
      </c>
      <c r="L122" s="11">
        <f>IF(OR(E122="férié travaillé",E122="travail"),I122-G122+IF(G122&gt;I122,1),INDEX('bases de donnée'!$E$20:'bases de donnée'!$E$32,MATCH(E122,gerald2,0)))</f>
        <v>0</v>
      </c>
      <c r="M122" s="21">
        <f>IF(SUM(L122-'bases de donnée'!E$4)&lt;0,0,SUM(L122-'bases de donnée'!E$4))</f>
        <v>0</v>
      </c>
      <c r="N122" s="155">
        <v>0</v>
      </c>
      <c r="O122" s="73">
        <f t="shared" si="111"/>
        <v>1.1875</v>
      </c>
      <c r="P122" s="53">
        <f>'bases de donnée'!E$10</f>
        <v>2</v>
      </c>
      <c r="Q122" s="120">
        <f t="shared" si="112"/>
        <v>0</v>
      </c>
      <c r="R122" s="30"/>
      <c r="S122" s="77">
        <f>IF(SUM(MOD(I122-G122,1)-IF(I122&gt;G122,MAX(0,MIN(I122,'bases de donnée'!E$16/24)-MAX('planning '!G122,7/24)),MAX(0,'bases de donnée'!E$16/24-MAX('planning '!G122,7/24))+MAX(0,MIN('planning '!I122,'bases de donnée'!E$16/24)-7/24)))&lt;0,0,SUM(MOD('planning '!I122-'planning '!G122,1)-IF('planning '!I122&gt;'planning '!G122,MAX(0,MIN('planning '!I122,'bases de donnée'!E$16/24)-MAX('planning '!G122,7/24)),MAX(0,'bases de donnée'!E$16/24-MAX('planning '!G122,7/24))+MAX(0,MIN('planning '!I122,'bases de donnée'!E$16/24)-7/24))))</f>
        <v>0</v>
      </c>
      <c r="T122" s="82"/>
      <c r="U122" s="77" t="str">
        <f t="shared" si="107"/>
        <v>00:00</v>
      </c>
      <c r="V122" s="78">
        <f>IF(SUM(IF(O122&gt;("36:00"*1),O122-("36:00"*1),0)-V120-V121)&lt;0,0,SUM(IF(O122&gt;("36:00"*1),O122-("36:00"*1),0)-V117-V118-V119-V120-V121))</f>
        <v>0</v>
      </c>
      <c r="W122" s="47"/>
      <c r="X122" s="48">
        <f t="shared" si="57"/>
        <v>0</v>
      </c>
      <c r="Y122" s="32"/>
      <c r="Z122" s="49">
        <f t="shared" si="108"/>
        <v>0</v>
      </c>
      <c r="AA122" s="48">
        <f t="shared" si="109"/>
        <v>0</v>
      </c>
      <c r="AB122" s="47"/>
      <c r="AC122" s="55"/>
      <c r="AD122" s="33">
        <f t="shared" si="110"/>
        <v>0</v>
      </c>
      <c r="AE122" s="33">
        <f t="shared" si="77"/>
        <v>0</v>
      </c>
    </row>
    <row r="123" spans="2:31" x14ac:dyDescent="0.3">
      <c r="B123"/>
      <c r="C123" s="14" t="s">
        <v>5</v>
      </c>
      <c r="D123" s="43">
        <f t="shared" si="113"/>
        <v>42107</v>
      </c>
      <c r="E123" s="29" t="s">
        <v>28</v>
      </c>
      <c r="F123" s="192"/>
      <c r="G123" s="194"/>
      <c r="H123" s="194"/>
      <c r="I123" s="194"/>
      <c r="J123" s="193">
        <f>IF(OR(E123="férié travaillé",E123="travail"),(I123-G123+IF(G123&gt;I123,1)-H123),INDEX('bases de donnée'!$E$20:'bases de donnée'!$E$32,MATCH(E123,gerald2,0)))</f>
        <v>0</v>
      </c>
      <c r="K123" s="20">
        <f>IF(SUM(J123-'bases de donnée'!E$7)&lt;0,0,SUM(J123-'bases de donnée'!E$7))</f>
        <v>0</v>
      </c>
      <c r="L123" s="11">
        <f>IF(OR(E123="férié travaillé",E123="travail"),I123-G123+IF(G123&gt;I123,1),INDEX('bases de donnée'!$E$20:'bases de donnée'!$E$32,MATCH(E123,gerald2,0)))</f>
        <v>0</v>
      </c>
      <c r="M123" s="21">
        <f>IF(SUM(L123-'bases de donnée'!E$4)&lt;0,0,SUM(L123-'bases de donnée'!E$4))</f>
        <v>0</v>
      </c>
      <c r="N123" s="155">
        <v>0</v>
      </c>
      <c r="O123" s="73">
        <f t="shared" si="111"/>
        <v>1.1875</v>
      </c>
      <c r="P123" s="33">
        <f>IF(SUM(O123-'bases de donnée'!E$10)&lt;0,0,SUM(O123-'bases de donnée'!E$10))</f>
        <v>0</v>
      </c>
      <c r="Q123" s="120">
        <f t="shared" si="112"/>
        <v>0</v>
      </c>
      <c r="R123" s="30"/>
      <c r="S123" s="77">
        <f>IF(SUM(MOD(I123-G123,1)-IF(I123&gt;G123,MAX(0,MIN(I123,'bases de donnée'!E$16/24)-MAX('planning '!G123,7/24)),MAX(0,'bases de donnée'!E$16/24-MAX('planning '!G123,7/24))+MAX(0,MIN('planning '!I123,'bases de donnée'!E$16/24)-7/24)))&lt;0,0,SUM(MOD('planning '!I123-'planning '!G123,1)-IF('planning '!I123&gt;'planning '!G123,MAX(0,MIN('planning '!I123,'bases de donnée'!E$16/24)-MAX('planning '!G123,7/24)),MAX(0,'bases de donnée'!E$16/24-MAX('planning '!G123,7/24))+MAX(0,MIN('planning '!I123,'bases de donnée'!E$16/24)-7/24))))</f>
        <v>0</v>
      </c>
      <c r="T123" s="77">
        <f>J123</f>
        <v>0</v>
      </c>
      <c r="U123" s="77" t="str">
        <f t="shared" si="107"/>
        <v>00:00</v>
      </c>
      <c r="V123" s="78">
        <f>IF(SUM(IF(O123&gt;("36:00"*1),O123-("36:00"*1),0)-V121-V122)&lt;0,0,SUM(IF(O123&gt;("36:00"*1),O123-("36:00"*1),0)-V117-V118-V119-V120-V121-V122))</f>
        <v>0</v>
      </c>
      <c r="W123" s="47"/>
      <c r="X123" s="48">
        <f t="shared" si="57"/>
        <v>0</v>
      </c>
      <c r="Y123" s="48">
        <f>IF(SUM(T123-S123)&lt;0,0,SUM(T123-S123))</f>
        <v>0</v>
      </c>
      <c r="Z123" s="56">
        <f>IF(SUM(U123-T123-S123)&lt;0,0,SUM(U123-T123-S123))</f>
        <v>0</v>
      </c>
      <c r="AA123" s="48">
        <f>IF(SUM(V123-S123-T123-U123)&lt;0,0,SUM(V123-S123-T123-U123))</f>
        <v>0</v>
      </c>
      <c r="AB123" s="47"/>
      <c r="AC123" s="57">
        <f>IF(SUM(T123-Y123)&lt;0,0,SUM(T123-Y123))</f>
        <v>0</v>
      </c>
      <c r="AD123" s="33">
        <f>IF(SUM(U123-Z123)&lt;0,0,SUM(U123-Z123))</f>
        <v>0</v>
      </c>
      <c r="AE123" s="33">
        <f t="shared" si="77"/>
        <v>0</v>
      </c>
    </row>
    <row r="124" spans="2:31" x14ac:dyDescent="0.3">
      <c r="B124"/>
      <c r="C124" s="25"/>
      <c r="D124" s="90"/>
      <c r="E124" s="90"/>
      <c r="F124" s="25"/>
      <c r="G124" s="185"/>
      <c r="H124" s="185"/>
      <c r="I124" s="185"/>
      <c r="J124" s="47"/>
      <c r="K124" s="92"/>
      <c r="L124" s="91"/>
      <c r="M124" s="91"/>
      <c r="N124" s="91"/>
      <c r="O124" s="93"/>
      <c r="P124" s="47"/>
      <c r="Q124" s="30"/>
      <c r="R124" s="30"/>
      <c r="S124" s="47"/>
      <c r="T124" s="47"/>
      <c r="U124" s="47"/>
      <c r="V124" s="93"/>
      <c r="W124" s="47"/>
      <c r="X124" s="47"/>
      <c r="Y124" s="47"/>
      <c r="Z124" s="47"/>
      <c r="AA124" s="47"/>
      <c r="AB124" s="47"/>
      <c r="AC124" s="47"/>
      <c r="AD124" s="47"/>
      <c r="AE124" s="47"/>
    </row>
    <row r="125" spans="2:31" x14ac:dyDescent="0.3">
      <c r="B125" s="9" t="s">
        <v>40</v>
      </c>
      <c r="C125" s="9" t="s">
        <v>6</v>
      </c>
      <c r="D125" s="58">
        <f>D123+1</f>
        <v>42108</v>
      </c>
      <c r="E125" s="29" t="s">
        <v>29</v>
      </c>
      <c r="F125" s="190"/>
      <c r="G125" s="194">
        <v>0.375</v>
      </c>
      <c r="H125" s="194">
        <v>3.125E-2</v>
      </c>
      <c r="I125" s="194">
        <v>0.75</v>
      </c>
      <c r="J125" s="193">
        <f>IF(OR(E125="férié travaillé",E125="travail"),(I125-G125+IF(G125&gt;I125,1)-H125),INDEX('bases de donnée'!$E$20:'bases de donnée'!$E$32,MATCH(E125,gerald2,0)))</f>
        <v>0.34375</v>
      </c>
      <c r="K125" s="20">
        <f>IF(SUM(J125-'bases de donnée'!E$7)&lt;0,0,SUM(J125-'bases de donnée'!E$7))</f>
        <v>0</v>
      </c>
      <c r="L125" s="11">
        <f>IF(OR(E125="férié travaillé",E125="travail"),I125-G125+IF(G125&gt;I125,1),INDEX('bases de donnée'!$E$20:'bases de donnée'!$E$32,MATCH(E125,gerald2,0)))</f>
        <v>0.375</v>
      </c>
      <c r="M125" s="21">
        <f>IF(SUM(L125-'bases de donnée'!E$4)&lt;0,0,SUM(L125-'bases de donnée'!E$4))</f>
        <v>0</v>
      </c>
      <c r="N125" s="155">
        <v>0</v>
      </c>
      <c r="O125" s="59">
        <f>J125</f>
        <v>0.34375</v>
      </c>
      <c r="P125" s="122">
        <f>SUM(Q125:Q131)</f>
        <v>5</v>
      </c>
      <c r="Q125" s="120">
        <f>IF(AND(G125&lt;&gt;"",I125&lt;&gt;""),1,0+OR(N(I124)&lt;N(G124),E125="récupération",E125="congé 1 jour",E125="congé 1/2 jour ",E125="congé 5h24",E125="arrêt maladie",E125="arrêt travail",E125="férié ",E125="congé parentale",E125="congé de naissance"))</f>
        <v>1</v>
      </c>
      <c r="R125" s="30"/>
      <c r="S125" s="77">
        <f>IF(SUM(MOD(I125-G125,1)-IF(I125&gt;G125,MAX(0,MIN(I125,'bases de donnée'!E$16/24)-MAX('planning '!G125,7/24)),MAX(0,'bases de donnée'!E$16/24-MAX('planning '!G125,7/24))+MAX(0,MIN('planning '!I125,'bases de donnée'!E$16/24)-7/24)))&lt;0,0,SUM(MOD('planning '!I125-'planning '!G125,1)-IF('planning '!I125&gt;'planning '!G125,MAX(0,MIN('planning '!I125,'bases de donnée'!E$16/24)-MAX('planning '!G125,7/24)),MAX(0,'bases de donnée'!E$16/24-MAX('planning '!G125,7/24))+MAX(0,MIN('planning '!I125,'bases de donnée'!E$16/24)-7/24))))</f>
        <v>0</v>
      </c>
      <c r="T125" s="81"/>
      <c r="U125" s="77" t="str">
        <f t="shared" ref="U125:U131" si="114">IF(E125&lt;&gt;"travail",IF(E125="férié travaillé",MOD(I125-G125,1)-H125,"00:00"),"00:00")</f>
        <v>00:00</v>
      </c>
      <c r="V125" s="78"/>
      <c r="W125" s="47"/>
      <c r="X125" s="48">
        <f t="shared" si="57"/>
        <v>0</v>
      </c>
      <c r="Y125" s="31"/>
      <c r="Z125" s="49">
        <f t="shared" ref="Z125:Z130" si="115">IF(SUM(U125-X125)&lt;0,0,SUM(U125-X125))</f>
        <v>0</v>
      </c>
      <c r="AA125" s="48">
        <f t="shared" ref="AA125:AA130" si="116">IF(SUM(V125-X125-Z125)&lt;0,0,SUM(V125-X125-Z125))</f>
        <v>0</v>
      </c>
      <c r="AB125" s="47"/>
      <c r="AC125" s="50"/>
      <c r="AD125" s="33">
        <f t="shared" ref="AD125:AD130" si="117">IF(SUM(U125-Z125)&lt;0,0,SUM(U125-Z125))</f>
        <v>0</v>
      </c>
      <c r="AE125" s="33">
        <f t="shared" si="77"/>
        <v>0</v>
      </c>
    </row>
    <row r="126" spans="2:31" x14ac:dyDescent="0.3">
      <c r="B126" s="60">
        <f>B118+1</f>
        <v>15</v>
      </c>
      <c r="C126" s="9" t="s">
        <v>7</v>
      </c>
      <c r="D126" s="58">
        <f>D125+1</f>
        <v>42109</v>
      </c>
      <c r="E126" s="29" t="s">
        <v>29</v>
      </c>
      <c r="F126" s="191"/>
      <c r="G126" s="194">
        <v>0.375</v>
      </c>
      <c r="H126" s="194"/>
      <c r="I126" s="194">
        <v>0.67499999999999993</v>
      </c>
      <c r="J126" s="193">
        <f>IF(OR(E126="férié travaillé",E126="travail"),(I126-G126+IF(G126&gt;I126,1)-H126),INDEX('bases de donnée'!$E$20:'bases de donnée'!$E$32,MATCH(E126,gerald2,0)))</f>
        <v>0.29999999999999993</v>
      </c>
      <c r="K126" s="20">
        <f>IF(SUM(J126-'bases de donnée'!E$7)&lt;0,0,SUM(J126-'bases de donnée'!E$7))</f>
        <v>0</v>
      </c>
      <c r="L126" s="11">
        <f>IF(OR(E126="férié travaillé",E126="travail"),I126-G126+IF(G126&gt;I126,1),INDEX('bases de donnée'!$E$20:'bases de donnée'!$E$32,MATCH(E126,gerald2,0)))</f>
        <v>0.29999999999999993</v>
      </c>
      <c r="M126" s="21">
        <f>IF(SUM(L126-'bases de donnée'!E$4)&lt;0,0,SUM(L126-'bases de donnée'!E$4))</f>
        <v>0</v>
      </c>
      <c r="N126" s="155">
        <v>0</v>
      </c>
      <c r="O126" s="74">
        <f t="shared" ref="O126:O131" si="118">O125+J126</f>
        <v>0.64374999999999993</v>
      </c>
      <c r="P126" s="121">
        <f>IF(SUM(P125-'bases de donnée'!E$6)&lt;0,0,SUM(P125-'bases de donnée'!E$6))</f>
        <v>0</v>
      </c>
      <c r="Q126" s="120">
        <f t="shared" ref="Q126:Q131" si="119">IF(AND(G126&lt;&gt;"",I126&lt;&gt;""),1,0+OR(N(I125)&lt;N(G125),E126="récupération",E126="congé 1 jour",E126="congé 1/2 jour ",E126="congé 5h24",E126="arrêt maladie",E126="arrêt travail",E126="férié ",E126="congé parentale",E126="congé de naissance"))</f>
        <v>1</v>
      </c>
      <c r="R126" s="30"/>
      <c r="S126" s="77">
        <f>IF(SUM(MOD(I126-G126,1)-IF(I126&gt;G126,MAX(0,MIN(I126,'bases de donnée'!E$16/24)-MAX('planning '!G126,7/24)),MAX(0,'bases de donnée'!E$16/24-MAX('planning '!G126,7/24))+MAX(0,MIN('planning '!I126,'bases de donnée'!E$16/24)-7/24)))&lt;0,0,SUM(MOD('planning '!I126-'planning '!G126,1)-IF('planning '!I126&gt;'planning '!G126,MAX(0,MIN('planning '!I126,'bases de donnée'!E$16/24)-MAX('planning '!G126,7/24)),MAX(0,'bases de donnée'!E$16/24-MAX('planning '!G126,7/24))+MAX(0,MIN('planning '!I126,'bases de donnée'!E$16/24)-7/24))))</f>
        <v>0</v>
      </c>
      <c r="T126" s="82"/>
      <c r="U126" s="77" t="str">
        <f t="shared" si="114"/>
        <v>00:00</v>
      </c>
      <c r="V126" s="78">
        <f>IF(SUM(IF(O126&gt;('bases de donnée'!E$9*1),O126-('bases de donnée'!E$9*1),0)-V125)&lt;0,0,SUM(IF(O126&gt;('bases de donnée'!E$9*1),O126-('bases de donnée'!E$9*1),0)-V125))</f>
        <v>0</v>
      </c>
      <c r="W126" s="47"/>
      <c r="X126" s="48">
        <f t="shared" si="57"/>
        <v>0</v>
      </c>
      <c r="Y126" s="42"/>
      <c r="Z126" s="49">
        <f t="shared" si="115"/>
        <v>0</v>
      </c>
      <c r="AA126" s="48">
        <f t="shared" si="116"/>
        <v>0</v>
      </c>
      <c r="AB126" s="47"/>
      <c r="AC126" s="54"/>
      <c r="AD126" s="33">
        <f t="shared" si="117"/>
        <v>0</v>
      </c>
      <c r="AE126" s="33">
        <f t="shared" si="77"/>
        <v>0</v>
      </c>
    </row>
    <row r="127" spans="2:31" x14ac:dyDescent="0.3">
      <c r="B127"/>
      <c r="C127" s="9" t="s">
        <v>8</v>
      </c>
      <c r="D127" s="58">
        <f t="shared" ref="D127:D131" si="120">D126+1</f>
        <v>42110</v>
      </c>
      <c r="E127" s="29" t="s">
        <v>29</v>
      </c>
      <c r="F127" s="191"/>
      <c r="G127" s="194">
        <v>0.375</v>
      </c>
      <c r="H127" s="194">
        <v>3.125E-2</v>
      </c>
      <c r="I127" s="194">
        <v>0.75</v>
      </c>
      <c r="J127" s="193">
        <f>IF(OR(E127="férié travaillé",E127="travail"),(I127-G127+IF(G127&gt;I127,1)-H127),INDEX('bases de donnée'!$E$20:'bases de donnée'!$E$32,MATCH(E127,gerald2,0)))</f>
        <v>0.34375</v>
      </c>
      <c r="K127" s="20">
        <f>IF(SUM(J127-'bases de donnée'!E$7)&lt;0,0,SUM(J127-'bases de donnée'!E$7))</f>
        <v>0</v>
      </c>
      <c r="L127" s="11">
        <f>IF(OR(E127="férié travaillé",E127="travail"),I127-G127+IF(G127&gt;I127,1),INDEX('bases de donnée'!$E$20:'bases de donnée'!$E$32,MATCH(E127,gerald2,0)))</f>
        <v>0.375</v>
      </c>
      <c r="M127" s="21">
        <f>IF(SUM(L127-'bases de donnée'!E$4)&lt;0,0,SUM(L127-'bases de donnée'!E$4))</f>
        <v>0</v>
      </c>
      <c r="N127" s="155">
        <v>0</v>
      </c>
      <c r="O127" s="74">
        <f t="shared" si="118"/>
        <v>0.98749999999999993</v>
      </c>
      <c r="P127" s="34" t="s">
        <v>46</v>
      </c>
      <c r="Q127" s="120">
        <f t="shared" si="119"/>
        <v>1</v>
      </c>
      <c r="R127" s="30"/>
      <c r="S127" s="77">
        <f>IF(SUM(MOD(I127-G127,1)-IF(I127&gt;G127,MAX(0,MIN(I127,'bases de donnée'!E$16/24)-MAX('planning '!G127,7/24)),MAX(0,'bases de donnée'!E$16/24-MAX('planning '!G127,7/24))+MAX(0,MIN('planning '!I127,'bases de donnée'!E$16/24)-7/24)))&lt;0,0,SUM(MOD('planning '!I127-'planning '!G127,1)-IF('planning '!I127&gt;'planning '!G127,MAX(0,MIN('planning '!I127,'bases de donnée'!E$16/24)-MAX('planning '!G127,7/24)),MAX(0,'bases de donnée'!E$16/24-MAX('planning '!G127,7/24))+MAX(0,MIN('planning '!I127,'bases de donnée'!E$16/24)-7/24))))</f>
        <v>0</v>
      </c>
      <c r="T127" s="82"/>
      <c r="U127" s="77" t="str">
        <f t="shared" si="114"/>
        <v>00:00</v>
      </c>
      <c r="V127" s="78">
        <f>IF(SUM(IF(O127&gt;("36:00"*1),O127-("36:00"*1),0)-V125-V126)&lt;0,0,SUM(IF(O127&gt;("36:00"*1),O127-("36:00"*1),0)-V125-V126))</f>
        <v>0</v>
      </c>
      <c r="W127" s="47"/>
      <c r="X127" s="48">
        <f t="shared" si="57"/>
        <v>0</v>
      </c>
      <c r="Y127" s="42"/>
      <c r="Z127" s="49">
        <f t="shared" si="115"/>
        <v>0</v>
      </c>
      <c r="AA127" s="48">
        <f t="shared" si="116"/>
        <v>0</v>
      </c>
      <c r="AB127" s="47"/>
      <c r="AC127" s="54"/>
      <c r="AD127" s="33">
        <f t="shared" si="117"/>
        <v>0</v>
      </c>
      <c r="AE127" s="33">
        <f t="shared" si="77"/>
        <v>0</v>
      </c>
    </row>
    <row r="128" spans="2:31" x14ac:dyDescent="0.3">
      <c r="B128"/>
      <c r="C128" s="9" t="s">
        <v>9</v>
      </c>
      <c r="D128" s="58">
        <f t="shared" si="120"/>
        <v>42111</v>
      </c>
      <c r="E128" s="29" t="s">
        <v>29</v>
      </c>
      <c r="F128" s="191"/>
      <c r="G128" s="194">
        <v>0.375</v>
      </c>
      <c r="H128" s="194"/>
      <c r="I128" s="194">
        <v>0.67499999999999993</v>
      </c>
      <c r="J128" s="193">
        <f>IF(OR(E128="férié travaillé",E128="travail"),(I128-G128+IF(G128&gt;I128,1)-H128),INDEX('bases de donnée'!$E$20:'bases de donnée'!$E$32,MATCH(E128,gerald2,0)))</f>
        <v>0.29999999999999993</v>
      </c>
      <c r="K128" s="20">
        <f>IF(SUM(J128-'bases de donnée'!E$7)&lt;0,0,SUM(J128-'bases de donnée'!E$7))</f>
        <v>0</v>
      </c>
      <c r="L128" s="11">
        <f>IF(OR(E128="férié travaillé",E128="travail"),I128-G128+IF(G128&gt;I128,1),INDEX('bases de donnée'!$E$20:'bases de donnée'!$E$32,MATCH(E128,gerald2,0)))</f>
        <v>0.29999999999999993</v>
      </c>
      <c r="M128" s="21">
        <f>IF(SUM(L128-'bases de donnée'!E$4)&lt;0,0,SUM(L128-'bases de donnée'!E$4))</f>
        <v>0</v>
      </c>
      <c r="N128" s="155">
        <v>0</v>
      </c>
      <c r="O128" s="74">
        <f t="shared" si="118"/>
        <v>1.2874999999999999</v>
      </c>
      <c r="P128" s="86">
        <f>O131</f>
        <v>1.5270833333333331</v>
      </c>
      <c r="Q128" s="120">
        <f t="shared" si="119"/>
        <v>1</v>
      </c>
      <c r="R128" s="30"/>
      <c r="S128" s="77">
        <f>IF(SUM(MOD(I128-G128,1)-IF(I128&gt;G128,MAX(0,MIN(I128,'bases de donnée'!E$16/24)-MAX('planning '!G128,7/24)),MAX(0,'bases de donnée'!E$16/24-MAX('planning '!G128,7/24))+MAX(0,MIN('planning '!I128,'bases de donnée'!E$16/24)-7/24)))&lt;0,0,SUM(MOD('planning '!I128-'planning '!G128,1)-IF('planning '!I128&gt;'planning '!G128,MAX(0,MIN('planning '!I128,'bases de donnée'!E$16/24)-MAX('planning '!G128,7/24)),MAX(0,'bases de donnée'!E$16/24-MAX('planning '!G128,7/24))+MAX(0,MIN('planning '!I128,'bases de donnée'!E$16/24)-7/24))))</f>
        <v>0</v>
      </c>
      <c r="T128" s="82"/>
      <c r="U128" s="77" t="str">
        <f t="shared" si="114"/>
        <v>00:00</v>
      </c>
      <c r="V128" s="78">
        <f>IF(SUM(IF(O128&gt;("36:00"*1),O128-("36:00"*1),0)-V126-V127)&lt;0,0,SUM(IF(O128&gt;("36:00"*1),O128-("36:00"*1),0)-V125-V126-V127))</f>
        <v>0</v>
      </c>
      <c r="W128" s="47"/>
      <c r="X128" s="48">
        <f t="shared" si="57"/>
        <v>0</v>
      </c>
      <c r="Y128" s="42"/>
      <c r="Z128" s="49">
        <f t="shared" si="115"/>
        <v>0</v>
      </c>
      <c r="AA128" s="48">
        <f t="shared" si="116"/>
        <v>0</v>
      </c>
      <c r="AB128" s="47"/>
      <c r="AC128" s="54"/>
      <c r="AD128" s="33">
        <f t="shared" si="117"/>
        <v>0</v>
      </c>
      <c r="AE128" s="33">
        <f t="shared" si="77"/>
        <v>0</v>
      </c>
    </row>
    <row r="129" spans="2:31" x14ac:dyDescent="0.3">
      <c r="B129"/>
      <c r="C129" s="9" t="s">
        <v>3</v>
      </c>
      <c r="D129" s="58">
        <f t="shared" si="120"/>
        <v>42112</v>
      </c>
      <c r="E129" s="29" t="s">
        <v>29</v>
      </c>
      <c r="F129" s="191"/>
      <c r="G129" s="194">
        <v>0.375</v>
      </c>
      <c r="H129" s="194">
        <v>3.125E-2</v>
      </c>
      <c r="I129" s="194">
        <v>0.64583333333333337</v>
      </c>
      <c r="J129" s="193">
        <f>IF(OR(E129="férié travaillé",E129="travail"),(I129-G129+IF(G129&gt;I129,1)-H129),INDEX('bases de donnée'!$E$20:'bases de donnée'!$E$32,MATCH(E129,gerald2,0)))</f>
        <v>0.23958333333333337</v>
      </c>
      <c r="K129" s="20">
        <f>IF(SUM(J129-'bases de donnée'!E$7)&lt;0,0,SUM(J129-'bases de donnée'!E$7))</f>
        <v>0</v>
      </c>
      <c r="L129" s="11">
        <f>IF(OR(E129="férié travaillé",E129="travail"),I129-G129+IF(G129&gt;I129,1),INDEX('bases de donnée'!$E$20:'bases de donnée'!$E$32,MATCH(E129,gerald2,0)))</f>
        <v>0.27083333333333337</v>
      </c>
      <c r="M129" s="21">
        <f>IF(SUM(L129-'bases de donnée'!E$4)&lt;0,0,SUM(L129-'bases de donnée'!E$4))</f>
        <v>0</v>
      </c>
      <c r="N129" s="155">
        <v>0</v>
      </c>
      <c r="O129" s="74">
        <f t="shared" si="118"/>
        <v>1.5270833333333331</v>
      </c>
      <c r="P129" s="8" t="s">
        <v>48</v>
      </c>
      <c r="Q129" s="120">
        <f t="shared" si="119"/>
        <v>1</v>
      </c>
      <c r="R129" s="30"/>
      <c r="S129" s="77">
        <f>IF(SUM(MOD(I129-G129,1)-IF(I129&gt;G129,MAX(0,MIN(I129,'bases de donnée'!E$16/24)-MAX('planning '!G129,7/24)),MAX(0,'bases de donnée'!E$16/24-MAX('planning '!G129,7/24))+MAX(0,MIN('planning '!I129,'bases de donnée'!E$16/24)-7/24)))&lt;0,0,SUM(MOD('planning '!I129-'planning '!G129,1)-IF('planning '!I129&gt;'planning '!G129,MAX(0,MIN('planning '!I129,'bases de donnée'!E$16/24)-MAX('planning '!G129,7/24)),MAX(0,'bases de donnée'!E$16/24-MAX('planning '!G129,7/24))+MAX(0,MIN('planning '!I129,'bases de donnée'!E$16/24)-7/24))))</f>
        <v>0</v>
      </c>
      <c r="T129" s="82"/>
      <c r="U129" s="77" t="str">
        <f t="shared" si="114"/>
        <v>00:00</v>
      </c>
      <c r="V129" s="78">
        <f>IF(SUM(IF(O129&gt;("36:00"*1),O129-("36:00"*1),0)-V127-V128)&lt;0,0,SUM(IF(O129&gt;("36:00"*1),O129-("36:00"*1),0)-V125-V126-V127-V128))</f>
        <v>2.7083333333333126E-2</v>
      </c>
      <c r="W129" s="47"/>
      <c r="X129" s="48">
        <f t="shared" si="57"/>
        <v>0</v>
      </c>
      <c r="Y129" s="42"/>
      <c r="Z129" s="49">
        <f t="shared" si="115"/>
        <v>0</v>
      </c>
      <c r="AA129" s="48">
        <f t="shared" si="116"/>
        <v>2.7083333333333126E-2</v>
      </c>
      <c r="AB129" s="47"/>
      <c r="AC129" s="54"/>
      <c r="AD129" s="33">
        <f t="shared" si="117"/>
        <v>0</v>
      </c>
      <c r="AE129" s="33">
        <f t="shared" si="77"/>
        <v>0</v>
      </c>
    </row>
    <row r="130" spans="2:31" x14ac:dyDescent="0.3">
      <c r="B130"/>
      <c r="C130" s="9" t="s">
        <v>4</v>
      </c>
      <c r="D130" s="58">
        <f t="shared" si="120"/>
        <v>42113</v>
      </c>
      <c r="E130" s="29" t="s">
        <v>28</v>
      </c>
      <c r="F130" s="191"/>
      <c r="G130" s="194"/>
      <c r="H130" s="194"/>
      <c r="I130" s="194"/>
      <c r="J130" s="193">
        <f>IF(OR(E130="férié travaillé",E130="travail"),(I130-G130+IF(G130&gt;I130,1)-H130),INDEX('bases de donnée'!$E$20:'bases de donnée'!$E$32,MATCH(E130,gerald2,0)))</f>
        <v>0</v>
      </c>
      <c r="K130" s="20">
        <f>IF(SUM(J130-'bases de donnée'!E$7)&lt;0,0,SUM(J130-'bases de donnée'!E$7))</f>
        <v>0</v>
      </c>
      <c r="L130" s="11">
        <f>IF(OR(E130="férié travaillé",E130="travail"),I130-G130+IF(G130&gt;I130,1),INDEX('bases de donnée'!$E$20:'bases de donnée'!$E$32,MATCH(E130,gerald2,0)))</f>
        <v>0</v>
      </c>
      <c r="M130" s="21">
        <f>IF(SUM(L130-'bases de donnée'!E$4)&lt;0,0,SUM(L130-'bases de donnée'!E$4))</f>
        <v>0</v>
      </c>
      <c r="N130" s="155">
        <v>0</v>
      </c>
      <c r="O130" s="74">
        <f t="shared" si="118"/>
        <v>1.5270833333333331</v>
      </c>
      <c r="P130" s="61">
        <f>'bases de donnée'!E$10</f>
        <v>2</v>
      </c>
      <c r="Q130" s="120">
        <f t="shared" si="119"/>
        <v>0</v>
      </c>
      <c r="R130" s="30"/>
      <c r="S130" s="77">
        <f>IF(SUM(MOD(I130-G130,1)-IF(I130&gt;G130,MAX(0,MIN(I130,'bases de donnée'!E$16/24)-MAX('planning '!G130,7/24)),MAX(0,'bases de donnée'!E$16/24-MAX('planning '!G130,7/24))+MAX(0,MIN('planning '!I130,'bases de donnée'!E$16/24)-7/24)))&lt;0,0,SUM(MOD('planning '!I130-'planning '!G130,1)-IF('planning '!I130&gt;'planning '!G130,MAX(0,MIN('planning '!I130,'bases de donnée'!E$16/24)-MAX('planning '!G130,7/24)),MAX(0,'bases de donnée'!E$16/24-MAX('planning '!G130,7/24))+MAX(0,MIN('planning '!I130,'bases de donnée'!E$16/24)-7/24))))</f>
        <v>0</v>
      </c>
      <c r="T130" s="82"/>
      <c r="U130" s="77" t="str">
        <f t="shared" si="114"/>
        <v>00:00</v>
      </c>
      <c r="V130" s="78">
        <f>IF(SUM(IF(O130&gt;("36:00"*1),O130-("36:00"*1),0)-V128-V129)&lt;0,0,SUM(IF(O130&gt;("36:00"*1),O130-("36:00"*1),0)-V125-V126-V127-V128-V129))</f>
        <v>0</v>
      </c>
      <c r="W130" s="47"/>
      <c r="X130" s="48">
        <f t="shared" si="57"/>
        <v>0</v>
      </c>
      <c r="Y130" s="32"/>
      <c r="Z130" s="49">
        <f t="shared" si="115"/>
        <v>0</v>
      </c>
      <c r="AA130" s="48">
        <f t="shared" si="116"/>
        <v>0</v>
      </c>
      <c r="AB130" s="47"/>
      <c r="AC130" s="55"/>
      <c r="AD130" s="33">
        <f t="shared" si="117"/>
        <v>0</v>
      </c>
      <c r="AE130" s="33">
        <f t="shared" si="77"/>
        <v>0</v>
      </c>
    </row>
    <row r="131" spans="2:31" x14ac:dyDescent="0.3">
      <c r="B131"/>
      <c r="C131" s="9" t="s">
        <v>5</v>
      </c>
      <c r="D131" s="58">
        <f t="shared" si="120"/>
        <v>42114</v>
      </c>
      <c r="E131" s="29" t="s">
        <v>28</v>
      </c>
      <c r="F131" s="192"/>
      <c r="G131" s="194"/>
      <c r="H131" s="194"/>
      <c r="I131" s="194"/>
      <c r="J131" s="193">
        <f>IF(OR(E131="férié travaillé",E131="travail"),(I131-G131+IF(G131&gt;I131,1)-H131),INDEX('bases de donnée'!$E$20:'bases de donnée'!$E$32,MATCH(E131,gerald2,0)))</f>
        <v>0</v>
      </c>
      <c r="K131" s="20">
        <f>IF(SUM(J131-'bases de donnée'!E$7)&lt;0,0,SUM(J131-'bases de donnée'!E$7))</f>
        <v>0</v>
      </c>
      <c r="L131" s="11">
        <f>IF(OR(E131="férié travaillé",E131="travail"),I131-G131+IF(G131&gt;I131,1),INDEX('bases de donnée'!$E$20:'bases de donnée'!$E$32,MATCH(E131,gerald2,0)))</f>
        <v>0</v>
      </c>
      <c r="M131" s="21">
        <f>IF(SUM(L131-'bases de donnée'!E$4)&lt;0,0,SUM(L131-'bases de donnée'!E$4))</f>
        <v>0</v>
      </c>
      <c r="N131" s="155">
        <v>0</v>
      </c>
      <c r="O131" s="74">
        <f t="shared" si="118"/>
        <v>1.5270833333333331</v>
      </c>
      <c r="P131" s="33">
        <f>IF(SUM(O131-'bases de donnée'!E$10)&lt;0,0,SUM(O131-'bases de donnée'!E$10))</f>
        <v>0</v>
      </c>
      <c r="Q131" s="120">
        <f t="shared" si="119"/>
        <v>0</v>
      </c>
      <c r="R131" s="30"/>
      <c r="S131" s="77">
        <f>IF(SUM(MOD(I131-G131,1)-IF(I131&gt;G131,MAX(0,MIN(I131,'bases de donnée'!E$16/24)-MAX('planning '!G131,7/24)),MAX(0,'bases de donnée'!E$16/24-MAX('planning '!G131,7/24))+MAX(0,MIN('planning '!I131,'bases de donnée'!E$16/24)-7/24)))&lt;0,0,SUM(MOD('planning '!I131-'planning '!G131,1)-IF('planning '!I131&gt;'planning '!G131,MAX(0,MIN('planning '!I131,'bases de donnée'!E$16/24)-MAX('planning '!G131,7/24)),MAX(0,'bases de donnée'!E$16/24-MAX('planning '!G131,7/24))+MAX(0,MIN('planning '!I131,'bases de donnée'!E$16/24)-7/24))))</f>
        <v>0</v>
      </c>
      <c r="T131" s="77">
        <f>J131</f>
        <v>0</v>
      </c>
      <c r="U131" s="77" t="str">
        <f t="shared" si="114"/>
        <v>00:00</v>
      </c>
      <c r="V131" s="78">
        <f>IF(SUM(IF(O131&gt;("36:00"*1),O131-("36:00"*1),0)-V129-V130)&lt;0,0,SUM(IF(O131&gt;("36:00"*1),O131-("36:00"*1),0)-V125-V126-V127-V128-V129-V130))</f>
        <v>0</v>
      </c>
      <c r="W131" s="47"/>
      <c r="X131" s="48">
        <f t="shared" si="57"/>
        <v>0</v>
      </c>
      <c r="Y131" s="48">
        <f>IF(SUM(T131-S131)&lt;0,0,SUM(T131-S131))</f>
        <v>0</v>
      </c>
      <c r="Z131" s="56">
        <f>IF(SUM(U131-T131-S131)&lt;0,0,SUM(U131-T131-S131))</f>
        <v>0</v>
      </c>
      <c r="AA131" s="48">
        <f>IF(SUM(V131-S131-T131-U131)&lt;0,0,SUM(V131-S131-T131-U131))</f>
        <v>0</v>
      </c>
      <c r="AB131" s="47"/>
      <c r="AC131" s="57">
        <f>IF(SUM(T131-Y131)&lt;0,0,SUM(T131-Y131))</f>
        <v>0</v>
      </c>
      <c r="AD131" s="33">
        <f>IF(SUM(U131-Z131)&lt;0,0,SUM(U131-Z131))</f>
        <v>0</v>
      </c>
      <c r="AE131" s="33">
        <f t="shared" si="77"/>
        <v>0</v>
      </c>
    </row>
    <row r="132" spans="2:31" x14ac:dyDescent="0.3">
      <c r="B132"/>
      <c r="C132" s="25"/>
      <c r="D132" s="90"/>
      <c r="E132" s="90"/>
      <c r="F132" s="25"/>
      <c r="G132" s="185"/>
      <c r="H132" s="185"/>
      <c r="I132" s="185"/>
      <c r="J132" s="47"/>
      <c r="K132" s="92"/>
      <c r="L132" s="91"/>
      <c r="M132" s="91"/>
      <c r="N132" s="91"/>
      <c r="O132" s="93"/>
      <c r="P132" s="47"/>
      <c r="Q132" s="30"/>
      <c r="R132" s="30"/>
      <c r="S132" s="47"/>
      <c r="T132" s="47"/>
      <c r="U132" s="47"/>
      <c r="V132" s="93"/>
      <c r="W132" s="47"/>
      <c r="X132" s="47"/>
      <c r="Y132" s="47"/>
      <c r="Z132" s="47"/>
      <c r="AA132" s="47"/>
      <c r="AB132" s="47"/>
      <c r="AC132" s="47"/>
      <c r="AD132" s="47"/>
      <c r="AE132" s="47"/>
    </row>
    <row r="133" spans="2:31" x14ac:dyDescent="0.3">
      <c r="B133" s="14" t="s">
        <v>40</v>
      </c>
      <c r="C133" s="14" t="s">
        <v>6</v>
      </c>
      <c r="D133" s="43">
        <f>D131+1</f>
        <v>42115</v>
      </c>
      <c r="E133" s="29" t="s">
        <v>36</v>
      </c>
      <c r="F133" s="190"/>
      <c r="G133" s="194"/>
      <c r="H133" s="194"/>
      <c r="I133" s="194"/>
      <c r="J133" s="193">
        <f>IF(OR(E133="férié travaillé",E133="travail"),(I133-G133+IF(G133&gt;I133,1)-H133),INDEX('bases de donnée'!$E$20:'bases de donnée'!$E$32,MATCH(E133,gerald2,0)))</f>
        <v>0.3</v>
      </c>
      <c r="K133" s="20">
        <f>IF(SUM(J133-'bases de donnée'!E$7)&lt;0,0,SUM(J133-'bases de donnée'!E$7))</f>
        <v>0</v>
      </c>
      <c r="L133" s="11">
        <f>IF(OR(E133="férié travaillé",E133="travail"),I133-G133+IF(G133&gt;I133,1),INDEX('bases de donnée'!$E$20:'bases de donnée'!$E$32,MATCH(E133,gerald2,0)))</f>
        <v>0.3</v>
      </c>
      <c r="M133" s="21">
        <f>IF(SUM(L133-'bases de donnée'!E$4)&lt;0,0,SUM(L133-'bases de donnée'!E$4))</f>
        <v>0</v>
      </c>
      <c r="N133" s="155">
        <v>0</v>
      </c>
      <c r="O133" s="45">
        <f>J133</f>
        <v>0.3</v>
      </c>
      <c r="P133" s="122">
        <f>SUM(Q133:Q139)</f>
        <v>4</v>
      </c>
      <c r="Q133" s="120">
        <f>IF(AND(G133&lt;&gt;"",I133&lt;&gt;""),1,0+OR(N(I132)&lt;N(G132),E133="récupération",E133="congé 1 jour",E133="congé 1/2 jour ",E133="congé 5h24",E133="arrêt maladie",E133="arrêt travail",E133="férié ",E133="congé parentale",E133="congé de naissance"))</f>
        <v>1</v>
      </c>
      <c r="R133" s="30"/>
      <c r="S133" s="77">
        <f>IF(SUM(MOD(I133-G133,1)-IF(I133&gt;G133,MAX(0,MIN(I133,'bases de donnée'!E$16/24)-MAX('planning '!G133,7/24)),MAX(0,'bases de donnée'!E$16/24-MAX('planning '!G133,7/24))+MAX(0,MIN('planning '!I133,'bases de donnée'!E$16/24)-7/24)))&lt;0,0,SUM(MOD('planning '!I133-'planning '!G133,1)-IF('planning '!I133&gt;'planning '!G133,MAX(0,MIN('planning '!I133,'bases de donnée'!E$16/24)-MAX('planning '!G133,7/24)),MAX(0,'bases de donnée'!E$16/24-MAX('planning '!G133,7/24))+MAX(0,MIN('planning '!I133,'bases de donnée'!E$16/24)-7/24))))</f>
        <v>0</v>
      </c>
      <c r="T133" s="81"/>
      <c r="U133" s="77" t="str">
        <f t="shared" ref="U133:U139" si="121">IF(E133&lt;&gt;"travail",IF(E133="férié travaillé",MOD(I133-G133,1)-H133,"00:00"),"00:00")</f>
        <v>00:00</v>
      </c>
      <c r="V133" s="78"/>
      <c r="W133" s="47"/>
      <c r="X133" s="48">
        <f t="shared" si="57"/>
        <v>0</v>
      </c>
      <c r="Y133" s="31"/>
      <c r="Z133" s="88">
        <f t="shared" ref="Z133:Z138" si="122">IF(SUM(U133-X133)&lt;0,0,SUM(U133-X133))</f>
        <v>0</v>
      </c>
      <c r="AA133" s="48">
        <f t="shared" ref="AA133:AA138" si="123">IF(SUM(V133-X133-Z133)&lt;0,0,SUM(V133-X133-Z133))</f>
        <v>0</v>
      </c>
      <c r="AB133" s="47"/>
      <c r="AC133" s="50"/>
      <c r="AD133" s="33">
        <f t="shared" ref="AD133:AD138" si="124">IF(SUM(U133-Z133)&lt;0,0,SUM(U133-Z133))</f>
        <v>0</v>
      </c>
      <c r="AE133" s="33">
        <f t="shared" si="77"/>
        <v>0</v>
      </c>
    </row>
    <row r="134" spans="2:31" x14ac:dyDescent="0.3">
      <c r="B134" s="51">
        <f>B126+1</f>
        <v>16</v>
      </c>
      <c r="C134" s="14" t="s">
        <v>7</v>
      </c>
      <c r="D134" s="43">
        <f>D133+1</f>
        <v>42116</v>
      </c>
      <c r="E134" s="29" t="s">
        <v>29</v>
      </c>
      <c r="F134" s="191"/>
      <c r="G134" s="194">
        <v>0.375</v>
      </c>
      <c r="H134" s="194">
        <v>3.125E-2</v>
      </c>
      <c r="I134" s="194">
        <v>0.75</v>
      </c>
      <c r="J134" s="193">
        <f>IF(OR(E134="férié travaillé",E134="travail"),(I134-G134+IF(G134&gt;I134,1)-H134),INDEX('bases de donnée'!$E$20:'bases de donnée'!$E$32,MATCH(E134,gerald2,0)))</f>
        <v>0.34375</v>
      </c>
      <c r="K134" s="20">
        <f>IF(SUM(J134-'bases de donnée'!E$7)&lt;0,0,SUM(J134-'bases de donnée'!E$7))</f>
        <v>0</v>
      </c>
      <c r="L134" s="11">
        <f>IF(OR(E134="férié travaillé",E134="travail"),I134-G134+IF(G134&gt;I134,1),INDEX('bases de donnée'!$E$20:'bases de donnée'!$E$32,MATCH(E134,gerald2,0)))</f>
        <v>0.375</v>
      </c>
      <c r="M134" s="21">
        <f>IF(SUM(L134-'bases de donnée'!E$4)&lt;0,0,SUM(L134-'bases de donnée'!E$4))</f>
        <v>0</v>
      </c>
      <c r="N134" s="155">
        <v>0</v>
      </c>
      <c r="O134" s="73">
        <f t="shared" ref="O134:O139" si="125">O133+J134</f>
        <v>0.64375000000000004</v>
      </c>
      <c r="P134" s="121">
        <f>IF(SUM(P133-'bases de donnée'!E$6)&lt;0,0,SUM(P133-'bases de donnée'!E$6))</f>
        <v>0</v>
      </c>
      <c r="Q134" s="120">
        <f t="shared" ref="Q134:Q139" si="126">IF(AND(G134&lt;&gt;"",I134&lt;&gt;""),1,0+OR(N(I133)&lt;N(G133),E134="récupération",E134="congé 1 jour",E134="congé 1/2 jour ",E134="congé 5h24",E134="arrêt maladie",E134="arrêt travail",E134="férié ",E134="congé parentale",E134="congé de naissance"))</f>
        <v>1</v>
      </c>
      <c r="R134" s="30"/>
      <c r="S134" s="77">
        <f>IF(SUM(MOD(I134-G134,1)-IF(I134&gt;G134,MAX(0,MIN(I134,'bases de donnée'!E$16/24)-MAX('planning '!G134,7/24)),MAX(0,'bases de donnée'!E$16/24-MAX('planning '!G134,7/24))+MAX(0,MIN('planning '!I134,'bases de donnée'!E$16/24)-7/24)))&lt;0,0,SUM(MOD('planning '!I134-'planning '!G134,1)-IF('planning '!I134&gt;'planning '!G134,MAX(0,MIN('planning '!I134,'bases de donnée'!E$16/24)-MAX('planning '!G134,7/24)),MAX(0,'bases de donnée'!E$16/24-MAX('planning '!G134,7/24))+MAX(0,MIN('planning '!I134,'bases de donnée'!E$16/24)-7/24))))</f>
        <v>0</v>
      </c>
      <c r="T134" s="82"/>
      <c r="U134" s="77" t="str">
        <f t="shared" si="121"/>
        <v>00:00</v>
      </c>
      <c r="V134" s="78">
        <f>IF(SUM(IF(O134&gt;('bases de donnée'!E$9*1),O134-('bases de donnée'!E$9*1),0)-V133)&lt;0,0,SUM(IF(O134&gt;('bases de donnée'!E$9*1),O134-('bases de donnée'!E$9*1),0)-V133))</f>
        <v>0</v>
      </c>
      <c r="W134" s="47"/>
      <c r="X134" s="48">
        <f t="shared" ref="X134:X206" si="127">S134</f>
        <v>0</v>
      </c>
      <c r="Y134" s="42"/>
      <c r="Z134" s="88">
        <f t="shared" si="122"/>
        <v>0</v>
      </c>
      <c r="AA134" s="48">
        <f t="shared" si="123"/>
        <v>0</v>
      </c>
      <c r="AB134" s="47"/>
      <c r="AC134" s="54"/>
      <c r="AD134" s="33">
        <f t="shared" si="124"/>
        <v>0</v>
      </c>
      <c r="AE134" s="33">
        <f t="shared" si="77"/>
        <v>0</v>
      </c>
    </row>
    <row r="135" spans="2:31" x14ac:dyDescent="0.3">
      <c r="B135"/>
      <c r="C135" s="14" t="s">
        <v>8</v>
      </c>
      <c r="D135" s="43">
        <f t="shared" ref="D135:D139" si="128">D134+1</f>
        <v>42117</v>
      </c>
      <c r="E135" s="29" t="s">
        <v>29</v>
      </c>
      <c r="F135" s="191"/>
      <c r="G135" s="194">
        <v>0.36458333333333331</v>
      </c>
      <c r="H135" s="194">
        <v>3.125E-2</v>
      </c>
      <c r="I135" s="194">
        <v>0.75</v>
      </c>
      <c r="J135" s="193">
        <f>IF(OR(E135="férié travaillé",E135="travail"),(I135-G135+IF(G135&gt;I135,1)-H135),INDEX('bases de donnée'!$E$20:'bases de donnée'!$E$32,MATCH(E135,gerald2,0)))</f>
        <v>0.35416666666666669</v>
      </c>
      <c r="K135" s="20">
        <f>IF(SUM(J135-'bases de donnée'!E$7)&lt;0,0,SUM(J135-'bases de donnée'!E$7))</f>
        <v>0</v>
      </c>
      <c r="L135" s="11">
        <f>IF(OR(E135="férié travaillé",E135="travail"),I135-G135+IF(G135&gt;I135,1),INDEX('bases de donnée'!$E$20:'bases de donnée'!$E$32,MATCH(E135,gerald2,0)))</f>
        <v>0.38541666666666669</v>
      </c>
      <c r="M135" s="21">
        <f>IF(SUM(L135-'bases de donnée'!E$4)&lt;0,0,SUM(L135-'bases de donnée'!E$4))</f>
        <v>0</v>
      </c>
      <c r="N135" s="155">
        <v>0</v>
      </c>
      <c r="O135" s="73">
        <f t="shared" si="125"/>
        <v>0.99791666666666679</v>
      </c>
      <c r="P135" s="34" t="s">
        <v>46</v>
      </c>
      <c r="Q135" s="120">
        <f t="shared" si="126"/>
        <v>1</v>
      </c>
      <c r="R135" s="30"/>
      <c r="S135" s="77">
        <f>IF(SUM(MOD(I135-G135,1)-IF(I135&gt;G135,MAX(0,MIN(I135,'bases de donnée'!E$16/24)-MAX('planning '!G135,7/24)),MAX(0,'bases de donnée'!E$16/24-MAX('planning '!G135,7/24))+MAX(0,MIN('planning '!I135,'bases de donnée'!E$16/24)-7/24)))&lt;0,0,SUM(MOD('planning '!I135-'planning '!G135,1)-IF('planning '!I135&gt;'planning '!G135,MAX(0,MIN('planning '!I135,'bases de donnée'!E$16/24)-MAX('planning '!G135,7/24)),MAX(0,'bases de donnée'!E$16/24-MAX('planning '!G135,7/24))+MAX(0,MIN('planning '!I135,'bases de donnée'!E$16/24)-7/24))))</f>
        <v>0</v>
      </c>
      <c r="T135" s="82"/>
      <c r="U135" s="77" t="str">
        <f t="shared" si="121"/>
        <v>00:00</v>
      </c>
      <c r="V135" s="78">
        <f>IF(SUM(IF(O135&gt;("36:00"*1),O135-("36:00"*1),0)-V133-V134)&lt;0,0,SUM(IF(O135&gt;("36:00"*1),O135-("36:00"*1),0)-V133-V134))</f>
        <v>0</v>
      </c>
      <c r="W135" s="47"/>
      <c r="X135" s="48">
        <f t="shared" si="127"/>
        <v>0</v>
      </c>
      <c r="Y135" s="42"/>
      <c r="Z135" s="88">
        <f t="shared" si="122"/>
        <v>0</v>
      </c>
      <c r="AA135" s="48">
        <f t="shared" si="123"/>
        <v>0</v>
      </c>
      <c r="AB135" s="47"/>
      <c r="AC135" s="54"/>
      <c r="AD135" s="33">
        <f t="shared" si="124"/>
        <v>0</v>
      </c>
      <c r="AE135" s="33">
        <f t="shared" si="77"/>
        <v>0</v>
      </c>
    </row>
    <row r="136" spans="2:31" x14ac:dyDescent="0.3">
      <c r="B136"/>
      <c r="C136" s="14" t="s">
        <v>9</v>
      </c>
      <c r="D136" s="43">
        <f t="shared" si="128"/>
        <v>42118</v>
      </c>
      <c r="E136" s="29" t="s">
        <v>29</v>
      </c>
      <c r="F136" s="191"/>
      <c r="G136" s="194">
        <v>0.375</v>
      </c>
      <c r="H136" s="194"/>
      <c r="I136" s="194">
        <v>0.52083333333333337</v>
      </c>
      <c r="J136" s="193">
        <f>IF(OR(E136="férié travaillé",E136="travail"),(I136-G136+IF(G136&gt;I136,1)-H136),INDEX('bases de donnée'!$E$20:'bases de donnée'!$E$32,MATCH(E136,gerald2,0)))</f>
        <v>0.14583333333333337</v>
      </c>
      <c r="K136" s="20">
        <f>IF(SUM(J136-'bases de donnée'!E$7)&lt;0,0,SUM(J136-'bases de donnée'!E$7))</f>
        <v>0</v>
      </c>
      <c r="L136" s="11">
        <f>IF(OR(E136="férié travaillé",E136="travail"),I136-G136+IF(G136&gt;I136,1),INDEX('bases de donnée'!$E$20:'bases de donnée'!$E$32,MATCH(E136,gerald2,0)))</f>
        <v>0.14583333333333337</v>
      </c>
      <c r="M136" s="21">
        <f>IF(SUM(L136-'bases de donnée'!E$4)&lt;0,0,SUM(L136-'bases de donnée'!E$4))</f>
        <v>0</v>
      </c>
      <c r="N136" s="155">
        <v>0</v>
      </c>
      <c r="O136" s="73">
        <f t="shared" si="125"/>
        <v>1.1437500000000003</v>
      </c>
      <c r="P136" s="86">
        <f>O139</f>
        <v>1.1437500000000003</v>
      </c>
      <c r="Q136" s="120">
        <f t="shared" si="126"/>
        <v>1</v>
      </c>
      <c r="R136" s="30"/>
      <c r="S136" s="77">
        <f>IF(SUM(MOD(I136-G136,1)-IF(I136&gt;G136,MAX(0,MIN(I136,'bases de donnée'!E$16/24)-MAX('planning '!G136,7/24)),MAX(0,'bases de donnée'!E$16/24-MAX('planning '!G136,7/24))+MAX(0,MIN('planning '!I136,'bases de donnée'!E$16/24)-7/24)))&lt;0,0,SUM(MOD('planning '!I136-'planning '!G136,1)-IF('planning '!I136&gt;'planning '!G136,MAX(0,MIN('planning '!I136,'bases de donnée'!E$16/24)-MAX('planning '!G136,7/24)),MAX(0,'bases de donnée'!E$16/24-MAX('planning '!G136,7/24))+MAX(0,MIN('planning '!I136,'bases de donnée'!E$16/24)-7/24))))</f>
        <v>0</v>
      </c>
      <c r="T136" s="82"/>
      <c r="U136" s="77" t="str">
        <f t="shared" si="121"/>
        <v>00:00</v>
      </c>
      <c r="V136" s="78">
        <f>IF(SUM(IF(O136&gt;("36:00"*1),O136-("36:00"*1),0)-V134-V135)&lt;0,0,SUM(IF(O136&gt;("36:00"*1),O136-("36:00"*1),0)-V133-V134-V135))</f>
        <v>0</v>
      </c>
      <c r="W136" s="47"/>
      <c r="X136" s="48">
        <f t="shared" si="127"/>
        <v>0</v>
      </c>
      <c r="Y136" s="42"/>
      <c r="Z136" s="88">
        <f t="shared" si="122"/>
        <v>0</v>
      </c>
      <c r="AA136" s="48">
        <f t="shared" si="123"/>
        <v>0</v>
      </c>
      <c r="AB136" s="47"/>
      <c r="AC136" s="54"/>
      <c r="AD136" s="33">
        <f t="shared" si="124"/>
        <v>0</v>
      </c>
      <c r="AE136" s="33">
        <f t="shared" si="77"/>
        <v>0</v>
      </c>
    </row>
    <row r="137" spans="2:31" x14ac:dyDescent="0.3">
      <c r="B137"/>
      <c r="C137" s="14" t="s">
        <v>3</v>
      </c>
      <c r="D137" s="43">
        <f t="shared" si="128"/>
        <v>42119</v>
      </c>
      <c r="E137" s="29" t="s">
        <v>28</v>
      </c>
      <c r="F137" s="191"/>
      <c r="G137" s="194"/>
      <c r="H137" s="194"/>
      <c r="I137" s="194"/>
      <c r="J137" s="193">
        <f>IF(OR(E137="férié travaillé",E137="travail"),(I137-G137+IF(G137&gt;I137,1)-H137),INDEX('bases de donnée'!$E$20:'bases de donnée'!$E$32,MATCH(E137,gerald2,0)))</f>
        <v>0</v>
      </c>
      <c r="K137" s="20">
        <f>IF(SUM(J137-'bases de donnée'!E$7)&lt;0,0,SUM(J137-'bases de donnée'!E$7))</f>
        <v>0</v>
      </c>
      <c r="L137" s="11">
        <f>IF(OR(E137="férié travaillé",E137="travail"),I137-G137+IF(G137&gt;I137,1),INDEX('bases de donnée'!$E$20:'bases de donnée'!$E$32,MATCH(E137,gerald2,0)))</f>
        <v>0</v>
      </c>
      <c r="M137" s="21">
        <f>IF(SUM(L137-'bases de donnée'!E$4)&lt;0,0,SUM(L137-'bases de donnée'!E$4))</f>
        <v>0</v>
      </c>
      <c r="N137" s="155">
        <v>0</v>
      </c>
      <c r="O137" s="73">
        <f t="shared" si="125"/>
        <v>1.1437500000000003</v>
      </c>
      <c r="P137" s="12" t="s">
        <v>48</v>
      </c>
      <c r="Q137" s="120">
        <f t="shared" si="126"/>
        <v>0</v>
      </c>
      <c r="R137" s="30"/>
      <c r="S137" s="77">
        <f>IF(SUM(MOD(I137-G137,1)-IF(I137&gt;G137,MAX(0,MIN(I137,'bases de donnée'!E$16/24)-MAX('planning '!G137,7/24)),MAX(0,'bases de donnée'!E$16/24-MAX('planning '!G137,7/24))+MAX(0,MIN('planning '!I137,'bases de donnée'!E$16/24)-7/24)))&lt;0,0,SUM(MOD('planning '!I137-'planning '!G137,1)-IF('planning '!I137&gt;'planning '!G137,MAX(0,MIN('planning '!I137,'bases de donnée'!E$16/24)-MAX('planning '!G137,7/24)),MAX(0,'bases de donnée'!E$16/24-MAX('planning '!G137,7/24))+MAX(0,MIN('planning '!I137,'bases de donnée'!E$16/24)-7/24))))</f>
        <v>0</v>
      </c>
      <c r="T137" s="82"/>
      <c r="U137" s="77" t="str">
        <f t="shared" si="121"/>
        <v>00:00</v>
      </c>
      <c r="V137" s="78">
        <f>IF(SUM(IF(O137&gt;("36:00"*1),O137-("36:00"*1),0)-V135-V136)&lt;0,0,SUM(IF(O137&gt;("36:00"*1),O137-("36:00"*1),0)-V133-V134-V135-V136))</f>
        <v>0</v>
      </c>
      <c r="W137" s="47"/>
      <c r="X137" s="48">
        <f t="shared" si="127"/>
        <v>0</v>
      </c>
      <c r="Y137" s="42"/>
      <c r="Z137" s="88">
        <f t="shared" si="122"/>
        <v>0</v>
      </c>
      <c r="AA137" s="48">
        <f t="shared" si="123"/>
        <v>0</v>
      </c>
      <c r="AB137" s="47"/>
      <c r="AC137" s="54"/>
      <c r="AD137" s="33">
        <f t="shared" si="124"/>
        <v>0</v>
      </c>
      <c r="AE137" s="33">
        <f t="shared" si="77"/>
        <v>0</v>
      </c>
    </row>
    <row r="138" spans="2:31" x14ac:dyDescent="0.3">
      <c r="B138"/>
      <c r="C138" s="14" t="s">
        <v>4</v>
      </c>
      <c r="D138" s="43">
        <f t="shared" si="128"/>
        <v>42120</v>
      </c>
      <c r="E138" s="29" t="s">
        <v>28</v>
      </c>
      <c r="F138" s="191"/>
      <c r="G138" s="194"/>
      <c r="H138" s="194"/>
      <c r="I138" s="194"/>
      <c r="J138" s="193">
        <f>IF(OR(E138="férié travaillé",E138="travail"),(I138-G138+IF(G138&gt;I138,1)-H138),INDEX('bases de donnée'!$E$20:'bases de donnée'!$E$32,MATCH(E138,gerald2,0)))</f>
        <v>0</v>
      </c>
      <c r="K138" s="20">
        <f>IF(SUM(J138-'bases de donnée'!E$7)&lt;0,0,SUM(J138-'bases de donnée'!E$7))</f>
        <v>0</v>
      </c>
      <c r="L138" s="11">
        <f>IF(OR(E138="férié travaillé",E138="travail"),I138-G138+IF(G138&gt;I138,1),INDEX('bases de donnée'!$E$20:'bases de donnée'!$E$32,MATCH(E138,gerald2,0)))</f>
        <v>0</v>
      </c>
      <c r="M138" s="21">
        <f>IF(SUM(L138-'bases de donnée'!E$4)&lt;0,0,SUM(L138-'bases de donnée'!E$4))</f>
        <v>0</v>
      </c>
      <c r="N138" s="155">
        <v>0</v>
      </c>
      <c r="O138" s="73">
        <f t="shared" si="125"/>
        <v>1.1437500000000003</v>
      </c>
      <c r="P138" s="53">
        <f>'bases de donnée'!E$10</f>
        <v>2</v>
      </c>
      <c r="Q138" s="120">
        <f t="shared" si="126"/>
        <v>0</v>
      </c>
      <c r="R138" s="30"/>
      <c r="S138" s="77">
        <f>IF(SUM(MOD(I138-G138,1)-IF(I138&gt;G138,MAX(0,MIN(I138,'bases de donnée'!E$16/24)-MAX('planning '!G138,7/24)),MAX(0,'bases de donnée'!E$16/24-MAX('planning '!G138,7/24))+MAX(0,MIN('planning '!I138,'bases de donnée'!E$16/24)-7/24)))&lt;0,0,SUM(MOD('planning '!I138-'planning '!G138,1)-IF('planning '!I138&gt;'planning '!G138,MAX(0,MIN('planning '!I138,'bases de donnée'!E$16/24)-MAX('planning '!G138,7/24)),MAX(0,'bases de donnée'!E$16/24-MAX('planning '!G138,7/24))+MAX(0,MIN('planning '!I138,'bases de donnée'!E$16/24)-7/24))))</f>
        <v>0</v>
      </c>
      <c r="T138" s="82"/>
      <c r="U138" s="77" t="str">
        <f t="shared" si="121"/>
        <v>00:00</v>
      </c>
      <c r="V138" s="78">
        <f>IF(SUM(IF(O138&gt;("36:00"*1),O138-("36:00"*1),0)-V136-V137)&lt;0,0,SUM(IF(O138&gt;("36:00"*1),O138-("36:00"*1),0)-V133-V134-V135-V136-V137))</f>
        <v>0</v>
      </c>
      <c r="W138" s="47"/>
      <c r="X138" s="48">
        <f t="shared" si="127"/>
        <v>0</v>
      </c>
      <c r="Y138" s="32"/>
      <c r="Z138" s="48">
        <f t="shared" si="122"/>
        <v>0</v>
      </c>
      <c r="AA138" s="48">
        <f t="shared" si="123"/>
        <v>0</v>
      </c>
      <c r="AB138" s="47"/>
      <c r="AC138" s="55"/>
      <c r="AD138" s="33">
        <f t="shared" si="124"/>
        <v>0</v>
      </c>
      <c r="AE138" s="33">
        <f t="shared" si="77"/>
        <v>0</v>
      </c>
    </row>
    <row r="139" spans="2:31" x14ac:dyDescent="0.3">
      <c r="B139"/>
      <c r="C139" s="14" t="s">
        <v>5</v>
      </c>
      <c r="D139" s="43">
        <f t="shared" si="128"/>
        <v>42121</v>
      </c>
      <c r="E139" s="29" t="s">
        <v>28</v>
      </c>
      <c r="F139" s="192"/>
      <c r="G139" s="194"/>
      <c r="H139" s="194"/>
      <c r="I139" s="194"/>
      <c r="J139" s="193">
        <f>IF(OR(E139="férié travaillé",E139="travail"),(I139-G139+IF(G139&gt;I139,1)-H139),INDEX('bases de donnée'!$E$20:'bases de donnée'!$E$32,MATCH(E139,gerald2,0)))</f>
        <v>0</v>
      </c>
      <c r="K139" s="20">
        <f>IF(SUM(J139-'bases de donnée'!E$7)&lt;0,0,SUM(J139-'bases de donnée'!E$7))</f>
        <v>0</v>
      </c>
      <c r="L139" s="11">
        <f>IF(OR(E139="férié travaillé",E139="travail"),I139-G139+IF(G139&gt;I139,1),INDEX('bases de donnée'!$E$20:'bases de donnée'!$E$32,MATCH(E139,gerald2,0)))</f>
        <v>0</v>
      </c>
      <c r="M139" s="21">
        <f>IF(SUM(L139-'bases de donnée'!E$4)&lt;0,0,SUM(L139-'bases de donnée'!E$4))</f>
        <v>0</v>
      </c>
      <c r="N139" s="155">
        <v>0</v>
      </c>
      <c r="O139" s="73">
        <f t="shared" si="125"/>
        <v>1.1437500000000003</v>
      </c>
      <c r="P139" s="33">
        <f>IF(SUM(O139-'bases de donnée'!E$10)&lt;0,0,SUM(O139-'bases de donnée'!E$10))</f>
        <v>0</v>
      </c>
      <c r="Q139" s="120">
        <f t="shared" si="126"/>
        <v>0</v>
      </c>
      <c r="R139" s="30"/>
      <c r="S139" s="77">
        <f>IF(SUM(MOD(I139-G139,1)-IF(I139&gt;G139,MAX(0,MIN(I139,'bases de donnée'!E$16/24)-MAX('planning '!G139,7/24)),MAX(0,'bases de donnée'!E$16/24-MAX('planning '!G139,7/24))+MAX(0,MIN('planning '!I139,'bases de donnée'!E$16/24)-7/24)))&lt;0,0,SUM(MOD('planning '!I139-'planning '!G139,1)-IF('planning '!I139&gt;'planning '!G139,MAX(0,MIN('planning '!I139,'bases de donnée'!E$16/24)-MAX('planning '!G139,7/24)),MAX(0,'bases de donnée'!E$16/24-MAX('planning '!G139,7/24))+MAX(0,MIN('planning '!I139,'bases de donnée'!E$16/24)-7/24))))</f>
        <v>0</v>
      </c>
      <c r="T139" s="77">
        <f>J139</f>
        <v>0</v>
      </c>
      <c r="U139" s="77" t="str">
        <f t="shared" si="121"/>
        <v>00:00</v>
      </c>
      <c r="V139" s="78">
        <f>IF(SUM(IF(O139&gt;("36:00"*1),O139-("36:00"*1),0)-V137-V138)&lt;0,0,SUM(IF(O139&gt;("36:00"*1),O139-("36:00"*1),0)-V133-V134-V135-V136-V137-V138))</f>
        <v>0</v>
      </c>
      <c r="W139" s="47"/>
      <c r="X139" s="48">
        <f t="shared" si="127"/>
        <v>0</v>
      </c>
      <c r="Y139" s="48">
        <f>IF(SUM(T139-S139)&lt;0,0,SUM(T139-S139))</f>
        <v>0</v>
      </c>
      <c r="Z139" s="56">
        <f>IF(SUM(U139-T139-S139)&lt;0,0,SUM(U139-T139-S139))</f>
        <v>0</v>
      </c>
      <c r="AA139" s="48">
        <f>IF(SUM(V139-S139-T139-U139)&lt;0,0,SUM(V139-S139-T139-U139))</f>
        <v>0</v>
      </c>
      <c r="AB139" s="47"/>
      <c r="AC139" s="57">
        <f>IF(SUM(T139-Y139)&lt;0,0,SUM(T139-Y139))</f>
        <v>0</v>
      </c>
      <c r="AD139" s="33">
        <f>IF(SUM(U139-Z139)&lt;0,0,SUM(U139-Z139))</f>
        <v>0</v>
      </c>
      <c r="AE139" s="33">
        <f t="shared" si="77"/>
        <v>0</v>
      </c>
    </row>
    <row r="140" spans="2:31" x14ac:dyDescent="0.3">
      <c r="B140"/>
      <c r="C140" s="25"/>
      <c r="D140" s="90"/>
      <c r="E140" s="90"/>
      <c r="F140" s="25"/>
      <c r="G140" s="185"/>
      <c r="H140" s="185"/>
      <c r="I140" s="185"/>
      <c r="J140" s="47"/>
      <c r="K140" s="92"/>
      <c r="L140" s="91"/>
      <c r="M140" s="91"/>
      <c r="N140" s="91"/>
      <c r="O140" s="93"/>
      <c r="P140" s="47"/>
      <c r="Q140" s="30"/>
      <c r="R140" s="30"/>
      <c r="S140" s="47"/>
      <c r="T140" s="47"/>
      <c r="U140" s="47"/>
      <c r="V140" s="93"/>
      <c r="W140" s="47"/>
      <c r="X140" s="47"/>
      <c r="Y140" s="47"/>
      <c r="Z140" s="47"/>
      <c r="AA140" s="47"/>
      <c r="AB140" s="47"/>
      <c r="AC140" s="47"/>
      <c r="AD140" s="47"/>
      <c r="AE140" s="47"/>
    </row>
    <row r="141" spans="2:31" x14ac:dyDescent="0.3">
      <c r="B141" s="9" t="s">
        <v>40</v>
      </c>
      <c r="C141" s="9" t="s">
        <v>6</v>
      </c>
      <c r="D141" s="58">
        <f>D139+1</f>
        <v>42122</v>
      </c>
      <c r="E141" s="29" t="s">
        <v>29</v>
      </c>
      <c r="F141" s="190"/>
      <c r="G141" s="194">
        <v>0.375</v>
      </c>
      <c r="H141" s="194">
        <v>3.125E-2</v>
      </c>
      <c r="I141" s="194">
        <v>0.71875</v>
      </c>
      <c r="J141" s="193">
        <f>IF(OR(E141="férié travaillé",E141="travail"),(I141-G141+IF(G141&gt;I141,1)-H141),INDEX('bases de donnée'!$E$20:'bases de donnée'!$E$32,MATCH(E141,gerald2,0)))</f>
        <v>0.3125</v>
      </c>
      <c r="K141" s="20">
        <f>IF(SUM(J141-'bases de donnée'!E$7)&lt;0,0,SUM(J141-'bases de donnée'!E$7))</f>
        <v>0</v>
      </c>
      <c r="L141" s="11">
        <f>IF(OR(E141="férié travaillé",E141="travail"),I141-G141+IF(G141&gt;I141,1),INDEX('bases de donnée'!$E$20:'bases de donnée'!$E$32,MATCH(E141,gerald2,0)))</f>
        <v>0.34375</v>
      </c>
      <c r="M141" s="21">
        <f>IF(SUM(L141-'bases de donnée'!E$4)&lt;0,0,SUM(L141-'bases de donnée'!E$4))</f>
        <v>0</v>
      </c>
      <c r="N141" s="155">
        <v>0</v>
      </c>
      <c r="O141" s="59">
        <f>J141</f>
        <v>0.3125</v>
      </c>
      <c r="P141" s="122">
        <f>SUM(Q141:Q147)</f>
        <v>5</v>
      </c>
      <c r="Q141" s="120">
        <f>IF(AND(G141&lt;&gt;"",I141&lt;&gt;""),1,0+OR(N(I140)&lt;N(G140),E141="récupération",E141="congé 1 jour",E141="congé 1/2 jour ",E141="congé 5h24",E141="arrêt maladie",E141="arrêt travail",E141="férié ",E141="congé parentale",E141="congé de naissance"))</f>
        <v>1</v>
      </c>
      <c r="R141" s="30"/>
      <c r="S141" s="77">
        <f>IF(SUM(MOD(I141-G141,1)-IF(I141&gt;G141,MAX(0,MIN(I141,'bases de donnée'!E$16/24)-MAX('planning '!G141,7/24)),MAX(0,'bases de donnée'!E$16/24-MAX('planning '!G141,7/24))+MAX(0,MIN('planning '!I141,'bases de donnée'!E$16/24)-7/24)))&lt;0,0,SUM(MOD('planning '!I141-'planning '!G141,1)-IF('planning '!I141&gt;'planning '!G141,MAX(0,MIN('planning '!I141,'bases de donnée'!E$16/24)-MAX('planning '!G141,7/24)),MAX(0,'bases de donnée'!E$16/24-MAX('planning '!G141,7/24))+MAX(0,MIN('planning '!I141,'bases de donnée'!E$16/24)-7/24))))</f>
        <v>0</v>
      </c>
      <c r="T141" s="81"/>
      <c r="U141" s="77" t="str">
        <f t="shared" ref="U141:U147" si="129">IF(E141&lt;&gt;"travail",IF(E141="férié travaillé",MOD(I141-G141,1)-H141,"00:00"),"00:00")</f>
        <v>00:00</v>
      </c>
      <c r="V141" s="78"/>
      <c r="W141" s="47"/>
      <c r="X141" s="48">
        <f t="shared" si="127"/>
        <v>0</v>
      </c>
      <c r="Y141" s="31"/>
      <c r="Z141" s="49">
        <f t="shared" ref="Z141:Z146" si="130">IF(SUM(U141-X141)&lt;0,0,SUM(U141-X141))</f>
        <v>0</v>
      </c>
      <c r="AA141" s="48">
        <f t="shared" ref="AA141:AA146" si="131">IF(SUM(V141-X141-Z141)&lt;0,0,SUM(V141-X141-Z141))</f>
        <v>0</v>
      </c>
      <c r="AB141" s="47"/>
      <c r="AC141" s="50"/>
      <c r="AD141" s="33">
        <f t="shared" ref="AD141:AD146" si="132">IF(SUM(U141-Z141)&lt;0,0,SUM(U141-Z141))</f>
        <v>0</v>
      </c>
      <c r="AE141" s="33">
        <f t="shared" si="77"/>
        <v>0</v>
      </c>
    </row>
    <row r="142" spans="2:31" x14ac:dyDescent="0.3">
      <c r="B142" s="60">
        <f>B134+1</f>
        <v>17</v>
      </c>
      <c r="C142" s="9" t="s">
        <v>7</v>
      </c>
      <c r="D142" s="58">
        <f>D141+1</f>
        <v>42123</v>
      </c>
      <c r="E142" s="29" t="s">
        <v>29</v>
      </c>
      <c r="F142" s="191"/>
      <c r="G142" s="194">
        <v>0.375</v>
      </c>
      <c r="H142" s="194">
        <v>3.125E-2</v>
      </c>
      <c r="I142" s="194">
        <v>0.66666666666666663</v>
      </c>
      <c r="J142" s="193">
        <f>IF(OR(E142="férié travaillé",E142="travail"),(I142-G142+IF(G142&gt;I142,1)-H142),INDEX('bases de donnée'!$E$20:'bases de donnée'!$E$32,MATCH(E142,gerald2,0)))</f>
        <v>0.26041666666666663</v>
      </c>
      <c r="K142" s="20">
        <f>IF(SUM(J142-'bases de donnée'!E$7)&lt;0,0,SUM(J142-'bases de donnée'!E$7))</f>
        <v>0</v>
      </c>
      <c r="L142" s="11">
        <f>IF(OR(E142="férié travaillé",E142="travail"),I142-G142+IF(G142&gt;I142,1),INDEX('bases de donnée'!$E$20:'bases de donnée'!$E$32,MATCH(E142,gerald2,0)))</f>
        <v>0.29166666666666663</v>
      </c>
      <c r="M142" s="21">
        <f>IF(SUM(L142-'bases de donnée'!E$4)&lt;0,0,SUM(L142-'bases de donnée'!E$4))</f>
        <v>0</v>
      </c>
      <c r="N142" s="155">
        <v>0</v>
      </c>
      <c r="O142" s="74">
        <f t="shared" ref="O142:O147" si="133">O141+J142</f>
        <v>0.57291666666666663</v>
      </c>
      <c r="P142" s="121">
        <f>IF(SUM(P141-'bases de donnée'!E$6)&lt;0,0,SUM(P141-'bases de donnée'!E$6))</f>
        <v>0</v>
      </c>
      <c r="Q142" s="120">
        <f t="shared" ref="Q142:Q147" si="134">IF(AND(G142&lt;&gt;"",I142&lt;&gt;""),1,0+OR(N(I141)&lt;N(G141),E142="récupération",E142="congé 1 jour",E142="congé 1/2 jour ",E142="congé 5h24",E142="arrêt maladie",E142="arrêt travail",E142="férié ",E142="congé parentale",E142="congé de naissance"))</f>
        <v>1</v>
      </c>
      <c r="R142" s="30"/>
      <c r="S142" s="77">
        <f>IF(SUM(MOD(I142-G142,1)-IF(I142&gt;G142,MAX(0,MIN(I142,'bases de donnée'!E$16/24)-MAX('planning '!G142,7/24)),MAX(0,'bases de donnée'!E$16/24-MAX('planning '!G142,7/24))+MAX(0,MIN('planning '!I142,'bases de donnée'!E$16/24)-7/24)))&lt;0,0,SUM(MOD('planning '!I142-'planning '!G142,1)-IF('planning '!I142&gt;'planning '!G142,MAX(0,MIN('planning '!I142,'bases de donnée'!E$16/24)-MAX('planning '!G142,7/24)),MAX(0,'bases de donnée'!E$16/24-MAX('planning '!G142,7/24))+MAX(0,MIN('planning '!I142,'bases de donnée'!E$16/24)-7/24))))</f>
        <v>0</v>
      </c>
      <c r="T142" s="82"/>
      <c r="U142" s="77" t="str">
        <f t="shared" si="129"/>
        <v>00:00</v>
      </c>
      <c r="V142" s="78">
        <f>IF(SUM(IF(O142&gt;('bases de donnée'!E$9*1),O142-('bases de donnée'!E$9*1),0)-V141)&lt;0,0,SUM(IF(O142&gt;('bases de donnée'!E$9*1),O142-('bases de donnée'!E$9*1),0)-V141))</f>
        <v>0</v>
      </c>
      <c r="W142" s="47"/>
      <c r="X142" s="48">
        <f t="shared" si="127"/>
        <v>0</v>
      </c>
      <c r="Y142" s="42"/>
      <c r="Z142" s="49">
        <f t="shared" si="130"/>
        <v>0</v>
      </c>
      <c r="AA142" s="48">
        <f t="shared" si="131"/>
        <v>0</v>
      </c>
      <c r="AB142" s="47"/>
      <c r="AC142" s="54"/>
      <c r="AD142" s="33">
        <f t="shared" si="132"/>
        <v>0</v>
      </c>
      <c r="AE142" s="33">
        <f t="shared" si="77"/>
        <v>0</v>
      </c>
    </row>
    <row r="143" spans="2:31" x14ac:dyDescent="0.3">
      <c r="B143"/>
      <c r="C143" s="9" t="s">
        <v>8</v>
      </c>
      <c r="D143" s="58">
        <f t="shared" ref="D143:D147" si="135">D142+1</f>
        <v>42124</v>
      </c>
      <c r="E143" s="29" t="s">
        <v>36</v>
      </c>
      <c r="F143" s="191"/>
      <c r="G143" s="194"/>
      <c r="H143" s="194"/>
      <c r="I143" s="194"/>
      <c r="J143" s="193">
        <f>IF(OR(E143="férié travaillé",E143="travail"),(I143-G143+IF(G143&gt;I143,1)-H143),INDEX('bases de donnée'!$E$20:'bases de donnée'!$E$32,MATCH(E143,gerald2,0)))</f>
        <v>0.3</v>
      </c>
      <c r="K143" s="20">
        <f>IF(SUM(J143-'bases de donnée'!E$7)&lt;0,0,SUM(J143-'bases de donnée'!E$7))</f>
        <v>0</v>
      </c>
      <c r="L143" s="11">
        <f>IF(OR(E143="férié travaillé",E143="travail"),I143-G143+IF(G143&gt;I143,1),INDEX('bases de donnée'!$E$20:'bases de donnée'!$E$32,MATCH(E143,gerald2,0)))</f>
        <v>0.3</v>
      </c>
      <c r="M143" s="21">
        <f>IF(SUM(L143-'bases de donnée'!E$4)&lt;0,0,SUM(L143-'bases de donnée'!E$4))</f>
        <v>0</v>
      </c>
      <c r="N143" s="155">
        <v>0</v>
      </c>
      <c r="O143" s="74">
        <f t="shared" si="133"/>
        <v>0.87291666666666656</v>
      </c>
      <c r="P143" s="34" t="s">
        <v>46</v>
      </c>
      <c r="Q143" s="120">
        <f t="shared" si="134"/>
        <v>1</v>
      </c>
      <c r="R143" s="30"/>
      <c r="S143" s="77">
        <f>IF(SUM(MOD(I143-G143,1)-IF(I143&gt;G143,MAX(0,MIN(I143,'bases de donnée'!E$16/24)-MAX('planning '!G143,7/24)),MAX(0,'bases de donnée'!E$16/24-MAX('planning '!G143,7/24))+MAX(0,MIN('planning '!I143,'bases de donnée'!E$16/24)-7/24)))&lt;0,0,SUM(MOD('planning '!I143-'planning '!G143,1)-IF('planning '!I143&gt;'planning '!G143,MAX(0,MIN('planning '!I143,'bases de donnée'!E$16/24)-MAX('planning '!G143,7/24)),MAX(0,'bases de donnée'!E$16/24-MAX('planning '!G143,7/24))+MAX(0,MIN('planning '!I143,'bases de donnée'!E$16/24)-7/24))))</f>
        <v>0</v>
      </c>
      <c r="T143" s="82"/>
      <c r="U143" s="77" t="str">
        <f t="shared" si="129"/>
        <v>00:00</v>
      </c>
      <c r="V143" s="78">
        <f>IF(SUM(IF(O143&gt;("36:00"*1),O143-("36:00"*1),0)-V141-V142)&lt;0,0,SUM(IF(O143&gt;("36:00"*1),O143-("36:00"*1),0)-V141-V142))</f>
        <v>0</v>
      </c>
      <c r="W143" s="47"/>
      <c r="X143" s="48">
        <f t="shared" si="127"/>
        <v>0</v>
      </c>
      <c r="Y143" s="42"/>
      <c r="Z143" s="49">
        <f t="shared" si="130"/>
        <v>0</v>
      </c>
      <c r="AA143" s="48">
        <f t="shared" si="131"/>
        <v>0</v>
      </c>
      <c r="AB143" s="47"/>
      <c r="AC143" s="54"/>
      <c r="AD143" s="33">
        <f t="shared" si="132"/>
        <v>0</v>
      </c>
      <c r="AE143" s="33">
        <f t="shared" si="77"/>
        <v>0</v>
      </c>
    </row>
    <row r="144" spans="2:31" x14ac:dyDescent="0.3">
      <c r="B144"/>
      <c r="C144" s="9" t="s">
        <v>9</v>
      </c>
      <c r="D144" s="58">
        <f t="shared" si="135"/>
        <v>42125</v>
      </c>
      <c r="E144" s="29" t="s">
        <v>29</v>
      </c>
      <c r="F144" s="191"/>
      <c r="G144" s="194">
        <v>0.375</v>
      </c>
      <c r="H144" s="194">
        <v>3.125E-2</v>
      </c>
      <c r="I144" s="194">
        <v>0.73958333333333337</v>
      </c>
      <c r="J144" s="193">
        <f>IF(OR(E144="férié travaillé",E144="travail"),(I144-G144+IF(G144&gt;I144,1)-H144),INDEX('bases de donnée'!$E$20:'bases de donnée'!$E$32,MATCH(E144,gerald2,0)))</f>
        <v>0.33333333333333337</v>
      </c>
      <c r="K144" s="20">
        <f>IF(SUM(J144-'bases de donnée'!E$7)&lt;0,0,SUM(J144-'bases de donnée'!E$7))</f>
        <v>0</v>
      </c>
      <c r="L144" s="11">
        <f>IF(OR(E144="férié travaillé",E144="travail"),I144-G144+IF(G144&gt;I144,1),INDEX('bases de donnée'!$E$20:'bases de donnée'!$E$32,MATCH(E144,gerald2,0)))</f>
        <v>0.36458333333333337</v>
      </c>
      <c r="M144" s="21">
        <f>IF(SUM(L144-'bases de donnée'!E$4)&lt;0,0,SUM(L144-'bases de donnée'!E$4))</f>
        <v>0</v>
      </c>
      <c r="N144" s="155">
        <v>0</v>
      </c>
      <c r="O144" s="74">
        <f t="shared" si="133"/>
        <v>1.2062499999999998</v>
      </c>
      <c r="P144" s="86">
        <f>O147</f>
        <v>1.6645833333333333</v>
      </c>
      <c r="Q144" s="120">
        <f t="shared" si="134"/>
        <v>1</v>
      </c>
      <c r="R144" s="30"/>
      <c r="S144" s="77">
        <f>IF(SUM(MOD(I144-G144,1)-IF(I144&gt;G144,MAX(0,MIN(I144,'bases de donnée'!E$16/24)-MAX('planning '!G144,7/24)),MAX(0,'bases de donnée'!E$16/24-MAX('planning '!G144,7/24))+MAX(0,MIN('planning '!I144,'bases de donnée'!E$16/24)-7/24)))&lt;0,0,SUM(MOD('planning '!I144-'planning '!G144,1)-IF('planning '!I144&gt;'planning '!G144,MAX(0,MIN('planning '!I144,'bases de donnée'!E$16/24)-MAX('planning '!G144,7/24)),MAX(0,'bases de donnée'!E$16/24-MAX('planning '!G144,7/24))+MAX(0,MIN('planning '!I144,'bases de donnée'!E$16/24)-7/24))))</f>
        <v>0</v>
      </c>
      <c r="T144" s="82"/>
      <c r="U144" s="77" t="str">
        <f t="shared" si="129"/>
        <v>00:00</v>
      </c>
      <c r="V144" s="78">
        <f>IF(SUM(IF(O144&gt;("36:00"*1),O144-("36:00"*1),0)-V142-V143)&lt;0,0,SUM(IF(O144&gt;("36:00"*1),O144-("36:00"*1),0)-V141-V142-V143))</f>
        <v>0</v>
      </c>
      <c r="W144" s="47"/>
      <c r="X144" s="48">
        <f t="shared" si="127"/>
        <v>0</v>
      </c>
      <c r="Y144" s="42"/>
      <c r="Z144" s="49">
        <f t="shared" si="130"/>
        <v>0</v>
      </c>
      <c r="AA144" s="48">
        <f t="shared" si="131"/>
        <v>0</v>
      </c>
      <c r="AB144" s="47"/>
      <c r="AC144" s="54"/>
      <c r="AD144" s="33">
        <f t="shared" si="132"/>
        <v>0</v>
      </c>
      <c r="AE144" s="33">
        <f t="shared" si="77"/>
        <v>0</v>
      </c>
    </row>
    <row r="145" spans="2:31" x14ac:dyDescent="0.3">
      <c r="B145"/>
      <c r="C145" s="9" t="s">
        <v>3</v>
      </c>
      <c r="D145" s="58">
        <f t="shared" si="135"/>
        <v>42126</v>
      </c>
      <c r="E145" s="29" t="s">
        <v>29</v>
      </c>
      <c r="F145" s="191"/>
      <c r="G145" s="194">
        <v>0.375</v>
      </c>
      <c r="H145" s="194">
        <v>6.25E-2</v>
      </c>
      <c r="I145" s="194">
        <v>0.89583333333333337</v>
      </c>
      <c r="J145" s="193">
        <f>IF(OR(E145="férié travaillé",E145="travail"),(I145-G145+IF(G145&gt;I145,1)-H145),INDEX('bases de donnée'!$E$20:'bases de donnée'!$E$32,MATCH(E145,gerald2,0)))</f>
        <v>0.45833333333333337</v>
      </c>
      <c r="K145" s="20">
        <f>IF(SUM(J145-'bases de donnée'!E$7)&lt;0,0,SUM(J145-'bases de donnée'!E$7))</f>
        <v>4.1666666666666685E-2</v>
      </c>
      <c r="L145" s="11">
        <f>IF(OR(E145="férié travaillé",E145="travail"),I145-G145+IF(G145&gt;I145,1),INDEX('bases de donnée'!$E$20:'bases de donnée'!$E$32,MATCH(E145,gerald2,0)))</f>
        <v>0.52083333333333337</v>
      </c>
      <c r="M145" s="21">
        <f>IF(SUM(L145-'bases de donnée'!E$4)&lt;0,0,SUM(L145-'bases de donnée'!E$4))</f>
        <v>2.083333333333337E-2</v>
      </c>
      <c r="N145" s="155">
        <v>0</v>
      </c>
      <c r="O145" s="74">
        <f t="shared" si="133"/>
        <v>1.6645833333333333</v>
      </c>
      <c r="P145" s="8" t="s">
        <v>48</v>
      </c>
      <c r="Q145" s="120">
        <f t="shared" si="134"/>
        <v>1</v>
      </c>
      <c r="R145" s="30"/>
      <c r="S145" s="77">
        <f>IF(SUM(MOD(I145-G145,1)-IF(I145&gt;G145,MAX(0,MIN(I145,'bases de donnée'!E$16/24)-MAX('planning '!G145,7/24)),MAX(0,'bases de donnée'!E$16/24-MAX('planning '!G145,7/24))+MAX(0,MIN('planning '!I145,'bases de donnée'!E$16/24)-7/24)))&lt;0,0,SUM(MOD('planning '!I145-'planning '!G145,1)-IF('planning '!I145&gt;'planning '!G145,MAX(0,MIN('planning '!I145,'bases de donnée'!E$16/24)-MAX('planning '!G145,7/24)),MAX(0,'bases de donnée'!E$16/24-MAX('planning '!G145,7/24))+MAX(0,MIN('planning '!I145,'bases de donnée'!E$16/24)-7/24))))</f>
        <v>2.083333333333337E-2</v>
      </c>
      <c r="T145" s="82"/>
      <c r="U145" s="77" t="str">
        <f t="shared" si="129"/>
        <v>00:00</v>
      </c>
      <c r="V145" s="78">
        <f>IF(SUM(IF(O145&gt;("36:00"*1),O145-("36:00"*1),0)-V143-V144)&lt;0,0,SUM(IF(O145&gt;("36:00"*1),O145-("36:00"*1),0)-V141-V142-V143-V144))</f>
        <v>0.1645833333333333</v>
      </c>
      <c r="W145" s="47"/>
      <c r="X145" s="48">
        <f t="shared" si="127"/>
        <v>2.083333333333337E-2</v>
      </c>
      <c r="Y145" s="42"/>
      <c r="Z145" s="49">
        <f t="shared" si="130"/>
        <v>0</v>
      </c>
      <c r="AA145" s="48">
        <f t="shared" si="131"/>
        <v>0.14374999999999993</v>
      </c>
      <c r="AB145" s="47"/>
      <c r="AC145" s="54"/>
      <c r="AD145" s="33">
        <f t="shared" si="132"/>
        <v>0</v>
      </c>
      <c r="AE145" s="33">
        <f t="shared" si="77"/>
        <v>2.083333333333337E-2</v>
      </c>
    </row>
    <row r="146" spans="2:31" x14ac:dyDescent="0.3">
      <c r="B146"/>
      <c r="C146" s="9" t="s">
        <v>4</v>
      </c>
      <c r="D146" s="58">
        <f t="shared" si="135"/>
        <v>42127</v>
      </c>
      <c r="E146" s="29" t="s">
        <v>28</v>
      </c>
      <c r="F146" s="191"/>
      <c r="G146" s="194"/>
      <c r="H146" s="194"/>
      <c r="I146" s="194"/>
      <c r="J146" s="193">
        <f>IF(OR(E146="férié travaillé",E146="travail"),(I146-G146+IF(G146&gt;I146,1)-H146),INDEX('bases de donnée'!$E$20:'bases de donnée'!$E$32,MATCH(E146,gerald2,0)))</f>
        <v>0</v>
      </c>
      <c r="K146" s="20">
        <f>IF(SUM(J146-'bases de donnée'!E$7)&lt;0,0,SUM(J146-'bases de donnée'!E$7))</f>
        <v>0</v>
      </c>
      <c r="L146" s="11">
        <f>IF(OR(E146="férié travaillé",E146="travail"),I146-G146+IF(G146&gt;I146,1),INDEX('bases de donnée'!$E$20:'bases de donnée'!$E$32,MATCH(E146,gerald2,0)))</f>
        <v>0</v>
      </c>
      <c r="M146" s="21">
        <f>IF(SUM(L146-'bases de donnée'!E$4)&lt;0,0,SUM(L146-'bases de donnée'!E$4))</f>
        <v>0</v>
      </c>
      <c r="N146" s="155">
        <v>0</v>
      </c>
      <c r="O146" s="74">
        <f t="shared" si="133"/>
        <v>1.6645833333333333</v>
      </c>
      <c r="P146" s="61">
        <f>'bases de donnée'!E$10</f>
        <v>2</v>
      </c>
      <c r="Q146" s="120">
        <f t="shared" si="134"/>
        <v>0</v>
      </c>
      <c r="R146" s="30"/>
      <c r="S146" s="77">
        <f>IF(SUM(MOD(I146-G146,1)-IF(I146&gt;G146,MAX(0,MIN(I146,'bases de donnée'!E$16/24)-MAX('planning '!G146,7/24)),MAX(0,'bases de donnée'!E$16/24-MAX('planning '!G146,7/24))+MAX(0,MIN('planning '!I146,'bases de donnée'!E$16/24)-7/24)))&lt;0,0,SUM(MOD('planning '!I146-'planning '!G146,1)-IF('planning '!I146&gt;'planning '!G146,MAX(0,MIN('planning '!I146,'bases de donnée'!E$16/24)-MAX('planning '!G146,7/24)),MAX(0,'bases de donnée'!E$16/24-MAX('planning '!G146,7/24))+MAX(0,MIN('planning '!I146,'bases de donnée'!E$16/24)-7/24))))</f>
        <v>0</v>
      </c>
      <c r="T146" s="82"/>
      <c r="U146" s="77" t="str">
        <f t="shared" si="129"/>
        <v>00:00</v>
      </c>
      <c r="V146" s="78">
        <f>IF(SUM(IF(O146&gt;("36:00"*1),O146-("36:00"*1),0)-V144-V145)&lt;0,0,SUM(IF(O146&gt;("36:00"*1),O146-("36:00"*1),0)-V141-V142-V143-V144-V145))</f>
        <v>0</v>
      </c>
      <c r="W146" s="47"/>
      <c r="X146" s="48">
        <f t="shared" si="127"/>
        <v>0</v>
      </c>
      <c r="Y146" s="32"/>
      <c r="Z146" s="49">
        <f t="shared" si="130"/>
        <v>0</v>
      </c>
      <c r="AA146" s="48">
        <f t="shared" si="131"/>
        <v>0</v>
      </c>
      <c r="AB146" s="47"/>
      <c r="AC146" s="55"/>
      <c r="AD146" s="33">
        <f t="shared" si="132"/>
        <v>0</v>
      </c>
      <c r="AE146" s="33">
        <f t="shared" si="77"/>
        <v>0</v>
      </c>
    </row>
    <row r="147" spans="2:31" x14ac:dyDescent="0.3">
      <c r="B147"/>
      <c r="C147" s="9" t="s">
        <v>5</v>
      </c>
      <c r="D147" s="58">
        <f t="shared" si="135"/>
        <v>42128</v>
      </c>
      <c r="E147" s="29" t="s">
        <v>28</v>
      </c>
      <c r="F147" s="192"/>
      <c r="G147" s="194"/>
      <c r="H147" s="194"/>
      <c r="I147" s="194"/>
      <c r="J147" s="193">
        <f>IF(OR(E147="férié travaillé",E147="travail"),(I147-G147+IF(G147&gt;I147,1)-H147),INDEX('bases de donnée'!$E$20:'bases de donnée'!$E$32,MATCH(E147,gerald2,0)))</f>
        <v>0</v>
      </c>
      <c r="K147" s="20">
        <f>IF(SUM(J147-'bases de donnée'!E$7)&lt;0,0,SUM(J147-'bases de donnée'!E$7))</f>
        <v>0</v>
      </c>
      <c r="L147" s="11">
        <f>IF(OR(E147="férié travaillé",E147="travail"),I147-G147+IF(G147&gt;I147,1),INDEX('bases de donnée'!$E$20:'bases de donnée'!$E$32,MATCH(E147,gerald2,0)))</f>
        <v>0</v>
      </c>
      <c r="M147" s="21">
        <f>IF(SUM(L147-'bases de donnée'!E$4)&lt;0,0,SUM(L147-'bases de donnée'!E$4))</f>
        <v>0</v>
      </c>
      <c r="N147" s="155">
        <v>0</v>
      </c>
      <c r="O147" s="74">
        <f t="shared" si="133"/>
        <v>1.6645833333333333</v>
      </c>
      <c r="P147" s="33">
        <f>IF(SUM(O147-'bases de donnée'!E$10)&lt;0,0,SUM(O147-'bases de donnée'!E$10))</f>
        <v>0</v>
      </c>
      <c r="Q147" s="120">
        <f t="shared" si="134"/>
        <v>0</v>
      </c>
      <c r="R147" s="30"/>
      <c r="S147" s="77">
        <f>IF(SUM(MOD(I147-G147,1)-IF(I147&gt;G147,MAX(0,MIN(I147,'bases de donnée'!E$16/24)-MAX('planning '!G147,7/24)),MAX(0,'bases de donnée'!E$16/24-MAX('planning '!G147,7/24))+MAX(0,MIN('planning '!I147,'bases de donnée'!E$16/24)-7/24)))&lt;0,0,SUM(MOD('planning '!I147-'planning '!G147,1)-IF('planning '!I147&gt;'planning '!G147,MAX(0,MIN('planning '!I147,'bases de donnée'!E$16/24)-MAX('planning '!G147,7/24)),MAX(0,'bases de donnée'!E$16/24-MAX('planning '!G147,7/24))+MAX(0,MIN('planning '!I147,'bases de donnée'!E$16/24)-7/24))))</f>
        <v>0</v>
      </c>
      <c r="T147" s="77">
        <f>J147</f>
        <v>0</v>
      </c>
      <c r="U147" s="77" t="str">
        <f t="shared" si="129"/>
        <v>00:00</v>
      </c>
      <c r="V147" s="78">
        <f>IF(SUM(IF(O147&gt;("36:00"*1),O147-("36:00"*1),0)-V145-V146)&lt;0,0,SUM(IF(O147&gt;("36:00"*1),O147-("36:00"*1),0)-V141-V142-V143-V144-V145-V146))</f>
        <v>0</v>
      </c>
      <c r="W147" s="47"/>
      <c r="X147" s="48">
        <f t="shared" si="127"/>
        <v>0</v>
      </c>
      <c r="Y147" s="48">
        <f>IF(SUM(T147-S147)&lt;0,0,SUM(T147-S147))</f>
        <v>0</v>
      </c>
      <c r="Z147" s="56">
        <f>IF(SUM(U147-T147-S147)&lt;0,0,SUM(U147-T147-S147))</f>
        <v>0</v>
      </c>
      <c r="AA147" s="48">
        <f>IF(SUM(V147-S147-T147-U147)&lt;0,0,SUM(V147-S147-T147-U147))</f>
        <v>0</v>
      </c>
      <c r="AB147" s="47"/>
      <c r="AC147" s="57">
        <f>IF(SUM(T147-Y147)&lt;0,0,SUM(T147-Y147))</f>
        <v>0</v>
      </c>
      <c r="AD147" s="33">
        <f>IF(SUM(U147-Z147)&lt;0,0,SUM(U147-Z147))</f>
        <v>0</v>
      </c>
      <c r="AE147" s="33">
        <f t="shared" si="77"/>
        <v>0</v>
      </c>
    </row>
    <row r="148" spans="2:31" x14ac:dyDescent="0.3">
      <c r="B148"/>
      <c r="C148" s="25"/>
      <c r="D148" s="90"/>
      <c r="E148" s="90"/>
      <c r="F148" s="25"/>
      <c r="G148" s="185"/>
      <c r="H148" s="185"/>
      <c r="I148" s="185"/>
      <c r="J148" s="47"/>
      <c r="K148" s="92"/>
      <c r="L148" s="91"/>
      <c r="M148" s="91"/>
      <c r="N148" s="91"/>
      <c r="O148" s="93"/>
      <c r="P148" s="47"/>
      <c r="Q148" s="30"/>
      <c r="R148" s="30"/>
      <c r="S148" s="47"/>
      <c r="T148" s="47"/>
      <c r="U148" s="47"/>
      <c r="V148" s="93"/>
      <c r="W148" s="47"/>
      <c r="X148" s="47"/>
      <c r="Y148" s="47"/>
      <c r="Z148" s="47"/>
      <c r="AA148" s="47"/>
      <c r="AB148" s="47"/>
      <c r="AC148" s="47"/>
      <c r="AD148" s="47"/>
      <c r="AE148" s="47"/>
    </row>
    <row r="149" spans="2:31" x14ac:dyDescent="0.3">
      <c r="B149" s="14" t="s">
        <v>40</v>
      </c>
      <c r="C149" s="14" t="s">
        <v>6</v>
      </c>
      <c r="D149" s="43">
        <f>D147+1</f>
        <v>42129</v>
      </c>
      <c r="E149" s="29" t="s">
        <v>29</v>
      </c>
      <c r="F149" s="190"/>
      <c r="G149" s="194">
        <v>0.38541666666666669</v>
      </c>
      <c r="H149" s="194">
        <v>3.125E-2</v>
      </c>
      <c r="I149" s="194">
        <v>0.70833333333333337</v>
      </c>
      <c r="J149" s="193">
        <f>IF(OR(E149="férié travaillé",E149="travail"),(I149-G149+IF(G149&gt;I149,1)-H149),INDEX('bases de donnée'!$E$20:'bases de donnée'!$E$32,MATCH(E149,gerald2,0)))</f>
        <v>0.29166666666666669</v>
      </c>
      <c r="K149" s="20">
        <f>IF(SUM(J149-'bases de donnée'!E$7)&lt;0,0,SUM(J149-'bases de donnée'!E$7))</f>
        <v>0</v>
      </c>
      <c r="L149" s="11">
        <f>IF(OR(E149="férié travaillé",E149="travail"),I149-G149+IF(G149&gt;I149,1),INDEX('bases de donnée'!$E$20:'bases de donnée'!$E$32,MATCH(E149,gerald2,0)))</f>
        <v>0.32291666666666669</v>
      </c>
      <c r="M149" s="21">
        <f>IF(SUM(L149-'bases de donnée'!E$4)&lt;0,0,SUM(L149-'bases de donnée'!E$4))</f>
        <v>0</v>
      </c>
      <c r="N149" s="155">
        <v>0</v>
      </c>
      <c r="O149" s="45">
        <f>J149</f>
        <v>0.29166666666666669</v>
      </c>
      <c r="P149" s="122">
        <f>SUM(Q149:Q155)</f>
        <v>5</v>
      </c>
      <c r="Q149" s="120">
        <f>IF(AND(G149&lt;&gt;"",I149&lt;&gt;""),1,0+OR(N(I148)&lt;N(G148),E149="récupération",E149="congé 1 jour",E149="congé 1/2 jour ",E149="congé 5h24",E149="arrêt maladie",E149="arrêt travail",E149="férié ",E149="congé parentale",E149="congé de naissance"))</f>
        <v>1</v>
      </c>
      <c r="R149" s="30"/>
      <c r="S149" s="77">
        <f>IF(SUM(MOD(I149-G149,1)-IF(I149&gt;G149,MAX(0,MIN(I149,'bases de donnée'!E$16/24)-MAX('planning '!G149,7/24)),MAX(0,'bases de donnée'!E$16/24-MAX('planning '!G149,7/24))+MAX(0,MIN('planning '!I149,'bases de donnée'!E$16/24)-7/24)))&lt;0,0,SUM(MOD('planning '!I149-'planning '!G149,1)-IF('planning '!I149&gt;'planning '!G149,MAX(0,MIN('planning '!I149,'bases de donnée'!E$16/24)-MAX('planning '!G149,7/24)),MAX(0,'bases de donnée'!E$16/24-MAX('planning '!G149,7/24))+MAX(0,MIN('planning '!I149,'bases de donnée'!E$16/24)-7/24))))</f>
        <v>0</v>
      </c>
      <c r="T149" s="81"/>
      <c r="U149" s="77" t="str">
        <f t="shared" ref="U149:U155" si="136">IF(E149&lt;&gt;"travail",IF(E149="férié travaillé",MOD(I149-G149,1)-H149,"00:00"),"00:00")</f>
        <v>00:00</v>
      </c>
      <c r="V149" s="78"/>
      <c r="W149" s="47"/>
      <c r="X149" s="48">
        <f t="shared" si="127"/>
        <v>0</v>
      </c>
      <c r="Y149" s="31"/>
      <c r="Z149" s="49">
        <f t="shared" ref="Z149:Z154" si="137">IF(SUM(U149-X149)&lt;0,0,SUM(U149-X149))</f>
        <v>0</v>
      </c>
      <c r="AA149" s="48">
        <f t="shared" ref="AA149:AA154" si="138">IF(SUM(V149-X149-Z149)&lt;0,0,SUM(V149-X149-Z149))</f>
        <v>0</v>
      </c>
      <c r="AB149" s="47"/>
      <c r="AC149" s="50"/>
      <c r="AD149" s="33">
        <f t="shared" ref="AD149:AD154" si="139">IF(SUM(U149-Z149)&lt;0,0,SUM(U149-Z149))</f>
        <v>0</v>
      </c>
      <c r="AE149" s="33">
        <f t="shared" si="77"/>
        <v>0</v>
      </c>
    </row>
    <row r="150" spans="2:31" x14ac:dyDescent="0.3">
      <c r="B150" s="51">
        <f>B142+1</f>
        <v>18</v>
      </c>
      <c r="C150" s="14" t="s">
        <v>7</v>
      </c>
      <c r="D150" s="43">
        <f>D149+1</f>
        <v>42130</v>
      </c>
      <c r="E150" s="29" t="s">
        <v>29</v>
      </c>
      <c r="F150" s="191"/>
      <c r="G150" s="194">
        <v>0.66666666666666663</v>
      </c>
      <c r="H150" s="194">
        <v>3.125E-2</v>
      </c>
      <c r="I150" s="194">
        <v>0.96875</v>
      </c>
      <c r="J150" s="193">
        <f>IF(OR(E150="férié travaillé",E150="travail"),(I150-G150+IF(G150&gt;I150,1)-H150),INDEX('bases de donnée'!$E$20:'bases de donnée'!$E$32,MATCH(E150,gerald2,0)))</f>
        <v>0.27083333333333337</v>
      </c>
      <c r="K150" s="20">
        <f>IF(SUM(J150-'bases de donnée'!E$7)&lt;0,0,SUM(J150-'bases de donnée'!E$7))</f>
        <v>0</v>
      </c>
      <c r="L150" s="11">
        <f>IF(OR(E150="férié travaillé",E150="travail"),I150-G150+IF(G150&gt;I150,1),INDEX('bases de donnée'!$E$20:'bases de donnée'!$E$32,MATCH(E150,gerald2,0)))</f>
        <v>0.30208333333333337</v>
      </c>
      <c r="M150" s="21">
        <f>IF(SUM(L150-'bases de donnée'!E$4)&lt;0,0,SUM(L150-'bases de donnée'!E$4))</f>
        <v>0</v>
      </c>
      <c r="N150" s="155">
        <v>0</v>
      </c>
      <c r="O150" s="73">
        <f t="shared" ref="O150:O155" si="140">O149+J150</f>
        <v>0.5625</v>
      </c>
      <c r="P150" s="121">
        <f>IF(SUM(P149-'bases de donnée'!E$6)&lt;0,0,SUM(P149-'bases de donnée'!E$6))</f>
        <v>0</v>
      </c>
      <c r="Q150" s="120">
        <f t="shared" ref="Q150:Q155" si="141">IF(AND(G150&lt;&gt;"",I150&lt;&gt;""),1,0+OR(N(I149)&lt;N(G149),E150="récupération",E150="congé 1 jour",E150="congé 1/2 jour ",E150="congé 5h24",E150="arrêt maladie",E150="arrêt travail",E150="férié ",E150="congé parentale",E150="congé de naissance"))</f>
        <v>1</v>
      </c>
      <c r="R150" s="30"/>
      <c r="S150" s="77">
        <f>IF(SUM(MOD(I150-G150,1)-IF(I150&gt;G150,MAX(0,MIN(I150,'bases de donnée'!E$16/24)-MAX('planning '!G150,7/24)),MAX(0,'bases de donnée'!E$16/24-MAX('planning '!G150,7/24))+MAX(0,MIN('planning '!I150,'bases de donnée'!E$16/24)-7/24)))&lt;0,0,SUM(MOD('planning '!I150-'planning '!G150,1)-IF('planning '!I150&gt;'planning '!G150,MAX(0,MIN('planning '!I150,'bases de donnée'!E$16/24)-MAX('planning '!G150,7/24)),MAX(0,'bases de donnée'!E$16/24-MAX('planning '!G150,7/24))+MAX(0,MIN('planning '!I150,'bases de donnée'!E$16/24)-7/24))))</f>
        <v>9.375E-2</v>
      </c>
      <c r="T150" s="82"/>
      <c r="U150" s="77" t="str">
        <f t="shared" si="136"/>
        <v>00:00</v>
      </c>
      <c r="V150" s="78">
        <f>IF(SUM(IF(O150&gt;('bases de donnée'!E$9*1),O150-('bases de donnée'!E$9*1),0)-V149)&lt;0,0,SUM(IF(O150&gt;('bases de donnée'!E$9*1),O150-('bases de donnée'!E$9*1),0)-V149))</f>
        <v>0</v>
      </c>
      <c r="W150" s="47"/>
      <c r="X150" s="48">
        <f t="shared" si="127"/>
        <v>9.375E-2</v>
      </c>
      <c r="Y150" s="42"/>
      <c r="Z150" s="49">
        <f t="shared" si="137"/>
        <v>0</v>
      </c>
      <c r="AA150" s="48">
        <f t="shared" si="138"/>
        <v>0</v>
      </c>
      <c r="AB150" s="47"/>
      <c r="AC150" s="54"/>
      <c r="AD150" s="33">
        <f t="shared" si="139"/>
        <v>0</v>
      </c>
      <c r="AE150" s="33">
        <f t="shared" si="77"/>
        <v>0</v>
      </c>
    </row>
    <row r="151" spans="2:31" x14ac:dyDescent="0.3">
      <c r="B151"/>
      <c r="C151" s="14" t="s">
        <v>8</v>
      </c>
      <c r="D151" s="43">
        <f t="shared" ref="D151:D155" si="142">D150+1</f>
        <v>42131</v>
      </c>
      <c r="E151" s="29" t="s">
        <v>36</v>
      </c>
      <c r="F151" s="191"/>
      <c r="G151" s="194"/>
      <c r="H151" s="194"/>
      <c r="I151" s="194"/>
      <c r="J151" s="193">
        <f>IF(OR(E151="férié travaillé",E151="travail"),(I151-G151+IF(G151&gt;I151,1)-H151),INDEX('bases de donnée'!$E$20:'bases de donnée'!$E$32,MATCH(E151,gerald2,0)))</f>
        <v>0.3</v>
      </c>
      <c r="K151" s="20">
        <f>IF(SUM(J151-'bases de donnée'!E$7)&lt;0,0,SUM(J151-'bases de donnée'!E$7))</f>
        <v>0</v>
      </c>
      <c r="L151" s="11">
        <f>IF(OR(E151="férié travaillé",E151="travail"),I151-G151+IF(G151&gt;I151,1),INDEX('bases de donnée'!$E$20:'bases de donnée'!$E$32,MATCH(E151,gerald2,0)))</f>
        <v>0.3</v>
      </c>
      <c r="M151" s="21">
        <f>IF(SUM(L151-'bases de donnée'!E$4)&lt;0,0,SUM(L151-'bases de donnée'!E$4))</f>
        <v>0</v>
      </c>
      <c r="N151" s="155">
        <v>0</v>
      </c>
      <c r="O151" s="73">
        <f t="shared" si="140"/>
        <v>0.86250000000000004</v>
      </c>
      <c r="P151" s="34" t="s">
        <v>46</v>
      </c>
      <c r="Q151" s="120">
        <f t="shared" si="141"/>
        <v>1</v>
      </c>
      <c r="R151" s="30"/>
      <c r="S151" s="77">
        <f>IF(SUM(MOD(I151-G151,1)-IF(I151&gt;G151,MAX(0,MIN(I151,'bases de donnée'!E$16/24)-MAX('planning '!G151,7/24)),MAX(0,'bases de donnée'!E$16/24-MAX('planning '!G151,7/24))+MAX(0,MIN('planning '!I151,'bases de donnée'!E$16/24)-7/24)))&lt;0,0,SUM(MOD('planning '!I151-'planning '!G151,1)-IF('planning '!I151&gt;'planning '!G151,MAX(0,MIN('planning '!I151,'bases de donnée'!E$16/24)-MAX('planning '!G151,7/24)),MAX(0,'bases de donnée'!E$16/24-MAX('planning '!G151,7/24))+MAX(0,MIN('planning '!I151,'bases de donnée'!E$16/24)-7/24))))</f>
        <v>0</v>
      </c>
      <c r="T151" s="82"/>
      <c r="U151" s="77" t="str">
        <f t="shared" si="136"/>
        <v>00:00</v>
      </c>
      <c r="V151" s="78">
        <f>IF(SUM(IF(O151&gt;("36:00"*1),O151-("36:00"*1),0)-V149-V150)&lt;0,0,SUM(IF(O151&gt;("36:00"*1),O151-("36:00"*1),0)-V149-V150))</f>
        <v>0</v>
      </c>
      <c r="W151" s="47"/>
      <c r="X151" s="48">
        <f t="shared" si="127"/>
        <v>0</v>
      </c>
      <c r="Y151" s="42"/>
      <c r="Z151" s="49">
        <f t="shared" si="137"/>
        <v>0</v>
      </c>
      <c r="AA151" s="48">
        <f t="shared" si="138"/>
        <v>0</v>
      </c>
      <c r="AB151" s="47"/>
      <c r="AC151" s="54"/>
      <c r="AD151" s="33">
        <f t="shared" si="139"/>
        <v>0</v>
      </c>
      <c r="AE151" s="33">
        <f t="shared" ref="AE151:AE223" si="143">IF(SUM(V151-AA151)&lt;0,0,SUM(V151-AA151))</f>
        <v>0</v>
      </c>
    </row>
    <row r="152" spans="2:31" x14ac:dyDescent="0.3">
      <c r="B152"/>
      <c r="C152" s="14" t="s">
        <v>9</v>
      </c>
      <c r="D152" s="43">
        <f t="shared" si="142"/>
        <v>42132</v>
      </c>
      <c r="E152" s="29" t="s">
        <v>29</v>
      </c>
      <c r="F152" s="191"/>
      <c r="G152" s="194">
        <v>0.375</v>
      </c>
      <c r="H152" s="194">
        <v>3.125E-2</v>
      </c>
      <c r="I152" s="194">
        <v>0.875</v>
      </c>
      <c r="J152" s="193">
        <f>IF(OR(E152="férié travaillé",E152="travail"),(I152-G152+IF(G152&gt;I152,1)-H152),INDEX('bases de donnée'!$E$20:'bases de donnée'!$E$32,MATCH(E152,gerald2,0)))</f>
        <v>0.46875</v>
      </c>
      <c r="K152" s="20">
        <f>IF(SUM(J152-'bases de donnée'!E$7)&lt;0,0,SUM(J152-'bases de donnée'!E$7))</f>
        <v>5.2083333333333315E-2</v>
      </c>
      <c r="L152" s="11">
        <f>IF(OR(E152="férié travaillé",E152="travail"),I152-G152+IF(G152&gt;I152,1),INDEX('bases de donnée'!$E$20:'bases de donnée'!$E$32,MATCH(E152,gerald2,0)))</f>
        <v>0.5</v>
      </c>
      <c r="M152" s="21">
        <f>IF(SUM(L152-'bases de donnée'!E$4)&lt;0,0,SUM(L152-'bases de donnée'!E$4))</f>
        <v>0</v>
      </c>
      <c r="N152" s="155">
        <v>0</v>
      </c>
      <c r="O152" s="73">
        <f t="shared" si="140"/>
        <v>1.33125</v>
      </c>
      <c r="P152" s="86">
        <f>O155</f>
        <v>1.7270833333333333</v>
      </c>
      <c r="Q152" s="120">
        <f t="shared" si="141"/>
        <v>1</v>
      </c>
      <c r="R152" s="30"/>
      <c r="S152" s="77">
        <f>IF(SUM(MOD(I152-G152,1)-IF(I152&gt;G152,MAX(0,MIN(I152,'bases de donnée'!E$16/24)-MAX('planning '!G152,7/24)),MAX(0,'bases de donnée'!E$16/24-MAX('planning '!G152,7/24))+MAX(0,MIN('planning '!I152,'bases de donnée'!E$16/24)-7/24)))&lt;0,0,SUM(MOD('planning '!I152-'planning '!G152,1)-IF('planning '!I152&gt;'planning '!G152,MAX(0,MIN('planning '!I152,'bases de donnée'!E$16/24)-MAX('planning '!G152,7/24)),MAX(0,'bases de donnée'!E$16/24-MAX('planning '!G152,7/24))+MAX(0,MIN('planning '!I152,'bases de donnée'!E$16/24)-7/24))))</f>
        <v>0</v>
      </c>
      <c r="T152" s="82"/>
      <c r="U152" s="77" t="str">
        <f t="shared" si="136"/>
        <v>00:00</v>
      </c>
      <c r="V152" s="78">
        <f>IF(SUM(IF(O152&gt;("36:00"*1),O152-("36:00"*1),0)-V150-V151)&lt;0,0,SUM(IF(O152&gt;("36:00"*1),O152-("36:00"*1),0)-V149-V150-V151))</f>
        <v>0</v>
      </c>
      <c r="W152" s="47"/>
      <c r="X152" s="48">
        <f t="shared" si="127"/>
        <v>0</v>
      </c>
      <c r="Y152" s="42"/>
      <c r="Z152" s="49">
        <f t="shared" si="137"/>
        <v>0</v>
      </c>
      <c r="AA152" s="48">
        <f t="shared" si="138"/>
        <v>0</v>
      </c>
      <c r="AB152" s="47"/>
      <c r="AC152" s="54"/>
      <c r="AD152" s="33">
        <f t="shared" si="139"/>
        <v>0</v>
      </c>
      <c r="AE152" s="33">
        <f t="shared" si="143"/>
        <v>0</v>
      </c>
    </row>
    <row r="153" spans="2:31" x14ac:dyDescent="0.3">
      <c r="B153"/>
      <c r="C153" s="14" t="s">
        <v>3</v>
      </c>
      <c r="D153" s="43">
        <f t="shared" si="142"/>
        <v>42133</v>
      </c>
      <c r="E153" s="29" t="s">
        <v>29</v>
      </c>
      <c r="F153" s="191"/>
      <c r="G153" s="194">
        <v>0.41666666666666669</v>
      </c>
      <c r="H153" s="194">
        <v>6.25E-2</v>
      </c>
      <c r="I153" s="194">
        <v>0.875</v>
      </c>
      <c r="J153" s="193">
        <f>IF(OR(E153="férié travaillé",E153="travail"),(I153-G153+IF(G153&gt;I153,1)-H153),INDEX('bases de donnée'!$E$20:'bases de donnée'!$E$32,MATCH(E153,gerald2,0)))</f>
        <v>0.39583333333333331</v>
      </c>
      <c r="K153" s="20">
        <f>IF(SUM(J153-'bases de donnée'!E$7)&lt;0,0,SUM(J153-'bases de donnée'!E$7))</f>
        <v>0</v>
      </c>
      <c r="L153" s="11">
        <f>IF(OR(E153="férié travaillé",E153="travail"),I153-G153+IF(G153&gt;I153,1),INDEX('bases de donnée'!$E$20:'bases de donnée'!$E$32,MATCH(E153,gerald2,0)))</f>
        <v>0.45833333333333331</v>
      </c>
      <c r="M153" s="21">
        <f>IF(SUM(L153-'bases de donnée'!E$4)&lt;0,0,SUM(L153-'bases de donnée'!E$4))</f>
        <v>0</v>
      </c>
      <c r="N153" s="155">
        <v>0</v>
      </c>
      <c r="O153" s="73">
        <f t="shared" si="140"/>
        <v>1.7270833333333333</v>
      </c>
      <c r="P153" s="12" t="s">
        <v>48</v>
      </c>
      <c r="Q153" s="120">
        <f t="shared" si="141"/>
        <v>1</v>
      </c>
      <c r="R153" s="30"/>
      <c r="S153" s="77">
        <f>IF(SUM(MOD(I153-G153,1)-IF(I153&gt;G153,MAX(0,MIN(I153,'bases de donnée'!E$16/24)-MAX('planning '!G153,7/24)),MAX(0,'bases de donnée'!E$16/24-MAX('planning '!G153,7/24))+MAX(0,MIN('planning '!I153,'bases de donnée'!E$16/24)-7/24)))&lt;0,0,SUM(MOD('planning '!I153-'planning '!G153,1)-IF('planning '!I153&gt;'planning '!G153,MAX(0,MIN('planning '!I153,'bases de donnée'!E$16/24)-MAX('planning '!G153,7/24)),MAX(0,'bases de donnée'!E$16/24-MAX('planning '!G153,7/24))+MAX(0,MIN('planning '!I153,'bases de donnée'!E$16/24)-7/24))))</f>
        <v>0</v>
      </c>
      <c r="T153" s="82"/>
      <c r="U153" s="77" t="str">
        <f t="shared" si="136"/>
        <v>00:00</v>
      </c>
      <c r="V153" s="78">
        <f>IF(SUM(IF(O153&gt;("36:00"*1),O153-("36:00"*1),0)-V151-V152)&lt;0,0,SUM(IF(O153&gt;("36:00"*1),O153-("36:00"*1),0)-V149-V150-V151-V152))</f>
        <v>0.2270833333333333</v>
      </c>
      <c r="W153" s="47"/>
      <c r="X153" s="48">
        <f t="shared" si="127"/>
        <v>0</v>
      </c>
      <c r="Y153" s="42"/>
      <c r="Z153" s="49">
        <f t="shared" si="137"/>
        <v>0</v>
      </c>
      <c r="AA153" s="48">
        <f t="shared" si="138"/>
        <v>0.2270833333333333</v>
      </c>
      <c r="AB153" s="47"/>
      <c r="AC153" s="54"/>
      <c r="AD153" s="33">
        <f t="shared" si="139"/>
        <v>0</v>
      </c>
      <c r="AE153" s="33">
        <f t="shared" si="143"/>
        <v>0</v>
      </c>
    </row>
    <row r="154" spans="2:31" x14ac:dyDescent="0.3">
      <c r="B154"/>
      <c r="C154" s="14" t="s">
        <v>4</v>
      </c>
      <c r="D154" s="43">
        <f t="shared" si="142"/>
        <v>42134</v>
      </c>
      <c r="E154" s="29" t="s">
        <v>28</v>
      </c>
      <c r="F154" s="191"/>
      <c r="G154" s="194"/>
      <c r="H154" s="194"/>
      <c r="I154" s="194"/>
      <c r="J154" s="193">
        <f>IF(OR(E154="férié travaillé",E154="travail"),(I154-G154+IF(G154&gt;I154,1)-H154),INDEX('bases de donnée'!$E$20:'bases de donnée'!$E$32,MATCH(E154,gerald2,0)))</f>
        <v>0</v>
      </c>
      <c r="K154" s="20">
        <f>IF(SUM(J154-'bases de donnée'!E$7)&lt;0,0,SUM(J154-'bases de donnée'!E$7))</f>
        <v>0</v>
      </c>
      <c r="L154" s="11">
        <f>IF(OR(E154="férié travaillé",E154="travail"),I154-G154+IF(G154&gt;I154,1),INDEX('bases de donnée'!$E$20:'bases de donnée'!$E$32,MATCH(E154,gerald2,0)))</f>
        <v>0</v>
      </c>
      <c r="M154" s="21">
        <f>IF(SUM(L154-'bases de donnée'!E$4)&lt;0,0,SUM(L154-'bases de donnée'!E$4))</f>
        <v>0</v>
      </c>
      <c r="N154" s="155">
        <v>0</v>
      </c>
      <c r="O154" s="73">
        <f t="shared" si="140"/>
        <v>1.7270833333333333</v>
      </c>
      <c r="P154" s="53">
        <f>'bases de donnée'!E$10</f>
        <v>2</v>
      </c>
      <c r="Q154" s="120">
        <f t="shared" si="141"/>
        <v>0</v>
      </c>
      <c r="R154" s="30"/>
      <c r="S154" s="77">
        <f>IF(SUM(MOD(I154-G154,1)-IF(I154&gt;G154,MAX(0,MIN(I154,'bases de donnée'!E$16/24)-MAX('planning '!G154,7/24)),MAX(0,'bases de donnée'!E$16/24-MAX('planning '!G154,7/24))+MAX(0,MIN('planning '!I154,'bases de donnée'!E$16/24)-7/24)))&lt;0,0,SUM(MOD('planning '!I154-'planning '!G154,1)-IF('planning '!I154&gt;'planning '!G154,MAX(0,MIN('planning '!I154,'bases de donnée'!E$16/24)-MAX('planning '!G154,7/24)),MAX(0,'bases de donnée'!E$16/24-MAX('planning '!G154,7/24))+MAX(0,MIN('planning '!I154,'bases de donnée'!E$16/24)-7/24))))</f>
        <v>0</v>
      </c>
      <c r="T154" s="82"/>
      <c r="U154" s="77" t="str">
        <f t="shared" si="136"/>
        <v>00:00</v>
      </c>
      <c r="V154" s="78">
        <f>IF(SUM(IF(O154&gt;("36:00"*1),O154-("36:00"*1),0)-V152-V153)&lt;0,0,SUM(IF(O154&gt;("36:00"*1),O154-("36:00"*1),0)-V149-V150-V151-V152-V153))</f>
        <v>0</v>
      </c>
      <c r="W154" s="47"/>
      <c r="X154" s="48">
        <f t="shared" si="127"/>
        <v>0</v>
      </c>
      <c r="Y154" s="32"/>
      <c r="Z154" s="49">
        <f t="shared" si="137"/>
        <v>0</v>
      </c>
      <c r="AA154" s="48">
        <f t="shared" si="138"/>
        <v>0</v>
      </c>
      <c r="AB154" s="47"/>
      <c r="AC154" s="55"/>
      <c r="AD154" s="33">
        <f t="shared" si="139"/>
        <v>0</v>
      </c>
      <c r="AE154" s="33">
        <f t="shared" si="143"/>
        <v>0</v>
      </c>
    </row>
    <row r="155" spans="2:31" x14ac:dyDescent="0.3">
      <c r="B155"/>
      <c r="C155" s="14" t="s">
        <v>5</v>
      </c>
      <c r="D155" s="43">
        <f t="shared" si="142"/>
        <v>42135</v>
      </c>
      <c r="E155" s="29" t="s">
        <v>28</v>
      </c>
      <c r="F155" s="192"/>
      <c r="G155" s="194"/>
      <c r="H155" s="194"/>
      <c r="I155" s="194"/>
      <c r="J155" s="193">
        <f>IF(OR(E155="férié travaillé",E155="travail"),(I155-G155+IF(G155&gt;I155,1)-H155),INDEX('bases de donnée'!$E$20:'bases de donnée'!$E$32,MATCH(E155,gerald2,0)))</f>
        <v>0</v>
      </c>
      <c r="K155" s="20">
        <f>IF(SUM(J155-'bases de donnée'!E$7)&lt;0,0,SUM(J155-'bases de donnée'!E$7))</f>
        <v>0</v>
      </c>
      <c r="L155" s="11">
        <f>IF(OR(E155="férié travaillé",E155="travail"),I155-G155+IF(G155&gt;I155,1),INDEX('bases de donnée'!$E$20:'bases de donnée'!$E$32,MATCH(E155,gerald2,0)))</f>
        <v>0</v>
      </c>
      <c r="M155" s="21">
        <f>IF(SUM(L155-'bases de donnée'!E$4)&lt;0,0,SUM(L155-'bases de donnée'!E$4))</f>
        <v>0</v>
      </c>
      <c r="N155" s="155">
        <v>0</v>
      </c>
      <c r="O155" s="73">
        <f t="shared" si="140"/>
        <v>1.7270833333333333</v>
      </c>
      <c r="P155" s="33">
        <f>IF(SUM(O155-'bases de donnée'!E$10)&lt;0,0,SUM(O155-'bases de donnée'!E$10))</f>
        <v>0</v>
      </c>
      <c r="Q155" s="120">
        <f t="shared" si="141"/>
        <v>0</v>
      </c>
      <c r="R155" s="30"/>
      <c r="S155" s="77">
        <f>IF(SUM(MOD(I155-G155,1)-IF(I155&gt;G155,MAX(0,MIN(I155,'bases de donnée'!E$16/24)-MAX('planning '!G155,7/24)),MAX(0,'bases de donnée'!E$16/24-MAX('planning '!G155,7/24))+MAX(0,MIN('planning '!I155,'bases de donnée'!E$16/24)-7/24)))&lt;0,0,SUM(MOD('planning '!I155-'planning '!G155,1)-IF('planning '!I155&gt;'planning '!G155,MAX(0,MIN('planning '!I155,'bases de donnée'!E$16/24)-MAX('planning '!G155,7/24)),MAX(0,'bases de donnée'!E$16/24-MAX('planning '!G155,7/24))+MAX(0,MIN('planning '!I155,'bases de donnée'!E$16/24)-7/24))))</f>
        <v>0</v>
      </c>
      <c r="T155" s="77">
        <f>J155</f>
        <v>0</v>
      </c>
      <c r="U155" s="77" t="str">
        <f t="shared" si="136"/>
        <v>00:00</v>
      </c>
      <c r="V155" s="78">
        <f>IF(SUM(IF(O155&gt;("36:00"*1),O155-("36:00"*1),0)-V153-V154)&lt;0,0,SUM(IF(O155&gt;("36:00"*1),O155-("36:00"*1),0)-V149-V150-V151-V152-V153-V154))</f>
        <v>0</v>
      </c>
      <c r="W155" s="47"/>
      <c r="X155" s="48">
        <f t="shared" si="127"/>
        <v>0</v>
      </c>
      <c r="Y155" s="48">
        <f>IF(SUM(T155-S155)&lt;0,0,SUM(T155-S155))</f>
        <v>0</v>
      </c>
      <c r="Z155" s="56">
        <f>IF(SUM(U155-T155-S155)&lt;0,0,SUM(U155-T155-S155))</f>
        <v>0</v>
      </c>
      <c r="AA155" s="48">
        <f>IF(SUM(V155-S155-T155-U155)&lt;0,0,SUM(V155-S155-T155-U155))</f>
        <v>0</v>
      </c>
      <c r="AB155" s="47"/>
      <c r="AC155" s="57">
        <f>IF(SUM(T155-Y155)&lt;0,0,SUM(T155-Y155))</f>
        <v>0</v>
      </c>
      <c r="AD155" s="33">
        <f>IF(SUM(U155-Z155)&lt;0,0,SUM(U155-Z155))</f>
        <v>0</v>
      </c>
      <c r="AE155" s="33">
        <f t="shared" si="143"/>
        <v>0</v>
      </c>
    </row>
    <row r="156" spans="2:31" x14ac:dyDescent="0.3">
      <c r="B156"/>
      <c r="C156" s="25"/>
      <c r="D156" s="90"/>
      <c r="E156" s="90"/>
      <c r="F156" s="25"/>
      <c r="G156" s="185"/>
      <c r="H156" s="185"/>
      <c r="I156" s="185"/>
      <c r="J156" s="47"/>
      <c r="K156" s="92"/>
      <c r="L156" s="91"/>
      <c r="M156" s="91"/>
      <c r="N156" s="91"/>
      <c r="O156" s="93"/>
      <c r="P156" s="47"/>
      <c r="Q156" s="30"/>
      <c r="R156" s="30"/>
      <c r="S156" s="47"/>
      <c r="T156" s="47"/>
      <c r="U156" s="47"/>
      <c r="V156" s="93"/>
      <c r="W156" s="47"/>
      <c r="X156" s="47"/>
      <c r="Y156" s="47"/>
      <c r="Z156" s="47"/>
      <c r="AA156" s="47"/>
      <c r="AB156" s="47"/>
      <c r="AC156" s="47"/>
      <c r="AD156" s="47"/>
      <c r="AE156" s="47"/>
    </row>
    <row r="157" spans="2:31" x14ac:dyDescent="0.3">
      <c r="B157" s="9" t="s">
        <v>40</v>
      </c>
      <c r="C157" s="9" t="s">
        <v>6</v>
      </c>
      <c r="D157" s="58">
        <f>D155+1</f>
        <v>42136</v>
      </c>
      <c r="E157" s="29" t="s">
        <v>29</v>
      </c>
      <c r="F157" s="190"/>
      <c r="G157" s="194">
        <v>0.375</v>
      </c>
      <c r="H157" s="194"/>
      <c r="I157" s="194">
        <v>0.54166666666666663</v>
      </c>
      <c r="J157" s="193">
        <f>IF(OR(E157="férié travaillé",E157="travail"),(I157-G157+IF(G157&gt;I157,1)-H157),INDEX('bases de donnée'!$E$20:'bases de donnée'!$E$32,MATCH(E157,gerald2,0)))</f>
        <v>0.16666666666666663</v>
      </c>
      <c r="K157" s="20">
        <f>IF(SUM(J157-'bases de donnée'!E$7)&lt;0,0,SUM(J157-'bases de donnée'!E$7))</f>
        <v>0</v>
      </c>
      <c r="L157" s="11">
        <f>IF(OR(E157="férié travaillé",E157="travail"),I157-G157+IF(G157&gt;I157,1),INDEX('bases de donnée'!$E$20:'bases de donnée'!$E$32,MATCH(E157,gerald2,0)))</f>
        <v>0.16666666666666663</v>
      </c>
      <c r="M157" s="21">
        <f>IF(SUM(L157-'bases de donnée'!E$4)&lt;0,0,SUM(L157-'bases de donnée'!E$4))</f>
        <v>0</v>
      </c>
      <c r="N157" s="155">
        <v>0</v>
      </c>
      <c r="O157" s="59">
        <f>J157</f>
        <v>0.16666666666666663</v>
      </c>
      <c r="P157" s="122">
        <f>SUM(Q157:Q163)</f>
        <v>5</v>
      </c>
      <c r="Q157" s="120">
        <f>IF(AND(G157&lt;&gt;"",I157&lt;&gt;""),1,0+OR(N(I156)&lt;N(G156),E157="récupération",E157="congé 1 jour",E157="congé 1/2 jour ",E157="congé 5h24",E157="arrêt maladie",E157="arrêt travail",E157="férié ",E157="congé parentale",E157="congé de naissance"))</f>
        <v>1</v>
      </c>
      <c r="R157" s="30"/>
      <c r="S157" s="77">
        <f>IF(SUM(MOD(I157-G157,1)-IF(I157&gt;G157,MAX(0,MIN(I157,'bases de donnée'!E$16/24)-MAX('planning '!G157,7/24)),MAX(0,'bases de donnée'!E$16/24-MAX('planning '!G157,7/24))+MAX(0,MIN('planning '!I157,'bases de donnée'!E$16/24)-7/24)))&lt;0,0,SUM(MOD('planning '!I157-'planning '!G157,1)-IF('planning '!I157&gt;'planning '!G157,MAX(0,MIN('planning '!I157,'bases de donnée'!E$16/24)-MAX('planning '!G157,7/24)),MAX(0,'bases de donnée'!E$16/24-MAX('planning '!G157,7/24))+MAX(0,MIN('planning '!I157,'bases de donnée'!E$16/24)-7/24))))</f>
        <v>0</v>
      </c>
      <c r="T157" s="81"/>
      <c r="U157" s="77" t="str">
        <f t="shared" ref="U157:U163" si="144">IF(E157&lt;&gt;"travail",IF(E157="férié travaillé",MOD(I157-G157,1)-H157,"00:00"),"00:00")</f>
        <v>00:00</v>
      </c>
      <c r="V157" s="78"/>
      <c r="W157" s="47"/>
      <c r="X157" s="48">
        <f t="shared" si="127"/>
        <v>0</v>
      </c>
      <c r="Y157" s="31"/>
      <c r="Z157" s="49">
        <f t="shared" ref="Z157:Z162" si="145">IF(SUM(U157-X157)&lt;0,0,SUM(U157-X157))</f>
        <v>0</v>
      </c>
      <c r="AA157" s="48">
        <f t="shared" ref="AA157:AA162" si="146">IF(SUM(V157-X157-Z157)&lt;0,0,SUM(V157-X157-Z157))</f>
        <v>0</v>
      </c>
      <c r="AB157" s="47"/>
      <c r="AC157" s="50"/>
      <c r="AD157" s="33">
        <f t="shared" ref="AD157:AD162" si="147">IF(SUM(U157-Z157)&lt;0,0,SUM(U157-Z157))</f>
        <v>0</v>
      </c>
      <c r="AE157" s="33">
        <f t="shared" si="143"/>
        <v>0</v>
      </c>
    </row>
    <row r="158" spans="2:31" x14ac:dyDescent="0.3">
      <c r="B158" s="60">
        <f>B150+1</f>
        <v>19</v>
      </c>
      <c r="C158" s="9" t="s">
        <v>7</v>
      </c>
      <c r="D158" s="58">
        <f>D157+1</f>
        <v>42137</v>
      </c>
      <c r="E158" s="29" t="s">
        <v>30</v>
      </c>
      <c r="F158" s="191"/>
      <c r="G158" s="194"/>
      <c r="H158" s="194"/>
      <c r="I158" s="194"/>
      <c r="J158" s="193">
        <f>IF(OR(E158="férié travaillé",E158="travail"),(I158-G158+IF(G158&gt;I158,1)-H158),INDEX('bases de donnée'!$E$20:'bases de donnée'!$E$32,MATCH(E158,gerald2,0)))</f>
        <v>0.3</v>
      </c>
      <c r="K158" s="20">
        <f>IF(SUM(J158-'bases de donnée'!E$7)&lt;0,0,SUM(J158-'bases de donnée'!E$7))</f>
        <v>0</v>
      </c>
      <c r="L158" s="11">
        <f>IF(OR(E158="férié travaillé",E158="travail"),I158-G158+IF(G158&gt;I158,1),INDEX('bases de donnée'!$E$20:'bases de donnée'!$E$32,MATCH(E158,gerald2,0)))</f>
        <v>0.3</v>
      </c>
      <c r="M158" s="21">
        <f>IF(SUM(L158-'bases de donnée'!E$4)&lt;0,0,SUM(L158-'bases de donnée'!E$4))</f>
        <v>0</v>
      </c>
      <c r="N158" s="155">
        <v>0</v>
      </c>
      <c r="O158" s="74">
        <f t="shared" ref="O158:O163" si="148">O157+J158</f>
        <v>0.46666666666666662</v>
      </c>
      <c r="P158" s="121">
        <f>IF(SUM(P157-'bases de donnée'!E$6)&lt;0,0,SUM(P157-'bases de donnée'!E$6))</f>
        <v>0</v>
      </c>
      <c r="Q158" s="120">
        <f t="shared" ref="Q158:Q163" si="149">IF(AND(G158&lt;&gt;"",I158&lt;&gt;""),1,0+OR(N(I157)&lt;N(G157),E158="récupération",E158="congé 1 jour",E158="congé 1/2 jour ",E158="congé 5h24",E158="arrêt maladie",E158="arrêt travail",E158="férié ",E158="congé parentale",E158="congé de naissance"))</f>
        <v>1</v>
      </c>
      <c r="R158" s="30"/>
      <c r="S158" s="77">
        <f>IF(SUM(MOD(I158-G158,1)-IF(I158&gt;G158,MAX(0,MIN(I158,'bases de donnée'!E$16/24)-MAX('planning '!G158,7/24)),MAX(0,'bases de donnée'!E$16/24-MAX('planning '!G158,7/24))+MAX(0,MIN('planning '!I158,'bases de donnée'!E$16/24)-7/24)))&lt;0,0,SUM(MOD('planning '!I158-'planning '!G158,1)-IF('planning '!I158&gt;'planning '!G158,MAX(0,MIN('planning '!I158,'bases de donnée'!E$16/24)-MAX('planning '!G158,7/24)),MAX(0,'bases de donnée'!E$16/24-MAX('planning '!G158,7/24))+MAX(0,MIN('planning '!I158,'bases de donnée'!E$16/24)-7/24))))</f>
        <v>0</v>
      </c>
      <c r="T158" s="82"/>
      <c r="U158" s="77" t="str">
        <f t="shared" si="144"/>
        <v>00:00</v>
      </c>
      <c r="V158" s="78">
        <f>IF(SUM(IF(O158&gt;('bases de donnée'!E$9*1),O158-('bases de donnée'!E$9*1),0)-V157)&lt;0,0,SUM(IF(O158&gt;('bases de donnée'!E$9*1),O158-('bases de donnée'!E$9*1),0)-V157))</f>
        <v>0</v>
      </c>
      <c r="W158" s="47"/>
      <c r="X158" s="48">
        <f t="shared" si="127"/>
        <v>0</v>
      </c>
      <c r="Y158" s="42"/>
      <c r="Z158" s="49">
        <f t="shared" si="145"/>
        <v>0</v>
      </c>
      <c r="AA158" s="48">
        <f t="shared" si="146"/>
        <v>0</v>
      </c>
      <c r="AB158" s="47"/>
      <c r="AC158" s="54"/>
      <c r="AD158" s="33">
        <f t="shared" si="147"/>
        <v>0</v>
      </c>
      <c r="AE158" s="33">
        <f t="shared" si="143"/>
        <v>0</v>
      </c>
    </row>
    <row r="159" spans="2:31" x14ac:dyDescent="0.3">
      <c r="B159"/>
      <c r="C159" s="9" t="s">
        <v>8</v>
      </c>
      <c r="D159" s="58">
        <f t="shared" ref="D159:D179" si="150">D158+1</f>
        <v>42138</v>
      </c>
      <c r="E159" s="29" t="s">
        <v>30</v>
      </c>
      <c r="F159" s="191"/>
      <c r="G159" s="194"/>
      <c r="H159" s="194"/>
      <c r="I159" s="194"/>
      <c r="J159" s="193">
        <f>IF(OR(E159="férié travaillé",E159="travail"),(I159-G159+IF(G159&gt;I159,1)-H159),INDEX('bases de donnée'!$E$20:'bases de donnée'!$E$32,MATCH(E159,gerald2,0)))</f>
        <v>0.3</v>
      </c>
      <c r="K159" s="20">
        <f>IF(SUM(J159-'bases de donnée'!E$7)&lt;0,0,SUM(J159-'bases de donnée'!E$7))</f>
        <v>0</v>
      </c>
      <c r="L159" s="11">
        <f>IF(OR(E159="férié travaillé",E159="travail"),I159-G159+IF(G159&gt;I159,1),INDEX('bases de donnée'!$E$20:'bases de donnée'!$E$32,MATCH(E159,gerald2,0)))</f>
        <v>0.3</v>
      </c>
      <c r="M159" s="21">
        <f>IF(SUM(L159-'bases de donnée'!E$4)&lt;0,0,SUM(L159-'bases de donnée'!E$4))</f>
        <v>0</v>
      </c>
      <c r="N159" s="155">
        <v>0</v>
      </c>
      <c r="O159" s="74">
        <f t="shared" si="148"/>
        <v>0.76666666666666661</v>
      </c>
      <c r="P159" s="34" t="s">
        <v>46</v>
      </c>
      <c r="Q159" s="120">
        <f t="shared" si="149"/>
        <v>1</v>
      </c>
      <c r="R159" s="30"/>
      <c r="S159" s="77">
        <f>IF(SUM(MOD(I159-G159,1)-IF(I159&gt;G159,MAX(0,MIN(I159,'bases de donnée'!E$16/24)-MAX('planning '!G159,7/24)),MAX(0,'bases de donnée'!E$16/24-MAX('planning '!G159,7/24))+MAX(0,MIN('planning '!I159,'bases de donnée'!E$16/24)-7/24)))&lt;0,0,SUM(MOD('planning '!I159-'planning '!G159,1)-IF('planning '!I159&gt;'planning '!G159,MAX(0,MIN('planning '!I159,'bases de donnée'!E$16/24)-MAX('planning '!G159,7/24)),MAX(0,'bases de donnée'!E$16/24-MAX('planning '!G159,7/24))+MAX(0,MIN('planning '!I159,'bases de donnée'!E$16/24)-7/24))))</f>
        <v>0</v>
      </c>
      <c r="T159" s="82"/>
      <c r="U159" s="77" t="str">
        <f t="shared" si="144"/>
        <v>00:00</v>
      </c>
      <c r="V159" s="78">
        <f>IF(SUM(IF(O159&gt;("36:00"*1),O159-("36:00"*1),0)-V157-V158)&lt;0,0,SUM(IF(O159&gt;("36:00"*1),O159-("36:00"*1),0)-V157-V158))</f>
        <v>0</v>
      </c>
      <c r="W159" s="47"/>
      <c r="X159" s="48">
        <f t="shared" si="127"/>
        <v>0</v>
      </c>
      <c r="Y159" s="42"/>
      <c r="Z159" s="49">
        <f t="shared" si="145"/>
        <v>0</v>
      </c>
      <c r="AA159" s="48">
        <f t="shared" si="146"/>
        <v>0</v>
      </c>
      <c r="AB159" s="47"/>
      <c r="AC159" s="54"/>
      <c r="AD159" s="33">
        <f t="shared" si="147"/>
        <v>0</v>
      </c>
      <c r="AE159" s="33">
        <f t="shared" si="143"/>
        <v>0</v>
      </c>
    </row>
    <row r="160" spans="2:31" x14ac:dyDescent="0.3">
      <c r="B160"/>
      <c r="C160" s="9" t="s">
        <v>9</v>
      </c>
      <c r="D160" s="58">
        <f t="shared" si="150"/>
        <v>42139</v>
      </c>
      <c r="E160" s="29" t="s">
        <v>30</v>
      </c>
      <c r="F160" s="191"/>
      <c r="G160" s="194"/>
      <c r="H160" s="194"/>
      <c r="I160" s="194"/>
      <c r="J160" s="193">
        <f>IF(OR(E160="férié travaillé",E160="travail"),(I160-G160+IF(G160&gt;I160,1)-H160),INDEX('bases de donnée'!$E$20:'bases de donnée'!$E$32,MATCH(E160,gerald2,0)))</f>
        <v>0.3</v>
      </c>
      <c r="K160" s="20">
        <f>IF(SUM(J160-'bases de donnée'!E$7)&lt;0,0,SUM(J160-'bases de donnée'!E$7))</f>
        <v>0</v>
      </c>
      <c r="L160" s="11">
        <f>IF(OR(E160="férié travaillé",E160="travail"),I160-G160+IF(G160&gt;I160,1),INDEX('bases de donnée'!$E$20:'bases de donnée'!$E$32,MATCH(E160,gerald2,0)))</f>
        <v>0.3</v>
      </c>
      <c r="M160" s="21">
        <f>IF(SUM(L160-'bases de donnée'!E$4)&lt;0,0,SUM(L160-'bases de donnée'!E$4))</f>
        <v>0</v>
      </c>
      <c r="N160" s="155">
        <v>0</v>
      </c>
      <c r="O160" s="74">
        <f t="shared" si="148"/>
        <v>1.0666666666666667</v>
      </c>
      <c r="P160" s="86">
        <f>O163</f>
        <v>1.3666666666666667</v>
      </c>
      <c r="Q160" s="120">
        <f t="shared" si="149"/>
        <v>1</v>
      </c>
      <c r="R160" s="30"/>
      <c r="S160" s="77">
        <f>IF(SUM(MOD(I160-G160,1)-IF(I160&gt;G160,MAX(0,MIN(I160,'bases de donnée'!E$16/24)-MAX('planning '!G160,7/24)),MAX(0,'bases de donnée'!E$16/24-MAX('planning '!G160,7/24))+MAX(0,MIN('planning '!I160,'bases de donnée'!E$16/24)-7/24)))&lt;0,0,SUM(MOD('planning '!I160-'planning '!G160,1)-IF('planning '!I160&gt;'planning '!G160,MAX(0,MIN('planning '!I160,'bases de donnée'!E$16/24)-MAX('planning '!G160,7/24)),MAX(0,'bases de donnée'!E$16/24-MAX('planning '!G160,7/24))+MAX(0,MIN('planning '!I160,'bases de donnée'!E$16/24)-7/24))))</f>
        <v>0</v>
      </c>
      <c r="T160" s="82"/>
      <c r="U160" s="77" t="str">
        <f t="shared" si="144"/>
        <v>00:00</v>
      </c>
      <c r="V160" s="78">
        <f>IF(SUM(IF(O160&gt;("36:00"*1),O160-("36:00"*1),0)-V158-V159)&lt;0,0,SUM(IF(O160&gt;("36:00"*1),O160-("36:00"*1),0)-V157-V158-V159))</f>
        <v>0</v>
      </c>
      <c r="W160" s="47"/>
      <c r="X160" s="48">
        <f t="shared" si="127"/>
        <v>0</v>
      </c>
      <c r="Y160" s="42"/>
      <c r="Z160" s="49">
        <f t="shared" si="145"/>
        <v>0</v>
      </c>
      <c r="AA160" s="48">
        <f t="shared" si="146"/>
        <v>0</v>
      </c>
      <c r="AB160" s="47"/>
      <c r="AC160" s="54"/>
      <c r="AD160" s="33">
        <f t="shared" si="147"/>
        <v>0</v>
      </c>
      <c r="AE160" s="33">
        <f t="shared" si="143"/>
        <v>0</v>
      </c>
    </row>
    <row r="161" spans="2:31" x14ac:dyDescent="0.3">
      <c r="B161"/>
      <c r="C161" s="9" t="s">
        <v>3</v>
      </c>
      <c r="D161" s="58">
        <f t="shared" si="150"/>
        <v>42140</v>
      </c>
      <c r="E161" s="29" t="s">
        <v>30</v>
      </c>
      <c r="F161" s="191"/>
      <c r="G161" s="194"/>
      <c r="H161" s="194"/>
      <c r="I161" s="194"/>
      <c r="J161" s="193">
        <f>IF(OR(E161="férié travaillé",E161="travail"),(I161-G161+IF(G161&gt;I161,1)-H161),INDEX('bases de donnée'!$E$20:'bases de donnée'!$E$32,MATCH(E161,gerald2,0)))</f>
        <v>0.3</v>
      </c>
      <c r="K161" s="20">
        <f>IF(SUM(J161-'bases de donnée'!E$7)&lt;0,0,SUM(J161-'bases de donnée'!E$7))</f>
        <v>0</v>
      </c>
      <c r="L161" s="11">
        <f>IF(OR(E161="férié travaillé",E161="travail"),I161-G161+IF(G161&gt;I161,1),INDEX('bases de donnée'!$E$20:'bases de donnée'!$E$32,MATCH(E161,gerald2,0)))</f>
        <v>0.3</v>
      </c>
      <c r="M161" s="21">
        <f>IF(SUM(L161-'bases de donnée'!E$4)&lt;0,0,SUM(L161-'bases de donnée'!E$4))</f>
        <v>0</v>
      </c>
      <c r="N161" s="155">
        <v>0</v>
      </c>
      <c r="O161" s="74">
        <f t="shared" si="148"/>
        <v>1.3666666666666667</v>
      </c>
      <c r="P161" s="8" t="s">
        <v>48</v>
      </c>
      <c r="Q161" s="120">
        <f t="shared" si="149"/>
        <v>1</v>
      </c>
      <c r="R161" s="30"/>
      <c r="S161" s="77">
        <f>IF(SUM(MOD(I161-G161,1)-IF(I161&gt;G161,MAX(0,MIN(I161,'bases de donnée'!E$16/24)-MAX('planning '!G161,7/24)),MAX(0,'bases de donnée'!E$16/24-MAX('planning '!G161,7/24))+MAX(0,MIN('planning '!I161,'bases de donnée'!E$16/24)-7/24)))&lt;0,0,SUM(MOD('planning '!I161-'planning '!G161,1)-IF('planning '!I161&gt;'planning '!G161,MAX(0,MIN('planning '!I161,'bases de donnée'!E$16/24)-MAX('planning '!G161,7/24)),MAX(0,'bases de donnée'!E$16/24-MAX('planning '!G161,7/24))+MAX(0,MIN('planning '!I161,'bases de donnée'!E$16/24)-7/24))))</f>
        <v>0</v>
      </c>
      <c r="T161" s="82"/>
      <c r="U161" s="77" t="str">
        <f t="shared" si="144"/>
        <v>00:00</v>
      </c>
      <c r="V161" s="78">
        <f>IF(SUM(IF(O161&gt;("36:00"*1),O161-("36:00"*1),0)-V159-V160)&lt;0,0,SUM(IF(O161&gt;("36:00"*1),O161-("36:00"*1),0)-V157-V158-V159-V160))</f>
        <v>0</v>
      </c>
      <c r="W161" s="47"/>
      <c r="X161" s="48">
        <f t="shared" si="127"/>
        <v>0</v>
      </c>
      <c r="Y161" s="42"/>
      <c r="Z161" s="49">
        <f t="shared" si="145"/>
        <v>0</v>
      </c>
      <c r="AA161" s="48">
        <f t="shared" si="146"/>
        <v>0</v>
      </c>
      <c r="AB161" s="47"/>
      <c r="AC161" s="54"/>
      <c r="AD161" s="33">
        <f t="shared" si="147"/>
        <v>0</v>
      </c>
      <c r="AE161" s="33">
        <f t="shared" si="143"/>
        <v>0</v>
      </c>
    </row>
    <row r="162" spans="2:31" x14ac:dyDescent="0.3">
      <c r="B162"/>
      <c r="C162" s="9" t="s">
        <v>4</v>
      </c>
      <c r="D162" s="58">
        <f t="shared" si="150"/>
        <v>42141</v>
      </c>
      <c r="E162" s="29" t="s">
        <v>28</v>
      </c>
      <c r="F162" s="191"/>
      <c r="G162" s="195"/>
      <c r="H162" s="194"/>
      <c r="I162" s="195"/>
      <c r="J162" s="193">
        <f>IF(OR(E162="férié travaillé",E162="travail"),(I162-G162+IF(G162&gt;I162,1)-H162),INDEX('bases de donnée'!$E$20:'bases de donnée'!$E$32,MATCH(E162,gerald2,0)))</f>
        <v>0</v>
      </c>
      <c r="K162" s="20">
        <f>IF(SUM(J162-'bases de donnée'!E$7)&lt;0,0,SUM(J162-'bases de donnée'!E$7))</f>
        <v>0</v>
      </c>
      <c r="L162" s="11">
        <f>IF(OR(E162="férié travaillé",E162="travail"),I162-G162+IF(G162&gt;I162,1),INDEX('bases de donnée'!$E$20:'bases de donnée'!$E$32,MATCH(E162,gerald2,0)))</f>
        <v>0</v>
      </c>
      <c r="M162" s="21">
        <f>IF(SUM(L162-'bases de donnée'!E$4)&lt;0,0,SUM(L162-'bases de donnée'!E$4))</f>
        <v>0</v>
      </c>
      <c r="N162" s="155">
        <v>0</v>
      </c>
      <c r="O162" s="74">
        <f t="shared" si="148"/>
        <v>1.3666666666666667</v>
      </c>
      <c r="P162" s="61">
        <f>'bases de donnée'!E$10</f>
        <v>2</v>
      </c>
      <c r="Q162" s="120">
        <f t="shared" si="149"/>
        <v>0</v>
      </c>
      <c r="R162" s="30"/>
      <c r="S162" s="77">
        <f>IF(SUM(MOD(I162-G162,1)-IF(I162&gt;G162,MAX(0,MIN(I162,'bases de donnée'!E$16/24)-MAX('planning '!G162,7/24)),MAX(0,'bases de donnée'!E$16/24-MAX('planning '!G162,7/24))+MAX(0,MIN('planning '!I162,'bases de donnée'!E$16/24)-7/24)))&lt;0,0,SUM(MOD('planning '!I162-'planning '!G162,1)-IF('planning '!I162&gt;'planning '!G162,MAX(0,MIN('planning '!I162,'bases de donnée'!E$16/24)-MAX('planning '!G162,7/24)),MAX(0,'bases de donnée'!E$16/24-MAX('planning '!G162,7/24))+MAX(0,MIN('planning '!I162,'bases de donnée'!E$16/24)-7/24))))</f>
        <v>0</v>
      </c>
      <c r="T162" s="83"/>
      <c r="U162" s="77" t="str">
        <f t="shared" si="144"/>
        <v>00:00</v>
      </c>
      <c r="V162" s="78">
        <f>IF(SUM(IF(O162&gt;("36:00"*1),O162-("36:00"*1),0)-V160-V161)&lt;0,0,SUM(IF(O162&gt;("36:00"*1),O162-("36:00"*1),0)-V157-V158-V159-V160-V161))</f>
        <v>0</v>
      </c>
      <c r="W162" s="47"/>
      <c r="X162" s="48">
        <f t="shared" si="127"/>
        <v>0</v>
      </c>
      <c r="Y162" s="32"/>
      <c r="Z162" s="49">
        <f t="shared" si="145"/>
        <v>0</v>
      </c>
      <c r="AA162" s="48">
        <f t="shared" si="146"/>
        <v>0</v>
      </c>
      <c r="AB162" s="47"/>
      <c r="AC162" s="55"/>
      <c r="AD162" s="33">
        <f t="shared" si="147"/>
        <v>0</v>
      </c>
      <c r="AE162" s="33">
        <f t="shared" si="143"/>
        <v>0</v>
      </c>
    </row>
    <row r="163" spans="2:31" x14ac:dyDescent="0.3">
      <c r="B163"/>
      <c r="C163" s="9" t="s">
        <v>5</v>
      </c>
      <c r="D163" s="58">
        <f t="shared" si="150"/>
        <v>42142</v>
      </c>
      <c r="E163" s="29" t="s">
        <v>28</v>
      </c>
      <c r="F163" s="192"/>
      <c r="G163" s="195"/>
      <c r="H163" s="194"/>
      <c r="I163" s="195"/>
      <c r="J163" s="193">
        <f>IF(OR(E163="férié travaillé",E163="travail"),(I163-G163+IF(G163&gt;I163,1)-H163),INDEX('bases de donnée'!$E$20:'bases de donnée'!$E$32,MATCH(E163,gerald2,0)))</f>
        <v>0</v>
      </c>
      <c r="K163" s="20">
        <f>IF(SUM(J163-'bases de donnée'!E$7)&lt;0,0,SUM(J163-'bases de donnée'!E$7))</f>
        <v>0</v>
      </c>
      <c r="L163" s="11">
        <f>IF(OR(E163="férié travaillé",E163="travail"),I163-G163+IF(G163&gt;I163,1),INDEX('bases de donnée'!$E$20:'bases de donnée'!$E$32,MATCH(E163,gerald2,0)))</f>
        <v>0</v>
      </c>
      <c r="M163" s="21">
        <f>IF(SUM(L163-'bases de donnée'!E$4)&lt;0,0,SUM(L163-'bases de donnée'!E$4))</f>
        <v>0</v>
      </c>
      <c r="N163" s="155">
        <v>0</v>
      </c>
      <c r="O163" s="74">
        <f t="shared" si="148"/>
        <v>1.3666666666666667</v>
      </c>
      <c r="P163" s="33">
        <f>IF(SUM(O163-'bases de donnée'!E$10)&lt;0,0,SUM(O163-'bases de donnée'!E$10))</f>
        <v>0</v>
      </c>
      <c r="Q163" s="120">
        <f t="shared" si="149"/>
        <v>0</v>
      </c>
      <c r="R163" s="30"/>
      <c r="S163" s="77">
        <f>IF(SUM(MOD(I163-G163,1)-IF(I163&gt;G163,MAX(0,MIN(I163,'bases de donnée'!E$16/24)-MAX('planning '!G163,7/24)),MAX(0,'bases de donnée'!E$16/24-MAX('planning '!G163,7/24))+MAX(0,MIN('planning '!I163,'bases de donnée'!E$16/24)-7/24)))&lt;0,0,SUM(MOD('planning '!I163-'planning '!G163,1)-IF('planning '!I163&gt;'planning '!G163,MAX(0,MIN('planning '!I163,'bases de donnée'!E$16/24)-MAX('planning '!G163,7/24)),MAX(0,'bases de donnée'!E$16/24-MAX('planning '!G163,7/24))+MAX(0,MIN('planning '!I163,'bases de donnée'!E$16/24)-7/24))))</f>
        <v>0</v>
      </c>
      <c r="T163" s="77">
        <f>J163</f>
        <v>0</v>
      </c>
      <c r="U163" s="77" t="str">
        <f t="shared" si="144"/>
        <v>00:00</v>
      </c>
      <c r="V163" s="78">
        <f>IF(SUM(IF(O163&gt;("36:00"*1),O163-("36:00"*1),0)-V161-V162)&lt;0,0,SUM(IF(O163&gt;("36:00"*1),O163-("36:00"*1),0)-V157-V158-V159-V160-V161-V162))</f>
        <v>0</v>
      </c>
      <c r="W163" s="47"/>
      <c r="X163" s="48">
        <f t="shared" si="127"/>
        <v>0</v>
      </c>
      <c r="Y163" s="48">
        <f>IF(SUM(T163-S163)&lt;0,0,SUM(T163-S163))</f>
        <v>0</v>
      </c>
      <c r="Z163" s="56">
        <f>IF(SUM(U163-T163-S163)&lt;0,0,SUM(U163-T163-S163))</f>
        <v>0</v>
      </c>
      <c r="AA163" s="48">
        <f>IF(SUM(V163-S163-T163-U163)&lt;0,0,SUM(V163-S163-T163-U163))</f>
        <v>0</v>
      </c>
      <c r="AB163" s="47"/>
      <c r="AC163" s="57">
        <f>IF(SUM(T163-Y163)&lt;0,0,SUM(T163-Y163))</f>
        <v>0</v>
      </c>
      <c r="AD163" s="33">
        <f>IF(SUM(U163-Z163)&lt;0,0,SUM(U163-Z163))</f>
        <v>0</v>
      </c>
      <c r="AE163" s="33">
        <f t="shared" si="143"/>
        <v>0</v>
      </c>
    </row>
    <row r="164" spans="2:31" x14ac:dyDescent="0.3">
      <c r="B164"/>
      <c r="C164" s="25"/>
      <c r="D164" s="90"/>
      <c r="E164" s="90"/>
      <c r="F164" s="25"/>
      <c r="G164" s="185"/>
      <c r="H164" s="185"/>
      <c r="I164" s="185"/>
      <c r="J164" s="47"/>
      <c r="K164" s="92"/>
      <c r="L164" s="91"/>
      <c r="M164" s="91"/>
      <c r="N164" s="91"/>
      <c r="O164" s="93"/>
      <c r="P164" s="47"/>
      <c r="Q164" s="30"/>
      <c r="R164" s="30"/>
      <c r="S164" s="47"/>
      <c r="T164" s="47"/>
      <c r="U164" s="47"/>
      <c r="V164" s="93"/>
      <c r="W164" s="47"/>
      <c r="X164" s="47"/>
      <c r="Y164" s="47"/>
      <c r="Z164" s="47"/>
      <c r="AA164" s="47"/>
      <c r="AB164" s="47"/>
      <c r="AC164" s="47"/>
      <c r="AD164" s="47"/>
      <c r="AE164" s="47"/>
    </row>
    <row r="165" spans="2:31" x14ac:dyDescent="0.3">
      <c r="B165" s="14" t="s">
        <v>40</v>
      </c>
      <c r="C165" s="14" t="s">
        <v>6</v>
      </c>
      <c r="D165" s="43">
        <f>D163+1</f>
        <v>42143</v>
      </c>
      <c r="E165" s="29" t="s">
        <v>29</v>
      </c>
      <c r="F165" s="190"/>
      <c r="G165" s="194">
        <v>0.39583333333333331</v>
      </c>
      <c r="H165" s="194">
        <v>3.125E-2</v>
      </c>
      <c r="I165" s="194">
        <v>0.6875</v>
      </c>
      <c r="J165" s="193">
        <f>IF(OR(E165="férié travaillé",E165="travail"),(I165-G165+IF(G165&gt;I165,1)-H165),INDEX('bases de donnée'!$E$20:'bases de donnée'!$E$32,MATCH(E165,gerald2,0)))</f>
        <v>0.26041666666666669</v>
      </c>
      <c r="K165" s="20">
        <f>IF(SUM(J165-'bases de donnée'!E$7)&lt;0,0,SUM(J165-'bases de donnée'!E$7))</f>
        <v>0</v>
      </c>
      <c r="L165" s="11">
        <f>IF(OR(E165="férié travaillé",E165="travail"),I165-G165+IF(G165&gt;I165,1),INDEX('bases de donnée'!$E$20:'bases de donnée'!$E$32,MATCH(E165,gerald2,0)))</f>
        <v>0.29166666666666669</v>
      </c>
      <c r="M165" s="21">
        <f>IF(SUM(L165-'bases de donnée'!E$4)&lt;0,0,SUM(L165-'bases de donnée'!E$4))</f>
        <v>0</v>
      </c>
      <c r="N165" s="155">
        <v>0</v>
      </c>
      <c r="O165" s="45">
        <f t="shared" ref="O165" si="151">J165</f>
        <v>0.26041666666666669</v>
      </c>
      <c r="P165" s="122">
        <f>SUM(Q165:Q171)</f>
        <v>5</v>
      </c>
      <c r="Q165" s="120">
        <f>IF(AND(G165&lt;&gt;"",I165&lt;&gt;""),1,0+OR(N(I164)&lt;N(G164),E165="récupération",E165="congé 1 jour",E165="congé 1/2 jour ",E165="congé 5h24",E165="arrêt maladie",E165="arrêt travail",E165="férié ",E165="congé parentale",E165="congé de naissance"))</f>
        <v>1</v>
      </c>
      <c r="R165" s="30"/>
      <c r="S165" s="77">
        <f>IF(SUM(MOD(I165-G165,1)-IF(I165&gt;G165,MAX(0,MIN(I165,'bases de donnée'!E$16/24)-MAX('planning '!G165,7/24)),MAX(0,'bases de donnée'!E$16/24-MAX('planning '!G165,7/24))+MAX(0,MIN('planning '!I165,'bases de donnée'!E$16/24)-7/24)))&lt;0,0,SUM(MOD('planning '!I165-'planning '!G165,1)-IF('planning '!I165&gt;'planning '!G165,MAX(0,MIN('planning '!I165,'bases de donnée'!E$16/24)-MAX('planning '!G165,7/24)),MAX(0,'bases de donnée'!E$16/24-MAX('planning '!G165,7/24))+MAX(0,MIN('planning '!I165,'bases de donnée'!E$16/24)-7/24))))</f>
        <v>0</v>
      </c>
      <c r="T165" s="81"/>
      <c r="U165" s="77" t="str">
        <f t="shared" ref="U165:U171" si="152">IF(E165&lt;&gt;"travail",IF(E165="férié travaillé",MOD(I165-G165,1)-H165,"00:00"),"00:00")</f>
        <v>00:00</v>
      </c>
      <c r="V165" s="78"/>
      <c r="W165" s="47"/>
      <c r="X165" s="48">
        <f t="shared" si="127"/>
        <v>0</v>
      </c>
      <c r="Y165" s="31"/>
      <c r="Z165" s="88">
        <f t="shared" ref="Z165:Z170" si="153">IF(SUM(U165-X165)&lt;0,0,SUM(U165-X165))</f>
        <v>0</v>
      </c>
      <c r="AA165" s="48">
        <f t="shared" ref="AA165:AA170" si="154">IF(SUM(V165-X165-Z165)&lt;0,0,SUM(V165-X165-Z165))</f>
        <v>0</v>
      </c>
      <c r="AB165" s="47"/>
      <c r="AC165" s="50"/>
      <c r="AD165" s="33">
        <f t="shared" ref="AD165:AD186" si="155">IF(SUM(U165-Z165)&lt;0,0,SUM(U165-Z165))</f>
        <v>0</v>
      </c>
      <c r="AE165" s="33">
        <f t="shared" si="143"/>
        <v>0</v>
      </c>
    </row>
    <row r="166" spans="2:31" x14ac:dyDescent="0.3">
      <c r="B166" s="51">
        <f t="shared" ref="B166" si="156">B158+1</f>
        <v>20</v>
      </c>
      <c r="C166" s="14" t="s">
        <v>7</v>
      </c>
      <c r="D166" s="43">
        <f t="shared" si="150"/>
        <v>42144</v>
      </c>
      <c r="E166" s="29" t="s">
        <v>29</v>
      </c>
      <c r="F166" s="191"/>
      <c r="G166" s="194">
        <v>0.375</v>
      </c>
      <c r="H166" s="194">
        <v>7.2916666666666671E-2</v>
      </c>
      <c r="I166" s="194">
        <v>0.75</v>
      </c>
      <c r="J166" s="193">
        <f>IF(OR(E166="férié travaillé",E166="travail"),(I166-G166+IF(G166&gt;I166,1)-H166),INDEX('bases de donnée'!$E$20:'bases de donnée'!$E$32,MATCH(E166,gerald2,0)))</f>
        <v>0.30208333333333331</v>
      </c>
      <c r="K166" s="20">
        <f>IF(SUM(J166-'bases de donnée'!E$7)&lt;0,0,SUM(J166-'bases de donnée'!E$7))</f>
        <v>0</v>
      </c>
      <c r="L166" s="11">
        <f>IF(OR(E166="férié travaillé",E166="travail"),I166-G166+IF(G166&gt;I166,1),INDEX('bases de donnée'!$E$20:'bases de donnée'!$E$32,MATCH(E166,gerald2,0)))</f>
        <v>0.375</v>
      </c>
      <c r="M166" s="21">
        <f>IF(SUM(L166-'bases de donnée'!E$4)&lt;0,0,SUM(L166-'bases de donnée'!E$4))</f>
        <v>0</v>
      </c>
      <c r="N166" s="155">
        <v>0</v>
      </c>
      <c r="O166" s="73">
        <f t="shared" ref="O166:O171" si="157">O165+J166</f>
        <v>0.5625</v>
      </c>
      <c r="P166" s="121">
        <f>IF(SUM(P165-'bases de donnée'!E$6)&lt;0,0,SUM(P165-'bases de donnée'!E$6))</f>
        <v>0</v>
      </c>
      <c r="Q166" s="120">
        <f t="shared" ref="Q166:Q171" si="158">IF(AND(G166&lt;&gt;"",I166&lt;&gt;""),1,0+OR(N(I165)&lt;N(G165),E166="récupération",E166="congé 1 jour",E166="congé 1/2 jour ",E166="congé 5h24",E166="arrêt maladie",E166="arrêt travail",E166="férié ",E166="congé parentale",E166="congé de naissance"))</f>
        <v>1</v>
      </c>
      <c r="R166" s="30"/>
      <c r="S166" s="77">
        <f>IF(SUM(MOD(I166-G166,1)-IF(I166&gt;G166,MAX(0,MIN(I166,'bases de donnée'!E$16/24)-MAX('planning '!G166,7/24)),MAX(0,'bases de donnée'!E$16/24-MAX('planning '!G166,7/24))+MAX(0,MIN('planning '!I166,'bases de donnée'!E$16/24)-7/24)))&lt;0,0,SUM(MOD('planning '!I166-'planning '!G166,1)-IF('planning '!I166&gt;'planning '!G166,MAX(0,MIN('planning '!I166,'bases de donnée'!E$16/24)-MAX('planning '!G166,7/24)),MAX(0,'bases de donnée'!E$16/24-MAX('planning '!G166,7/24))+MAX(0,MIN('planning '!I166,'bases de donnée'!E$16/24)-7/24))))</f>
        <v>0</v>
      </c>
      <c r="T166" s="82"/>
      <c r="U166" s="77" t="str">
        <f t="shared" si="152"/>
        <v>00:00</v>
      </c>
      <c r="V166" s="78">
        <f>IF(SUM(IF(O166&gt;('bases de donnée'!E$9*1),O166-('bases de donnée'!E$9*1),0)-V165)&lt;0,0,SUM(IF(O166&gt;('bases de donnée'!E$9*1),O166-('bases de donnée'!E$9*1),0)-V165))</f>
        <v>0</v>
      </c>
      <c r="W166" s="47"/>
      <c r="X166" s="48">
        <f t="shared" si="127"/>
        <v>0</v>
      </c>
      <c r="Y166" s="42"/>
      <c r="Z166" s="88">
        <f t="shared" si="153"/>
        <v>0</v>
      </c>
      <c r="AA166" s="48">
        <f t="shared" si="154"/>
        <v>0</v>
      </c>
      <c r="AB166" s="47"/>
      <c r="AC166" s="54"/>
      <c r="AD166" s="33">
        <f t="shared" si="155"/>
        <v>0</v>
      </c>
      <c r="AE166" s="33">
        <f t="shared" si="143"/>
        <v>0</v>
      </c>
    </row>
    <row r="167" spans="2:31" x14ac:dyDescent="0.3">
      <c r="B167"/>
      <c r="C167" s="14" t="s">
        <v>8</v>
      </c>
      <c r="D167" s="43">
        <f t="shared" si="150"/>
        <v>42145</v>
      </c>
      <c r="E167" s="29" t="s">
        <v>29</v>
      </c>
      <c r="F167" s="191"/>
      <c r="G167" s="194">
        <v>0.375</v>
      </c>
      <c r="H167" s="194">
        <v>3.125E-2</v>
      </c>
      <c r="I167" s="194">
        <v>0.70833333333333337</v>
      </c>
      <c r="J167" s="193">
        <f>IF(OR(E167="férié travaillé",E167="travail"),(I167-G167+IF(G167&gt;I167,1)-H167),INDEX('bases de donnée'!$E$20:'bases de donnée'!$E$32,MATCH(E167,gerald2,0)))</f>
        <v>0.30208333333333337</v>
      </c>
      <c r="K167" s="20">
        <f>IF(SUM(J167-'bases de donnée'!E$7)&lt;0,0,SUM(J167-'bases de donnée'!E$7))</f>
        <v>0</v>
      </c>
      <c r="L167" s="11">
        <f>IF(OR(E167="férié travaillé",E167="travail"),I167-G167+IF(G167&gt;I167,1),INDEX('bases de donnée'!$E$20:'bases de donnée'!$E$32,MATCH(E167,gerald2,0)))</f>
        <v>0.33333333333333337</v>
      </c>
      <c r="M167" s="21">
        <f>IF(SUM(L167-'bases de donnée'!E$4)&lt;0,0,SUM(L167-'bases de donnée'!E$4))</f>
        <v>0</v>
      </c>
      <c r="N167" s="155">
        <v>0</v>
      </c>
      <c r="O167" s="73">
        <f t="shared" si="157"/>
        <v>0.86458333333333337</v>
      </c>
      <c r="P167" s="34" t="s">
        <v>46</v>
      </c>
      <c r="Q167" s="120">
        <f t="shared" si="158"/>
        <v>1</v>
      </c>
      <c r="R167" s="30"/>
      <c r="S167" s="77">
        <f>IF(SUM(MOD(I167-G167,1)-IF(I167&gt;G167,MAX(0,MIN(I167,'bases de donnée'!E$16/24)-MAX('planning '!G167,7/24)),MAX(0,'bases de donnée'!E$16/24-MAX('planning '!G167,7/24))+MAX(0,MIN('planning '!I167,'bases de donnée'!E$16/24)-7/24)))&lt;0,0,SUM(MOD('planning '!I167-'planning '!G167,1)-IF('planning '!I167&gt;'planning '!G167,MAX(0,MIN('planning '!I167,'bases de donnée'!E$16/24)-MAX('planning '!G167,7/24)),MAX(0,'bases de donnée'!E$16/24-MAX('planning '!G167,7/24))+MAX(0,MIN('planning '!I167,'bases de donnée'!E$16/24)-7/24))))</f>
        <v>0</v>
      </c>
      <c r="T167" s="82"/>
      <c r="U167" s="77" t="str">
        <f t="shared" si="152"/>
        <v>00:00</v>
      </c>
      <c r="V167" s="78">
        <f>IF(SUM(IF(O167&gt;("36:00"*1),O167-("36:00"*1),0)-V165-V166)&lt;0,0,SUM(IF(O167&gt;("36:00"*1),O167-("36:00"*1),0)-V165-V166))</f>
        <v>0</v>
      </c>
      <c r="W167" s="47"/>
      <c r="X167" s="48">
        <f t="shared" si="127"/>
        <v>0</v>
      </c>
      <c r="Y167" s="42"/>
      <c r="Z167" s="88">
        <f t="shared" si="153"/>
        <v>0</v>
      </c>
      <c r="AA167" s="48">
        <f t="shared" si="154"/>
        <v>0</v>
      </c>
      <c r="AB167" s="47"/>
      <c r="AC167" s="54"/>
      <c r="AD167" s="33">
        <f t="shared" si="155"/>
        <v>0</v>
      </c>
      <c r="AE167" s="33">
        <f t="shared" si="143"/>
        <v>0</v>
      </c>
    </row>
    <row r="168" spans="2:31" x14ac:dyDescent="0.3">
      <c r="B168"/>
      <c r="C168" s="14" t="s">
        <v>9</v>
      </c>
      <c r="D168" s="43">
        <f t="shared" si="150"/>
        <v>42146</v>
      </c>
      <c r="E168" s="29" t="s">
        <v>29</v>
      </c>
      <c r="F168" s="191"/>
      <c r="G168" s="194">
        <v>0.375</v>
      </c>
      <c r="H168" s="194">
        <v>3.125E-2</v>
      </c>
      <c r="I168" s="194">
        <v>0.54166666666666663</v>
      </c>
      <c r="J168" s="193">
        <f>IF(OR(E168="férié travaillé",E168="travail"),(I168-G168+IF(G168&gt;I168,1)-H168),INDEX('bases de donnée'!$E$20:'bases de donnée'!$E$32,MATCH(E168,gerald2,0)))</f>
        <v>0.13541666666666663</v>
      </c>
      <c r="K168" s="20">
        <f>IF(SUM(J168-'bases de donnée'!E$7)&lt;0,0,SUM(J168-'bases de donnée'!E$7))</f>
        <v>0</v>
      </c>
      <c r="L168" s="11">
        <f>IF(OR(E168="férié travaillé",E168="travail"),I168-G168+IF(G168&gt;I168,1),INDEX('bases de donnée'!$E$20:'bases de donnée'!$E$32,MATCH(E168,gerald2,0)))</f>
        <v>0.16666666666666663</v>
      </c>
      <c r="M168" s="21">
        <f>IF(SUM(L168-'bases de donnée'!E$4)&lt;0,0,SUM(L168-'bases de donnée'!E$4))</f>
        <v>0</v>
      </c>
      <c r="N168" s="155">
        <v>0</v>
      </c>
      <c r="O168" s="73">
        <f t="shared" si="157"/>
        <v>1</v>
      </c>
      <c r="P168" s="86">
        <f>O171</f>
        <v>1.3020833333333335</v>
      </c>
      <c r="Q168" s="120">
        <f t="shared" si="158"/>
        <v>1</v>
      </c>
      <c r="R168" s="30"/>
      <c r="S168" s="77">
        <f>IF(SUM(MOD(I168-G168,1)-IF(I168&gt;G168,MAX(0,MIN(I168,'bases de donnée'!E$16/24)-MAX('planning '!G168,7/24)),MAX(0,'bases de donnée'!E$16/24-MAX('planning '!G168,7/24))+MAX(0,MIN('planning '!I168,'bases de donnée'!E$16/24)-7/24)))&lt;0,0,SUM(MOD('planning '!I168-'planning '!G168,1)-IF('planning '!I168&gt;'planning '!G168,MAX(0,MIN('planning '!I168,'bases de donnée'!E$16/24)-MAX('planning '!G168,7/24)),MAX(0,'bases de donnée'!E$16/24-MAX('planning '!G168,7/24))+MAX(0,MIN('planning '!I168,'bases de donnée'!E$16/24)-7/24))))</f>
        <v>0</v>
      </c>
      <c r="T168" s="82"/>
      <c r="U168" s="77" t="str">
        <f t="shared" si="152"/>
        <v>00:00</v>
      </c>
      <c r="V168" s="78">
        <f>IF(SUM(IF(O168&gt;("36:00"*1),O168-("36:00"*1),0)-V166-V167)&lt;0,0,SUM(IF(O168&gt;("36:00"*1),O168-("36:00"*1),0)-V165-V166-V167))</f>
        <v>0</v>
      </c>
      <c r="W168" s="47"/>
      <c r="X168" s="48">
        <f t="shared" si="127"/>
        <v>0</v>
      </c>
      <c r="Y168" s="42"/>
      <c r="Z168" s="88">
        <f t="shared" si="153"/>
        <v>0</v>
      </c>
      <c r="AA168" s="48">
        <f t="shared" si="154"/>
        <v>0</v>
      </c>
      <c r="AB168" s="47"/>
      <c r="AC168" s="54"/>
      <c r="AD168" s="33">
        <f t="shared" si="155"/>
        <v>0</v>
      </c>
      <c r="AE168" s="33">
        <f t="shared" si="143"/>
        <v>0</v>
      </c>
    </row>
    <row r="169" spans="2:31" x14ac:dyDescent="0.3">
      <c r="B169"/>
      <c r="C169" s="14" t="s">
        <v>3</v>
      </c>
      <c r="D169" s="43">
        <f t="shared" si="150"/>
        <v>42147</v>
      </c>
      <c r="E169" s="29" t="s">
        <v>29</v>
      </c>
      <c r="F169" s="191"/>
      <c r="G169" s="194">
        <v>0.375</v>
      </c>
      <c r="H169" s="194">
        <v>3.125E-2</v>
      </c>
      <c r="I169" s="194">
        <v>0.70833333333333337</v>
      </c>
      <c r="J169" s="193">
        <f>IF(OR(E169="férié travaillé",E169="travail"),(I169-G169+IF(G169&gt;I169,1)-H169),INDEX('bases de donnée'!$E$20:'bases de donnée'!$E$32,MATCH(E169,gerald2,0)))</f>
        <v>0.30208333333333337</v>
      </c>
      <c r="K169" s="20">
        <f>IF(SUM(J169-'bases de donnée'!E$7)&lt;0,0,SUM(J169-'bases de donnée'!E$7))</f>
        <v>0</v>
      </c>
      <c r="L169" s="11">
        <f>IF(OR(E169="férié travaillé",E169="travail"),I169-G169+IF(G169&gt;I169,1),INDEX('bases de donnée'!$E$20:'bases de donnée'!$E$32,MATCH(E169,gerald2,0)))</f>
        <v>0.33333333333333337</v>
      </c>
      <c r="M169" s="21">
        <f>IF(SUM(L169-'bases de donnée'!E$4)&lt;0,0,SUM(L169-'bases de donnée'!E$4))</f>
        <v>0</v>
      </c>
      <c r="N169" s="155">
        <v>0</v>
      </c>
      <c r="O169" s="73">
        <f t="shared" si="157"/>
        <v>1.3020833333333335</v>
      </c>
      <c r="P169" s="12" t="s">
        <v>48</v>
      </c>
      <c r="Q169" s="120">
        <f t="shared" si="158"/>
        <v>1</v>
      </c>
      <c r="R169" s="30"/>
      <c r="S169" s="77">
        <f>IF(SUM(MOD(I169-G169,1)-IF(I169&gt;G169,MAX(0,MIN(I169,'bases de donnée'!E$16/24)-MAX('planning '!G169,7/24)),MAX(0,'bases de donnée'!E$16/24-MAX('planning '!G169,7/24))+MAX(0,MIN('planning '!I169,'bases de donnée'!E$16/24)-7/24)))&lt;0,0,SUM(MOD('planning '!I169-'planning '!G169,1)-IF('planning '!I169&gt;'planning '!G169,MAX(0,MIN('planning '!I169,'bases de donnée'!E$16/24)-MAX('planning '!G169,7/24)),MAX(0,'bases de donnée'!E$16/24-MAX('planning '!G169,7/24))+MAX(0,MIN('planning '!I169,'bases de donnée'!E$16/24)-7/24))))</f>
        <v>0</v>
      </c>
      <c r="T169" s="82"/>
      <c r="U169" s="77" t="str">
        <f t="shared" si="152"/>
        <v>00:00</v>
      </c>
      <c r="V169" s="78">
        <f>IF(SUM(IF(O169&gt;("36:00"*1),O169-("36:00"*1),0)-V167-V168)&lt;0,0,SUM(IF(O169&gt;("36:00"*1),O169-("36:00"*1),0)-V165-V166-V167-V168))</f>
        <v>0</v>
      </c>
      <c r="W169" s="47"/>
      <c r="X169" s="48">
        <f t="shared" si="127"/>
        <v>0</v>
      </c>
      <c r="Y169" s="42"/>
      <c r="Z169" s="88">
        <f t="shared" si="153"/>
        <v>0</v>
      </c>
      <c r="AA169" s="48">
        <f t="shared" si="154"/>
        <v>0</v>
      </c>
      <c r="AB169" s="47"/>
      <c r="AC169" s="54"/>
      <c r="AD169" s="33">
        <f t="shared" si="155"/>
        <v>0</v>
      </c>
      <c r="AE169" s="33">
        <f t="shared" si="143"/>
        <v>0</v>
      </c>
    </row>
    <row r="170" spans="2:31" x14ac:dyDescent="0.3">
      <c r="B170"/>
      <c r="C170" s="14" t="s">
        <v>4</v>
      </c>
      <c r="D170" s="43">
        <f t="shared" si="150"/>
        <v>42148</v>
      </c>
      <c r="E170" s="29" t="s">
        <v>28</v>
      </c>
      <c r="F170" s="191"/>
      <c r="G170" s="195"/>
      <c r="H170" s="194"/>
      <c r="I170" s="195"/>
      <c r="J170" s="193">
        <f>IF(OR(E170="férié travaillé",E170="travail"),(I170-G170+IF(G170&gt;I170,1)-H170),INDEX('bases de donnée'!$E$20:'bases de donnée'!$E$32,MATCH(E170,gerald2,0)))</f>
        <v>0</v>
      </c>
      <c r="K170" s="20">
        <f>IF(SUM(J170-'bases de donnée'!E$7)&lt;0,0,SUM(J170-'bases de donnée'!E$7))</f>
        <v>0</v>
      </c>
      <c r="L170" s="11">
        <f>IF(OR(E170="férié travaillé",E170="travail"),I170-G170+IF(G170&gt;I170,1),INDEX('bases de donnée'!$E$20:'bases de donnée'!$E$32,MATCH(E170,gerald2,0)))</f>
        <v>0</v>
      </c>
      <c r="M170" s="21">
        <f>IF(SUM(L170-'bases de donnée'!E$4)&lt;0,0,SUM(L170-'bases de donnée'!E$4))</f>
        <v>0</v>
      </c>
      <c r="N170" s="155">
        <v>0</v>
      </c>
      <c r="O170" s="73">
        <f t="shared" si="157"/>
        <v>1.3020833333333335</v>
      </c>
      <c r="P170" s="53">
        <f>'bases de donnée'!E$10</f>
        <v>2</v>
      </c>
      <c r="Q170" s="120">
        <f t="shared" si="158"/>
        <v>0</v>
      </c>
      <c r="R170" s="30"/>
      <c r="S170" s="77">
        <f>IF(SUM(MOD(I170-G170,1)-IF(I170&gt;G170,MAX(0,MIN(I170,'bases de donnée'!E$16/24)-MAX('planning '!G170,7/24)),MAX(0,'bases de donnée'!E$16/24-MAX('planning '!G170,7/24))+MAX(0,MIN('planning '!I170,'bases de donnée'!E$16/24)-7/24)))&lt;0,0,SUM(MOD('planning '!I170-'planning '!G170,1)-IF('planning '!I170&gt;'planning '!G170,MAX(0,MIN('planning '!I170,'bases de donnée'!E$16/24)-MAX('planning '!G170,7/24)),MAX(0,'bases de donnée'!E$16/24-MAX('planning '!G170,7/24))+MAX(0,MIN('planning '!I170,'bases de donnée'!E$16/24)-7/24))))</f>
        <v>0</v>
      </c>
      <c r="T170" s="82"/>
      <c r="U170" s="77" t="str">
        <f t="shared" si="152"/>
        <v>00:00</v>
      </c>
      <c r="V170" s="78">
        <f>IF(SUM(IF(O170&gt;("36:00"*1),O170-("36:00"*1),0)-V168-V169)&lt;0,0,SUM(IF(O170&gt;("36:00"*1),O170-("36:00"*1),0)-V165-V166-V167-V168-V169))</f>
        <v>0</v>
      </c>
      <c r="W170" s="47"/>
      <c r="X170" s="48">
        <f t="shared" si="127"/>
        <v>0</v>
      </c>
      <c r="Y170" s="32"/>
      <c r="Z170" s="88">
        <f t="shared" si="153"/>
        <v>0</v>
      </c>
      <c r="AA170" s="48">
        <f t="shared" si="154"/>
        <v>0</v>
      </c>
      <c r="AB170" s="47"/>
      <c r="AC170" s="55"/>
      <c r="AD170" s="33">
        <f t="shared" si="155"/>
        <v>0</v>
      </c>
      <c r="AE170" s="33">
        <f t="shared" si="143"/>
        <v>0</v>
      </c>
    </row>
    <row r="171" spans="2:31" x14ac:dyDescent="0.3">
      <c r="B171"/>
      <c r="C171" s="14" t="s">
        <v>5</v>
      </c>
      <c r="D171" s="43">
        <f t="shared" si="150"/>
        <v>42149</v>
      </c>
      <c r="E171" s="29" t="s">
        <v>28</v>
      </c>
      <c r="F171" s="192"/>
      <c r="G171" s="195"/>
      <c r="H171" s="194"/>
      <c r="I171" s="195"/>
      <c r="J171" s="193">
        <f>IF(OR(E171="férié travaillé",E171="travail"),(I171-G171+IF(G171&gt;I171,1)-H171),INDEX('bases de donnée'!$E$20:'bases de donnée'!$E$32,MATCH(E171,gerald2,0)))</f>
        <v>0</v>
      </c>
      <c r="K171" s="20">
        <f>IF(SUM(J171-'bases de donnée'!E$7)&lt;0,0,SUM(J171-'bases de donnée'!E$7))</f>
        <v>0</v>
      </c>
      <c r="L171" s="11">
        <f>IF(OR(E171="férié travaillé",E171="travail"),I171-G171+IF(G171&gt;I171,1),INDEX('bases de donnée'!$E$20:'bases de donnée'!$E$32,MATCH(E171,gerald2,0)))</f>
        <v>0</v>
      </c>
      <c r="M171" s="21">
        <f>IF(SUM(L171-'bases de donnée'!E$4)&lt;0,0,SUM(L171-'bases de donnée'!E$4))</f>
        <v>0</v>
      </c>
      <c r="N171" s="155">
        <v>0</v>
      </c>
      <c r="O171" s="73">
        <f t="shared" si="157"/>
        <v>1.3020833333333335</v>
      </c>
      <c r="P171" s="33">
        <f>IF(SUM(O171-'bases de donnée'!E$10)&lt;0,0,SUM(O171-'bases de donnée'!E$10))</f>
        <v>0</v>
      </c>
      <c r="Q171" s="120">
        <f t="shared" si="158"/>
        <v>0</v>
      </c>
      <c r="R171" s="30"/>
      <c r="S171" s="77">
        <f>IF(SUM(MOD(I171-G171,1)-IF(I171&gt;G171,MAX(0,MIN(I171,'bases de donnée'!E$16/24)-MAX('planning '!G171,7/24)),MAX(0,'bases de donnée'!E$16/24-MAX('planning '!G171,7/24))+MAX(0,MIN('planning '!I171,'bases de donnée'!E$16/24)-7/24)))&lt;0,0,SUM(MOD('planning '!I171-'planning '!G171,1)-IF('planning '!I171&gt;'planning '!G171,MAX(0,MIN('planning '!I171,'bases de donnée'!E$16/24)-MAX('planning '!G171,7/24)),MAX(0,'bases de donnée'!E$16/24-MAX('planning '!G171,7/24))+MAX(0,MIN('planning '!I171,'bases de donnée'!E$16/24)-7/24))))</f>
        <v>0</v>
      </c>
      <c r="T171" s="77">
        <f>J171</f>
        <v>0</v>
      </c>
      <c r="U171" s="77" t="str">
        <f t="shared" si="152"/>
        <v>00:00</v>
      </c>
      <c r="V171" s="78">
        <f>IF(SUM(IF(O171&gt;("36:00"*1),O171-("36:00"*1),0)-V169-V170)&lt;0,0,SUM(IF(O171&gt;("36:00"*1),O171-("36:00"*1),0)-V165-V166-V167-V168-V169-V170))</f>
        <v>0</v>
      </c>
      <c r="W171" s="47"/>
      <c r="X171" s="48">
        <f t="shared" si="127"/>
        <v>0</v>
      </c>
      <c r="Y171" s="48">
        <f t="shared" ref="Y171" si="159">IF(SUM(T171-S171)&lt;0,0,SUM(T171-S171))</f>
        <v>0</v>
      </c>
      <c r="Z171" s="48">
        <f t="shared" ref="Z171" si="160">IF(SUM(U171-T171-S171)&lt;0,0,SUM(U171-T171-S171))</f>
        <v>0</v>
      </c>
      <c r="AA171" s="48">
        <f>IF(SUM(V171-S171-T171-U171)&lt;0,0,SUM(V171-S171-T171-U171))</f>
        <v>0</v>
      </c>
      <c r="AB171" s="47"/>
      <c r="AC171" s="57">
        <f t="shared" ref="AC171" si="161">IF(SUM(T171-Y171)&lt;0,0,SUM(T171-Y171))</f>
        <v>0</v>
      </c>
      <c r="AD171" s="33">
        <f t="shared" si="155"/>
        <v>0</v>
      </c>
      <c r="AE171" s="33">
        <f t="shared" si="143"/>
        <v>0</v>
      </c>
    </row>
    <row r="172" spans="2:31" x14ac:dyDescent="0.3">
      <c r="B172"/>
      <c r="C172" s="25"/>
      <c r="D172" s="90"/>
      <c r="E172" s="90"/>
      <c r="F172" s="25"/>
      <c r="G172" s="185"/>
      <c r="H172" s="185"/>
      <c r="I172" s="185"/>
      <c r="J172" s="47"/>
      <c r="K172" s="92"/>
      <c r="L172" s="91"/>
      <c r="M172" s="91"/>
      <c r="N172" s="91"/>
      <c r="O172" s="93"/>
      <c r="P172" s="47"/>
      <c r="Q172" s="30"/>
      <c r="R172" s="30"/>
      <c r="S172" s="47"/>
      <c r="T172" s="47"/>
      <c r="U172" s="47"/>
      <c r="V172" s="93"/>
      <c r="W172" s="47"/>
      <c r="X172" s="47"/>
      <c r="Y172" s="47"/>
      <c r="Z172" s="47"/>
      <c r="AA172" s="47"/>
      <c r="AB172" s="47"/>
      <c r="AC172" s="47"/>
      <c r="AD172" s="47"/>
      <c r="AE172" s="47"/>
    </row>
    <row r="173" spans="2:31" x14ac:dyDescent="0.3">
      <c r="B173" s="9" t="s">
        <v>40</v>
      </c>
      <c r="C173" s="9" t="s">
        <v>6</v>
      </c>
      <c r="D173" s="58">
        <f>D171+1</f>
        <v>42150</v>
      </c>
      <c r="E173" s="29" t="s">
        <v>29</v>
      </c>
      <c r="F173" s="190"/>
      <c r="G173" s="194">
        <v>0.5</v>
      </c>
      <c r="H173" s="194">
        <v>3.125E-2</v>
      </c>
      <c r="I173" s="194">
        <v>0.77083333333333337</v>
      </c>
      <c r="J173" s="193">
        <f>IF(OR(E173="férié travaillé",E173="travail"),(I173-G173+IF(G173&gt;I173,1)-H173),INDEX('bases de donnée'!$E$20:'bases de donnée'!$E$32,MATCH(E173,gerald2,0)))</f>
        <v>0.23958333333333337</v>
      </c>
      <c r="K173" s="20">
        <f>IF(SUM(J173-'bases de donnée'!E$7)&lt;0,0,SUM(J173-'bases de donnée'!E$7))</f>
        <v>0</v>
      </c>
      <c r="L173" s="11">
        <f>IF(OR(E173="férié travaillé",E173="travail"),I173-G173+IF(G173&gt;I173,1),INDEX('bases de donnée'!$E$20:'bases de donnée'!$E$32,MATCH(E173,gerald2,0)))</f>
        <v>0.27083333333333337</v>
      </c>
      <c r="M173" s="21">
        <f>IF(SUM(L173-'bases de donnée'!E$4)&lt;0,0,SUM(L173-'bases de donnée'!E$4))</f>
        <v>0</v>
      </c>
      <c r="N173" s="155">
        <v>0</v>
      </c>
      <c r="O173" s="59">
        <f t="shared" ref="O173" si="162">J173</f>
        <v>0.23958333333333337</v>
      </c>
      <c r="P173" s="122">
        <f>SUM(Q173:Q179)</f>
        <v>4</v>
      </c>
      <c r="Q173" s="120">
        <f>IF(AND(G173&lt;&gt;"",I173&lt;&gt;""),1,0+OR(N(I172)&lt;N(G172),E173="récupération",E173="congé 1 jour",E173="congé 1/2 jour ",E173="congé 5h24",E173="arrêt maladie",E173="arrêt travail",E173="férié ",E173="congé parentale",E173="congé de naissance"))</f>
        <v>1</v>
      </c>
      <c r="R173" s="30"/>
      <c r="S173" s="77">
        <f>IF(SUM(MOD(I173-G173,1)-IF(I173&gt;G173,MAX(0,MIN(I173,'bases de donnée'!E$16/24)-MAX('planning '!G173,7/24)),MAX(0,'bases de donnée'!E$16/24-MAX('planning '!G173,7/24))+MAX(0,MIN('planning '!I173,'bases de donnée'!E$16/24)-7/24)))&lt;0,0,SUM(MOD('planning '!I173-'planning '!G173,1)-IF('planning '!I173&gt;'planning '!G173,MAX(0,MIN('planning '!I173,'bases de donnée'!E$16/24)-MAX('planning '!G173,7/24)),MAX(0,'bases de donnée'!E$16/24-MAX('planning '!G173,7/24))+MAX(0,MIN('planning '!I173,'bases de donnée'!E$16/24)-7/24))))</f>
        <v>0</v>
      </c>
      <c r="T173" s="81"/>
      <c r="U173" s="77" t="str">
        <f t="shared" ref="U173:U179" si="163">IF(E173&lt;&gt;"travail",IF(E173="férié travaillé",MOD(I173-G173,1)-H173,"00:00"),"00:00")</f>
        <v>00:00</v>
      </c>
      <c r="V173" s="78"/>
      <c r="W173" s="47"/>
      <c r="X173" s="48">
        <f t="shared" si="127"/>
        <v>0</v>
      </c>
      <c r="Y173" s="31"/>
      <c r="Z173" s="49">
        <f t="shared" ref="Z173:Z178" si="164">IF(SUM(U173-X173)&lt;0,0,SUM(U173-X173))</f>
        <v>0</v>
      </c>
      <c r="AA173" s="48">
        <f t="shared" ref="AA173:AA178" si="165">IF(SUM(V173-X173-Z173)&lt;0,0,SUM(V173-X173-Z173))</f>
        <v>0</v>
      </c>
      <c r="AB173" s="47"/>
      <c r="AC173" s="50"/>
      <c r="AD173" s="33">
        <f t="shared" si="155"/>
        <v>0</v>
      </c>
      <c r="AE173" s="33">
        <f t="shared" si="143"/>
        <v>0</v>
      </c>
    </row>
    <row r="174" spans="2:31" x14ac:dyDescent="0.3">
      <c r="B174" s="60">
        <f t="shared" ref="B174" si="166">B166+1</f>
        <v>21</v>
      </c>
      <c r="C174" s="9" t="s">
        <v>7</v>
      </c>
      <c r="D174" s="58">
        <f t="shared" si="150"/>
        <v>42151</v>
      </c>
      <c r="E174" s="29" t="s">
        <v>30</v>
      </c>
      <c r="F174" s="191"/>
      <c r="G174" s="194"/>
      <c r="H174" s="194"/>
      <c r="I174" s="194"/>
      <c r="J174" s="193">
        <f>IF(OR(E174="férié travaillé",E174="travail"),(I174-G174+IF(G174&gt;I174,1)-H174),INDEX('bases de donnée'!$E$20:'bases de donnée'!$E$32,MATCH(E174,gerald2,0)))</f>
        <v>0.3</v>
      </c>
      <c r="K174" s="20">
        <f>IF(SUM(J174-'bases de donnée'!E$7)&lt;0,0,SUM(J174-'bases de donnée'!E$7))</f>
        <v>0</v>
      </c>
      <c r="L174" s="11">
        <f>IF(OR(E174="férié travaillé",E174="travail"),I174-G174+IF(G174&gt;I174,1),INDEX('bases de donnée'!$E$20:'bases de donnée'!$E$32,MATCH(E174,gerald2,0)))</f>
        <v>0.3</v>
      </c>
      <c r="M174" s="21">
        <f>IF(SUM(L174-'bases de donnée'!E$4)&lt;0,0,SUM(L174-'bases de donnée'!E$4))</f>
        <v>0</v>
      </c>
      <c r="N174" s="155">
        <v>0</v>
      </c>
      <c r="O174" s="74">
        <f t="shared" ref="O174:O179" si="167">O173+J174</f>
        <v>0.5395833333333333</v>
      </c>
      <c r="P174" s="121">
        <f>IF(SUM(P173-'bases de donnée'!E$6)&lt;0,0,SUM(P173-'bases de donnée'!E$6))</f>
        <v>0</v>
      </c>
      <c r="Q174" s="120">
        <f t="shared" ref="Q174:Q179" si="168">IF(AND(G174&lt;&gt;"",I174&lt;&gt;""),1,0+OR(N(I173)&lt;N(G173),E174="récupération",E174="congé 1 jour",E174="congé 1/2 jour ",E174="congé 5h24",E174="arrêt maladie",E174="arrêt travail",E174="férié ",E174="congé parentale",E174="congé de naissance"))</f>
        <v>1</v>
      </c>
      <c r="R174" s="30"/>
      <c r="S174" s="77">
        <f>IF(SUM(MOD(I174-G174,1)-IF(I174&gt;G174,MAX(0,MIN(I174,'bases de donnée'!E$16/24)-MAX('planning '!G174,7/24)),MAX(0,'bases de donnée'!E$16/24-MAX('planning '!G174,7/24))+MAX(0,MIN('planning '!I174,'bases de donnée'!E$16/24)-7/24)))&lt;0,0,SUM(MOD('planning '!I174-'planning '!G174,1)-IF('planning '!I174&gt;'planning '!G174,MAX(0,MIN('planning '!I174,'bases de donnée'!E$16/24)-MAX('planning '!G174,7/24)),MAX(0,'bases de donnée'!E$16/24-MAX('planning '!G174,7/24))+MAX(0,MIN('planning '!I174,'bases de donnée'!E$16/24)-7/24))))</f>
        <v>0</v>
      </c>
      <c r="T174" s="82"/>
      <c r="U174" s="77" t="str">
        <f t="shared" si="163"/>
        <v>00:00</v>
      </c>
      <c r="V174" s="78">
        <f>IF(SUM(IF(O174&gt;('bases de donnée'!E$9*1),O174-('bases de donnée'!E$9*1),0)-V173)&lt;0,0,SUM(IF(O174&gt;('bases de donnée'!E$9*1),O174-('bases de donnée'!E$9*1),0)-V173))</f>
        <v>0</v>
      </c>
      <c r="W174" s="47"/>
      <c r="X174" s="48">
        <f t="shared" si="127"/>
        <v>0</v>
      </c>
      <c r="Y174" s="42"/>
      <c r="Z174" s="49">
        <f t="shared" si="164"/>
        <v>0</v>
      </c>
      <c r="AA174" s="48">
        <f t="shared" si="165"/>
        <v>0</v>
      </c>
      <c r="AB174" s="47"/>
      <c r="AC174" s="54"/>
      <c r="AD174" s="33">
        <f t="shared" si="155"/>
        <v>0</v>
      </c>
      <c r="AE174" s="33">
        <f t="shared" si="143"/>
        <v>0</v>
      </c>
    </row>
    <row r="175" spans="2:31" x14ac:dyDescent="0.3">
      <c r="B175"/>
      <c r="C175" s="9" t="s">
        <v>8</v>
      </c>
      <c r="D175" s="58">
        <f t="shared" si="150"/>
        <v>42152</v>
      </c>
      <c r="E175" s="29" t="s">
        <v>28</v>
      </c>
      <c r="F175" s="191"/>
      <c r="G175" s="194"/>
      <c r="H175" s="194"/>
      <c r="I175" s="194"/>
      <c r="J175" s="193">
        <f>IF(OR(E175="férié travaillé",E175="travail"),(I175-G175+IF(G175&gt;I175,1)-H175),INDEX('bases de donnée'!$E$20:'bases de donnée'!$E$32,MATCH(E175,gerald2,0)))</f>
        <v>0</v>
      </c>
      <c r="K175" s="20">
        <f>IF(SUM(J175-'bases de donnée'!E$7)&lt;0,0,SUM(J175-'bases de donnée'!E$7))</f>
        <v>0</v>
      </c>
      <c r="L175" s="11">
        <f>IF(OR(E175="férié travaillé",E175="travail"),I175-G175+IF(G175&gt;I175,1),INDEX('bases de donnée'!$E$20:'bases de donnée'!$E$32,MATCH(E175,gerald2,0)))</f>
        <v>0</v>
      </c>
      <c r="M175" s="21">
        <f>IF(SUM(L175-'bases de donnée'!E$4)&lt;0,0,SUM(L175-'bases de donnée'!E$4))</f>
        <v>0</v>
      </c>
      <c r="N175" s="155">
        <v>0</v>
      </c>
      <c r="O175" s="74">
        <f t="shared" si="167"/>
        <v>0.5395833333333333</v>
      </c>
      <c r="P175" s="34" t="s">
        <v>46</v>
      </c>
      <c r="Q175" s="120">
        <f t="shared" si="168"/>
        <v>0</v>
      </c>
      <c r="R175" s="30"/>
      <c r="S175" s="77">
        <f>IF(SUM(MOD(I175-G175,1)-IF(I175&gt;G175,MAX(0,MIN(I175,'bases de donnée'!E$16/24)-MAX('planning '!G175,7/24)),MAX(0,'bases de donnée'!E$16/24-MAX('planning '!G175,7/24))+MAX(0,MIN('planning '!I175,'bases de donnée'!E$16/24)-7/24)))&lt;0,0,SUM(MOD('planning '!I175-'planning '!G175,1)-IF('planning '!I175&gt;'planning '!G175,MAX(0,MIN('planning '!I175,'bases de donnée'!E$16/24)-MAX('planning '!G175,7/24)),MAX(0,'bases de donnée'!E$16/24-MAX('planning '!G175,7/24))+MAX(0,MIN('planning '!I175,'bases de donnée'!E$16/24)-7/24))))</f>
        <v>0</v>
      </c>
      <c r="T175" s="82"/>
      <c r="U175" s="77" t="str">
        <f t="shared" si="163"/>
        <v>00:00</v>
      </c>
      <c r="V175" s="78">
        <f>IF(SUM(IF(O175&gt;("36:00"*1),O175-("36:00"*1),0)-V173-V174)&lt;0,0,SUM(IF(O175&gt;("36:00"*1),O175-("36:00"*1),0)-V173-V174))</f>
        <v>0</v>
      </c>
      <c r="W175" s="47"/>
      <c r="X175" s="48">
        <f t="shared" si="127"/>
        <v>0</v>
      </c>
      <c r="Y175" s="42"/>
      <c r="Z175" s="49">
        <f t="shared" si="164"/>
        <v>0</v>
      </c>
      <c r="AA175" s="48">
        <f t="shared" si="165"/>
        <v>0</v>
      </c>
      <c r="AB175" s="47"/>
      <c r="AC175" s="54"/>
      <c r="AD175" s="33">
        <f t="shared" si="155"/>
        <v>0</v>
      </c>
      <c r="AE175" s="33">
        <f t="shared" si="143"/>
        <v>0</v>
      </c>
    </row>
    <row r="176" spans="2:31" x14ac:dyDescent="0.3">
      <c r="B176"/>
      <c r="C176" s="9" t="s">
        <v>9</v>
      </c>
      <c r="D176" s="58">
        <f t="shared" si="150"/>
        <v>42153</v>
      </c>
      <c r="E176" s="29" t="s">
        <v>36</v>
      </c>
      <c r="F176" s="191"/>
      <c r="G176" s="194"/>
      <c r="H176" s="194"/>
      <c r="I176" s="194"/>
      <c r="J176" s="193">
        <f>IF(OR(E176="férié travaillé",E176="travail"),(I176-G176+IF(G176&gt;I176,1)-H176),INDEX('bases de donnée'!$E$20:'bases de donnée'!$E$32,MATCH(E176,gerald2,0)))</f>
        <v>0.3</v>
      </c>
      <c r="K176" s="20">
        <f>IF(SUM(J176-'bases de donnée'!E$7)&lt;0,0,SUM(J176-'bases de donnée'!E$7))</f>
        <v>0</v>
      </c>
      <c r="L176" s="11">
        <f>IF(OR(E176="férié travaillé",E176="travail"),I176-G176+IF(G176&gt;I176,1),INDEX('bases de donnée'!$E$20:'bases de donnée'!$E$32,MATCH(E176,gerald2,0)))</f>
        <v>0.3</v>
      </c>
      <c r="M176" s="21">
        <f>IF(SUM(L176-'bases de donnée'!E$4)&lt;0,0,SUM(L176-'bases de donnée'!E$4))</f>
        <v>0</v>
      </c>
      <c r="N176" s="155">
        <v>0</v>
      </c>
      <c r="O176" s="74">
        <f t="shared" si="167"/>
        <v>0.83958333333333335</v>
      </c>
      <c r="P176" s="86">
        <f>O179</f>
        <v>1.1395833333333334</v>
      </c>
      <c r="Q176" s="120">
        <f t="shared" si="168"/>
        <v>1</v>
      </c>
      <c r="R176" s="30"/>
      <c r="S176" s="77">
        <f>IF(SUM(MOD(I176-G176,1)-IF(I176&gt;G176,MAX(0,MIN(I176,'bases de donnée'!E$16/24)-MAX('planning '!G176,7/24)),MAX(0,'bases de donnée'!E$16/24-MAX('planning '!G176,7/24))+MAX(0,MIN('planning '!I176,'bases de donnée'!E$16/24)-7/24)))&lt;0,0,SUM(MOD('planning '!I176-'planning '!G176,1)-IF('planning '!I176&gt;'planning '!G176,MAX(0,MIN('planning '!I176,'bases de donnée'!E$16/24)-MAX('planning '!G176,7/24)),MAX(0,'bases de donnée'!E$16/24-MAX('planning '!G176,7/24))+MAX(0,MIN('planning '!I176,'bases de donnée'!E$16/24)-7/24))))</f>
        <v>0</v>
      </c>
      <c r="T176" s="82"/>
      <c r="U176" s="77" t="str">
        <f t="shared" si="163"/>
        <v>00:00</v>
      </c>
      <c r="V176" s="78">
        <f>IF(SUM(IF(O176&gt;("36:00"*1),O176-("36:00"*1),0)-V174-V175)&lt;0,0,SUM(IF(O176&gt;("36:00"*1),O176-("36:00"*1),0)-V173-V174-V175))</f>
        <v>0</v>
      </c>
      <c r="W176" s="47"/>
      <c r="X176" s="48">
        <f t="shared" si="127"/>
        <v>0</v>
      </c>
      <c r="Y176" s="42"/>
      <c r="Z176" s="49">
        <f t="shared" si="164"/>
        <v>0</v>
      </c>
      <c r="AA176" s="48">
        <f t="shared" si="165"/>
        <v>0</v>
      </c>
      <c r="AB176" s="47"/>
      <c r="AC176" s="54"/>
      <c r="AD176" s="33">
        <f t="shared" si="155"/>
        <v>0</v>
      </c>
      <c r="AE176" s="33">
        <f t="shared" si="143"/>
        <v>0</v>
      </c>
    </row>
    <row r="177" spans="2:31" x14ac:dyDescent="0.3">
      <c r="B177"/>
      <c r="C177" s="9" t="s">
        <v>3</v>
      </c>
      <c r="D177" s="58">
        <f t="shared" si="150"/>
        <v>42154</v>
      </c>
      <c r="E177" s="29" t="s">
        <v>30</v>
      </c>
      <c r="F177" s="191"/>
      <c r="G177" s="194"/>
      <c r="H177" s="194"/>
      <c r="I177" s="194"/>
      <c r="J177" s="193">
        <f>IF(OR(E177="férié travaillé",E177="travail"),(I177-G177+IF(G177&gt;I177,1)-H177),INDEX('bases de donnée'!$E$20:'bases de donnée'!$E$32,MATCH(E177,gerald2,0)))</f>
        <v>0.3</v>
      </c>
      <c r="K177" s="20">
        <f>IF(SUM(J177-'bases de donnée'!E$7)&lt;0,0,SUM(J177-'bases de donnée'!E$7))</f>
        <v>0</v>
      </c>
      <c r="L177" s="11">
        <f>IF(OR(E177="férié travaillé",E177="travail"),I177-G177+IF(G177&gt;I177,1),INDEX('bases de donnée'!$E$20:'bases de donnée'!$E$32,MATCH(E177,gerald2,0)))</f>
        <v>0.3</v>
      </c>
      <c r="M177" s="21">
        <f>IF(SUM(L177-'bases de donnée'!E$4)&lt;0,0,SUM(L177-'bases de donnée'!E$4))</f>
        <v>0</v>
      </c>
      <c r="N177" s="155">
        <v>0</v>
      </c>
      <c r="O177" s="74">
        <f t="shared" si="167"/>
        <v>1.1395833333333334</v>
      </c>
      <c r="P177" s="8" t="s">
        <v>48</v>
      </c>
      <c r="Q177" s="120">
        <f t="shared" si="168"/>
        <v>1</v>
      </c>
      <c r="R177" s="30"/>
      <c r="S177" s="77">
        <f>IF(SUM(MOD(I177-G177,1)-IF(I177&gt;G177,MAX(0,MIN(I177,'bases de donnée'!E$16/24)-MAX('planning '!G177,7/24)),MAX(0,'bases de donnée'!E$16/24-MAX('planning '!G177,7/24))+MAX(0,MIN('planning '!I177,'bases de donnée'!E$16/24)-7/24)))&lt;0,0,SUM(MOD('planning '!I177-'planning '!G177,1)-IF('planning '!I177&gt;'planning '!G177,MAX(0,MIN('planning '!I177,'bases de donnée'!E$16/24)-MAX('planning '!G177,7/24)),MAX(0,'bases de donnée'!E$16/24-MAX('planning '!G177,7/24))+MAX(0,MIN('planning '!I177,'bases de donnée'!E$16/24)-7/24))))</f>
        <v>0</v>
      </c>
      <c r="T177" s="82"/>
      <c r="U177" s="77" t="str">
        <f t="shared" si="163"/>
        <v>00:00</v>
      </c>
      <c r="V177" s="78">
        <f>IF(SUM(IF(O177&gt;("36:00"*1),O177-("36:00"*1),0)-V175-V176)&lt;0,0,SUM(IF(O177&gt;("36:00"*1),O177-("36:00"*1),0)-V173-V174-V175-V176))</f>
        <v>0</v>
      </c>
      <c r="W177" s="47"/>
      <c r="X177" s="48">
        <f t="shared" si="127"/>
        <v>0</v>
      </c>
      <c r="Y177" s="42"/>
      <c r="Z177" s="49">
        <f t="shared" si="164"/>
        <v>0</v>
      </c>
      <c r="AA177" s="48">
        <f t="shared" si="165"/>
        <v>0</v>
      </c>
      <c r="AB177" s="47"/>
      <c r="AC177" s="54"/>
      <c r="AD177" s="33">
        <f t="shared" si="155"/>
        <v>0</v>
      </c>
      <c r="AE177" s="33">
        <f t="shared" si="143"/>
        <v>0</v>
      </c>
    </row>
    <row r="178" spans="2:31" x14ac:dyDescent="0.3">
      <c r="B178"/>
      <c r="C178" s="9" t="s">
        <v>4</v>
      </c>
      <c r="D178" s="58">
        <f t="shared" si="150"/>
        <v>42155</v>
      </c>
      <c r="E178" s="29" t="s">
        <v>28</v>
      </c>
      <c r="F178" s="191"/>
      <c r="G178" s="194"/>
      <c r="H178" s="194"/>
      <c r="I178" s="194"/>
      <c r="J178" s="193">
        <f>IF(OR(E178="férié travaillé",E178="travail"),(I178-G178+IF(G178&gt;I178,1)-H178),INDEX('bases de donnée'!$E$20:'bases de donnée'!$E$32,MATCH(E178,gerald2,0)))</f>
        <v>0</v>
      </c>
      <c r="K178" s="20">
        <f>IF(SUM(J178-'bases de donnée'!E$7)&lt;0,0,SUM(J178-'bases de donnée'!E$7))</f>
        <v>0</v>
      </c>
      <c r="L178" s="11">
        <f>IF(OR(E178="férié travaillé",E178="travail"),I178-G178+IF(G178&gt;I178,1),INDEX('bases de donnée'!$E$20:'bases de donnée'!$E$32,MATCH(E178,gerald2,0)))</f>
        <v>0</v>
      </c>
      <c r="M178" s="21">
        <f>IF(SUM(L178-'bases de donnée'!E$4)&lt;0,0,SUM(L178-'bases de donnée'!E$4))</f>
        <v>0</v>
      </c>
      <c r="N178" s="155">
        <v>0</v>
      </c>
      <c r="O178" s="74">
        <f t="shared" si="167"/>
        <v>1.1395833333333334</v>
      </c>
      <c r="P178" s="61">
        <f>'bases de donnée'!E$10</f>
        <v>2</v>
      </c>
      <c r="Q178" s="120">
        <f t="shared" si="168"/>
        <v>0</v>
      </c>
      <c r="R178" s="30"/>
      <c r="S178" s="77">
        <f>IF(SUM(MOD(I178-G178,1)-IF(I178&gt;G178,MAX(0,MIN(I178,'bases de donnée'!E$16/24)-MAX('planning '!G178,7/24)),MAX(0,'bases de donnée'!E$16/24-MAX('planning '!G178,7/24))+MAX(0,MIN('planning '!I178,'bases de donnée'!E$16/24)-7/24)))&lt;0,0,SUM(MOD('planning '!I178-'planning '!G178,1)-IF('planning '!I178&gt;'planning '!G178,MAX(0,MIN('planning '!I178,'bases de donnée'!E$16/24)-MAX('planning '!G178,7/24)),MAX(0,'bases de donnée'!E$16/24-MAX('planning '!G178,7/24))+MAX(0,MIN('planning '!I178,'bases de donnée'!E$16/24)-7/24))))</f>
        <v>0</v>
      </c>
      <c r="T178" s="82"/>
      <c r="U178" s="77" t="str">
        <f t="shared" si="163"/>
        <v>00:00</v>
      </c>
      <c r="V178" s="78">
        <f>IF(SUM(IF(O178&gt;("36:00"*1),O178-("36:00"*1),0)-V176-V177)&lt;0,0,SUM(IF(O178&gt;("36:00"*1),O178-("36:00"*1),0)-V173-V174-V175-V176-V177))</f>
        <v>0</v>
      </c>
      <c r="W178" s="47"/>
      <c r="X178" s="48">
        <f t="shared" si="127"/>
        <v>0</v>
      </c>
      <c r="Y178" s="32"/>
      <c r="Z178" s="49">
        <f t="shared" si="164"/>
        <v>0</v>
      </c>
      <c r="AA178" s="48">
        <f t="shared" si="165"/>
        <v>0</v>
      </c>
      <c r="AB178" s="47"/>
      <c r="AC178" s="55"/>
      <c r="AD178" s="33">
        <f t="shared" si="155"/>
        <v>0</v>
      </c>
      <c r="AE178" s="33">
        <f t="shared" si="143"/>
        <v>0</v>
      </c>
    </row>
    <row r="179" spans="2:31" x14ac:dyDescent="0.3">
      <c r="B179"/>
      <c r="C179" s="9" t="s">
        <v>5</v>
      </c>
      <c r="D179" s="58">
        <f t="shared" si="150"/>
        <v>42156</v>
      </c>
      <c r="E179" s="29" t="s">
        <v>28</v>
      </c>
      <c r="F179" s="192"/>
      <c r="G179" s="194"/>
      <c r="H179" s="194"/>
      <c r="I179" s="194"/>
      <c r="J179" s="193">
        <f>IF(OR(E179="férié travaillé",E179="travail"),(I179-G179+IF(G179&gt;I179,1)-H179),INDEX('bases de donnée'!$E$20:'bases de donnée'!$E$32,MATCH(E179,gerald2,0)))</f>
        <v>0</v>
      </c>
      <c r="K179" s="20">
        <f>IF(SUM(J179-'bases de donnée'!E$7)&lt;0,0,SUM(J179-'bases de donnée'!E$7))</f>
        <v>0</v>
      </c>
      <c r="L179" s="11">
        <f>IF(OR(E179="férié travaillé",E179="travail"),I179-G179+IF(G179&gt;I179,1),INDEX('bases de donnée'!$E$20:'bases de donnée'!$E$32,MATCH(E179,gerald2,0)))</f>
        <v>0</v>
      </c>
      <c r="M179" s="21">
        <f>IF(SUM(L179-'bases de donnée'!E$4)&lt;0,0,SUM(L179-'bases de donnée'!E$4))</f>
        <v>0</v>
      </c>
      <c r="N179" s="155">
        <v>0</v>
      </c>
      <c r="O179" s="74">
        <f t="shared" si="167"/>
        <v>1.1395833333333334</v>
      </c>
      <c r="P179" s="33">
        <f>IF(SUM(O179-'bases de donnée'!E$10)&lt;0,0,SUM(O179-'bases de donnée'!E$10))</f>
        <v>0</v>
      </c>
      <c r="Q179" s="120">
        <f t="shared" si="168"/>
        <v>0</v>
      </c>
      <c r="R179" s="30"/>
      <c r="S179" s="77">
        <f>IF(SUM(MOD(I179-G179,1)-IF(I179&gt;G179,MAX(0,MIN(I179,'bases de donnée'!E$16/24)-MAX('planning '!G179,7/24)),MAX(0,'bases de donnée'!E$16/24-MAX('planning '!G179,7/24))+MAX(0,MIN('planning '!I179,'bases de donnée'!E$16/24)-7/24)))&lt;0,0,SUM(MOD('planning '!I179-'planning '!G179,1)-IF('planning '!I179&gt;'planning '!G179,MAX(0,MIN('planning '!I179,'bases de donnée'!E$16/24)-MAX('planning '!G179,7/24)),MAX(0,'bases de donnée'!E$16/24-MAX('planning '!G179,7/24))+MAX(0,MIN('planning '!I179,'bases de donnée'!E$16/24)-7/24))))</f>
        <v>0</v>
      </c>
      <c r="T179" s="77">
        <f>J179</f>
        <v>0</v>
      </c>
      <c r="U179" s="77" t="str">
        <f t="shared" si="163"/>
        <v>00:00</v>
      </c>
      <c r="V179" s="78">
        <f>IF(SUM(IF(O179&gt;("36:00"*1),O179-("36:00"*1),0)-V177-V178)&lt;0,0,SUM(IF(O179&gt;("36:00"*1),O179-("36:00"*1),0)-V173-V174-V175-V176-V177-V178))</f>
        <v>0</v>
      </c>
      <c r="W179" s="47"/>
      <c r="X179" s="48">
        <f t="shared" si="127"/>
        <v>0</v>
      </c>
      <c r="Y179" s="48">
        <f t="shared" ref="Y179" si="169">IF(SUM(T179-S179)&lt;0,0,SUM(T179-S179))</f>
        <v>0</v>
      </c>
      <c r="Z179" s="56">
        <f t="shared" ref="Z179" si="170">IF(SUM(U179-T179-S179)&lt;0,0,SUM(U179-T179-S179))</f>
        <v>0</v>
      </c>
      <c r="AA179" s="48">
        <f>IF(SUM(V179-S179-T179-U179)&lt;0,0,SUM(V179-S179-T179-U179))</f>
        <v>0</v>
      </c>
      <c r="AB179" s="47"/>
      <c r="AC179" s="57">
        <f t="shared" ref="AC179" si="171">IF(SUM(T179-Y179)&lt;0,0,SUM(T179-Y179))</f>
        <v>0</v>
      </c>
      <c r="AD179" s="33">
        <f t="shared" si="155"/>
        <v>0</v>
      </c>
      <c r="AE179" s="33">
        <f t="shared" si="143"/>
        <v>0</v>
      </c>
    </row>
    <row r="180" spans="2:31" x14ac:dyDescent="0.3">
      <c r="B180"/>
      <c r="C180" s="25"/>
      <c r="D180" s="90"/>
      <c r="E180" s="90"/>
      <c r="F180" s="25"/>
      <c r="G180" s="185"/>
      <c r="H180" s="185"/>
      <c r="I180" s="185"/>
      <c r="J180" s="47"/>
      <c r="K180" s="92"/>
      <c r="L180" s="91"/>
      <c r="M180" s="91"/>
      <c r="N180" s="91"/>
      <c r="O180" s="93"/>
      <c r="P180" s="47"/>
      <c r="Q180" s="30"/>
      <c r="R180" s="30"/>
      <c r="S180" s="47"/>
      <c r="T180" s="47"/>
      <c r="U180" s="47"/>
      <c r="V180" s="93"/>
      <c r="W180" s="47"/>
      <c r="X180" s="47"/>
      <c r="Y180" s="47"/>
      <c r="Z180" s="47"/>
      <c r="AA180" s="47"/>
      <c r="AB180" s="47"/>
      <c r="AC180" s="47"/>
      <c r="AD180" s="47"/>
      <c r="AE180" s="47"/>
    </row>
    <row r="181" spans="2:31" x14ac:dyDescent="0.3">
      <c r="B181" s="14" t="s">
        <v>40</v>
      </c>
      <c r="C181" s="14" t="s">
        <v>6</v>
      </c>
      <c r="D181" s="43">
        <f>D179+1</f>
        <v>42157</v>
      </c>
      <c r="E181" s="29" t="s">
        <v>29</v>
      </c>
      <c r="F181" s="190"/>
      <c r="G181" s="194">
        <v>0.375</v>
      </c>
      <c r="H181" s="194">
        <v>3.125E-2</v>
      </c>
      <c r="I181" s="194">
        <v>0.71875</v>
      </c>
      <c r="J181" s="193">
        <f>IF(OR(E181="férié travaillé",E181="travail"),(I181-G181+IF(G181&gt;I181,1)-H181),INDEX('bases de donnée'!$E$20:'bases de donnée'!$E$32,MATCH(E181,gerald2,0)))</f>
        <v>0.3125</v>
      </c>
      <c r="K181" s="20">
        <f>IF(SUM(J181-'bases de donnée'!E$7)&lt;0,0,SUM(J181-'bases de donnée'!E$7))</f>
        <v>0</v>
      </c>
      <c r="L181" s="11">
        <f>IF(OR(E181="férié travaillé",E181="travail"),I181-G181+IF(G181&gt;I181,1),INDEX('bases de donnée'!$E$20:'bases de donnée'!$E$32,MATCH(E181,gerald2,0)))</f>
        <v>0.34375</v>
      </c>
      <c r="M181" s="21">
        <f>IF(SUM(L181-'bases de donnée'!E$4)&lt;0,0,SUM(L181-'bases de donnée'!E$4))</f>
        <v>0</v>
      </c>
      <c r="N181" s="155">
        <v>0</v>
      </c>
      <c r="O181" s="45">
        <f>J181</f>
        <v>0.3125</v>
      </c>
      <c r="P181" s="122">
        <f>SUM(Q181:Q187)</f>
        <v>4</v>
      </c>
      <c r="Q181" s="120">
        <f>IF(AND(G181&lt;&gt;"",I181&lt;&gt;""),1,0+OR(N(I180)&lt;N(G180),E181="récupération",E181="congé 1 jour",E181="congé 1/2 jour ",E181="congé 5h24",E181="arrêt maladie",E181="arrêt travail",E181="férié ",E181="congé parentale",E181="congé de naissance"))</f>
        <v>1</v>
      </c>
      <c r="R181" s="30"/>
      <c r="S181" s="77">
        <f>IF(SUM(MOD(I181-G181,1)-IF(I181&gt;G181,MAX(0,MIN(I181,'bases de donnée'!E$16/24)-MAX('planning '!G181,7/24)),MAX(0,'bases de donnée'!E$16/24-MAX('planning '!G181,7/24))+MAX(0,MIN('planning '!I181,'bases de donnée'!E$16/24)-7/24)))&lt;0,0,SUM(MOD('planning '!I181-'planning '!G181,1)-IF('planning '!I181&gt;'planning '!G181,MAX(0,MIN('planning '!I181,'bases de donnée'!E$16/24)-MAX('planning '!G181,7/24)),MAX(0,'bases de donnée'!E$16/24-MAX('planning '!G181,7/24))+MAX(0,MIN('planning '!I181,'bases de donnée'!E$16/24)-7/24))))</f>
        <v>0</v>
      </c>
      <c r="T181" s="81"/>
      <c r="U181" s="77" t="str">
        <f t="shared" ref="U181:U187" si="172">IF(E181&lt;&gt;"travail",IF(E181="férié travaillé",MOD(I181-G181,1)-H181,"00:00"),"00:00")</f>
        <v>00:00</v>
      </c>
      <c r="V181" s="78"/>
      <c r="W181" s="47"/>
      <c r="X181" s="48">
        <f t="shared" si="127"/>
        <v>0</v>
      </c>
      <c r="Y181" s="31"/>
      <c r="Z181" s="49">
        <f t="shared" ref="Z181:Z186" si="173">IF(SUM(U181-X181)&lt;0,0,SUM(U181-X181))</f>
        <v>0</v>
      </c>
      <c r="AA181" s="48">
        <f t="shared" ref="AA181:AA186" si="174">IF(SUM(V181-X181-Z181)&lt;0,0,SUM(V181-X181-Z181))</f>
        <v>0</v>
      </c>
      <c r="AB181" s="47"/>
      <c r="AC181" s="50"/>
      <c r="AD181" s="33">
        <f t="shared" si="155"/>
        <v>0</v>
      </c>
      <c r="AE181" s="33">
        <f t="shared" si="143"/>
        <v>0</v>
      </c>
    </row>
    <row r="182" spans="2:31" x14ac:dyDescent="0.3">
      <c r="B182" s="51">
        <f>B174+1</f>
        <v>22</v>
      </c>
      <c r="C182" s="14" t="s">
        <v>7</v>
      </c>
      <c r="D182" s="43">
        <f>D181+1</f>
        <v>42158</v>
      </c>
      <c r="E182" s="29" t="s">
        <v>29</v>
      </c>
      <c r="F182" s="191"/>
      <c r="G182" s="194">
        <v>0.375</v>
      </c>
      <c r="H182" s="194">
        <v>3.125E-2</v>
      </c>
      <c r="I182" s="194">
        <v>0.71875</v>
      </c>
      <c r="J182" s="193">
        <f>IF(OR(E182="férié travaillé",E182="travail"),(I182-G182+IF(G182&gt;I182,1)-H182),INDEX('bases de donnée'!$E$20:'bases de donnée'!$E$32,MATCH(E182,gerald2,0)))</f>
        <v>0.3125</v>
      </c>
      <c r="K182" s="20">
        <f>IF(SUM(J182-'bases de donnée'!E$7)&lt;0,0,SUM(J182-'bases de donnée'!E$7))</f>
        <v>0</v>
      </c>
      <c r="L182" s="11">
        <f>IF(OR(E182="férié travaillé",E182="travail"),I182-G182+IF(G182&gt;I182,1),INDEX('bases de donnée'!$E$20:'bases de donnée'!$E$32,MATCH(E182,gerald2,0)))</f>
        <v>0.34375</v>
      </c>
      <c r="M182" s="21">
        <f>IF(SUM(L182-'bases de donnée'!E$4)&lt;0,0,SUM(L182-'bases de donnée'!E$4))</f>
        <v>0</v>
      </c>
      <c r="N182" s="155">
        <v>0</v>
      </c>
      <c r="O182" s="73">
        <f>O181+J182</f>
        <v>0.625</v>
      </c>
      <c r="P182" s="121">
        <f>IF(SUM(P181-'bases de donnée'!E$6)&lt;0,0,SUM(P181-'bases de donnée'!E$6))</f>
        <v>0</v>
      </c>
      <c r="Q182" s="120">
        <f t="shared" ref="Q182:Q187" si="175">IF(AND(G182&lt;&gt;"",I182&lt;&gt;""),1,0+OR(N(I181)&lt;N(G181),E182="récupération",E182="congé 1 jour",E182="congé 1/2 jour ",E182="congé 5h24",E182="arrêt maladie",E182="arrêt travail",E182="férié ",E182="congé parentale",E182="congé de naissance"))</f>
        <v>1</v>
      </c>
      <c r="R182" s="30"/>
      <c r="S182" s="77">
        <f>IF(SUM(MOD(I182-G182,1)-IF(I182&gt;G182,MAX(0,MIN(I182,'bases de donnée'!E$16/24)-MAX('planning '!G182,7/24)),MAX(0,'bases de donnée'!E$16/24-MAX('planning '!G182,7/24))+MAX(0,MIN('planning '!I182,'bases de donnée'!E$16/24)-7/24)))&lt;0,0,SUM(MOD('planning '!I182-'planning '!G182,1)-IF('planning '!I182&gt;'planning '!G182,MAX(0,MIN('planning '!I182,'bases de donnée'!E$16/24)-MAX('planning '!G182,7/24)),MAX(0,'bases de donnée'!E$16/24-MAX('planning '!G182,7/24))+MAX(0,MIN('planning '!I182,'bases de donnée'!E$16/24)-7/24))))</f>
        <v>0</v>
      </c>
      <c r="T182" s="82"/>
      <c r="U182" s="77" t="str">
        <f t="shared" si="172"/>
        <v>00:00</v>
      </c>
      <c r="V182" s="78">
        <f>IF(SUM(IF(O182&gt;('bases de donnée'!E$9*1),O182-('bases de donnée'!E$9*1),0)-V181)&lt;0,0,SUM(IF(O182&gt;('bases de donnée'!E$9*1),O182-('bases de donnée'!E$9*1),0)-V181))</f>
        <v>0</v>
      </c>
      <c r="W182" s="47"/>
      <c r="X182" s="48">
        <f t="shared" si="127"/>
        <v>0</v>
      </c>
      <c r="Y182" s="42"/>
      <c r="Z182" s="49">
        <f t="shared" si="173"/>
        <v>0</v>
      </c>
      <c r="AA182" s="48">
        <f t="shared" si="174"/>
        <v>0</v>
      </c>
      <c r="AB182" s="47"/>
      <c r="AC182" s="54"/>
      <c r="AD182" s="33">
        <f t="shared" si="155"/>
        <v>0</v>
      </c>
      <c r="AE182" s="33">
        <f t="shared" si="143"/>
        <v>0</v>
      </c>
    </row>
    <row r="183" spans="2:31" x14ac:dyDescent="0.3">
      <c r="B183"/>
      <c r="C183" s="14" t="s">
        <v>8</v>
      </c>
      <c r="D183" s="43">
        <f t="shared" ref="D183:D187" si="176">D182+1</f>
        <v>42159</v>
      </c>
      <c r="E183" s="29" t="s">
        <v>29</v>
      </c>
      <c r="F183" s="191"/>
      <c r="G183" s="194">
        <v>0.375</v>
      </c>
      <c r="H183" s="194">
        <v>3.125E-2</v>
      </c>
      <c r="I183" s="194">
        <v>0.70833333333333337</v>
      </c>
      <c r="J183" s="193">
        <f>IF(OR(E183="férié travaillé",E183="travail"),(I183-G183+IF(G183&gt;I183,1)-H183),INDEX('bases de donnée'!$E$20:'bases de donnée'!$E$32,MATCH(E183,gerald2,0)))</f>
        <v>0.30208333333333337</v>
      </c>
      <c r="K183" s="20">
        <f>IF(SUM(J183-'bases de donnée'!E$7)&lt;0,0,SUM(J183-'bases de donnée'!E$7))</f>
        <v>0</v>
      </c>
      <c r="L183" s="11">
        <f>IF(OR(E183="férié travaillé",E183="travail"),I183-G183+IF(G183&gt;I183,1),INDEX('bases de donnée'!$E$20:'bases de donnée'!$E$32,MATCH(E183,gerald2,0)))</f>
        <v>0.33333333333333337</v>
      </c>
      <c r="M183" s="21">
        <f>IF(SUM(L183-'bases de donnée'!E$4)&lt;0,0,SUM(L183-'bases de donnée'!E$4))</f>
        <v>0</v>
      </c>
      <c r="N183" s="155">
        <v>0</v>
      </c>
      <c r="O183" s="73">
        <f t="shared" ref="O183:O187" si="177">O182+J183</f>
        <v>0.92708333333333337</v>
      </c>
      <c r="P183" s="34" t="s">
        <v>46</v>
      </c>
      <c r="Q183" s="120">
        <f t="shared" si="175"/>
        <v>1</v>
      </c>
      <c r="R183" s="30"/>
      <c r="S183" s="77">
        <f>IF(SUM(MOD(I183-G183,1)-IF(I183&gt;G183,MAX(0,MIN(I183,'bases de donnée'!E$16/24)-MAX('planning '!G183,7/24)),MAX(0,'bases de donnée'!E$16/24-MAX('planning '!G183,7/24))+MAX(0,MIN('planning '!I183,'bases de donnée'!E$16/24)-7/24)))&lt;0,0,SUM(MOD('planning '!I183-'planning '!G183,1)-IF('planning '!I183&gt;'planning '!G183,MAX(0,MIN('planning '!I183,'bases de donnée'!E$16/24)-MAX('planning '!G183,7/24)),MAX(0,'bases de donnée'!E$16/24-MAX('planning '!G183,7/24))+MAX(0,MIN('planning '!I183,'bases de donnée'!E$16/24)-7/24))))</f>
        <v>0</v>
      </c>
      <c r="T183" s="82"/>
      <c r="U183" s="77" t="str">
        <f t="shared" si="172"/>
        <v>00:00</v>
      </c>
      <c r="V183" s="78">
        <f>IF(SUM(IF(O183&gt;("36:00"*1),O183-("36:00"*1),0)-V181-V182)&lt;0,0,SUM(IF(O183&gt;("36:00"*1),O183-("36:00"*1),0)-V181-V182))</f>
        <v>0</v>
      </c>
      <c r="W183" s="47"/>
      <c r="X183" s="48">
        <f t="shared" si="127"/>
        <v>0</v>
      </c>
      <c r="Y183" s="42"/>
      <c r="Z183" s="49">
        <f t="shared" si="173"/>
        <v>0</v>
      </c>
      <c r="AA183" s="48">
        <f t="shared" si="174"/>
        <v>0</v>
      </c>
      <c r="AB183" s="47"/>
      <c r="AC183" s="54"/>
      <c r="AD183" s="33">
        <f t="shared" si="155"/>
        <v>0</v>
      </c>
      <c r="AE183" s="33">
        <f t="shared" si="143"/>
        <v>0</v>
      </c>
    </row>
    <row r="184" spans="2:31" x14ac:dyDescent="0.3">
      <c r="B184"/>
      <c r="C184" s="14" t="s">
        <v>9</v>
      </c>
      <c r="D184" s="43">
        <f t="shared" si="176"/>
        <v>42160</v>
      </c>
      <c r="E184" s="29" t="s">
        <v>29</v>
      </c>
      <c r="F184" s="191"/>
      <c r="G184" s="194">
        <v>0.375</v>
      </c>
      <c r="H184" s="194">
        <v>6.25E-2</v>
      </c>
      <c r="I184" s="194">
        <v>0.85416666666666663</v>
      </c>
      <c r="J184" s="193">
        <f>IF(OR(E184="férié travaillé",E184="travail"),(I184-G184+IF(G184&gt;I184,1)-H184),INDEX('bases de donnée'!$E$20:'bases de donnée'!$E$32,MATCH(E184,gerald2,0)))</f>
        <v>0.41666666666666663</v>
      </c>
      <c r="K184" s="20">
        <f>IF(SUM(J184-'bases de donnée'!E$7)&lt;0,0,SUM(J184-'bases de donnée'!E$7))</f>
        <v>0</v>
      </c>
      <c r="L184" s="11">
        <f>IF(OR(E184="férié travaillé",E184="travail"),I184-G184+IF(G184&gt;I184,1),INDEX('bases de donnée'!$E$20:'bases de donnée'!$E$32,MATCH(E184,gerald2,0)))</f>
        <v>0.47916666666666663</v>
      </c>
      <c r="M184" s="21">
        <f>IF(SUM(L184-'bases de donnée'!E$4)&lt;0,0,SUM(L184-'bases de donnée'!E$4))</f>
        <v>0</v>
      </c>
      <c r="N184" s="155">
        <v>0</v>
      </c>
      <c r="O184" s="73">
        <f t="shared" si="177"/>
        <v>1.34375</v>
      </c>
      <c r="P184" s="86">
        <f>O187</f>
        <v>1.7395833333333335</v>
      </c>
      <c r="Q184" s="120">
        <f t="shared" si="175"/>
        <v>1</v>
      </c>
      <c r="R184" s="30"/>
      <c r="S184" s="77">
        <f>IF(SUM(MOD(I184-G184,1)-IF(I184&gt;G184,MAX(0,MIN(I184,'bases de donnée'!E$16/24)-MAX('planning '!G184,7/24)),MAX(0,'bases de donnée'!E$16/24-MAX('planning '!G184,7/24))+MAX(0,MIN('planning '!I184,'bases de donnée'!E$16/24)-7/24)))&lt;0,0,SUM(MOD('planning '!I184-'planning '!G184,1)-IF('planning '!I184&gt;'planning '!G184,MAX(0,MIN('planning '!I184,'bases de donnée'!E$16/24)-MAX('planning '!G184,7/24)),MAX(0,'bases de donnée'!E$16/24-MAX('planning '!G184,7/24))+MAX(0,MIN('planning '!I184,'bases de donnée'!E$16/24)-7/24))))</f>
        <v>0</v>
      </c>
      <c r="T184" s="82"/>
      <c r="U184" s="77" t="str">
        <f t="shared" si="172"/>
        <v>00:00</v>
      </c>
      <c r="V184" s="78">
        <f>IF(SUM(IF(O184&gt;("36:00"*1),O184-("36:00"*1),0)-V182-V183)&lt;0,0,SUM(IF(O184&gt;("36:00"*1),O184-("36:00"*1),0)-V181-V182-V183))</f>
        <v>0</v>
      </c>
      <c r="W184" s="47"/>
      <c r="X184" s="48">
        <f t="shared" si="127"/>
        <v>0</v>
      </c>
      <c r="Y184" s="42"/>
      <c r="Z184" s="49">
        <f t="shared" si="173"/>
        <v>0</v>
      </c>
      <c r="AA184" s="48">
        <f t="shared" si="174"/>
        <v>0</v>
      </c>
      <c r="AB184" s="47"/>
      <c r="AC184" s="54"/>
      <c r="AD184" s="33">
        <f t="shared" si="155"/>
        <v>0</v>
      </c>
      <c r="AE184" s="33">
        <f t="shared" si="143"/>
        <v>0</v>
      </c>
    </row>
    <row r="185" spans="2:31" x14ac:dyDescent="0.3">
      <c r="B185"/>
      <c r="C185" s="14" t="s">
        <v>3</v>
      </c>
      <c r="D185" s="43">
        <f t="shared" si="176"/>
        <v>42161</v>
      </c>
      <c r="E185" s="29" t="s">
        <v>29</v>
      </c>
      <c r="F185" s="191"/>
      <c r="G185" s="194">
        <v>0.375</v>
      </c>
      <c r="H185" s="194">
        <v>6.25E-2</v>
      </c>
      <c r="I185" s="194">
        <v>0.83333333333333337</v>
      </c>
      <c r="J185" s="193">
        <f>IF(OR(E185="férié travaillé",E185="travail"),(I185-G185+IF(G185&gt;I185,1)-H185),INDEX('bases de donnée'!$E$20:'bases de donnée'!$E$32,MATCH(E185,gerald2,0)))</f>
        <v>0.39583333333333337</v>
      </c>
      <c r="K185" s="20">
        <f>IF(SUM(J185-'bases de donnée'!E$7)&lt;0,0,SUM(J185-'bases de donnée'!E$7))</f>
        <v>0</v>
      </c>
      <c r="L185" s="11">
        <f>IF(OR(E185="férié travaillé",E185="travail"),I185-G185+IF(G185&gt;I185,1),INDEX('bases de donnée'!$E$20:'bases de donnée'!$E$32,MATCH(E185,gerald2,0)))</f>
        <v>0.45833333333333337</v>
      </c>
      <c r="M185" s="21">
        <f>IF(SUM(L185-'bases de donnée'!E$4)&lt;0,0,SUM(L185-'bases de donnée'!E$4))</f>
        <v>0</v>
      </c>
      <c r="N185" s="155">
        <v>0</v>
      </c>
      <c r="O185" s="73">
        <f t="shared" si="177"/>
        <v>1.7395833333333335</v>
      </c>
      <c r="P185" s="12" t="s">
        <v>48</v>
      </c>
      <c r="Q185" s="120" t="s">
        <v>107</v>
      </c>
      <c r="R185" s="30"/>
      <c r="S185" s="77">
        <f>IF(SUM(MOD(I185-G185,1)-IF(I185&gt;G185,MAX(0,MIN(I185,'bases de donnée'!E$16/24)-MAX('planning '!G185,7/24)),MAX(0,'bases de donnée'!E$16/24-MAX('planning '!G185,7/24))+MAX(0,MIN('planning '!I185,'bases de donnée'!E$16/24)-7/24)))&lt;0,0,SUM(MOD('planning '!I185-'planning '!G185,1)-IF('planning '!I185&gt;'planning '!G185,MAX(0,MIN('planning '!I185,'bases de donnée'!E$16/24)-MAX('planning '!G185,7/24)),MAX(0,'bases de donnée'!E$16/24-MAX('planning '!G185,7/24))+MAX(0,MIN('planning '!I185,'bases de donnée'!E$16/24)-7/24))))</f>
        <v>0</v>
      </c>
      <c r="T185" s="82"/>
      <c r="U185" s="77" t="str">
        <f t="shared" si="172"/>
        <v>00:00</v>
      </c>
      <c r="V185" s="78">
        <f>IF(SUM(IF(O185&gt;("36:00"*1),O185-("36:00"*1),0)-V183-V184)&lt;0,0,SUM(IF(O185&gt;("36:00"*1),O185-("36:00"*1),0)-V181-V182-V183-V184))</f>
        <v>0.23958333333333348</v>
      </c>
      <c r="W185" s="47"/>
      <c r="X185" s="48">
        <f t="shared" si="127"/>
        <v>0</v>
      </c>
      <c r="Y185" s="42"/>
      <c r="Z185" s="49">
        <f t="shared" si="173"/>
        <v>0</v>
      </c>
      <c r="AA185" s="48">
        <f t="shared" si="174"/>
        <v>0.23958333333333348</v>
      </c>
      <c r="AB185" s="47"/>
      <c r="AC185" s="54"/>
      <c r="AD185" s="33">
        <f t="shared" si="155"/>
        <v>0</v>
      </c>
      <c r="AE185" s="33">
        <f t="shared" si="143"/>
        <v>0</v>
      </c>
    </row>
    <row r="186" spans="2:31" x14ac:dyDescent="0.3">
      <c r="B186"/>
      <c r="C186" s="14" t="s">
        <v>4</v>
      </c>
      <c r="D186" s="43">
        <f t="shared" si="176"/>
        <v>42162</v>
      </c>
      <c r="E186" s="29" t="s">
        <v>28</v>
      </c>
      <c r="F186" s="191"/>
      <c r="G186" s="194"/>
      <c r="H186" s="194"/>
      <c r="I186" s="194"/>
      <c r="J186" s="193">
        <f>IF(OR(E186="férié travaillé",E186="travail"),(I186-G186+IF(G186&gt;I186,1)-H186),INDEX('bases de donnée'!$E$20:'bases de donnée'!$E$32,MATCH(E186,gerald2,0)))</f>
        <v>0</v>
      </c>
      <c r="K186" s="20">
        <f>IF(SUM(J186-'bases de donnée'!E$7)&lt;0,0,SUM(J186-'bases de donnée'!E$7))</f>
        <v>0</v>
      </c>
      <c r="L186" s="11">
        <f>IF(OR(E186="férié travaillé",E186="travail"),I186-G186+IF(G186&gt;I186,1),INDEX('bases de donnée'!$E$20:'bases de donnée'!$E$32,MATCH(E186,gerald2,0)))</f>
        <v>0</v>
      </c>
      <c r="M186" s="21">
        <f>IF(SUM(L186-'bases de donnée'!E$4)&lt;0,0,SUM(L186-'bases de donnée'!E$4))</f>
        <v>0</v>
      </c>
      <c r="N186" s="155">
        <v>0</v>
      </c>
      <c r="O186" s="73">
        <f t="shared" si="177"/>
        <v>1.7395833333333335</v>
      </c>
      <c r="P186" s="53">
        <f>'bases de donnée'!E$10</f>
        <v>2</v>
      </c>
      <c r="Q186" s="120">
        <f t="shared" si="175"/>
        <v>0</v>
      </c>
      <c r="R186" s="30"/>
      <c r="S186" s="77">
        <f>IF(SUM(MOD(I186-G186,1)-IF(I186&gt;G186,MAX(0,MIN(I186,'bases de donnée'!E$16/24)-MAX('planning '!G186,7/24)),MAX(0,'bases de donnée'!E$16/24-MAX('planning '!G186,7/24))+MAX(0,MIN('planning '!I186,'bases de donnée'!E$16/24)-7/24)))&lt;0,0,SUM(MOD('planning '!I186-'planning '!G186,1)-IF('planning '!I186&gt;'planning '!G186,MAX(0,MIN('planning '!I186,'bases de donnée'!E$16/24)-MAX('planning '!G186,7/24)),MAX(0,'bases de donnée'!E$16/24-MAX('planning '!G186,7/24))+MAX(0,MIN('planning '!I186,'bases de donnée'!E$16/24)-7/24))))</f>
        <v>0</v>
      </c>
      <c r="T186" s="82"/>
      <c r="U186" s="77" t="str">
        <f t="shared" si="172"/>
        <v>00:00</v>
      </c>
      <c r="V186" s="78">
        <f>IF(SUM(IF(O186&gt;("36:00"*1),O186-("36:00"*1),0)-V184-V185)&lt;0,0,SUM(IF(O186&gt;("36:00"*1),O186-("36:00"*1),0)-V181-V182-V183-V184-V185))</f>
        <v>0</v>
      </c>
      <c r="W186" s="47"/>
      <c r="X186" s="48">
        <f t="shared" si="127"/>
        <v>0</v>
      </c>
      <c r="Y186" s="32"/>
      <c r="Z186" s="49">
        <f t="shared" si="173"/>
        <v>0</v>
      </c>
      <c r="AA186" s="48">
        <f t="shared" si="174"/>
        <v>0</v>
      </c>
      <c r="AB186" s="47"/>
      <c r="AC186" s="55"/>
      <c r="AD186" s="33">
        <f t="shared" si="155"/>
        <v>0</v>
      </c>
      <c r="AE186" s="33">
        <f t="shared" si="143"/>
        <v>0</v>
      </c>
    </row>
    <row r="187" spans="2:31" x14ac:dyDescent="0.3">
      <c r="B187"/>
      <c r="C187" s="14" t="s">
        <v>5</v>
      </c>
      <c r="D187" s="43">
        <f t="shared" si="176"/>
        <v>42163</v>
      </c>
      <c r="E187" s="29" t="s">
        <v>28</v>
      </c>
      <c r="F187" s="192"/>
      <c r="G187" s="194"/>
      <c r="H187" s="194"/>
      <c r="I187" s="194"/>
      <c r="J187" s="193">
        <f>IF(OR(E187="férié travaillé",E187="travail"),(I187-G187+IF(G187&gt;I187,1)-H187),INDEX('bases de donnée'!$E$20:'bases de donnée'!$E$32,MATCH(E187,gerald2,0)))</f>
        <v>0</v>
      </c>
      <c r="K187" s="20">
        <f>IF(SUM(J187-'bases de donnée'!E$7)&lt;0,0,SUM(J187-'bases de donnée'!E$7))</f>
        <v>0</v>
      </c>
      <c r="L187" s="11">
        <f>IF(OR(E187="férié travaillé",E187="travail"),I187-G187+IF(G187&gt;I187,1),INDEX('bases de donnée'!$E$20:'bases de donnée'!$E$32,MATCH(E187,gerald2,0)))</f>
        <v>0</v>
      </c>
      <c r="M187" s="21">
        <f>IF(SUM(L187-'bases de donnée'!E$4)&lt;0,0,SUM(L187-'bases de donnée'!E$4))</f>
        <v>0</v>
      </c>
      <c r="N187" s="155">
        <v>0</v>
      </c>
      <c r="O187" s="73">
        <f t="shared" si="177"/>
        <v>1.7395833333333335</v>
      </c>
      <c r="P187" s="33">
        <f>IF(SUM(O187-'bases de donnée'!E$10)&lt;0,0,SUM(O187-'bases de donnée'!E$10))</f>
        <v>0</v>
      </c>
      <c r="Q187" s="120">
        <f t="shared" si="175"/>
        <v>0</v>
      </c>
      <c r="R187" s="30"/>
      <c r="S187" s="77">
        <f>IF(SUM(MOD(I187-G187,1)-IF(I187&gt;G187,MAX(0,MIN(I187,'bases de donnée'!E$16/24)-MAX('planning '!G187,7/24)),MAX(0,'bases de donnée'!E$16/24-MAX('planning '!G187,7/24))+MAX(0,MIN('planning '!I187,'bases de donnée'!E$16/24)-7/24)))&lt;0,0,SUM(MOD('planning '!I187-'planning '!G187,1)-IF('planning '!I187&gt;'planning '!G187,MAX(0,MIN('planning '!I187,'bases de donnée'!E$16/24)-MAX('planning '!G187,7/24)),MAX(0,'bases de donnée'!E$16/24-MAX('planning '!G187,7/24))+MAX(0,MIN('planning '!I187,'bases de donnée'!E$16/24)-7/24))))</f>
        <v>0</v>
      </c>
      <c r="T187" s="77">
        <f>J187</f>
        <v>0</v>
      </c>
      <c r="U187" s="77" t="str">
        <f t="shared" si="172"/>
        <v>00:00</v>
      </c>
      <c r="V187" s="78">
        <f>IF(SUM(IF(O187&gt;("36:00"*1),O187-("36:00"*1),0)-V185-V186)&lt;0,0,SUM(IF(O187&gt;("36:00"*1),O187-("36:00"*1),0)-V181-V182-V183-V184-V185-V186))</f>
        <v>0</v>
      </c>
      <c r="W187" s="47"/>
      <c r="X187" s="48">
        <f t="shared" si="127"/>
        <v>0</v>
      </c>
      <c r="Y187" s="48">
        <f>IF(SUM(T187-S187)&lt;0,0,SUM(T187-S187))</f>
        <v>0</v>
      </c>
      <c r="Z187" s="56">
        <f>IF(SUM(U187-T187-S187)&lt;0,0,SUM(U187-T187-S187))</f>
        <v>0</v>
      </c>
      <c r="AA187" s="48">
        <f>IF(SUM(V187-S187-T187-U187)&lt;0,0,SUM(V187-S187-T187-U187))</f>
        <v>0</v>
      </c>
      <c r="AB187" s="47"/>
      <c r="AC187" s="57">
        <f>IF(SUM(T187-Y187)&lt;0,0,SUM(T187-Y187))</f>
        <v>0</v>
      </c>
      <c r="AD187" s="33">
        <f>IF(SUM(U187-Z187)&lt;0,0,SUM(U187-Z187))</f>
        <v>0</v>
      </c>
      <c r="AE187" s="33">
        <f t="shared" si="143"/>
        <v>0</v>
      </c>
    </row>
    <row r="188" spans="2:31" x14ac:dyDescent="0.3">
      <c r="B188"/>
      <c r="C188" s="25"/>
      <c r="D188" s="90"/>
      <c r="E188" s="90"/>
      <c r="F188" s="25"/>
      <c r="G188" s="185"/>
      <c r="H188" s="185"/>
      <c r="I188" s="185"/>
      <c r="J188" s="47"/>
      <c r="K188" s="92"/>
      <c r="L188" s="91"/>
      <c r="M188" s="91"/>
      <c r="N188" s="91"/>
      <c r="O188" s="93"/>
      <c r="P188" s="47"/>
      <c r="Q188" s="30"/>
      <c r="R188" s="30"/>
      <c r="S188" s="47"/>
      <c r="T188" s="47"/>
      <c r="U188" s="47"/>
      <c r="V188" s="93"/>
      <c r="W188" s="47"/>
      <c r="X188" s="47"/>
      <c r="Y188" s="47"/>
      <c r="Z188" s="47"/>
      <c r="AA188" s="47"/>
      <c r="AB188" s="47"/>
      <c r="AC188" s="47"/>
      <c r="AD188" s="47"/>
      <c r="AE188" s="47"/>
    </row>
    <row r="189" spans="2:31" x14ac:dyDescent="0.3">
      <c r="B189" s="9" t="s">
        <v>40</v>
      </c>
      <c r="C189" s="9" t="s">
        <v>6</v>
      </c>
      <c r="D189" s="58">
        <f>D187+1</f>
        <v>42164</v>
      </c>
      <c r="E189" s="29" t="s">
        <v>36</v>
      </c>
      <c r="F189" s="190"/>
      <c r="G189" s="194"/>
      <c r="H189" s="194"/>
      <c r="I189" s="194"/>
      <c r="J189" s="193">
        <f>IF(OR(E189="férié travaillé",E189="travail"),(I189-G189+IF(G189&gt;I189,1)-H189),INDEX('bases de donnée'!$E$20:'bases de donnée'!$E$32,MATCH(E189,gerald2,0)))</f>
        <v>0.3</v>
      </c>
      <c r="K189" s="20">
        <f>IF(SUM(J189-'bases de donnée'!E$7)&lt;0,0,SUM(J189-'bases de donnée'!E$7))</f>
        <v>0</v>
      </c>
      <c r="L189" s="11">
        <f>IF(OR(E189="férié travaillé",E189="travail"),I189-G189+IF(G189&gt;I189,1),INDEX('bases de donnée'!$E$20:'bases de donnée'!$E$32,MATCH(E189,gerald2,0)))</f>
        <v>0.3</v>
      </c>
      <c r="M189" s="21">
        <f>IF(SUM(L189-'bases de donnée'!E$4)&lt;0,0,SUM(L189-'bases de donnée'!E$4))</f>
        <v>0</v>
      </c>
      <c r="N189" s="155">
        <v>0</v>
      </c>
      <c r="O189" s="59">
        <f>J189</f>
        <v>0.3</v>
      </c>
      <c r="P189" s="122">
        <f>SUM(Q189:Q195)</f>
        <v>4</v>
      </c>
      <c r="Q189" s="120">
        <f>IF(AND(G189&lt;&gt;"",I189&lt;&gt;""),1,0+OR(N(I188)&lt;N(G188),E189="récupération",E189="congé 1 jour",E189="congé 1/2 jour ",E189="congé 5h24",E189="arrêt maladie",E189="arrêt travail",E189="férié ",E189="congé parentale",E189="congé de naissance"))</f>
        <v>1</v>
      </c>
      <c r="R189" s="30"/>
      <c r="S189" s="77">
        <f>IF(SUM(MOD(I189-G189,1)-IF(I189&gt;G189,MAX(0,MIN(I189,'bases de donnée'!E$16/24)-MAX('planning '!G189,7/24)),MAX(0,'bases de donnée'!E$16/24-MAX('planning '!G189,7/24))+MAX(0,MIN('planning '!I189,'bases de donnée'!E$16/24)-7/24)))&lt;0,0,SUM(MOD('planning '!I189-'planning '!G189,1)-IF('planning '!I189&gt;'planning '!G189,MAX(0,MIN('planning '!I189,'bases de donnée'!E$16/24)-MAX('planning '!G189,7/24)),MAX(0,'bases de donnée'!E$16/24-MAX('planning '!G189,7/24))+MAX(0,MIN('planning '!I189,'bases de donnée'!E$16/24)-7/24))))</f>
        <v>0</v>
      </c>
      <c r="T189" s="81"/>
      <c r="U189" s="77" t="str">
        <f t="shared" ref="U189:U195" si="178">IF(E189&lt;&gt;"travail",IF(E189="férié travaillé",MOD(I189-G189,1)-H189,"00:00"),"00:00")</f>
        <v>00:00</v>
      </c>
      <c r="V189" s="78"/>
      <c r="W189" s="47"/>
      <c r="X189" s="48">
        <f t="shared" si="127"/>
        <v>0</v>
      </c>
      <c r="Y189" s="31"/>
      <c r="Z189" s="49">
        <f t="shared" ref="Z189:Z194" si="179">IF(SUM(U189-X189)&lt;0,0,SUM(U189-X189))</f>
        <v>0</v>
      </c>
      <c r="AA189" s="48">
        <f t="shared" ref="AA189:AA194" si="180">IF(SUM(V189-X189-Z189)&lt;0,0,SUM(V189-X189-Z189))</f>
        <v>0</v>
      </c>
      <c r="AB189" s="47"/>
      <c r="AC189" s="50"/>
      <c r="AD189" s="33">
        <f t="shared" ref="AD189:AD194" si="181">IF(SUM(U189-Z189)&lt;0,0,SUM(U189-Z189))</f>
        <v>0</v>
      </c>
      <c r="AE189" s="33">
        <f t="shared" si="143"/>
        <v>0</v>
      </c>
    </row>
    <row r="190" spans="2:31" x14ac:dyDescent="0.3">
      <c r="B190" s="60">
        <f>B182+1</f>
        <v>23</v>
      </c>
      <c r="C190" s="9" t="s">
        <v>7</v>
      </c>
      <c r="D190" s="58">
        <f>D189+1</f>
        <v>42165</v>
      </c>
      <c r="E190" s="29" t="s">
        <v>29</v>
      </c>
      <c r="F190" s="191"/>
      <c r="G190" s="194">
        <v>0.39583333333333331</v>
      </c>
      <c r="H190" s="194">
        <v>6.25E-2</v>
      </c>
      <c r="I190" s="194">
        <v>0.84375</v>
      </c>
      <c r="J190" s="193">
        <f>IF(OR(E190="férié travaillé",E190="travail"),(I190-G190+IF(G190&gt;I190,1)-H190),INDEX('bases de donnée'!$E$20:'bases de donnée'!$E$32,MATCH(E190,gerald2,0)))</f>
        <v>0.38541666666666669</v>
      </c>
      <c r="K190" s="20">
        <f>IF(SUM(J190-'bases de donnée'!E$7)&lt;0,0,SUM(J190-'bases de donnée'!E$7))</f>
        <v>0</v>
      </c>
      <c r="L190" s="11">
        <f>IF(OR(E190="férié travaillé",E190="travail"),I190-G190+IF(G190&gt;I190,1),INDEX('bases de donnée'!$E$20:'bases de donnée'!$E$32,MATCH(E190,gerald2,0)))</f>
        <v>0.44791666666666669</v>
      </c>
      <c r="M190" s="21">
        <f>IF(SUM(L190-'bases de donnée'!E$4)&lt;0,0,SUM(L190-'bases de donnée'!E$4))</f>
        <v>0</v>
      </c>
      <c r="N190" s="155">
        <v>0</v>
      </c>
      <c r="O190" s="74">
        <f t="shared" ref="O190:O195" si="182">O189+J190</f>
        <v>0.68541666666666667</v>
      </c>
      <c r="P190" s="121">
        <f>IF(SUM(P189-'bases de donnée'!E$6)&lt;0,0,SUM(P189-'bases de donnée'!E$6))</f>
        <v>0</v>
      </c>
      <c r="Q190" s="120">
        <f t="shared" ref="Q190:Q195" si="183">IF(AND(G190&lt;&gt;"",I190&lt;&gt;""),1,0+OR(N(I189)&lt;N(G189),E190="récupération",E190="congé 1 jour",E190="congé 1/2 jour ",E190="congé 5h24",E190="arrêt maladie",E190="arrêt travail",E190="férié ",E190="congé parentale",E190="congé de naissance"))</f>
        <v>1</v>
      </c>
      <c r="R190" s="30"/>
      <c r="S190" s="77">
        <f>IF(SUM(MOD(I190-G190,1)-IF(I190&gt;G190,MAX(0,MIN(I190,'bases de donnée'!E$16/24)-MAX('planning '!G190,7/24)),MAX(0,'bases de donnée'!E$16/24-MAX('planning '!G190,7/24))+MAX(0,MIN('planning '!I190,'bases de donnée'!E$16/24)-7/24)))&lt;0,0,SUM(MOD('planning '!I190-'planning '!G190,1)-IF('planning '!I190&gt;'planning '!G190,MAX(0,MIN('planning '!I190,'bases de donnée'!E$16/24)-MAX('planning '!G190,7/24)),MAX(0,'bases de donnée'!E$16/24-MAX('planning '!G190,7/24))+MAX(0,MIN('planning '!I190,'bases de donnée'!E$16/24)-7/24))))</f>
        <v>0</v>
      </c>
      <c r="T190" s="82"/>
      <c r="U190" s="77" t="str">
        <f t="shared" si="178"/>
        <v>00:00</v>
      </c>
      <c r="V190" s="78">
        <f>IF(SUM(IF(O190&gt;('bases de donnée'!E$9*1),O190-('bases de donnée'!E$9*1),0)-V189)&lt;0,0,SUM(IF(O190&gt;('bases de donnée'!E$9*1),O190-('bases de donnée'!E$9*1),0)-V189))</f>
        <v>0</v>
      </c>
      <c r="W190" s="47"/>
      <c r="X190" s="48">
        <f t="shared" si="127"/>
        <v>0</v>
      </c>
      <c r="Y190" s="42"/>
      <c r="Z190" s="49">
        <f t="shared" si="179"/>
        <v>0</v>
      </c>
      <c r="AA190" s="48">
        <f t="shared" si="180"/>
        <v>0</v>
      </c>
      <c r="AB190" s="47"/>
      <c r="AC190" s="54"/>
      <c r="AD190" s="33">
        <f t="shared" si="181"/>
        <v>0</v>
      </c>
      <c r="AE190" s="33">
        <f t="shared" si="143"/>
        <v>0</v>
      </c>
    </row>
    <row r="191" spans="2:31" x14ac:dyDescent="0.3">
      <c r="B191"/>
      <c r="C191" s="9" t="s">
        <v>8</v>
      </c>
      <c r="D191" s="58">
        <f t="shared" ref="D191:D195" si="184">D190+1</f>
        <v>42166</v>
      </c>
      <c r="E191" s="29" t="s">
        <v>28</v>
      </c>
      <c r="F191" s="191"/>
      <c r="G191" s="194"/>
      <c r="H191" s="194"/>
      <c r="I191" s="194"/>
      <c r="J191" s="193">
        <f>IF(OR(E191="férié travaillé",E191="travail"),(I191-G191+IF(G191&gt;I191,1)-H191),INDEX('bases de donnée'!$E$20:'bases de donnée'!$E$32,MATCH(E191,gerald2,0)))</f>
        <v>0</v>
      </c>
      <c r="K191" s="20">
        <f>IF(SUM(J191-'bases de donnée'!E$7)&lt;0,0,SUM(J191-'bases de donnée'!E$7))</f>
        <v>0</v>
      </c>
      <c r="L191" s="11">
        <f>IF(OR(E191="férié travaillé",E191="travail"),I191-G191+IF(G191&gt;I191,1),INDEX('bases de donnée'!$E$20:'bases de donnée'!$E$32,MATCH(E191,gerald2,0)))</f>
        <v>0</v>
      </c>
      <c r="M191" s="21">
        <f>IF(SUM(L191-'bases de donnée'!E$4)&lt;0,0,SUM(L191-'bases de donnée'!E$4))</f>
        <v>0</v>
      </c>
      <c r="N191" s="155">
        <v>0</v>
      </c>
      <c r="O191" s="74">
        <f t="shared" si="182"/>
        <v>0.68541666666666667</v>
      </c>
      <c r="P191" s="34" t="s">
        <v>46</v>
      </c>
      <c r="Q191" s="120">
        <f t="shared" si="183"/>
        <v>0</v>
      </c>
      <c r="R191" s="30"/>
      <c r="S191" s="77">
        <f>IF(SUM(MOD(I191-G191,1)-IF(I191&gt;G191,MAX(0,MIN(I191,'bases de donnée'!E$16/24)-MAX('planning '!G191,7/24)),MAX(0,'bases de donnée'!E$16/24-MAX('planning '!G191,7/24))+MAX(0,MIN('planning '!I191,'bases de donnée'!E$16/24)-7/24)))&lt;0,0,SUM(MOD('planning '!I191-'planning '!G191,1)-IF('planning '!I191&gt;'planning '!G191,MAX(0,MIN('planning '!I191,'bases de donnée'!E$16/24)-MAX('planning '!G191,7/24)),MAX(0,'bases de donnée'!E$16/24-MAX('planning '!G191,7/24))+MAX(0,MIN('planning '!I191,'bases de donnée'!E$16/24)-7/24))))</f>
        <v>0</v>
      </c>
      <c r="T191" s="82"/>
      <c r="U191" s="77" t="str">
        <f t="shared" si="178"/>
        <v>00:00</v>
      </c>
      <c r="V191" s="78">
        <f>IF(SUM(IF(O191&gt;("36:00"*1),O191-("36:00"*1),0)-V189-V190)&lt;0,0,SUM(IF(O191&gt;("36:00"*1),O191-("36:00"*1),0)-V189-V190))</f>
        <v>0</v>
      </c>
      <c r="W191" s="47"/>
      <c r="X191" s="48">
        <f t="shared" si="127"/>
        <v>0</v>
      </c>
      <c r="Y191" s="42"/>
      <c r="Z191" s="49">
        <f t="shared" si="179"/>
        <v>0</v>
      </c>
      <c r="AA191" s="48">
        <f t="shared" si="180"/>
        <v>0</v>
      </c>
      <c r="AB191" s="47"/>
      <c r="AC191" s="54"/>
      <c r="AD191" s="33">
        <f t="shared" si="181"/>
        <v>0</v>
      </c>
      <c r="AE191" s="33">
        <f t="shared" si="143"/>
        <v>0</v>
      </c>
    </row>
    <row r="192" spans="2:31" x14ac:dyDescent="0.3">
      <c r="B192"/>
      <c r="C192" s="9" t="s">
        <v>9</v>
      </c>
      <c r="D192" s="58">
        <f t="shared" si="184"/>
        <v>42167</v>
      </c>
      <c r="E192" s="29" t="s">
        <v>29</v>
      </c>
      <c r="F192" s="191"/>
      <c r="G192" s="194">
        <v>0.375</v>
      </c>
      <c r="H192" s="194">
        <v>3.125E-2</v>
      </c>
      <c r="I192" s="194">
        <v>0.70833333333333337</v>
      </c>
      <c r="J192" s="193">
        <f>IF(OR(E192="férié travaillé",E192="travail"),(I192-G192+IF(G192&gt;I192,1)-H192),INDEX('bases de donnée'!$E$20:'bases de donnée'!$E$32,MATCH(E192,gerald2,0)))</f>
        <v>0.30208333333333337</v>
      </c>
      <c r="K192" s="20">
        <f>IF(SUM(J192-'bases de donnée'!E$7)&lt;0,0,SUM(J192-'bases de donnée'!E$7))</f>
        <v>0</v>
      </c>
      <c r="L192" s="11">
        <f>IF(OR(E192="férié travaillé",E192="travail"),I192-G192+IF(G192&gt;I192,1),INDEX('bases de donnée'!$E$20:'bases de donnée'!$E$32,MATCH(E192,gerald2,0)))</f>
        <v>0.33333333333333337</v>
      </c>
      <c r="M192" s="21">
        <f>IF(SUM(L192-'bases de donnée'!E$4)&lt;0,0,SUM(L192-'bases de donnée'!E$4))</f>
        <v>0</v>
      </c>
      <c r="N192" s="155">
        <v>0</v>
      </c>
      <c r="O192" s="74">
        <f t="shared" si="182"/>
        <v>0.98750000000000004</v>
      </c>
      <c r="P192" s="86">
        <f>O195</f>
        <v>1.4875</v>
      </c>
      <c r="Q192" s="120">
        <f t="shared" si="183"/>
        <v>1</v>
      </c>
      <c r="R192" s="30"/>
      <c r="S192" s="77">
        <f>IF(SUM(MOD(I192-G192,1)-IF(I192&gt;G192,MAX(0,MIN(I192,'bases de donnée'!E$16/24)-MAX('planning '!G192,7/24)),MAX(0,'bases de donnée'!E$16/24-MAX('planning '!G192,7/24))+MAX(0,MIN('planning '!I192,'bases de donnée'!E$16/24)-7/24)))&lt;0,0,SUM(MOD('planning '!I192-'planning '!G192,1)-IF('planning '!I192&gt;'planning '!G192,MAX(0,MIN('planning '!I192,'bases de donnée'!E$16/24)-MAX('planning '!G192,7/24)),MAX(0,'bases de donnée'!E$16/24-MAX('planning '!G192,7/24))+MAX(0,MIN('planning '!I192,'bases de donnée'!E$16/24)-7/24))))</f>
        <v>0</v>
      </c>
      <c r="T192" s="82"/>
      <c r="U192" s="77" t="str">
        <f t="shared" si="178"/>
        <v>00:00</v>
      </c>
      <c r="V192" s="78">
        <f>IF(SUM(IF(O192&gt;("36:00"*1),O192-("36:00"*1),0)-V190-V191)&lt;0,0,SUM(IF(O192&gt;("36:00"*1),O192-("36:00"*1),0)-V189-V190-V191))</f>
        <v>0</v>
      </c>
      <c r="W192" s="47"/>
      <c r="X192" s="48">
        <f t="shared" si="127"/>
        <v>0</v>
      </c>
      <c r="Y192" s="42"/>
      <c r="Z192" s="49">
        <f t="shared" si="179"/>
        <v>0</v>
      </c>
      <c r="AA192" s="48">
        <f t="shared" si="180"/>
        <v>0</v>
      </c>
      <c r="AB192" s="47"/>
      <c r="AC192" s="54"/>
      <c r="AD192" s="33">
        <f t="shared" si="181"/>
        <v>0</v>
      </c>
      <c r="AE192" s="33">
        <f t="shared" si="143"/>
        <v>0</v>
      </c>
    </row>
    <row r="193" spans="2:31" x14ac:dyDescent="0.3">
      <c r="B193"/>
      <c r="C193" s="9" t="s">
        <v>3</v>
      </c>
      <c r="D193" s="58">
        <f t="shared" si="184"/>
        <v>42168</v>
      </c>
      <c r="E193" s="29" t="s">
        <v>29</v>
      </c>
      <c r="F193" s="191"/>
      <c r="G193" s="194">
        <v>0.38541666666666669</v>
      </c>
      <c r="H193" s="194">
        <v>6.25E-2</v>
      </c>
      <c r="I193" s="194">
        <v>0.94791666666666663</v>
      </c>
      <c r="J193" s="193">
        <f>IF(OR(E193="férié travaillé",E193="travail"),(I193-G193+IF(G193&gt;I193,1)-H193),INDEX('bases de donnée'!$E$20:'bases de donnée'!$E$32,MATCH(E193,gerald2,0)))</f>
        <v>0.5</v>
      </c>
      <c r="K193" s="20">
        <f>IF(SUM(J193-'bases de donnée'!E$7)&lt;0,0,SUM(J193-'bases de donnée'!E$7))</f>
        <v>8.3333333333333315E-2</v>
      </c>
      <c r="L193" s="11">
        <f>IF(OR(E193="férié travaillé",E193="travail"),I193-G193+IF(G193&gt;I193,1),INDEX('bases de donnée'!$E$20:'bases de donnée'!$E$32,MATCH(E193,gerald2,0)))</f>
        <v>0.5625</v>
      </c>
      <c r="M193" s="21">
        <f>IF(SUM(L193-'bases de donnée'!E$4)&lt;0,0,SUM(L193-'bases de donnée'!E$4))</f>
        <v>6.25E-2</v>
      </c>
      <c r="N193" s="155">
        <v>0</v>
      </c>
      <c r="O193" s="74">
        <f t="shared" si="182"/>
        <v>1.4875</v>
      </c>
      <c r="P193" s="8" t="s">
        <v>48</v>
      </c>
      <c r="Q193" s="120">
        <f t="shared" si="183"/>
        <v>1</v>
      </c>
      <c r="R193" s="30"/>
      <c r="S193" s="77">
        <f>IF(SUM(MOD(I193-G193,1)-IF(I193&gt;G193,MAX(0,MIN(I193,'bases de donnée'!E$16/24)-MAX('planning '!G193,7/24)),MAX(0,'bases de donnée'!E$16/24-MAX('planning '!G193,7/24))+MAX(0,MIN('planning '!I193,'bases de donnée'!E$16/24)-7/24)))&lt;0,0,SUM(MOD('planning '!I193-'planning '!G193,1)-IF('planning '!I193&gt;'planning '!G193,MAX(0,MIN('planning '!I193,'bases de donnée'!E$16/24)-MAX('planning '!G193,7/24)),MAX(0,'bases de donnée'!E$16/24-MAX('planning '!G193,7/24))+MAX(0,MIN('planning '!I193,'bases de donnée'!E$16/24)-7/24))))</f>
        <v>7.2916666666666685E-2</v>
      </c>
      <c r="T193" s="82"/>
      <c r="U193" s="77" t="str">
        <f t="shared" si="178"/>
        <v>00:00</v>
      </c>
      <c r="V193" s="78">
        <f>IF(SUM(IF(O193&gt;("36:00"*1),O193-("36:00"*1),0)-V191-V192)&lt;0,0,SUM(IF(O193&gt;("36:00"*1),O193-("36:00"*1),0)-V189-V190-V191-V192))</f>
        <v>0</v>
      </c>
      <c r="W193" s="47"/>
      <c r="X193" s="48">
        <f t="shared" si="127"/>
        <v>7.2916666666666685E-2</v>
      </c>
      <c r="Y193" s="42"/>
      <c r="Z193" s="49">
        <f t="shared" si="179"/>
        <v>0</v>
      </c>
      <c r="AA193" s="48">
        <f t="shared" si="180"/>
        <v>0</v>
      </c>
      <c r="AB193" s="47"/>
      <c r="AC193" s="54"/>
      <c r="AD193" s="33">
        <f t="shared" si="181"/>
        <v>0</v>
      </c>
      <c r="AE193" s="33">
        <f t="shared" si="143"/>
        <v>0</v>
      </c>
    </row>
    <row r="194" spans="2:31" x14ac:dyDescent="0.3">
      <c r="B194"/>
      <c r="C194" s="9" t="s">
        <v>4</v>
      </c>
      <c r="D194" s="58">
        <f t="shared" si="184"/>
        <v>42169</v>
      </c>
      <c r="E194" s="29" t="s">
        <v>28</v>
      </c>
      <c r="F194" s="192"/>
      <c r="G194" s="194"/>
      <c r="H194" s="194"/>
      <c r="I194" s="194"/>
      <c r="J194" s="193">
        <f>IF(OR(E194="férié travaillé",E194="travail"),(I194-G194+IF(G194&gt;I194,1)-H194),INDEX('bases de donnée'!$E$20:'bases de donnée'!$E$32,MATCH(E194,gerald2,0)))</f>
        <v>0</v>
      </c>
      <c r="K194" s="20">
        <f>IF(SUM(J194-'bases de donnée'!E$7)&lt;0,0,SUM(J194-'bases de donnée'!E$7))</f>
        <v>0</v>
      </c>
      <c r="L194" s="11">
        <f>IF(OR(E194="férié travaillé",E194="travail"),I194-G194+IF(G194&gt;I194,1),INDEX('bases de donnée'!$E$20:'bases de donnée'!$E$32,MATCH(E194,gerald2,0)))</f>
        <v>0</v>
      </c>
      <c r="M194" s="21">
        <f>IF(SUM(L194-'bases de donnée'!E$4)&lt;0,0,SUM(L194-'bases de donnée'!E$4))</f>
        <v>0</v>
      </c>
      <c r="N194" s="155">
        <v>0</v>
      </c>
      <c r="O194" s="74">
        <f t="shared" si="182"/>
        <v>1.4875</v>
      </c>
      <c r="P194" s="66">
        <f>'bases de donnée'!E$10</f>
        <v>2</v>
      </c>
      <c r="Q194" s="120">
        <f t="shared" si="183"/>
        <v>0</v>
      </c>
      <c r="R194" s="30"/>
      <c r="S194" s="77">
        <f>IF(SUM(MOD(I194-G194,1)-IF(I194&gt;G194,MAX(0,MIN(I194,'bases de donnée'!E$16/24)-MAX('planning '!G194,7/24)),MAX(0,'bases de donnée'!E$16/24-MAX('planning '!G194,7/24))+MAX(0,MIN('planning '!I194,'bases de donnée'!E$16/24)-7/24)))&lt;0,0,SUM(MOD('planning '!I194-'planning '!G194,1)-IF('planning '!I194&gt;'planning '!G194,MAX(0,MIN('planning '!I194,'bases de donnée'!E$16/24)-MAX('planning '!G194,7/24)),MAX(0,'bases de donnée'!E$16/24-MAX('planning '!G194,7/24))+MAX(0,MIN('planning '!I194,'bases de donnée'!E$16/24)-7/24))))</f>
        <v>0</v>
      </c>
      <c r="T194" s="82"/>
      <c r="U194" s="77" t="str">
        <f t="shared" si="178"/>
        <v>00:00</v>
      </c>
      <c r="V194" s="78">
        <f>IF(SUM(IF(O194&gt;("36:00"*1),O194-("36:00"*1),0)-V192-V193)&lt;0,0,SUM(IF(O194&gt;("36:00"*1),O194-("36:00"*1),0)-V189-V190-V191-V192-V193))</f>
        <v>0</v>
      </c>
      <c r="W194" s="47"/>
      <c r="X194" s="48">
        <f t="shared" si="127"/>
        <v>0</v>
      </c>
      <c r="Y194" s="32"/>
      <c r="Z194" s="56">
        <f t="shared" si="179"/>
        <v>0</v>
      </c>
      <c r="AA194" s="48">
        <f t="shared" si="180"/>
        <v>0</v>
      </c>
      <c r="AB194" s="47"/>
      <c r="AC194" s="55"/>
      <c r="AD194" s="33">
        <f t="shared" si="181"/>
        <v>0</v>
      </c>
      <c r="AE194" s="33">
        <f t="shared" si="143"/>
        <v>0</v>
      </c>
    </row>
    <row r="195" spans="2:31" x14ac:dyDescent="0.3">
      <c r="B195"/>
      <c r="C195" s="64" t="s">
        <v>5</v>
      </c>
      <c r="D195" s="65">
        <f t="shared" si="184"/>
        <v>42170</v>
      </c>
      <c r="E195" s="29" t="s">
        <v>28</v>
      </c>
      <c r="F195" s="192"/>
      <c r="G195" s="194"/>
      <c r="H195" s="194"/>
      <c r="I195" s="194"/>
      <c r="J195" s="193">
        <f>IF(OR(E195="férié travaillé",E195="travail"),(I195-G195+IF(G195&gt;I195,1)-H195),INDEX('bases de donnée'!$E$20:'bases de donnée'!$E$32,MATCH(E195,gerald2,0)))</f>
        <v>0</v>
      </c>
      <c r="K195" s="20">
        <f>IF(SUM(J195-'bases de donnée'!E$7)&lt;0,0,SUM(J195-'bases de donnée'!E$7))</f>
        <v>0</v>
      </c>
      <c r="L195" s="11">
        <f>IF(OR(E195="férié travaillé",E195="travail"),I195-G195+IF(G195&gt;I195,1),INDEX('bases de donnée'!$E$20:'bases de donnée'!$E$32,MATCH(E195,gerald2,0)))</f>
        <v>0</v>
      </c>
      <c r="M195" s="21">
        <f>IF(SUM(L195-'bases de donnée'!E$4)&lt;0,0,SUM(L195-'bases de donnée'!E$4))</f>
        <v>0</v>
      </c>
      <c r="N195" s="155">
        <v>0</v>
      </c>
      <c r="O195" s="99">
        <f t="shared" si="182"/>
        <v>1.4875</v>
      </c>
      <c r="P195" s="57">
        <f>IF(SUM(O195-'bases de donnée'!E$10)&lt;0,0,SUM(O195-'bases de donnée'!E$10))</f>
        <v>0</v>
      </c>
      <c r="Q195" s="120">
        <f t="shared" si="183"/>
        <v>0</v>
      </c>
      <c r="R195" s="30"/>
      <c r="S195" s="77">
        <f>IF(SUM(MOD(I195-G195,1)-IF(I195&gt;G195,MAX(0,MIN(I195,'bases de donnée'!E$16/24)-MAX('planning '!G195,7/24)),MAX(0,'bases de donnée'!E$16/24-MAX('planning '!G195,7/24))+MAX(0,MIN('planning '!I195,'bases de donnée'!E$16/24)-7/24)))&lt;0,0,SUM(MOD('planning '!I195-'planning '!G195,1)-IF('planning '!I195&gt;'planning '!G195,MAX(0,MIN('planning '!I195,'bases de donnée'!E$16/24)-MAX('planning '!G195,7/24)),MAX(0,'bases de donnée'!E$16/24-MAX('planning '!G195,7/24))+MAX(0,MIN('planning '!I195,'bases de donnée'!E$16/24)-7/24))))</f>
        <v>0</v>
      </c>
      <c r="T195" s="77">
        <f>J195</f>
        <v>0</v>
      </c>
      <c r="U195" s="77" t="str">
        <f t="shared" si="178"/>
        <v>00:00</v>
      </c>
      <c r="V195" s="78">
        <f>IF(SUM(IF(O195&gt;("36:00"*1),O195-("36:00"*1),0)-V193-V194)&lt;0,0,SUM(IF(O195&gt;("36:00"*1),O195-("36:00"*1),0)-V189-V190-V191-V192-V193-V194))</f>
        <v>0</v>
      </c>
      <c r="W195" s="47"/>
      <c r="X195" s="88">
        <f t="shared" si="127"/>
        <v>0</v>
      </c>
      <c r="Y195" s="88">
        <f>IF(SUM(T195-S195)&lt;0,0,SUM(T195-S195))</f>
        <v>0</v>
      </c>
      <c r="Z195" s="49">
        <f>IF(SUM(U195-T195-S195)&lt;0,0,SUM(U195-T195-S195))</f>
        <v>0</v>
      </c>
      <c r="AA195" s="88">
        <f>IF(SUM(V195-S195-T195-U195)&lt;0,0,SUM(V195-S195-T195-U195))</f>
        <v>0</v>
      </c>
      <c r="AB195" s="47"/>
      <c r="AC195" s="57">
        <f>IF(SUM(T195-Y195)&lt;0,0,SUM(T195-Y195))</f>
        <v>0</v>
      </c>
      <c r="AD195" s="33">
        <f>IF(SUM(U195-Z195)&lt;0,0,SUM(U195-Z195))</f>
        <v>0</v>
      </c>
      <c r="AE195" s="33">
        <f t="shared" si="143"/>
        <v>0</v>
      </c>
    </row>
    <row r="196" spans="2:31" x14ac:dyDescent="0.3">
      <c r="B196"/>
      <c r="C196" s="25"/>
      <c r="D196" s="90"/>
      <c r="E196" s="90"/>
      <c r="F196" s="25"/>
      <c r="G196" s="185"/>
      <c r="H196" s="185"/>
      <c r="I196" s="185"/>
      <c r="J196" s="47"/>
      <c r="K196" s="92"/>
      <c r="L196" s="91"/>
      <c r="M196" s="91"/>
      <c r="N196" s="91"/>
      <c r="O196" s="93"/>
      <c r="P196" s="47"/>
      <c r="Q196" s="30"/>
      <c r="R196" s="30"/>
      <c r="S196" s="47"/>
      <c r="T196" s="47"/>
      <c r="U196" s="47"/>
      <c r="V196" s="93"/>
      <c r="W196" s="47"/>
      <c r="X196" s="47"/>
      <c r="Y196" s="47"/>
      <c r="Z196" s="47"/>
      <c r="AA196" s="47"/>
      <c r="AB196" s="47"/>
      <c r="AC196" s="47"/>
      <c r="AD196" s="47"/>
      <c r="AE196" s="47"/>
    </row>
    <row r="197" spans="2:31" x14ac:dyDescent="0.3">
      <c r="B197" s="14" t="s">
        <v>40</v>
      </c>
      <c r="C197" s="14" t="s">
        <v>6</v>
      </c>
      <c r="D197" s="43">
        <f>D195+1</f>
        <v>42171</v>
      </c>
      <c r="E197" s="29" t="s">
        <v>29</v>
      </c>
      <c r="F197" s="190"/>
      <c r="G197" s="194">
        <v>0.38541666666666669</v>
      </c>
      <c r="H197" s="194">
        <v>3.125E-2</v>
      </c>
      <c r="I197" s="194">
        <v>0.66666666666666663</v>
      </c>
      <c r="J197" s="193">
        <f>IF(OR(E197="férié travaillé",E197="travail"),(I197-G197+IF(G197&gt;I197,1)-H197),INDEX('bases de donnée'!$E$20:'bases de donnée'!$E$32,MATCH(E197,gerald2,0)))</f>
        <v>0.24999999999999994</v>
      </c>
      <c r="K197" s="20">
        <f>IF(SUM(J197-'bases de donnée'!E$7)&lt;0,0,SUM(J197-'bases de donnée'!E$7))</f>
        <v>0</v>
      </c>
      <c r="L197" s="11">
        <f>IF(OR(E197="férié travaillé",E197="travail"),I197-G197+IF(G197&gt;I197,1),INDEX('bases de donnée'!$E$20:'bases de donnée'!$E$32,MATCH(E197,gerald2,0)))</f>
        <v>0.28124999999999994</v>
      </c>
      <c r="M197" s="21">
        <f>IF(SUM(L197-'bases de donnée'!E$4)&lt;0,0,SUM(L197-'bases de donnée'!E$4))</f>
        <v>0</v>
      </c>
      <c r="N197" s="155">
        <v>0</v>
      </c>
      <c r="O197" s="45">
        <f>J197</f>
        <v>0.24999999999999994</v>
      </c>
      <c r="P197" s="122">
        <f>SUM(Q197:Q203)</f>
        <v>5</v>
      </c>
      <c r="Q197" s="120">
        <f>IF(AND(G197&lt;&gt;"",I197&lt;&gt;""),1,0+OR(N(I196)&lt;N(G196),E197="récupération",E197="congé 1 jour",E197="congé 1/2 jour ",E197="congé 5h24",E197="arrêt maladie",E197="arrêt travail",E197="férié ",E197="congé parentale",E197="congé de naissance"))</f>
        <v>1</v>
      </c>
      <c r="R197" s="30"/>
      <c r="S197" s="77">
        <f>IF(SUM(MOD(I197-G197,1)-IF(I197&gt;G197,MAX(0,MIN(I197,'bases de donnée'!E$16/24)-MAX('planning '!G197,7/24)),MAX(0,'bases de donnée'!E$16/24-MAX('planning '!G197,7/24))+MAX(0,MIN('planning '!I197,'bases de donnée'!E$16/24)-7/24)))&lt;0,0,SUM(MOD('planning '!I197-'planning '!G197,1)-IF('planning '!I197&gt;'planning '!G197,MAX(0,MIN('planning '!I197,'bases de donnée'!E$16/24)-MAX('planning '!G197,7/24)),MAX(0,'bases de donnée'!E$16/24-MAX('planning '!G197,7/24))+MAX(0,MIN('planning '!I197,'bases de donnée'!E$16/24)-7/24))))</f>
        <v>0</v>
      </c>
      <c r="T197" s="81"/>
      <c r="U197" s="77" t="str">
        <f t="shared" ref="U197:U203" si="185">IF(E197&lt;&gt;"travail",IF(E197="férié travaillé",MOD(I197-G197,1)-H197,"00:00"),"00:00")</f>
        <v>00:00</v>
      </c>
      <c r="V197" s="78"/>
      <c r="W197" s="47"/>
      <c r="X197" s="48">
        <f t="shared" si="127"/>
        <v>0</v>
      </c>
      <c r="Y197" s="31"/>
      <c r="Z197" s="49">
        <f t="shared" ref="Z197:Z202" si="186">IF(SUM(U197-X197)&lt;0,0,SUM(U197-X197))</f>
        <v>0</v>
      </c>
      <c r="AA197" s="48">
        <f t="shared" ref="AA197:AA202" si="187">IF(SUM(V197-X197-Z197)&lt;0,0,SUM(V197-X197-Z197))</f>
        <v>0</v>
      </c>
      <c r="AB197" s="47"/>
      <c r="AC197" s="50"/>
      <c r="AD197" s="33">
        <f t="shared" ref="AD197:AD202" si="188">IF(SUM(U197-Z197)&lt;0,0,SUM(U197-Z197))</f>
        <v>0</v>
      </c>
      <c r="AE197" s="33">
        <f t="shared" si="143"/>
        <v>0</v>
      </c>
    </row>
    <row r="198" spans="2:31" x14ac:dyDescent="0.3">
      <c r="B198" s="51">
        <f>B190+1</f>
        <v>24</v>
      </c>
      <c r="C198" s="14" t="s">
        <v>7</v>
      </c>
      <c r="D198" s="43">
        <f>D197+1</f>
        <v>42172</v>
      </c>
      <c r="E198" s="29" t="s">
        <v>29</v>
      </c>
      <c r="F198" s="191"/>
      <c r="G198" s="194">
        <v>0.58333333333333337</v>
      </c>
      <c r="H198" s="194">
        <v>3.125E-2</v>
      </c>
      <c r="I198" s="194">
        <v>0.875</v>
      </c>
      <c r="J198" s="193">
        <f>IF(OR(E198="férié travaillé",E198="travail"),(I198-G198+IF(G198&gt;I198,1)-H198),INDEX('bases de donnée'!$E$20:'bases de donnée'!$E$32,MATCH(E198,gerald2,0)))</f>
        <v>0.26041666666666663</v>
      </c>
      <c r="K198" s="20">
        <f>IF(SUM(J198-'bases de donnée'!E$7)&lt;0,0,SUM(J198-'bases de donnée'!E$7))</f>
        <v>0</v>
      </c>
      <c r="L198" s="11">
        <f>IF(OR(E198="férié travaillé",E198="travail"),I198-G198+IF(G198&gt;I198,1),INDEX('bases de donnée'!$E$20:'bases de donnée'!$E$32,MATCH(E198,gerald2,0)))</f>
        <v>0.29166666666666663</v>
      </c>
      <c r="M198" s="21">
        <f>IF(SUM(L198-'bases de donnée'!E$4)&lt;0,0,SUM(L198-'bases de donnée'!E$4))</f>
        <v>0</v>
      </c>
      <c r="N198" s="155">
        <v>0</v>
      </c>
      <c r="O198" s="73">
        <f t="shared" ref="O198:O203" si="189">O197+J198</f>
        <v>0.51041666666666652</v>
      </c>
      <c r="P198" s="121">
        <f>IF(SUM(P197-'bases de donnée'!E$6)&lt;0,0,SUM(P197-'bases de donnée'!E$6))</f>
        <v>0</v>
      </c>
      <c r="Q198" s="120">
        <f t="shared" ref="Q198:Q203" si="190">IF(AND(G198&lt;&gt;"",I198&lt;&gt;""),1,0+OR(N(I197)&lt;N(G197),E198="récupération",E198="congé 1 jour",E198="congé 1/2 jour ",E198="congé 5h24",E198="arrêt maladie",E198="arrêt travail",E198="férié ",E198="congé parentale",E198="congé de naissance"))</f>
        <v>1</v>
      </c>
      <c r="R198" s="30"/>
      <c r="S198" s="77">
        <f>IF(SUM(MOD(I198-G198,1)-IF(I198&gt;G198,MAX(0,MIN(I198,'bases de donnée'!E$16/24)-MAX('planning '!G198,7/24)),MAX(0,'bases de donnée'!E$16/24-MAX('planning '!G198,7/24))+MAX(0,MIN('planning '!I198,'bases de donnée'!E$16/24)-7/24)))&lt;0,0,SUM(MOD('planning '!I198-'planning '!G198,1)-IF('planning '!I198&gt;'planning '!G198,MAX(0,MIN('planning '!I198,'bases de donnée'!E$16/24)-MAX('planning '!G198,7/24)),MAX(0,'bases de donnée'!E$16/24-MAX('planning '!G198,7/24))+MAX(0,MIN('planning '!I198,'bases de donnée'!E$16/24)-7/24))))</f>
        <v>0</v>
      </c>
      <c r="T198" s="82"/>
      <c r="U198" s="77" t="str">
        <f t="shared" si="185"/>
        <v>00:00</v>
      </c>
      <c r="V198" s="78">
        <f>IF(SUM(IF(O198&gt;('bases de donnée'!E$9*1),O198-('bases de donnée'!E$9*1),0)-V197)&lt;0,0,SUM(IF(O198&gt;('bases de donnée'!E$9*1),O198-('bases de donnée'!E$9*1),0)-V197))</f>
        <v>0</v>
      </c>
      <c r="W198" s="47"/>
      <c r="X198" s="48">
        <f t="shared" si="127"/>
        <v>0</v>
      </c>
      <c r="Y198" s="42"/>
      <c r="Z198" s="49">
        <f t="shared" si="186"/>
        <v>0</v>
      </c>
      <c r="AA198" s="48">
        <f t="shared" si="187"/>
        <v>0</v>
      </c>
      <c r="AB198" s="47"/>
      <c r="AC198" s="54"/>
      <c r="AD198" s="33">
        <f t="shared" si="188"/>
        <v>0</v>
      </c>
      <c r="AE198" s="33">
        <f t="shared" si="143"/>
        <v>0</v>
      </c>
    </row>
    <row r="199" spans="2:31" x14ac:dyDescent="0.3">
      <c r="B199"/>
      <c r="C199" s="14" t="s">
        <v>8</v>
      </c>
      <c r="D199" s="43">
        <f t="shared" ref="D199:D203" si="191">D198+1</f>
        <v>42173</v>
      </c>
      <c r="E199" s="29" t="s">
        <v>28</v>
      </c>
      <c r="F199" s="191"/>
      <c r="G199" s="194"/>
      <c r="H199" s="194"/>
      <c r="I199" s="194"/>
      <c r="J199" s="193">
        <f>IF(OR(E199="férié travaillé",E199="travail"),(I199-G199+IF(G199&gt;I199,1)-H199),INDEX('bases de donnée'!$E$20:'bases de donnée'!$E$32,MATCH(E199,gerald2,0)))</f>
        <v>0</v>
      </c>
      <c r="K199" s="20">
        <f>IF(SUM(J199-'bases de donnée'!E$7)&lt;0,0,SUM(J199-'bases de donnée'!E$7))</f>
        <v>0</v>
      </c>
      <c r="L199" s="11">
        <f>IF(OR(E199="férié travaillé",E199="travail"),I199-G199+IF(G199&gt;I199,1),INDEX('bases de donnée'!$E$20:'bases de donnée'!$E$32,MATCH(E199,gerald2,0)))</f>
        <v>0</v>
      </c>
      <c r="M199" s="21">
        <f>IF(SUM(L199-'bases de donnée'!E$4)&lt;0,0,SUM(L199-'bases de donnée'!E$4))</f>
        <v>0</v>
      </c>
      <c r="N199" s="155">
        <v>0</v>
      </c>
      <c r="O199" s="73">
        <f t="shared" si="189"/>
        <v>0.51041666666666652</v>
      </c>
      <c r="P199" s="34" t="s">
        <v>46</v>
      </c>
      <c r="Q199" s="120">
        <f t="shared" si="190"/>
        <v>0</v>
      </c>
      <c r="R199" s="30"/>
      <c r="S199" s="77">
        <f>IF(SUM(MOD(I199-G199,1)-IF(I199&gt;G199,MAX(0,MIN(I199,'bases de donnée'!E$16/24)-MAX('planning '!G199,7/24)),MAX(0,'bases de donnée'!E$16/24-MAX('planning '!G199,7/24))+MAX(0,MIN('planning '!I199,'bases de donnée'!E$16/24)-7/24)))&lt;0,0,SUM(MOD('planning '!I199-'planning '!G199,1)-IF('planning '!I199&gt;'planning '!G199,MAX(0,MIN('planning '!I199,'bases de donnée'!E$16/24)-MAX('planning '!G199,7/24)),MAX(0,'bases de donnée'!E$16/24-MAX('planning '!G199,7/24))+MAX(0,MIN('planning '!I199,'bases de donnée'!E$16/24)-7/24))))</f>
        <v>0</v>
      </c>
      <c r="T199" s="82"/>
      <c r="U199" s="77" t="str">
        <f t="shared" si="185"/>
        <v>00:00</v>
      </c>
      <c r="V199" s="78">
        <f>IF(SUM(IF(O199&gt;("36:00"*1),O199-("36:00"*1),0)-V197-V198)&lt;0,0,SUM(IF(O199&gt;("36:00"*1),O199-("36:00"*1),0)-V197-V198))</f>
        <v>0</v>
      </c>
      <c r="W199" s="47"/>
      <c r="X199" s="48">
        <f t="shared" si="127"/>
        <v>0</v>
      </c>
      <c r="Y199" s="42"/>
      <c r="Z199" s="49">
        <f t="shared" si="186"/>
        <v>0</v>
      </c>
      <c r="AA199" s="48">
        <f t="shared" si="187"/>
        <v>0</v>
      </c>
      <c r="AB199" s="47"/>
      <c r="AC199" s="54"/>
      <c r="AD199" s="33">
        <f t="shared" si="188"/>
        <v>0</v>
      </c>
      <c r="AE199" s="33">
        <f t="shared" si="143"/>
        <v>0</v>
      </c>
    </row>
    <row r="200" spans="2:31" x14ac:dyDescent="0.3">
      <c r="B200"/>
      <c r="C200" s="14" t="s">
        <v>9</v>
      </c>
      <c r="D200" s="43">
        <f t="shared" si="191"/>
        <v>42174</v>
      </c>
      <c r="E200" s="29" t="s">
        <v>29</v>
      </c>
      <c r="F200" s="191"/>
      <c r="G200" s="194">
        <v>0.375</v>
      </c>
      <c r="H200" s="194">
        <v>6.25E-2</v>
      </c>
      <c r="I200" s="194">
        <v>0.89583333333333337</v>
      </c>
      <c r="J200" s="193">
        <f>IF(OR(E200="férié travaillé",E200="travail"),(I200-G200+IF(G200&gt;I200,1)-H200),INDEX('bases de donnée'!$E$20:'bases de donnée'!$E$32,MATCH(E200,gerald2,0)))</f>
        <v>0.45833333333333337</v>
      </c>
      <c r="K200" s="20">
        <f>IF(SUM(J200-'bases de donnée'!E$7)&lt;0,0,SUM(J200-'bases de donnée'!E$7))</f>
        <v>4.1666666666666685E-2</v>
      </c>
      <c r="L200" s="11">
        <f>IF(OR(E200="férié travaillé",E200="travail"),I200-G200+IF(G200&gt;I200,1),INDEX('bases de donnée'!$E$20:'bases de donnée'!$E$32,MATCH(E200,gerald2,0)))</f>
        <v>0.52083333333333337</v>
      </c>
      <c r="M200" s="21">
        <f>IF(SUM(L200-'bases de donnée'!E$4)&lt;0,0,SUM(L200-'bases de donnée'!E$4))</f>
        <v>2.083333333333337E-2</v>
      </c>
      <c r="N200" s="155">
        <v>0</v>
      </c>
      <c r="O200" s="73">
        <f t="shared" si="189"/>
        <v>0.96874999999999989</v>
      </c>
      <c r="P200" s="86">
        <f>O203</f>
        <v>1.5</v>
      </c>
      <c r="Q200" s="120">
        <f t="shared" si="190"/>
        <v>1</v>
      </c>
      <c r="R200" s="30"/>
      <c r="S200" s="77">
        <f>IF(SUM(MOD(I200-G200,1)-IF(I200&gt;G200,MAX(0,MIN(I200,'bases de donnée'!E$16/24)-MAX('planning '!G200,7/24)),MAX(0,'bases de donnée'!E$16/24-MAX('planning '!G200,7/24))+MAX(0,MIN('planning '!I200,'bases de donnée'!E$16/24)-7/24)))&lt;0,0,SUM(MOD('planning '!I200-'planning '!G200,1)-IF('planning '!I200&gt;'planning '!G200,MAX(0,MIN('planning '!I200,'bases de donnée'!E$16/24)-MAX('planning '!G200,7/24)),MAX(0,'bases de donnée'!E$16/24-MAX('planning '!G200,7/24))+MAX(0,MIN('planning '!I200,'bases de donnée'!E$16/24)-7/24))))</f>
        <v>2.083333333333337E-2</v>
      </c>
      <c r="T200" s="82"/>
      <c r="U200" s="77" t="str">
        <f t="shared" si="185"/>
        <v>00:00</v>
      </c>
      <c r="V200" s="78">
        <f>IF(SUM(IF(O200&gt;("36:00"*1),O200-("36:00"*1),0)-V198-V199)&lt;0,0,SUM(IF(O200&gt;("36:00"*1),O200-("36:00"*1),0)-V197-V198-V199))</f>
        <v>0</v>
      </c>
      <c r="W200" s="47"/>
      <c r="X200" s="48">
        <f t="shared" si="127"/>
        <v>2.083333333333337E-2</v>
      </c>
      <c r="Y200" s="42"/>
      <c r="Z200" s="49">
        <f t="shared" si="186"/>
        <v>0</v>
      </c>
      <c r="AA200" s="48">
        <f t="shared" si="187"/>
        <v>0</v>
      </c>
      <c r="AB200" s="47"/>
      <c r="AC200" s="54"/>
      <c r="AD200" s="33">
        <f t="shared" si="188"/>
        <v>0</v>
      </c>
      <c r="AE200" s="33">
        <f t="shared" si="143"/>
        <v>0</v>
      </c>
    </row>
    <row r="201" spans="2:31" x14ac:dyDescent="0.3">
      <c r="B201"/>
      <c r="C201" s="14" t="s">
        <v>3</v>
      </c>
      <c r="D201" s="43">
        <f t="shared" si="191"/>
        <v>42175</v>
      </c>
      <c r="E201" s="29" t="s">
        <v>29</v>
      </c>
      <c r="F201" s="191"/>
      <c r="G201" s="194">
        <v>0.375</v>
      </c>
      <c r="H201" s="194"/>
      <c r="I201" s="194">
        <v>0.52083333333333337</v>
      </c>
      <c r="J201" s="193">
        <f>IF(OR(E201="férié travaillé",E201="travail"),(I201-G201+IF(G201&gt;I201,1)-H201),INDEX('bases de donnée'!$E$20:'bases de donnée'!$E$32,MATCH(E201,gerald2,0)))</f>
        <v>0.14583333333333337</v>
      </c>
      <c r="K201" s="20">
        <f>IF(SUM(J201-'bases de donnée'!E$7)&lt;0,0,SUM(J201-'bases de donnée'!E$7))</f>
        <v>0</v>
      </c>
      <c r="L201" s="11">
        <f>IF(OR(E201="férié travaillé",E201="travail"),I201-G201+IF(G201&gt;I201,1),INDEX('bases de donnée'!$E$20:'bases de donnée'!$E$32,MATCH(E201,gerald2,0)))</f>
        <v>0.14583333333333337</v>
      </c>
      <c r="M201" s="21">
        <f>IF(SUM(L201-'bases de donnée'!E$4)&lt;0,0,SUM(L201-'bases de donnée'!E$4))</f>
        <v>0</v>
      </c>
      <c r="N201" s="155">
        <v>0</v>
      </c>
      <c r="O201" s="73">
        <f t="shared" si="189"/>
        <v>1.1145833333333333</v>
      </c>
      <c r="P201" s="12" t="s">
        <v>48</v>
      </c>
      <c r="Q201" s="120">
        <f t="shared" si="190"/>
        <v>1</v>
      </c>
      <c r="R201" s="30"/>
      <c r="S201" s="77">
        <f>IF(SUM(MOD(I201-G201,1)-IF(I201&gt;G201,MAX(0,MIN(I201,'bases de donnée'!E$16/24)-MAX('planning '!G201,7/24)),MAX(0,'bases de donnée'!E$16/24-MAX('planning '!G201,7/24))+MAX(0,MIN('planning '!I201,'bases de donnée'!E$16/24)-7/24)))&lt;0,0,SUM(MOD('planning '!I201-'planning '!G201,1)-IF('planning '!I201&gt;'planning '!G201,MAX(0,MIN('planning '!I201,'bases de donnée'!E$16/24)-MAX('planning '!G201,7/24)),MAX(0,'bases de donnée'!E$16/24-MAX('planning '!G201,7/24))+MAX(0,MIN('planning '!I201,'bases de donnée'!E$16/24)-7/24))))</f>
        <v>0</v>
      </c>
      <c r="T201" s="82"/>
      <c r="U201" s="77" t="str">
        <f t="shared" si="185"/>
        <v>00:00</v>
      </c>
      <c r="V201" s="78">
        <f>IF(SUM(IF(O201&gt;("36:00"*1),O201-("36:00"*1),0)-V199-V200)&lt;0,0,SUM(IF(O201&gt;("36:00"*1),O201-("36:00"*1),0)-V197-V198-V199-V200))</f>
        <v>0</v>
      </c>
      <c r="W201" s="47"/>
      <c r="X201" s="48">
        <f t="shared" si="127"/>
        <v>0</v>
      </c>
      <c r="Y201" s="42"/>
      <c r="Z201" s="49">
        <f t="shared" si="186"/>
        <v>0</v>
      </c>
      <c r="AA201" s="48">
        <f t="shared" si="187"/>
        <v>0</v>
      </c>
      <c r="AB201" s="47"/>
      <c r="AC201" s="54"/>
      <c r="AD201" s="33">
        <f t="shared" si="188"/>
        <v>0</v>
      </c>
      <c r="AE201" s="33">
        <f t="shared" si="143"/>
        <v>0</v>
      </c>
    </row>
    <row r="202" spans="2:31" x14ac:dyDescent="0.3">
      <c r="B202"/>
      <c r="C202" s="14" t="s">
        <v>4</v>
      </c>
      <c r="D202" s="43">
        <f t="shared" si="191"/>
        <v>42176</v>
      </c>
      <c r="E202" s="29" t="s">
        <v>29</v>
      </c>
      <c r="F202" s="191"/>
      <c r="G202" s="194">
        <v>0.54166666666666663</v>
      </c>
      <c r="H202" s="194">
        <v>3.125E-2</v>
      </c>
      <c r="I202" s="194">
        <v>0.95833333333333337</v>
      </c>
      <c r="J202" s="193">
        <f>IF(OR(E202="férié travaillé",E202="travail"),(I202-G202+IF(G202&gt;I202,1)-H202),INDEX('bases de donnée'!$E$20:'bases de donnée'!$E$32,MATCH(E202,gerald2,0)))</f>
        <v>0.38541666666666674</v>
      </c>
      <c r="K202" s="20">
        <f>IF(SUM(J202-'bases de donnée'!E$7)&lt;0,0,SUM(J202-'bases de donnée'!E$7))</f>
        <v>0</v>
      </c>
      <c r="L202" s="11">
        <f>IF(OR(E202="férié travaillé",E202="travail"),I202-G202+IF(G202&gt;I202,1),INDEX('bases de donnée'!$E$20:'bases de donnée'!$E$32,MATCH(E202,gerald2,0)))</f>
        <v>0.41666666666666674</v>
      </c>
      <c r="M202" s="21">
        <f>IF(SUM(L202-'bases de donnée'!E$4)&lt;0,0,SUM(L202-'bases de donnée'!E$4))</f>
        <v>0</v>
      </c>
      <c r="N202" s="155">
        <v>0</v>
      </c>
      <c r="O202" s="73">
        <f t="shared" si="189"/>
        <v>1.5</v>
      </c>
      <c r="P202" s="53">
        <f>'bases de donnée'!E$10</f>
        <v>2</v>
      </c>
      <c r="Q202" s="120">
        <f t="shared" si="190"/>
        <v>1</v>
      </c>
      <c r="R202" s="30"/>
      <c r="S202" s="77">
        <f>IF(SUM(MOD(I202-G202,1)-IF(I202&gt;G202,MAX(0,MIN(I202,'bases de donnée'!E$16/24)-MAX('planning '!G202,7/24)),MAX(0,'bases de donnée'!E$16/24-MAX('planning '!G202,7/24))+MAX(0,MIN('planning '!I202,'bases de donnée'!E$16/24)-7/24)))&lt;0,0,SUM(MOD('planning '!I202-'planning '!G202,1)-IF('planning '!I202&gt;'planning '!G202,MAX(0,MIN('planning '!I202,'bases de donnée'!E$16/24)-MAX('planning '!G202,7/24)),MAX(0,'bases de donnée'!E$16/24-MAX('planning '!G202,7/24))+MAX(0,MIN('planning '!I202,'bases de donnée'!E$16/24)-7/24))))</f>
        <v>8.333333333333337E-2</v>
      </c>
      <c r="T202" s="82"/>
      <c r="U202" s="77" t="str">
        <f t="shared" si="185"/>
        <v>00:00</v>
      </c>
      <c r="V202" s="78">
        <f>IF(SUM(IF(O202&gt;("36:00"*1),O202-("36:00"*1),0)-V200-V201)&lt;0,0,SUM(IF(O202&gt;("36:00"*1),O202-("36:00"*1),0)-V197-V198-V199-V200-V201))</f>
        <v>0</v>
      </c>
      <c r="W202" s="47"/>
      <c r="X202" s="48">
        <f t="shared" si="127"/>
        <v>8.333333333333337E-2</v>
      </c>
      <c r="Y202" s="32"/>
      <c r="Z202" s="49">
        <f t="shared" si="186"/>
        <v>0</v>
      </c>
      <c r="AA202" s="48">
        <f t="shared" si="187"/>
        <v>0</v>
      </c>
      <c r="AB202" s="47"/>
      <c r="AC202" s="55"/>
      <c r="AD202" s="33">
        <f t="shared" si="188"/>
        <v>0</v>
      </c>
      <c r="AE202" s="33">
        <f t="shared" si="143"/>
        <v>0</v>
      </c>
    </row>
    <row r="203" spans="2:31" x14ac:dyDescent="0.3">
      <c r="B203"/>
      <c r="C203" s="14" t="s">
        <v>5</v>
      </c>
      <c r="D203" s="43">
        <f t="shared" si="191"/>
        <v>42177</v>
      </c>
      <c r="E203" s="29" t="s">
        <v>28</v>
      </c>
      <c r="F203" s="192"/>
      <c r="G203" s="194"/>
      <c r="H203" s="194"/>
      <c r="I203" s="194"/>
      <c r="J203" s="193">
        <f>IF(OR(E203="férié travaillé",E203="travail"),(I203-G203+IF(G203&gt;I203,1)-H203),INDEX('bases de donnée'!$E$20:'bases de donnée'!$E$32,MATCH(E203,gerald2,0)))</f>
        <v>0</v>
      </c>
      <c r="K203" s="20">
        <f>IF(SUM(J203-'bases de donnée'!E$7)&lt;0,0,SUM(J203-'bases de donnée'!E$7))</f>
        <v>0</v>
      </c>
      <c r="L203" s="11">
        <f>IF(OR(E203="férié travaillé",E203="travail"),I203-G203+IF(G203&gt;I203,1),INDEX('bases de donnée'!$E$20:'bases de donnée'!$E$32,MATCH(E203,gerald2,0)))</f>
        <v>0</v>
      </c>
      <c r="M203" s="21">
        <f>IF(SUM(L203-'bases de donnée'!E$4)&lt;0,0,SUM(L203-'bases de donnée'!E$4))</f>
        <v>0</v>
      </c>
      <c r="N203" s="155">
        <v>0</v>
      </c>
      <c r="O203" s="73">
        <f t="shared" si="189"/>
        <v>1.5</v>
      </c>
      <c r="P203" s="33">
        <f>IF(SUM(O203-'bases de donnée'!E$10)&lt;0,0,SUM(O203-'bases de donnée'!E$10))</f>
        <v>0</v>
      </c>
      <c r="Q203" s="120">
        <f t="shared" si="190"/>
        <v>0</v>
      </c>
      <c r="R203" s="30"/>
      <c r="S203" s="77">
        <f>IF(SUM(MOD(I203-G203,1)-IF(I203&gt;G203,MAX(0,MIN(I203,'bases de donnée'!E$16/24)-MAX('planning '!G203,7/24)),MAX(0,'bases de donnée'!E$16/24-MAX('planning '!G203,7/24))+MAX(0,MIN('planning '!I203,'bases de donnée'!E$16/24)-7/24)))&lt;0,0,SUM(MOD('planning '!I203-'planning '!G203,1)-IF('planning '!I203&gt;'planning '!G203,MAX(0,MIN('planning '!I203,'bases de donnée'!E$16/24)-MAX('planning '!G203,7/24)),MAX(0,'bases de donnée'!E$16/24-MAX('planning '!G203,7/24))+MAX(0,MIN('planning '!I203,'bases de donnée'!E$16/24)-7/24))))</f>
        <v>0</v>
      </c>
      <c r="T203" s="77">
        <f>J203</f>
        <v>0</v>
      </c>
      <c r="U203" s="77" t="str">
        <f t="shared" si="185"/>
        <v>00:00</v>
      </c>
      <c r="V203" s="78">
        <f>IF(SUM(IF(O203&gt;("36:00"*1),O203-("36:00"*1),0)-V201-V202)&lt;0,0,SUM(IF(O203&gt;("36:00"*1),O203-("36:00"*1),0)-V197-V198-V199-V200-V201-V202))</f>
        <v>0</v>
      </c>
      <c r="W203" s="47"/>
      <c r="X203" s="48">
        <f t="shared" si="127"/>
        <v>0</v>
      </c>
      <c r="Y203" s="48">
        <f>IF(SUM(T203-S203)&lt;0,0,SUM(T203-S203))</f>
        <v>0</v>
      </c>
      <c r="Z203" s="56">
        <f>IF(SUM(U203-T203-S203)&lt;0,0,SUM(U203-T203-S203))</f>
        <v>0</v>
      </c>
      <c r="AA203" s="48">
        <f>IF(SUM(V203-S203-T203-U203)&lt;0,0,SUM(V203-S203-T203-U203))</f>
        <v>0</v>
      </c>
      <c r="AB203" s="47"/>
      <c r="AC203" s="57">
        <f>IF(SUM(T203-Y203)&lt;0,0,SUM(T203-Y203))</f>
        <v>0</v>
      </c>
      <c r="AD203" s="33">
        <f>IF(SUM(U203-Z203)&lt;0,0,SUM(U203-Z203))</f>
        <v>0</v>
      </c>
      <c r="AE203" s="33">
        <f t="shared" si="143"/>
        <v>0</v>
      </c>
    </row>
    <row r="204" spans="2:31" x14ac:dyDescent="0.3">
      <c r="B204"/>
      <c r="C204" s="25"/>
      <c r="D204" s="90"/>
      <c r="E204" s="90"/>
      <c r="F204" s="25"/>
      <c r="G204" s="185"/>
      <c r="H204" s="185"/>
      <c r="I204" s="185"/>
      <c r="J204" s="47"/>
      <c r="K204" s="92"/>
      <c r="L204" s="91"/>
      <c r="M204" s="91"/>
      <c r="N204" s="91"/>
      <c r="O204" s="93"/>
      <c r="P204" s="47"/>
      <c r="Q204" s="30"/>
      <c r="R204" s="30"/>
      <c r="S204" s="47"/>
      <c r="T204" s="47"/>
      <c r="U204" s="47"/>
      <c r="V204" s="93"/>
      <c r="W204" s="47"/>
      <c r="X204" s="47"/>
      <c r="Y204" s="47"/>
      <c r="Z204" s="47"/>
      <c r="AA204" s="47"/>
      <c r="AB204" s="47"/>
      <c r="AC204" s="47"/>
      <c r="AD204" s="47"/>
      <c r="AE204" s="47"/>
    </row>
    <row r="205" spans="2:31" x14ac:dyDescent="0.3">
      <c r="B205" s="9" t="s">
        <v>40</v>
      </c>
      <c r="C205" s="9" t="s">
        <v>6</v>
      </c>
      <c r="D205" s="58">
        <f>D203+1</f>
        <v>42178</v>
      </c>
      <c r="E205" s="29" t="s">
        <v>29</v>
      </c>
      <c r="F205" s="190"/>
      <c r="G205" s="194">
        <v>0.54166666666666663</v>
      </c>
      <c r="H205" s="194">
        <v>3.125E-2</v>
      </c>
      <c r="I205" s="194">
        <v>0.95833333333333337</v>
      </c>
      <c r="J205" s="193">
        <f>IF(OR(E205="férié travaillé",E205="travail"),(I205-G205+IF(G205&gt;I205,1)-H205),INDEX('bases de donnée'!$E$20:'bases de donnée'!$E$32,MATCH(E205,gerald2,0)))</f>
        <v>0.38541666666666674</v>
      </c>
      <c r="K205" s="20">
        <f>IF(SUM(J205-'bases de donnée'!E$7)&lt;0,0,SUM(J205-'bases de donnée'!E$7))</f>
        <v>0</v>
      </c>
      <c r="L205" s="11">
        <f>IF(OR(E205="férié travaillé",E205="travail"),I205-G205+IF(G205&gt;I205,1),INDEX('bases de donnée'!$E$20:'bases de donnée'!$E$32,MATCH(E205,gerald2,0)))</f>
        <v>0.41666666666666674</v>
      </c>
      <c r="M205" s="21">
        <f>IF(SUM(L205-'bases de donnée'!E$4)&lt;0,0,SUM(L205-'bases de donnée'!E$4))</f>
        <v>0</v>
      </c>
      <c r="N205" s="155">
        <v>0</v>
      </c>
      <c r="O205" s="59">
        <f>J205</f>
        <v>0.38541666666666674</v>
      </c>
      <c r="P205" s="122">
        <f>SUM(Q205:Q211)</f>
        <v>6</v>
      </c>
      <c r="Q205" s="120">
        <f>IF(AND(G205&lt;&gt;"",I205&lt;&gt;""),1,0+OR(N(I204)&lt;N(G204),E205="récupération",E205="congé 1 jour",E205="congé 1/2 jour ",E205="congé 5h24",E205="arrêt maladie",E205="arrêt travail",E205="férié ",E205="congé parentale",E205="congé de naissance"))</f>
        <v>1</v>
      </c>
      <c r="R205" s="30"/>
      <c r="S205" s="77">
        <f>IF(SUM(MOD(I205-G205,1)-IF(I205&gt;G205,MAX(0,MIN(I205,'bases de donnée'!E$16/24)-MAX('planning '!G205,7/24)),MAX(0,'bases de donnée'!E$16/24-MAX('planning '!G205,7/24))+MAX(0,MIN('planning '!I205,'bases de donnée'!E$16/24)-7/24)))&lt;0,0,SUM(MOD('planning '!I205-'planning '!G205,1)-IF('planning '!I205&gt;'planning '!G205,MAX(0,MIN('planning '!I205,'bases de donnée'!E$16/24)-MAX('planning '!G205,7/24)),MAX(0,'bases de donnée'!E$16/24-MAX('planning '!G205,7/24))+MAX(0,MIN('planning '!I205,'bases de donnée'!E$16/24)-7/24))))</f>
        <v>8.333333333333337E-2</v>
      </c>
      <c r="T205" s="81"/>
      <c r="U205" s="77" t="str">
        <f t="shared" ref="U205:U211" si="192">IF(E205&lt;&gt;"travail",IF(E205="férié travaillé",MOD(I205-G205,1)-H205,"00:00"),"00:00")</f>
        <v>00:00</v>
      </c>
      <c r="V205" s="78"/>
      <c r="W205" s="47"/>
      <c r="X205" s="48">
        <f t="shared" si="127"/>
        <v>8.333333333333337E-2</v>
      </c>
      <c r="Y205" s="31"/>
      <c r="Z205" s="49">
        <f t="shared" ref="Z205:Z210" si="193">IF(SUM(U205-X205)&lt;0,0,SUM(U205-X205))</f>
        <v>0</v>
      </c>
      <c r="AA205" s="48">
        <f t="shared" ref="AA205:AA210" si="194">IF(SUM(V205-X205-Z205)&lt;0,0,SUM(V205-X205-Z205))</f>
        <v>0</v>
      </c>
      <c r="AB205" s="47"/>
      <c r="AC205" s="50"/>
      <c r="AD205" s="33">
        <f t="shared" ref="AD205:AD210" si="195">IF(SUM(U205-Z205)&lt;0,0,SUM(U205-Z205))</f>
        <v>0</v>
      </c>
      <c r="AE205" s="33">
        <f t="shared" si="143"/>
        <v>0</v>
      </c>
    </row>
    <row r="206" spans="2:31" x14ac:dyDescent="0.3">
      <c r="B206" s="60">
        <f>B198+1</f>
        <v>25</v>
      </c>
      <c r="C206" s="9" t="s">
        <v>7</v>
      </c>
      <c r="D206" s="58">
        <f>D205+1</f>
        <v>42179</v>
      </c>
      <c r="E206" s="29" t="s">
        <v>29</v>
      </c>
      <c r="F206" s="191"/>
      <c r="G206" s="194">
        <v>0.54166666666666663</v>
      </c>
      <c r="H206" s="194">
        <v>3.125E-2</v>
      </c>
      <c r="I206" s="194">
        <v>0.90625</v>
      </c>
      <c r="J206" s="193">
        <f>IF(OR(E206="férié travaillé",E206="travail"),(I206-G206+IF(G206&gt;I206,1)-H206),INDEX('bases de donnée'!$E$20:'bases de donnée'!$E$32,MATCH(E206,gerald2,0)))</f>
        <v>0.33333333333333337</v>
      </c>
      <c r="K206" s="20">
        <f>IF(SUM(J206-'bases de donnée'!E$7)&lt;0,0,SUM(J206-'bases de donnée'!E$7))</f>
        <v>0</v>
      </c>
      <c r="L206" s="11">
        <f>IF(OR(E206="férié travaillé",E206="travail"),I206-G206+IF(G206&gt;I206,1),INDEX('bases de donnée'!$E$20:'bases de donnée'!$E$32,MATCH(E206,gerald2,0)))</f>
        <v>0.36458333333333337</v>
      </c>
      <c r="M206" s="21">
        <f>IF(SUM(L206-'bases de donnée'!E$4)&lt;0,0,SUM(L206-'bases de donnée'!E$4))</f>
        <v>0</v>
      </c>
      <c r="N206" s="155">
        <v>0</v>
      </c>
      <c r="O206" s="74">
        <f t="shared" ref="O206:O211" si="196">O205+J206</f>
        <v>0.71875000000000011</v>
      </c>
      <c r="P206" s="121">
        <f>IF(SUM(P205-'bases de donnée'!E$6)&lt;0,0,SUM(P205-'bases de donnée'!E$6))</f>
        <v>0</v>
      </c>
      <c r="Q206" s="120">
        <f t="shared" ref="Q206:Q211" si="197">IF(AND(G206&lt;&gt;"",I206&lt;&gt;""),1,0+OR(N(I205)&lt;N(G205),E206="récupération",E206="congé 1 jour",E206="congé 1/2 jour ",E206="congé 5h24",E206="arrêt maladie",E206="arrêt travail",E206="férié ",E206="congé parentale",E206="congé de naissance"))</f>
        <v>1</v>
      </c>
      <c r="R206" s="30"/>
      <c r="S206" s="77">
        <f>IF(SUM(MOD(I206-G206,1)-IF(I206&gt;G206,MAX(0,MIN(I206,'bases de donnée'!E$16/24)-MAX('planning '!G206,7/24)),MAX(0,'bases de donnée'!E$16/24-MAX('planning '!G206,7/24))+MAX(0,MIN('planning '!I206,'bases de donnée'!E$16/24)-7/24)))&lt;0,0,SUM(MOD('planning '!I206-'planning '!G206,1)-IF('planning '!I206&gt;'planning '!G206,MAX(0,MIN('planning '!I206,'bases de donnée'!E$16/24)-MAX('planning '!G206,7/24)),MAX(0,'bases de donnée'!E$16/24-MAX('planning '!G206,7/24))+MAX(0,MIN('planning '!I206,'bases de donnée'!E$16/24)-7/24))))</f>
        <v>3.125E-2</v>
      </c>
      <c r="T206" s="82"/>
      <c r="U206" s="77" t="str">
        <f t="shared" si="192"/>
        <v>00:00</v>
      </c>
      <c r="V206" s="78">
        <f>IF(SUM(IF(O206&gt;('bases de donnée'!E$9*1),O206-('bases de donnée'!E$9*1),0)-V205)&lt;0,0,SUM(IF(O206&gt;('bases de donnée'!E$9*1),O206-('bases de donnée'!E$9*1),0)-V205))</f>
        <v>0</v>
      </c>
      <c r="W206" s="47"/>
      <c r="X206" s="48">
        <f t="shared" si="127"/>
        <v>3.125E-2</v>
      </c>
      <c r="Y206" s="42"/>
      <c r="Z206" s="49">
        <f t="shared" si="193"/>
        <v>0</v>
      </c>
      <c r="AA206" s="48">
        <f t="shared" si="194"/>
        <v>0</v>
      </c>
      <c r="AB206" s="47"/>
      <c r="AC206" s="54"/>
      <c r="AD206" s="33">
        <f t="shared" si="195"/>
        <v>0</v>
      </c>
      <c r="AE206" s="33">
        <f t="shared" si="143"/>
        <v>0</v>
      </c>
    </row>
    <row r="207" spans="2:31" x14ac:dyDescent="0.3">
      <c r="B207"/>
      <c r="C207" s="9" t="s">
        <v>8</v>
      </c>
      <c r="D207" s="58">
        <f t="shared" ref="D207:D211" si="198">D206+1</f>
        <v>42180</v>
      </c>
      <c r="E207" s="29" t="s">
        <v>29</v>
      </c>
      <c r="F207" s="191"/>
      <c r="G207" s="194">
        <v>0.54166666666666663</v>
      </c>
      <c r="H207" s="194">
        <v>3.125E-2</v>
      </c>
      <c r="I207" s="194">
        <v>0.90625</v>
      </c>
      <c r="J207" s="193">
        <f>IF(OR(E207="férié travaillé",E207="travail"),(I207-G207+IF(G207&gt;I207,1)-H207),INDEX('bases de donnée'!$E$20:'bases de donnée'!$E$32,MATCH(E207,gerald2,0)))</f>
        <v>0.33333333333333337</v>
      </c>
      <c r="K207" s="20">
        <f>IF(SUM(J207-'bases de donnée'!E$7)&lt;0,0,SUM(J207-'bases de donnée'!E$7))</f>
        <v>0</v>
      </c>
      <c r="L207" s="11">
        <f>IF(OR(E207="férié travaillé",E207="travail"),I207-G207+IF(G207&gt;I207,1),INDEX('bases de donnée'!$E$20:'bases de donnée'!$E$32,MATCH(E207,gerald2,0)))</f>
        <v>0.36458333333333337</v>
      </c>
      <c r="M207" s="21">
        <f>IF(SUM(L207-'bases de donnée'!E$4)&lt;0,0,SUM(L207-'bases de donnée'!E$4))</f>
        <v>0</v>
      </c>
      <c r="N207" s="155">
        <v>0</v>
      </c>
      <c r="O207" s="74">
        <f t="shared" si="196"/>
        <v>1.0520833333333335</v>
      </c>
      <c r="P207" s="34" t="s">
        <v>46</v>
      </c>
      <c r="Q207" s="120">
        <f t="shared" si="197"/>
        <v>1</v>
      </c>
      <c r="R207" s="30"/>
      <c r="S207" s="77">
        <f>IF(SUM(MOD(I207-G207,1)-IF(I207&gt;G207,MAX(0,MIN(I207,'bases de donnée'!E$16/24)-MAX('planning '!G207,7/24)),MAX(0,'bases de donnée'!E$16/24-MAX('planning '!G207,7/24))+MAX(0,MIN('planning '!I207,'bases de donnée'!E$16/24)-7/24)))&lt;0,0,SUM(MOD('planning '!I207-'planning '!G207,1)-IF('planning '!I207&gt;'planning '!G207,MAX(0,MIN('planning '!I207,'bases de donnée'!E$16/24)-MAX('planning '!G207,7/24)),MAX(0,'bases de donnée'!E$16/24-MAX('planning '!G207,7/24))+MAX(0,MIN('planning '!I207,'bases de donnée'!E$16/24)-7/24))))</f>
        <v>3.125E-2</v>
      </c>
      <c r="T207" s="82"/>
      <c r="U207" s="77" t="str">
        <f t="shared" si="192"/>
        <v>00:00</v>
      </c>
      <c r="V207" s="78">
        <f>IF(SUM(IF(O207&gt;("36:00"*1),O207-("36:00"*1),0)-V205-V206)&lt;0,0,SUM(IF(O207&gt;("36:00"*1),O207-("36:00"*1),0)-V205-V206))</f>
        <v>0</v>
      </c>
      <c r="W207" s="47"/>
      <c r="X207" s="48">
        <f t="shared" ref="X207:X251" si="199">S207</f>
        <v>3.125E-2</v>
      </c>
      <c r="Y207" s="42"/>
      <c r="Z207" s="49">
        <f t="shared" si="193"/>
        <v>0</v>
      </c>
      <c r="AA207" s="48">
        <f t="shared" si="194"/>
        <v>0</v>
      </c>
      <c r="AB207" s="47"/>
      <c r="AC207" s="54"/>
      <c r="AD207" s="33">
        <f t="shared" si="195"/>
        <v>0</v>
      </c>
      <c r="AE207" s="33">
        <f t="shared" si="143"/>
        <v>0</v>
      </c>
    </row>
    <row r="208" spans="2:31" x14ac:dyDescent="0.3">
      <c r="B208"/>
      <c r="C208" s="9" t="s">
        <v>9</v>
      </c>
      <c r="D208" s="58">
        <f t="shared" si="198"/>
        <v>42181</v>
      </c>
      <c r="E208" s="29" t="s">
        <v>29</v>
      </c>
      <c r="F208" s="191"/>
      <c r="G208" s="194">
        <v>0.58333333333333337</v>
      </c>
      <c r="H208" s="194">
        <v>3.125E-2</v>
      </c>
      <c r="I208" s="194">
        <v>0.89583333333333337</v>
      </c>
      <c r="J208" s="193">
        <f>IF(OR(E208="férié travaillé",E208="travail"),(I208-G208+IF(G208&gt;I208,1)-H208),INDEX('bases de donnée'!$E$20:'bases de donnée'!$E$32,MATCH(E208,gerald2,0)))</f>
        <v>0.28125</v>
      </c>
      <c r="K208" s="20">
        <f>IF(SUM(J208-'bases de donnée'!E$7)&lt;0,0,SUM(J208-'bases de donnée'!E$7))</f>
        <v>0</v>
      </c>
      <c r="L208" s="11">
        <f>IF(OR(E208="férié travaillé",E208="travail"),I208-G208+IF(G208&gt;I208,1),INDEX('bases de donnée'!$E$20:'bases de donnée'!$E$32,MATCH(E208,gerald2,0)))</f>
        <v>0.3125</v>
      </c>
      <c r="M208" s="21">
        <f>IF(SUM(L208-'bases de donnée'!E$4)&lt;0,0,SUM(L208-'bases de donnée'!E$4))</f>
        <v>0</v>
      </c>
      <c r="N208" s="155">
        <v>0</v>
      </c>
      <c r="O208" s="74">
        <f t="shared" si="196"/>
        <v>1.3333333333333335</v>
      </c>
      <c r="P208" s="86">
        <f>O211</f>
        <v>1.9895833333333335</v>
      </c>
      <c r="Q208" s="120">
        <f t="shared" si="197"/>
        <v>1</v>
      </c>
      <c r="R208" s="30"/>
      <c r="S208" s="77">
        <f>IF(SUM(MOD(I208-G208,1)-IF(I208&gt;G208,MAX(0,MIN(I208,'bases de donnée'!E$16/24)-MAX('planning '!G208,7/24)),MAX(0,'bases de donnée'!E$16/24-MAX('planning '!G208,7/24))+MAX(0,MIN('planning '!I208,'bases de donnée'!E$16/24)-7/24)))&lt;0,0,SUM(MOD('planning '!I208-'planning '!G208,1)-IF('planning '!I208&gt;'planning '!G208,MAX(0,MIN('planning '!I208,'bases de donnée'!E$16/24)-MAX('planning '!G208,7/24)),MAX(0,'bases de donnée'!E$16/24-MAX('planning '!G208,7/24))+MAX(0,MIN('planning '!I208,'bases de donnée'!E$16/24)-7/24))))</f>
        <v>2.083333333333337E-2</v>
      </c>
      <c r="T208" s="82"/>
      <c r="U208" s="77" t="str">
        <f t="shared" si="192"/>
        <v>00:00</v>
      </c>
      <c r="V208" s="78">
        <f>IF(SUM(IF(O208&gt;("36:00"*1),O208-("36:00"*1),0)-V206-V207)&lt;0,0,SUM(IF(O208&gt;("36:00"*1),O208-("36:00"*1),0)-V205-V206-V207))</f>
        <v>0</v>
      </c>
      <c r="W208" s="47"/>
      <c r="X208" s="48">
        <f t="shared" si="199"/>
        <v>2.083333333333337E-2</v>
      </c>
      <c r="Y208" s="42"/>
      <c r="Z208" s="49">
        <f t="shared" si="193"/>
        <v>0</v>
      </c>
      <c r="AA208" s="48">
        <f t="shared" si="194"/>
        <v>0</v>
      </c>
      <c r="AB208" s="47"/>
      <c r="AC208" s="54"/>
      <c r="AD208" s="33">
        <f t="shared" si="195"/>
        <v>0</v>
      </c>
      <c r="AE208" s="33">
        <f t="shared" si="143"/>
        <v>0</v>
      </c>
    </row>
    <row r="209" spans="2:31" x14ac:dyDescent="0.3">
      <c r="B209"/>
      <c r="C209" s="9" t="s">
        <v>3</v>
      </c>
      <c r="D209" s="58">
        <f t="shared" si="198"/>
        <v>42182</v>
      </c>
      <c r="E209" s="29" t="s">
        <v>29</v>
      </c>
      <c r="F209" s="191"/>
      <c r="G209" s="194">
        <v>0.54166666666666663</v>
      </c>
      <c r="H209" s="194">
        <v>3.125E-2</v>
      </c>
      <c r="I209" s="194">
        <v>0.89583333333333337</v>
      </c>
      <c r="J209" s="193">
        <f>IF(OR(E209="férié travaillé",E209="travail"),(I209-G209+IF(G209&gt;I209,1)-H209),INDEX('bases de donnée'!$E$20:'bases de donnée'!$E$32,MATCH(E209,gerald2,0)))</f>
        <v>0.32291666666666674</v>
      </c>
      <c r="K209" s="20">
        <f>IF(SUM(J209-'bases de donnée'!E$7)&lt;0,0,SUM(J209-'bases de donnée'!E$7))</f>
        <v>0</v>
      </c>
      <c r="L209" s="11">
        <f>IF(OR(E209="férié travaillé",E209="travail"),I209-G209+IF(G209&gt;I209,1),INDEX('bases de donnée'!$E$20:'bases de donnée'!$E$32,MATCH(E209,gerald2,0)))</f>
        <v>0.35416666666666674</v>
      </c>
      <c r="M209" s="21">
        <f>IF(SUM(L209-'bases de donnée'!E$4)&lt;0,0,SUM(L209-'bases de donnée'!E$4))</f>
        <v>0</v>
      </c>
      <c r="N209" s="155">
        <v>0</v>
      </c>
      <c r="O209" s="74">
        <f t="shared" si="196"/>
        <v>1.6562500000000002</v>
      </c>
      <c r="P209" s="8" t="s">
        <v>48</v>
      </c>
      <c r="Q209" s="120">
        <f t="shared" si="197"/>
        <v>1</v>
      </c>
      <c r="R209" s="30"/>
      <c r="S209" s="77">
        <f>IF(SUM(MOD(I209-G209,1)-IF(I209&gt;G209,MAX(0,MIN(I209,'bases de donnée'!E$16/24)-MAX('planning '!G209,7/24)),MAX(0,'bases de donnée'!E$16/24-MAX('planning '!G209,7/24))+MAX(0,MIN('planning '!I209,'bases de donnée'!E$16/24)-7/24)))&lt;0,0,SUM(MOD('planning '!I209-'planning '!G209,1)-IF('planning '!I209&gt;'planning '!G209,MAX(0,MIN('planning '!I209,'bases de donnée'!E$16/24)-MAX('planning '!G209,7/24)),MAX(0,'bases de donnée'!E$16/24-MAX('planning '!G209,7/24))+MAX(0,MIN('planning '!I209,'bases de donnée'!E$16/24)-7/24))))</f>
        <v>2.083333333333337E-2</v>
      </c>
      <c r="T209" s="82"/>
      <c r="U209" s="77" t="str">
        <f t="shared" si="192"/>
        <v>00:00</v>
      </c>
      <c r="V209" s="78">
        <f>IF(SUM(IF(O209&gt;("36:00"*1),O209-("36:00"*1),0)-V207-V208)&lt;0,0,SUM(IF(O209&gt;("36:00"*1),O209-("36:00"*1),0)-V205-V206-V207-V208))</f>
        <v>0.15625000000000022</v>
      </c>
      <c r="W209" s="47"/>
      <c r="X209" s="48">
        <f t="shared" si="199"/>
        <v>2.083333333333337E-2</v>
      </c>
      <c r="Y209" s="42"/>
      <c r="Z209" s="49">
        <f t="shared" si="193"/>
        <v>0</v>
      </c>
      <c r="AA209" s="48">
        <f t="shared" si="194"/>
        <v>0.13541666666666685</v>
      </c>
      <c r="AB209" s="47"/>
      <c r="AC209" s="54"/>
      <c r="AD209" s="33">
        <f t="shared" si="195"/>
        <v>0</v>
      </c>
      <c r="AE209" s="33">
        <f t="shared" si="143"/>
        <v>2.083333333333337E-2</v>
      </c>
    </row>
    <row r="210" spans="2:31" x14ac:dyDescent="0.3">
      <c r="B210"/>
      <c r="C210" s="9" t="s">
        <v>4</v>
      </c>
      <c r="D210" s="58">
        <f t="shared" si="198"/>
        <v>42183</v>
      </c>
      <c r="E210" s="29" t="s">
        <v>29</v>
      </c>
      <c r="F210" s="191"/>
      <c r="G210" s="194">
        <v>0.57291666666666663</v>
      </c>
      <c r="H210" s="194">
        <v>3.125E-2</v>
      </c>
      <c r="I210" s="194">
        <v>0.9375</v>
      </c>
      <c r="J210" s="193">
        <f>IF(OR(E210="férié travaillé",E210="travail"),(I210-G210+IF(G210&gt;I210,1)-H210),INDEX('bases de donnée'!$E$20:'bases de donnée'!$E$32,MATCH(E210,gerald2,0)))</f>
        <v>0.33333333333333337</v>
      </c>
      <c r="K210" s="20">
        <f>IF(SUM(J210-'bases de donnée'!E$7)&lt;0,0,SUM(J210-'bases de donnée'!E$7))</f>
        <v>0</v>
      </c>
      <c r="L210" s="11">
        <f>IF(OR(E210="férié travaillé",E210="travail"),I210-G210+IF(G210&gt;I210,1),INDEX('bases de donnée'!$E$20:'bases de donnée'!$E$32,MATCH(E210,gerald2,0)))</f>
        <v>0.36458333333333337</v>
      </c>
      <c r="M210" s="21">
        <f>IF(SUM(L210-'bases de donnée'!E$4)&lt;0,0,SUM(L210-'bases de donnée'!E$4))</f>
        <v>0</v>
      </c>
      <c r="N210" s="155">
        <v>0</v>
      </c>
      <c r="O210" s="74">
        <f t="shared" si="196"/>
        <v>1.9895833333333335</v>
      </c>
      <c r="P210" s="61">
        <f>'bases de donnée'!E$10</f>
        <v>2</v>
      </c>
      <c r="Q210" s="120">
        <f t="shared" si="197"/>
        <v>1</v>
      </c>
      <c r="R210" s="30"/>
      <c r="S210" s="77">
        <f>IF(SUM(MOD(I210-G210,1)-IF(I210&gt;G210,MAX(0,MIN(I210,'bases de donnée'!E$16/24)-MAX('planning '!G210,7/24)),MAX(0,'bases de donnée'!E$16/24-MAX('planning '!G210,7/24))+MAX(0,MIN('planning '!I210,'bases de donnée'!E$16/24)-7/24)))&lt;0,0,SUM(MOD('planning '!I210-'planning '!G210,1)-IF('planning '!I210&gt;'planning '!G210,MAX(0,MIN('planning '!I210,'bases de donnée'!E$16/24)-MAX('planning '!G210,7/24)),MAX(0,'bases de donnée'!E$16/24-MAX('planning '!G210,7/24))+MAX(0,MIN('planning '!I210,'bases de donnée'!E$16/24)-7/24))))</f>
        <v>6.25E-2</v>
      </c>
      <c r="T210" s="82"/>
      <c r="U210" s="77" t="str">
        <f t="shared" si="192"/>
        <v>00:00</v>
      </c>
      <c r="V210" s="78">
        <f>IF(SUM(IF(O210&gt;("36:00"*1),O210-("36:00"*1),0)-V208-V209)&lt;0,0,SUM(IF(O210&gt;("36:00"*1),O210-("36:00"*1),0)-V205-V206-V207-V208-V209))</f>
        <v>0.33333333333333326</v>
      </c>
      <c r="W210" s="47"/>
      <c r="X210" s="48">
        <f t="shared" si="199"/>
        <v>6.25E-2</v>
      </c>
      <c r="Y210" s="32"/>
      <c r="Z210" s="49">
        <f t="shared" si="193"/>
        <v>0</v>
      </c>
      <c r="AA210" s="48">
        <f t="shared" si="194"/>
        <v>0.27083333333333326</v>
      </c>
      <c r="AB210" s="47"/>
      <c r="AC210" s="55"/>
      <c r="AD210" s="33">
        <f t="shared" si="195"/>
        <v>0</v>
      </c>
      <c r="AE210" s="33">
        <f t="shared" si="143"/>
        <v>6.25E-2</v>
      </c>
    </row>
    <row r="211" spans="2:31" x14ac:dyDescent="0.3">
      <c r="B211"/>
      <c r="C211" s="9" t="s">
        <v>5</v>
      </c>
      <c r="D211" s="58">
        <f t="shared" si="198"/>
        <v>42184</v>
      </c>
      <c r="E211" s="29" t="s">
        <v>28</v>
      </c>
      <c r="F211" s="192"/>
      <c r="G211" s="194"/>
      <c r="H211" s="194"/>
      <c r="I211" s="194"/>
      <c r="J211" s="193">
        <f>IF(OR(E211="férié travaillé",E211="travail"),(I211-G211+IF(G211&gt;I211,1)-H211),INDEX('bases de donnée'!$E$20:'bases de donnée'!$E$32,MATCH(E211,gerald2,0)))</f>
        <v>0</v>
      </c>
      <c r="K211" s="20">
        <f>IF(SUM(J211-'bases de donnée'!E$7)&lt;0,0,SUM(J211-'bases de donnée'!E$7))</f>
        <v>0</v>
      </c>
      <c r="L211" s="11">
        <f>IF(OR(E211="férié travaillé",E211="travail"),I211-G211+IF(G211&gt;I211,1),INDEX('bases de donnée'!$E$20:'bases de donnée'!$E$32,MATCH(E211,gerald2,0)))</f>
        <v>0</v>
      </c>
      <c r="M211" s="21">
        <f>IF(SUM(L211-'bases de donnée'!E$4)&lt;0,0,SUM(L211-'bases de donnée'!E$4))</f>
        <v>0</v>
      </c>
      <c r="N211" s="155">
        <v>0</v>
      </c>
      <c r="O211" s="74">
        <f t="shared" si="196"/>
        <v>1.9895833333333335</v>
      </c>
      <c r="P211" s="33">
        <f>IF(SUM(O211-'bases de donnée'!E$10)&lt;0,0,SUM(O211-'bases de donnée'!E$10))</f>
        <v>0</v>
      </c>
      <c r="Q211" s="120">
        <f t="shared" si="197"/>
        <v>0</v>
      </c>
      <c r="R211" s="30"/>
      <c r="S211" s="77">
        <f>IF(SUM(MOD(I211-G211,1)-IF(I211&gt;G211,MAX(0,MIN(I211,'bases de donnée'!E$16/24)-MAX('planning '!G211,7/24)),MAX(0,'bases de donnée'!E$16/24-MAX('planning '!G211,7/24))+MAX(0,MIN('planning '!I211,'bases de donnée'!E$16/24)-7/24)))&lt;0,0,SUM(MOD('planning '!I211-'planning '!G211,1)-IF('planning '!I211&gt;'planning '!G211,MAX(0,MIN('planning '!I211,'bases de donnée'!E$16/24)-MAX('planning '!G211,7/24)),MAX(0,'bases de donnée'!E$16/24-MAX('planning '!G211,7/24))+MAX(0,MIN('planning '!I211,'bases de donnée'!E$16/24)-7/24))))</f>
        <v>0</v>
      </c>
      <c r="T211" s="77">
        <f>J211</f>
        <v>0</v>
      </c>
      <c r="U211" s="77" t="str">
        <f t="shared" si="192"/>
        <v>00:00</v>
      </c>
      <c r="V211" s="78">
        <f>IF(SUM(IF(O211&gt;("36:00"*1),O211-("36:00"*1),0)-V209-V210)&lt;0,0,SUM(IF(O211&gt;("36:00"*1),O211-("36:00"*1),0)-V205-V206-V207-V208-V209-V210))</f>
        <v>0</v>
      </c>
      <c r="W211" s="47"/>
      <c r="X211" s="48">
        <f t="shared" si="199"/>
        <v>0</v>
      </c>
      <c r="Y211" s="48">
        <f>IF(SUM(T211-S211)&lt;0,0,SUM(T211-S211))</f>
        <v>0</v>
      </c>
      <c r="Z211" s="56">
        <f>IF(SUM(U211-T211-S211)&lt;0,0,SUM(U211-T211-S211))</f>
        <v>0</v>
      </c>
      <c r="AA211" s="48">
        <f>IF(SUM(V211-S211-T211-U211)&lt;0,0,SUM(V211-S211-T211-U211))</f>
        <v>0</v>
      </c>
      <c r="AB211" s="47"/>
      <c r="AC211" s="57">
        <f>IF(SUM(T211-Y211)&lt;0,0,SUM(T211-Y211))</f>
        <v>0</v>
      </c>
      <c r="AD211" s="33">
        <f>IF(SUM(U211-Z211)&lt;0,0,SUM(U211-Z211))</f>
        <v>0</v>
      </c>
      <c r="AE211" s="33">
        <f t="shared" si="143"/>
        <v>0</v>
      </c>
    </row>
    <row r="212" spans="2:31" x14ac:dyDescent="0.3">
      <c r="B212"/>
      <c r="C212" s="25"/>
      <c r="D212" s="90"/>
      <c r="E212" s="90"/>
      <c r="F212" s="25"/>
      <c r="G212" s="185"/>
      <c r="H212" s="185"/>
      <c r="I212" s="185"/>
      <c r="J212" s="47"/>
      <c r="K212" s="92"/>
      <c r="L212" s="91"/>
      <c r="M212" s="91"/>
      <c r="N212" s="91"/>
      <c r="O212" s="93"/>
      <c r="P212" s="47"/>
      <c r="Q212" s="30"/>
      <c r="R212" s="30"/>
      <c r="S212" s="47"/>
      <c r="T212" s="47"/>
      <c r="U212" s="47"/>
      <c r="V212" s="93"/>
      <c r="W212" s="47"/>
      <c r="X212" s="47"/>
      <c r="Y212" s="47"/>
      <c r="Z212" s="47"/>
      <c r="AA212" s="47"/>
      <c r="AB212" s="47"/>
      <c r="AC212" s="47"/>
      <c r="AD212" s="47"/>
      <c r="AE212" s="47"/>
    </row>
    <row r="213" spans="2:31" x14ac:dyDescent="0.3">
      <c r="B213" s="14" t="s">
        <v>40</v>
      </c>
      <c r="C213" s="14" t="s">
        <v>6</v>
      </c>
      <c r="D213" s="43">
        <f>D211+1</f>
        <v>42185</v>
      </c>
      <c r="E213" s="29" t="s">
        <v>29</v>
      </c>
      <c r="F213" s="190"/>
      <c r="G213" s="194">
        <v>0.375</v>
      </c>
      <c r="H213" s="194">
        <v>3.125E-2</v>
      </c>
      <c r="I213" s="194">
        <v>0.75</v>
      </c>
      <c r="J213" s="193">
        <f>IF(OR(E213="férié travaillé",E213="travail"),(I213-G213+IF(G213&gt;I213,1)-H213),INDEX('bases de donnée'!$E$20:'bases de donnée'!$E$32,MATCH(E213,gerald2,0)))</f>
        <v>0.34375</v>
      </c>
      <c r="K213" s="20">
        <f>IF(SUM(J213-'bases de donnée'!E$7)&lt;0,0,SUM(J213-'bases de donnée'!E$7))</f>
        <v>0</v>
      </c>
      <c r="L213" s="11">
        <f>IF(OR(E213="férié travaillé",E213="travail"),I213-G213+IF(G213&gt;I213,1),INDEX('bases de donnée'!$E$20:'bases de donnée'!$E$32,MATCH(E213,gerald2,0)))</f>
        <v>0.375</v>
      </c>
      <c r="M213" s="21">
        <f>IF(SUM(L213-'bases de donnée'!E$4)&lt;0,0,SUM(L213-'bases de donnée'!E$4))</f>
        <v>0</v>
      </c>
      <c r="N213" s="155">
        <v>0</v>
      </c>
      <c r="O213" s="45">
        <f>J213</f>
        <v>0.34375</v>
      </c>
      <c r="P213" s="122">
        <f>SUM(Q213:Q219)</f>
        <v>5</v>
      </c>
      <c r="Q213" s="120">
        <f>IF(AND(G213&lt;&gt;"",I213&lt;&gt;""),1,0+OR(N(I212)&lt;N(G212),E213="récupération",E213="congé 1 jour",E213="congé 1/2 jour ",E213="congé 5h24",E213="arrêt maladie",E213="arrêt travail",E213="férié ",E213="congé parentale",E213="congé de naissance"))</f>
        <v>1</v>
      </c>
      <c r="R213" s="30"/>
      <c r="S213" s="77">
        <f>IF(SUM(MOD(I213-G213,1)-IF(I213&gt;G213,MAX(0,MIN(I213,'bases de donnée'!E$16/24)-MAX('planning '!G213,7/24)),MAX(0,'bases de donnée'!E$16/24-MAX('planning '!G213,7/24))+MAX(0,MIN('planning '!I213,'bases de donnée'!E$16/24)-7/24)))&lt;0,0,SUM(MOD('planning '!I213-'planning '!G213,1)-IF('planning '!I213&gt;'planning '!G213,MAX(0,MIN('planning '!I213,'bases de donnée'!E$16/24)-MAX('planning '!G213,7/24)),MAX(0,'bases de donnée'!E$16/24-MAX('planning '!G213,7/24))+MAX(0,MIN('planning '!I213,'bases de donnée'!E$16/24)-7/24))))</f>
        <v>0</v>
      </c>
      <c r="T213" s="81"/>
      <c r="U213" s="77" t="str">
        <f t="shared" ref="U213:U219" si="200">IF(E213&lt;&gt;"travail",IF(E213="férié travaillé",MOD(I213-G213,1)-H213,"00:00"),"00:00")</f>
        <v>00:00</v>
      </c>
      <c r="V213" s="78"/>
      <c r="W213" s="47"/>
      <c r="X213" s="48">
        <f t="shared" si="199"/>
        <v>0</v>
      </c>
      <c r="Y213" s="31"/>
      <c r="Z213" s="88">
        <f t="shared" ref="Z213:Z218" si="201">IF(SUM(U213-X213)&lt;0,0,SUM(U213-X213))</f>
        <v>0</v>
      </c>
      <c r="AA213" s="48">
        <f t="shared" ref="AA213:AA218" si="202">IF(SUM(V213-X213-Z213)&lt;0,0,SUM(V213-X213-Z213))</f>
        <v>0</v>
      </c>
      <c r="AB213" s="47"/>
      <c r="AC213" s="50"/>
      <c r="AD213" s="33">
        <f t="shared" ref="AD213:AD218" si="203">IF(SUM(U213-Z213)&lt;0,0,SUM(U213-Z213))</f>
        <v>0</v>
      </c>
      <c r="AE213" s="33">
        <f t="shared" si="143"/>
        <v>0</v>
      </c>
    </row>
    <row r="214" spans="2:31" x14ac:dyDescent="0.3">
      <c r="B214" s="51">
        <f>B206+1</f>
        <v>26</v>
      </c>
      <c r="C214" s="14" t="s">
        <v>7</v>
      </c>
      <c r="D214" s="43">
        <f>D213+1</f>
        <v>42186</v>
      </c>
      <c r="E214" s="29" t="s">
        <v>29</v>
      </c>
      <c r="F214" s="191"/>
      <c r="G214" s="194">
        <v>0.375</v>
      </c>
      <c r="H214" s="194">
        <v>3.125E-2</v>
      </c>
      <c r="I214" s="194">
        <v>0.75</v>
      </c>
      <c r="J214" s="193">
        <f>IF(OR(E214="férié travaillé",E214="travail"),(I214-G214+IF(G214&gt;I214,1)-H214),INDEX('bases de donnée'!$E$20:'bases de donnée'!$E$32,MATCH(E214,gerald2,0)))</f>
        <v>0.34375</v>
      </c>
      <c r="K214" s="20">
        <f>IF(SUM(J214-'bases de donnée'!E$7)&lt;0,0,SUM(J214-'bases de donnée'!E$7))</f>
        <v>0</v>
      </c>
      <c r="L214" s="11">
        <f>IF(OR(E214="férié travaillé",E214="travail"),I214-G214+IF(G214&gt;I214,1),INDEX('bases de donnée'!$E$20:'bases de donnée'!$E$32,MATCH(E214,gerald2,0)))</f>
        <v>0.375</v>
      </c>
      <c r="M214" s="21">
        <f>IF(SUM(L214-'bases de donnée'!E$4)&lt;0,0,SUM(L214-'bases de donnée'!E$4))</f>
        <v>0</v>
      </c>
      <c r="N214" s="155">
        <v>0</v>
      </c>
      <c r="O214" s="73">
        <f t="shared" ref="O214:O219" si="204">O213+J214</f>
        <v>0.6875</v>
      </c>
      <c r="P214" s="121">
        <f>IF(SUM(P213-'bases de donnée'!E$6)&lt;0,0,SUM(P213-'bases de donnée'!E$6))</f>
        <v>0</v>
      </c>
      <c r="Q214" s="120">
        <f t="shared" ref="Q214:Q219" si="205">IF(AND(G214&lt;&gt;"",I214&lt;&gt;""),1,0+OR(N(I213)&lt;N(G213),E214="récupération",E214="congé 1 jour",E214="congé 1/2 jour ",E214="congé 5h24",E214="arrêt maladie",E214="arrêt travail",E214="férié ",E214="congé parentale",E214="congé de naissance"))</f>
        <v>1</v>
      </c>
      <c r="R214" s="30"/>
      <c r="S214" s="77">
        <f>IF(SUM(MOD(I214-G214,1)-IF(I214&gt;G214,MAX(0,MIN(I214,'bases de donnée'!E$16/24)-MAX('planning '!G214,7/24)),MAX(0,'bases de donnée'!E$16/24-MAX('planning '!G214,7/24))+MAX(0,MIN('planning '!I214,'bases de donnée'!E$16/24)-7/24)))&lt;0,0,SUM(MOD('planning '!I214-'planning '!G214,1)-IF('planning '!I214&gt;'planning '!G214,MAX(0,MIN('planning '!I214,'bases de donnée'!E$16/24)-MAX('planning '!G214,7/24)),MAX(0,'bases de donnée'!E$16/24-MAX('planning '!G214,7/24))+MAX(0,MIN('planning '!I214,'bases de donnée'!E$16/24)-7/24))))</f>
        <v>0</v>
      </c>
      <c r="T214" s="82"/>
      <c r="U214" s="77" t="str">
        <f t="shared" si="200"/>
        <v>00:00</v>
      </c>
      <c r="V214" s="78">
        <f>IF(SUM(IF(O214&gt;('bases de donnée'!E$9*1),O214-('bases de donnée'!E$9*1),0)-V213)&lt;0,0,SUM(IF(O214&gt;('bases de donnée'!E$9*1),O214-('bases de donnée'!E$9*1),0)-V213))</f>
        <v>0</v>
      </c>
      <c r="W214" s="47"/>
      <c r="X214" s="48">
        <f t="shared" si="199"/>
        <v>0</v>
      </c>
      <c r="Y214" s="42"/>
      <c r="Z214" s="88">
        <f t="shared" si="201"/>
        <v>0</v>
      </c>
      <c r="AA214" s="48">
        <f t="shared" si="202"/>
        <v>0</v>
      </c>
      <c r="AB214" s="47"/>
      <c r="AC214" s="54"/>
      <c r="AD214" s="33">
        <f t="shared" si="203"/>
        <v>0</v>
      </c>
      <c r="AE214" s="33">
        <f t="shared" si="143"/>
        <v>0</v>
      </c>
    </row>
    <row r="215" spans="2:31" x14ac:dyDescent="0.3">
      <c r="B215"/>
      <c r="C215" s="14" t="s">
        <v>8</v>
      </c>
      <c r="D215" s="43">
        <f t="shared" ref="D215:D219" si="206">D214+1</f>
        <v>42187</v>
      </c>
      <c r="E215" s="29" t="s">
        <v>29</v>
      </c>
      <c r="F215" s="191"/>
      <c r="G215" s="194">
        <v>0.375</v>
      </c>
      <c r="H215" s="194">
        <v>3.125E-2</v>
      </c>
      <c r="I215" s="194">
        <v>0.75</v>
      </c>
      <c r="J215" s="193">
        <f>IF(OR(E215="férié travaillé",E215="travail"),(I215-G215+IF(G215&gt;I215,1)-H215),INDEX('bases de donnée'!$E$20:'bases de donnée'!$E$32,MATCH(E215,gerald2,0)))</f>
        <v>0.34375</v>
      </c>
      <c r="K215" s="20">
        <f>IF(SUM(J215-'bases de donnée'!E$7)&lt;0,0,SUM(J215-'bases de donnée'!E$7))</f>
        <v>0</v>
      </c>
      <c r="L215" s="11">
        <f>IF(OR(E215="férié travaillé",E215="travail"),I215-G215+IF(G215&gt;I215,1),INDEX('bases de donnée'!$E$20:'bases de donnée'!$E$32,MATCH(E215,gerald2,0)))</f>
        <v>0.375</v>
      </c>
      <c r="M215" s="21">
        <f>IF(SUM(L215-'bases de donnée'!E$4)&lt;0,0,SUM(L215-'bases de donnée'!E$4))</f>
        <v>0</v>
      </c>
      <c r="N215" s="155">
        <v>0</v>
      </c>
      <c r="O215" s="73">
        <f t="shared" si="204"/>
        <v>1.03125</v>
      </c>
      <c r="P215" s="34" t="s">
        <v>46</v>
      </c>
      <c r="Q215" s="120">
        <f t="shared" si="205"/>
        <v>1</v>
      </c>
      <c r="R215" s="30"/>
      <c r="S215" s="77">
        <f>IF(SUM(MOD(I215-G215,1)-IF(I215&gt;G215,MAX(0,MIN(I215,'bases de donnée'!E$16/24)-MAX('planning '!G215,7/24)),MAX(0,'bases de donnée'!E$16/24-MAX('planning '!G215,7/24))+MAX(0,MIN('planning '!I215,'bases de donnée'!E$16/24)-7/24)))&lt;0,0,SUM(MOD('planning '!I215-'planning '!G215,1)-IF('planning '!I215&gt;'planning '!G215,MAX(0,MIN('planning '!I215,'bases de donnée'!E$16/24)-MAX('planning '!G215,7/24)),MAX(0,'bases de donnée'!E$16/24-MAX('planning '!G215,7/24))+MAX(0,MIN('planning '!I215,'bases de donnée'!E$16/24)-7/24))))</f>
        <v>0</v>
      </c>
      <c r="T215" s="82"/>
      <c r="U215" s="77" t="str">
        <f t="shared" si="200"/>
        <v>00:00</v>
      </c>
      <c r="V215" s="78">
        <f>IF(SUM(IF(O215&gt;("36:00"*1),O215-("36:00"*1),0)-V213-V214)&lt;0,0,SUM(IF(O215&gt;("36:00"*1),O215-("36:00"*1),0)-V213-V214))</f>
        <v>0</v>
      </c>
      <c r="W215" s="47"/>
      <c r="X215" s="48">
        <f t="shared" si="199"/>
        <v>0</v>
      </c>
      <c r="Y215" s="42"/>
      <c r="Z215" s="88">
        <f t="shared" si="201"/>
        <v>0</v>
      </c>
      <c r="AA215" s="48">
        <f t="shared" si="202"/>
        <v>0</v>
      </c>
      <c r="AB215" s="47"/>
      <c r="AC215" s="54"/>
      <c r="AD215" s="33">
        <f t="shared" si="203"/>
        <v>0</v>
      </c>
      <c r="AE215" s="33">
        <f t="shared" si="143"/>
        <v>0</v>
      </c>
    </row>
    <row r="216" spans="2:31" x14ac:dyDescent="0.3">
      <c r="B216"/>
      <c r="C216" s="14" t="s">
        <v>9</v>
      </c>
      <c r="D216" s="43">
        <f t="shared" si="206"/>
        <v>42188</v>
      </c>
      <c r="E216" s="29" t="s">
        <v>29</v>
      </c>
      <c r="F216" s="191"/>
      <c r="G216" s="194">
        <v>0.51041666666666663</v>
      </c>
      <c r="H216" s="194">
        <v>3.125E-2</v>
      </c>
      <c r="I216" s="194">
        <v>0.75</v>
      </c>
      <c r="J216" s="193">
        <f>IF(OR(E216="férié travaillé",E216="travail"),(I216-G216+IF(G216&gt;I216,1)-H216),INDEX('bases de donnée'!$E$20:'bases de donnée'!$E$32,MATCH(E216,gerald2,0)))</f>
        <v>0.20833333333333337</v>
      </c>
      <c r="K216" s="20">
        <f>IF(SUM(J216-'bases de donnée'!E$7)&lt;0,0,SUM(J216-'bases de donnée'!E$7))</f>
        <v>0</v>
      </c>
      <c r="L216" s="11">
        <f>IF(OR(E216="férié travaillé",E216="travail"),I216-G216+IF(G216&gt;I216,1),INDEX('bases de donnée'!$E$20:'bases de donnée'!$E$32,MATCH(E216,gerald2,0)))</f>
        <v>0.23958333333333337</v>
      </c>
      <c r="M216" s="21">
        <f>IF(SUM(L216-'bases de donnée'!E$4)&lt;0,0,SUM(L216-'bases de donnée'!E$4))</f>
        <v>0</v>
      </c>
      <c r="N216" s="155">
        <v>0</v>
      </c>
      <c r="O216" s="73">
        <f t="shared" si="204"/>
        <v>1.2395833333333335</v>
      </c>
      <c r="P216" s="86">
        <f>O219</f>
        <v>1.5</v>
      </c>
      <c r="Q216" s="120">
        <f t="shared" si="205"/>
        <v>1</v>
      </c>
      <c r="R216" s="30"/>
      <c r="S216" s="77">
        <f>IF(SUM(MOD(I216-G216,1)-IF(I216&gt;G216,MAX(0,MIN(I216,'bases de donnée'!E$16/24)-MAX('planning '!G216,7/24)),MAX(0,'bases de donnée'!E$16/24-MAX('planning '!G216,7/24))+MAX(0,MIN('planning '!I216,'bases de donnée'!E$16/24)-7/24)))&lt;0,0,SUM(MOD('planning '!I216-'planning '!G216,1)-IF('planning '!I216&gt;'planning '!G216,MAX(0,MIN('planning '!I216,'bases de donnée'!E$16/24)-MAX('planning '!G216,7/24)),MAX(0,'bases de donnée'!E$16/24-MAX('planning '!G216,7/24))+MAX(0,MIN('planning '!I216,'bases de donnée'!E$16/24)-7/24))))</f>
        <v>0</v>
      </c>
      <c r="T216" s="82"/>
      <c r="U216" s="77" t="str">
        <f t="shared" si="200"/>
        <v>00:00</v>
      </c>
      <c r="V216" s="78">
        <f>IF(SUM(IF(O216&gt;("36:00"*1),O216-("36:00"*1),0)-V214-V215)&lt;0,0,SUM(IF(O216&gt;("36:00"*1),O216-("36:00"*1),0)-V213-V214-V215))</f>
        <v>0</v>
      </c>
      <c r="W216" s="47"/>
      <c r="X216" s="48">
        <f t="shared" si="199"/>
        <v>0</v>
      </c>
      <c r="Y216" s="42"/>
      <c r="Z216" s="88">
        <f t="shared" si="201"/>
        <v>0</v>
      </c>
      <c r="AA216" s="48">
        <f t="shared" si="202"/>
        <v>0</v>
      </c>
      <c r="AB216" s="47"/>
      <c r="AC216" s="54"/>
      <c r="AD216" s="33">
        <f t="shared" si="203"/>
        <v>0</v>
      </c>
      <c r="AE216" s="33">
        <f t="shared" si="143"/>
        <v>0</v>
      </c>
    </row>
    <row r="217" spans="2:31" x14ac:dyDescent="0.3">
      <c r="B217"/>
      <c r="C217" s="14" t="s">
        <v>3</v>
      </c>
      <c r="D217" s="43">
        <f t="shared" si="206"/>
        <v>42189</v>
      </c>
      <c r="E217" s="29" t="s">
        <v>29</v>
      </c>
      <c r="F217" s="191"/>
      <c r="G217" s="194">
        <v>0.375</v>
      </c>
      <c r="H217" s="194">
        <v>3.125E-2</v>
      </c>
      <c r="I217" s="194">
        <v>0.66666666666666663</v>
      </c>
      <c r="J217" s="193">
        <f>IF(OR(E217="férié travaillé",E217="travail"),(I217-G217+IF(G217&gt;I217,1)-H217),INDEX('bases de donnée'!$E$20:'bases de donnée'!$E$32,MATCH(E217,gerald2,0)))</f>
        <v>0.26041666666666663</v>
      </c>
      <c r="K217" s="20">
        <f>IF(SUM(J217-'bases de donnée'!E$7)&lt;0,0,SUM(J217-'bases de donnée'!E$7))</f>
        <v>0</v>
      </c>
      <c r="L217" s="11">
        <f>IF(OR(E217="férié travaillé",E217="travail"),I217-G217+IF(G217&gt;I217,1),INDEX('bases de donnée'!$E$20:'bases de donnée'!$E$32,MATCH(E217,gerald2,0)))</f>
        <v>0.29166666666666663</v>
      </c>
      <c r="M217" s="21">
        <f>IF(SUM(L217-'bases de donnée'!E$4)&lt;0,0,SUM(L217-'bases de donnée'!E$4))</f>
        <v>0</v>
      </c>
      <c r="N217" s="155">
        <v>0</v>
      </c>
      <c r="O217" s="73">
        <f t="shared" si="204"/>
        <v>1.5</v>
      </c>
      <c r="P217" s="12" t="s">
        <v>48</v>
      </c>
      <c r="Q217" s="120">
        <f t="shared" si="205"/>
        <v>1</v>
      </c>
      <c r="R217" s="30"/>
      <c r="S217" s="77">
        <f>IF(SUM(MOD(I217-G217,1)-IF(I217&gt;G217,MAX(0,MIN(I217,'bases de donnée'!E$16/24)-MAX('planning '!G217,7/24)),MAX(0,'bases de donnée'!E$16/24-MAX('planning '!G217,7/24))+MAX(0,MIN('planning '!I217,'bases de donnée'!E$16/24)-7/24)))&lt;0,0,SUM(MOD('planning '!I217-'planning '!G217,1)-IF('planning '!I217&gt;'planning '!G217,MAX(0,MIN('planning '!I217,'bases de donnée'!E$16/24)-MAX('planning '!G217,7/24)),MAX(0,'bases de donnée'!E$16/24-MAX('planning '!G217,7/24))+MAX(0,MIN('planning '!I217,'bases de donnée'!E$16/24)-7/24))))</f>
        <v>0</v>
      </c>
      <c r="T217" s="82"/>
      <c r="U217" s="77" t="str">
        <f t="shared" si="200"/>
        <v>00:00</v>
      </c>
      <c r="V217" s="78">
        <f>IF(SUM(IF(O217&gt;("36:00"*1),O217-("36:00"*1),0)-V215-V216)&lt;0,0,SUM(IF(O217&gt;("36:00"*1),O217-("36:00"*1),0)-V213-V214-V215-V216))</f>
        <v>0</v>
      </c>
      <c r="W217" s="47"/>
      <c r="X217" s="48">
        <f t="shared" si="199"/>
        <v>0</v>
      </c>
      <c r="Y217" s="42"/>
      <c r="Z217" s="88">
        <f t="shared" si="201"/>
        <v>0</v>
      </c>
      <c r="AA217" s="48">
        <f t="shared" si="202"/>
        <v>0</v>
      </c>
      <c r="AB217" s="47"/>
      <c r="AC217" s="54"/>
      <c r="AD217" s="33">
        <f t="shared" si="203"/>
        <v>0</v>
      </c>
      <c r="AE217" s="33">
        <f t="shared" si="143"/>
        <v>0</v>
      </c>
    </row>
    <row r="218" spans="2:31" x14ac:dyDescent="0.3">
      <c r="B218"/>
      <c r="C218" s="14" t="s">
        <v>4</v>
      </c>
      <c r="D218" s="43">
        <f t="shared" si="206"/>
        <v>42190</v>
      </c>
      <c r="E218" s="29" t="s">
        <v>28</v>
      </c>
      <c r="F218" s="191"/>
      <c r="G218" s="194"/>
      <c r="H218" s="194"/>
      <c r="I218" s="194"/>
      <c r="J218" s="193">
        <f>IF(OR(E218="férié travaillé",E218="travail"),(I218-G218+IF(G218&gt;I218,1)-H218),INDEX('bases de donnée'!$E$20:'bases de donnée'!$E$32,MATCH(E218,gerald2,0)))</f>
        <v>0</v>
      </c>
      <c r="K218" s="20">
        <f>IF(SUM(J218-'bases de donnée'!E$7)&lt;0,0,SUM(J218-'bases de donnée'!E$7))</f>
        <v>0</v>
      </c>
      <c r="L218" s="11">
        <f>IF(OR(E218="férié travaillé",E218="travail"),I218-G218+IF(G218&gt;I218,1),INDEX('bases de donnée'!$E$20:'bases de donnée'!$E$32,MATCH(E218,gerald2,0)))</f>
        <v>0</v>
      </c>
      <c r="M218" s="21">
        <f>IF(SUM(L218-'bases de donnée'!E$4)&lt;0,0,SUM(L218-'bases de donnée'!E$4))</f>
        <v>0</v>
      </c>
      <c r="N218" s="155">
        <v>0</v>
      </c>
      <c r="O218" s="73">
        <f t="shared" si="204"/>
        <v>1.5</v>
      </c>
      <c r="P218" s="53">
        <f>'bases de donnée'!E$10</f>
        <v>2</v>
      </c>
      <c r="Q218" s="120">
        <f t="shared" si="205"/>
        <v>0</v>
      </c>
      <c r="R218" s="30"/>
      <c r="S218" s="77">
        <f>IF(SUM(MOD(I218-G218,1)-IF(I218&gt;G218,MAX(0,MIN(I218,'bases de donnée'!E$16/24)-MAX('planning '!G218,7/24)),MAX(0,'bases de donnée'!E$16/24-MAX('planning '!G218,7/24))+MAX(0,MIN('planning '!I218,'bases de donnée'!E$16/24)-7/24)))&lt;0,0,SUM(MOD('planning '!I218-'planning '!G218,1)-IF('planning '!I218&gt;'planning '!G218,MAX(0,MIN('planning '!I218,'bases de donnée'!E$16/24)-MAX('planning '!G218,7/24)),MAX(0,'bases de donnée'!E$16/24-MAX('planning '!G218,7/24))+MAX(0,MIN('planning '!I218,'bases de donnée'!E$16/24)-7/24))))</f>
        <v>0</v>
      </c>
      <c r="T218" s="82"/>
      <c r="U218" s="77" t="str">
        <f t="shared" si="200"/>
        <v>00:00</v>
      </c>
      <c r="V218" s="78">
        <f>IF(SUM(IF(O218&gt;("36:00"*1),O218-("36:00"*1),0)-V216-V217)&lt;0,0,SUM(IF(O218&gt;("36:00"*1),O218-("36:00"*1),0)-V213-V214-V215-V216-V217))</f>
        <v>0</v>
      </c>
      <c r="W218" s="47"/>
      <c r="X218" s="48">
        <f t="shared" si="199"/>
        <v>0</v>
      </c>
      <c r="Y218" s="32"/>
      <c r="Z218" s="48">
        <f t="shared" si="201"/>
        <v>0</v>
      </c>
      <c r="AA218" s="48">
        <f t="shared" si="202"/>
        <v>0</v>
      </c>
      <c r="AB218" s="47"/>
      <c r="AC218" s="55"/>
      <c r="AD218" s="33">
        <f t="shared" si="203"/>
        <v>0</v>
      </c>
      <c r="AE218" s="33">
        <f t="shared" si="143"/>
        <v>0</v>
      </c>
    </row>
    <row r="219" spans="2:31" x14ac:dyDescent="0.3">
      <c r="B219"/>
      <c r="C219" s="14" t="s">
        <v>5</v>
      </c>
      <c r="D219" s="43">
        <f t="shared" si="206"/>
        <v>42191</v>
      </c>
      <c r="E219" s="29" t="s">
        <v>28</v>
      </c>
      <c r="F219" s="192"/>
      <c r="G219" s="194"/>
      <c r="H219" s="194"/>
      <c r="I219" s="194"/>
      <c r="J219" s="193">
        <f>IF(OR(E219="férié travaillé",E219="travail"),(I219-G219+IF(G219&gt;I219,1)-H219),INDEX('bases de donnée'!$E$20:'bases de donnée'!$E$32,MATCH(E219,gerald2,0)))</f>
        <v>0</v>
      </c>
      <c r="K219" s="20">
        <f>IF(SUM(J219-'bases de donnée'!E$7)&lt;0,0,SUM(J219-'bases de donnée'!E$7))</f>
        <v>0</v>
      </c>
      <c r="L219" s="11">
        <f>IF(OR(E219="férié travaillé",E219="travail"),I219-G219+IF(G219&gt;I219,1),INDEX('bases de donnée'!$E$20:'bases de donnée'!$E$32,MATCH(E219,gerald2,0)))</f>
        <v>0</v>
      </c>
      <c r="M219" s="21">
        <f>IF(SUM(L219-'bases de donnée'!E$4)&lt;0,0,SUM(L219-'bases de donnée'!E$4))</f>
        <v>0</v>
      </c>
      <c r="N219" s="155">
        <v>0</v>
      </c>
      <c r="O219" s="73">
        <f t="shared" si="204"/>
        <v>1.5</v>
      </c>
      <c r="P219" s="33">
        <f>IF(SUM(O219-'bases de donnée'!E$10)&lt;0,0,SUM(O219-'bases de donnée'!E$10))</f>
        <v>0</v>
      </c>
      <c r="Q219" s="120">
        <f t="shared" si="205"/>
        <v>0</v>
      </c>
      <c r="R219" s="30"/>
      <c r="S219" s="77">
        <f>IF(SUM(MOD(I219-G219,1)-IF(I219&gt;G219,MAX(0,MIN(I219,'bases de donnée'!E$16/24)-MAX('planning '!G219,7/24)),MAX(0,'bases de donnée'!E$16/24-MAX('planning '!G219,7/24))+MAX(0,MIN('planning '!I219,'bases de donnée'!E$16/24)-7/24)))&lt;0,0,SUM(MOD('planning '!I219-'planning '!G219,1)-IF('planning '!I219&gt;'planning '!G219,MAX(0,MIN('planning '!I219,'bases de donnée'!E$16/24)-MAX('planning '!G219,7/24)),MAX(0,'bases de donnée'!E$16/24-MAX('planning '!G219,7/24))+MAX(0,MIN('planning '!I219,'bases de donnée'!E$16/24)-7/24))))</f>
        <v>0</v>
      </c>
      <c r="T219" s="77">
        <f>J219</f>
        <v>0</v>
      </c>
      <c r="U219" s="77" t="str">
        <f t="shared" si="200"/>
        <v>00:00</v>
      </c>
      <c r="V219" s="78">
        <f>IF(SUM(IF(O219&gt;("36:00"*1),O219-("36:00"*1),0)-V217-V218)&lt;0,0,SUM(IF(O219&gt;("36:00"*1),O219-("36:00"*1),0)-V213-V214-V215-V216-V217-V218))</f>
        <v>0</v>
      </c>
      <c r="W219" s="47"/>
      <c r="X219" s="48">
        <f t="shared" si="199"/>
        <v>0</v>
      </c>
      <c r="Y219" s="48">
        <f>IF(SUM(T219-S219)&lt;0,0,SUM(T219-S219))</f>
        <v>0</v>
      </c>
      <c r="Z219" s="56">
        <f>IF(SUM(U219-T219-S219)&lt;0,0,SUM(U219-T219-S219))</f>
        <v>0</v>
      </c>
      <c r="AA219" s="48">
        <f>IF(SUM(V219-S219-T219-U219)&lt;0,0,SUM(V219-S219-T219-U219))</f>
        <v>0</v>
      </c>
      <c r="AB219" s="47"/>
      <c r="AC219" s="57">
        <f>IF(SUM(T219-Y219)&lt;0,0,SUM(T219-Y219))</f>
        <v>0</v>
      </c>
      <c r="AD219" s="33">
        <f>IF(SUM(U219-Z219)&lt;0,0,SUM(U219-Z219))</f>
        <v>0</v>
      </c>
      <c r="AE219" s="33">
        <f t="shared" si="143"/>
        <v>0</v>
      </c>
    </row>
    <row r="220" spans="2:31" x14ac:dyDescent="0.3">
      <c r="B220"/>
      <c r="C220" s="25"/>
      <c r="D220" s="90"/>
      <c r="E220" s="90"/>
      <c r="F220" s="25"/>
      <c r="G220" s="185"/>
      <c r="H220" s="185"/>
      <c r="I220" s="185"/>
      <c r="J220" s="47"/>
      <c r="K220" s="92"/>
      <c r="L220" s="91"/>
      <c r="M220" s="91"/>
      <c r="N220" s="91"/>
      <c r="O220" s="93"/>
      <c r="P220" s="47"/>
      <c r="Q220" s="30"/>
      <c r="R220" s="30"/>
      <c r="S220" s="47"/>
      <c r="T220" s="47"/>
      <c r="U220" s="47"/>
      <c r="V220" s="93"/>
      <c r="W220" s="47"/>
      <c r="X220" s="47"/>
      <c r="Y220" s="47"/>
      <c r="Z220" s="47"/>
      <c r="AA220" s="47"/>
      <c r="AB220" s="47"/>
      <c r="AC220" s="47"/>
      <c r="AD220" s="47"/>
      <c r="AE220" s="47"/>
    </row>
    <row r="221" spans="2:31" x14ac:dyDescent="0.3">
      <c r="B221" s="9" t="s">
        <v>40</v>
      </c>
      <c r="C221" s="9" t="s">
        <v>6</v>
      </c>
      <c r="D221" s="58">
        <f>D219+1</f>
        <v>42192</v>
      </c>
      <c r="E221" s="29" t="s">
        <v>30</v>
      </c>
      <c r="F221" s="44"/>
      <c r="G221" s="194"/>
      <c r="H221" s="194"/>
      <c r="I221" s="194"/>
      <c r="J221" s="45">
        <f>IF(OR(E221="férié travaillé",E221="travail"),(I221-G221+IF(G221&gt;I221,1)-H221),INDEX('bases de donnée'!$E$20:'bases de donnée'!$E$32,MATCH(E221,gerald2,0)))</f>
        <v>0.3</v>
      </c>
      <c r="K221" s="20">
        <f>IF(SUM(J221-'bases de donnée'!E$7)&lt;0,0,SUM(J221-'bases de donnée'!E$7))</f>
        <v>0</v>
      </c>
      <c r="L221" s="11">
        <f>IF(OR(E221="férié travaillé",E221="travail"),I221-G221+IF(G221&gt;I221,1),INDEX('bases de donnée'!$E$20:'bases de donnée'!$E$32,MATCH(E221,gerald2,0)))</f>
        <v>0.3</v>
      </c>
      <c r="M221" s="21">
        <f>IF(SUM(L221-'bases de donnée'!E$4)&lt;0,0,SUM(L221-'bases de donnée'!E$4))</f>
        <v>0</v>
      </c>
      <c r="N221" s="155">
        <v>0</v>
      </c>
      <c r="O221" s="59">
        <f>J221</f>
        <v>0.3</v>
      </c>
      <c r="P221" s="122">
        <f>SUM(Q221:Q227)</f>
        <v>5</v>
      </c>
      <c r="Q221" s="120">
        <f>IF(AND(G221&lt;&gt;"",I221&lt;&gt;""),1,0+OR(N(I220)&lt;N(G220),E221="récupération",E221="congé 1 jour",E221="congé 1/2 jour ",E221="congé 5h24",E221="arrêt maladie",E221="arrêt travail",E221="férié ",E221="congé parentale",E221="congé de naissance"))</f>
        <v>1</v>
      </c>
      <c r="R221" s="30"/>
      <c r="S221" s="77">
        <f>IF(SUM(MOD(I221-G221,1)-IF(I221&gt;G221,MAX(0,MIN(I221,'bases de donnée'!E$16/24)-MAX('planning '!G221,7/24)),MAX(0,'bases de donnée'!E$16/24-MAX('planning '!G221,7/24))+MAX(0,MIN('planning '!I221,'bases de donnée'!E$16/24)-7/24)))&lt;0,0,SUM(MOD('planning '!I221-'planning '!G221,1)-IF('planning '!I221&gt;'planning '!G221,MAX(0,MIN('planning '!I221,'bases de donnée'!E$16/24)-MAX('planning '!G221,7/24)),MAX(0,'bases de donnée'!E$16/24-MAX('planning '!G221,7/24))+MAX(0,MIN('planning '!I221,'bases de donnée'!E$16/24)-7/24))))</f>
        <v>0</v>
      </c>
      <c r="T221" s="81"/>
      <c r="U221" s="77" t="str">
        <f t="shared" ref="U221:U227" si="207">IF(E221&lt;&gt;"travail",IF(E221="férié travaillé",MOD(I221-G221,1)-H221,"00:00"),"00:00")</f>
        <v>00:00</v>
      </c>
      <c r="V221" s="78"/>
      <c r="W221" s="47"/>
      <c r="X221" s="48">
        <f t="shared" si="199"/>
        <v>0</v>
      </c>
      <c r="Y221" s="31"/>
      <c r="Z221" s="49">
        <f t="shared" ref="Z221:Z226" si="208">IF(SUM(U221-X221)&lt;0,0,SUM(U221-X221))</f>
        <v>0</v>
      </c>
      <c r="AA221" s="48">
        <f t="shared" ref="AA221:AA226" si="209">IF(SUM(V221-X221-Z221)&lt;0,0,SUM(V221-X221-Z221))</f>
        <v>0</v>
      </c>
      <c r="AB221" s="47"/>
      <c r="AC221" s="50"/>
      <c r="AD221" s="33">
        <f t="shared" ref="AD221:AD226" si="210">IF(SUM(U221-Z221)&lt;0,0,SUM(U221-Z221))</f>
        <v>0</v>
      </c>
      <c r="AE221" s="33">
        <f t="shared" si="143"/>
        <v>0</v>
      </c>
    </row>
    <row r="222" spans="2:31" x14ac:dyDescent="0.3">
      <c r="B222" s="60">
        <f>B214+1</f>
        <v>27</v>
      </c>
      <c r="C222" s="9" t="s">
        <v>7</v>
      </c>
      <c r="D222" s="58">
        <f>D221+1</f>
        <v>42193</v>
      </c>
      <c r="E222" s="29" t="s">
        <v>30</v>
      </c>
      <c r="F222" s="52"/>
      <c r="G222" s="194"/>
      <c r="H222" s="194"/>
      <c r="I222" s="194"/>
      <c r="J222" s="45">
        <f>IF(OR(E222="férié travaillé",E222="travail"),(I222-G222+IF(G222&gt;I222,1)-H222),INDEX('bases de donnée'!$E$20:'bases de donnée'!$E$32,MATCH(E222,gerald2,0)))</f>
        <v>0.3</v>
      </c>
      <c r="K222" s="20">
        <f>IF(SUM(J222-'bases de donnée'!E$7)&lt;0,0,SUM(J222-'bases de donnée'!E$7))</f>
        <v>0</v>
      </c>
      <c r="L222" s="11">
        <f>IF(OR(E222="férié travaillé",E222="travail"),I222-G222+IF(G222&gt;I222,1),INDEX('bases de donnée'!$E$20:'bases de donnée'!$E$32,MATCH(E222,gerald2,0)))</f>
        <v>0.3</v>
      </c>
      <c r="M222" s="21">
        <f>IF(SUM(L222-'bases de donnée'!E$4)&lt;0,0,SUM(L222-'bases de donnée'!E$4))</f>
        <v>0</v>
      </c>
      <c r="N222" s="155">
        <v>0</v>
      </c>
      <c r="O222" s="74">
        <f t="shared" ref="O222:O227" si="211">O221+J222</f>
        <v>0.6</v>
      </c>
      <c r="P222" s="121">
        <f>IF(SUM(P221-'bases de donnée'!E$6)&lt;0,0,SUM(P221-'bases de donnée'!E$6))</f>
        <v>0</v>
      </c>
      <c r="Q222" s="120">
        <f t="shared" ref="Q222:Q227" si="212">IF(AND(G222&lt;&gt;"",I222&lt;&gt;""),1,0+OR(N(I221)&lt;N(G221),E222="récupération",E222="congé 1 jour",E222="congé 1/2 jour ",E222="congé 5h24",E222="arrêt maladie",E222="arrêt travail",E222="férié ",E222="congé parentale",E222="congé de naissance"))</f>
        <v>1</v>
      </c>
      <c r="R222" s="30"/>
      <c r="S222" s="77">
        <f>IF(SUM(MOD(I222-G222,1)-IF(I222&gt;G222,MAX(0,MIN(I222,'bases de donnée'!E$16/24)-MAX('planning '!G222,7/24)),MAX(0,'bases de donnée'!E$16/24-MAX('planning '!G222,7/24))+MAX(0,MIN('planning '!I222,'bases de donnée'!E$16/24)-7/24)))&lt;0,0,SUM(MOD('planning '!I222-'planning '!G222,1)-IF('planning '!I222&gt;'planning '!G222,MAX(0,MIN('planning '!I222,'bases de donnée'!E$16/24)-MAX('planning '!G222,7/24)),MAX(0,'bases de donnée'!E$16/24-MAX('planning '!G222,7/24))+MAX(0,MIN('planning '!I222,'bases de donnée'!E$16/24)-7/24))))</f>
        <v>0</v>
      </c>
      <c r="T222" s="82"/>
      <c r="U222" s="77" t="str">
        <f t="shared" si="207"/>
        <v>00:00</v>
      </c>
      <c r="V222" s="78">
        <f>IF(SUM(IF(O222&gt;('bases de donnée'!E$9*1),O222-('bases de donnée'!E$9*1),0)-V221)&lt;0,0,SUM(IF(O222&gt;('bases de donnée'!E$9*1),O222-('bases de donnée'!E$9*1),0)-V221))</f>
        <v>0</v>
      </c>
      <c r="W222" s="47"/>
      <c r="X222" s="48">
        <f t="shared" si="199"/>
        <v>0</v>
      </c>
      <c r="Y222" s="42"/>
      <c r="Z222" s="49">
        <f t="shared" si="208"/>
        <v>0</v>
      </c>
      <c r="AA222" s="48">
        <f t="shared" si="209"/>
        <v>0</v>
      </c>
      <c r="AB222" s="47"/>
      <c r="AC222" s="54"/>
      <c r="AD222" s="33">
        <f t="shared" si="210"/>
        <v>0</v>
      </c>
      <c r="AE222" s="33">
        <f t="shared" si="143"/>
        <v>0</v>
      </c>
    </row>
    <row r="223" spans="2:31" x14ac:dyDescent="0.3">
      <c r="B223"/>
      <c r="C223" s="9" t="s">
        <v>8</v>
      </c>
      <c r="D223" s="58">
        <f t="shared" ref="D223:D227" si="213">D222+1</f>
        <v>42194</v>
      </c>
      <c r="E223" s="29" t="s">
        <v>29</v>
      </c>
      <c r="F223" s="52"/>
      <c r="G223" s="194">
        <v>0.375</v>
      </c>
      <c r="H223" s="194">
        <v>3.125E-2</v>
      </c>
      <c r="I223" s="194">
        <v>0.64583333333333337</v>
      </c>
      <c r="J223" s="45">
        <f>IF(OR(E223="férié travaillé",E223="travail"),(I223-G223+IF(G223&gt;I223,1)-H223),INDEX('bases de donnée'!$E$20:'bases de donnée'!$E$32,MATCH(E223,gerald2,0)))</f>
        <v>0.23958333333333337</v>
      </c>
      <c r="K223" s="20">
        <f>IF(SUM(J223-'bases de donnée'!E$7)&lt;0,0,SUM(J223-'bases de donnée'!E$7))</f>
        <v>0</v>
      </c>
      <c r="L223" s="11">
        <f>IF(OR(E223="férié travaillé",E223="travail"),I223-G223+IF(G223&gt;I223,1),INDEX('bases de donnée'!$E$20:'bases de donnée'!$E$32,MATCH(E223,gerald2,0)))</f>
        <v>0.27083333333333337</v>
      </c>
      <c r="M223" s="21">
        <f>IF(SUM(L223-'bases de donnée'!E$4)&lt;0,0,SUM(L223-'bases de donnée'!E$4))</f>
        <v>0</v>
      </c>
      <c r="N223" s="155">
        <v>0</v>
      </c>
      <c r="O223" s="74">
        <f t="shared" si="211"/>
        <v>0.83958333333333335</v>
      </c>
      <c r="P223" s="34" t="s">
        <v>46</v>
      </c>
      <c r="Q223" s="120">
        <f t="shared" si="212"/>
        <v>1</v>
      </c>
      <c r="R223" s="30"/>
      <c r="S223" s="77">
        <f>IF(SUM(MOD(I223-G223,1)-IF(I223&gt;G223,MAX(0,MIN(I223,'bases de donnée'!E$16/24)-MAX('planning '!G223,7/24)),MAX(0,'bases de donnée'!E$16/24-MAX('planning '!G223,7/24))+MAX(0,MIN('planning '!I223,'bases de donnée'!E$16/24)-7/24)))&lt;0,0,SUM(MOD('planning '!I223-'planning '!G223,1)-IF('planning '!I223&gt;'planning '!G223,MAX(0,MIN('planning '!I223,'bases de donnée'!E$16/24)-MAX('planning '!G223,7/24)),MAX(0,'bases de donnée'!E$16/24-MAX('planning '!G223,7/24))+MAX(0,MIN('planning '!I223,'bases de donnée'!E$16/24)-7/24))))</f>
        <v>0</v>
      </c>
      <c r="T223" s="82"/>
      <c r="U223" s="77" t="str">
        <f t="shared" si="207"/>
        <v>00:00</v>
      </c>
      <c r="V223" s="78">
        <f>IF(SUM(IF(O223&gt;("36:00"*1),O223-("36:00"*1),0)-V221-V222)&lt;0,0,SUM(IF(O223&gt;("36:00"*1),O223-("36:00"*1),0)-V221-V222))</f>
        <v>0</v>
      </c>
      <c r="W223" s="47"/>
      <c r="X223" s="48">
        <f t="shared" si="199"/>
        <v>0</v>
      </c>
      <c r="Y223" s="42"/>
      <c r="Z223" s="49">
        <f t="shared" si="208"/>
        <v>0</v>
      </c>
      <c r="AA223" s="48">
        <f t="shared" si="209"/>
        <v>0</v>
      </c>
      <c r="AB223" s="47"/>
      <c r="AC223" s="54"/>
      <c r="AD223" s="33">
        <f t="shared" si="210"/>
        <v>0</v>
      </c>
      <c r="AE223" s="33">
        <f t="shared" si="143"/>
        <v>0</v>
      </c>
    </row>
    <row r="224" spans="2:31" x14ac:dyDescent="0.3">
      <c r="B224"/>
      <c r="C224" s="9" t="s">
        <v>9</v>
      </c>
      <c r="D224" s="58">
        <f t="shared" si="213"/>
        <v>42195</v>
      </c>
      <c r="E224" s="29" t="s">
        <v>30</v>
      </c>
      <c r="F224" s="52"/>
      <c r="G224" s="194"/>
      <c r="H224" s="194"/>
      <c r="I224" s="194"/>
      <c r="J224" s="45">
        <f>IF(OR(E224="férié travaillé",E224="travail"),(I224-G224+IF(G224&gt;I224,1)-H224),INDEX('bases de donnée'!$E$20:'bases de donnée'!$E$32,MATCH(E224,gerald2,0)))</f>
        <v>0.3</v>
      </c>
      <c r="K224" s="20">
        <f>IF(SUM(J224-'bases de donnée'!E$7)&lt;0,0,SUM(J224-'bases de donnée'!E$7))</f>
        <v>0</v>
      </c>
      <c r="L224" s="11">
        <f>IF(OR(E224="férié travaillé",E224="travail"),I224-G224+IF(G224&gt;I224,1),INDEX('bases de donnée'!$E$20:'bases de donnée'!$E$32,MATCH(E224,gerald2,0)))</f>
        <v>0.3</v>
      </c>
      <c r="M224" s="21">
        <f>IF(SUM(L224-'bases de donnée'!E$4)&lt;0,0,SUM(L224-'bases de donnée'!E$4))</f>
        <v>0</v>
      </c>
      <c r="N224" s="155">
        <v>0</v>
      </c>
      <c r="O224" s="74">
        <f t="shared" si="211"/>
        <v>1.1395833333333334</v>
      </c>
      <c r="P224" s="86">
        <f>O227</f>
        <v>1.4395833333333334</v>
      </c>
      <c r="Q224" s="120">
        <f t="shared" si="212"/>
        <v>1</v>
      </c>
      <c r="R224" s="30"/>
      <c r="S224" s="77">
        <f>IF(SUM(MOD(I224-G224,1)-IF(I224&gt;G224,MAX(0,MIN(I224,'bases de donnée'!E$16/24)-MAX('planning '!G224,7/24)),MAX(0,'bases de donnée'!E$16/24-MAX('planning '!G224,7/24))+MAX(0,MIN('planning '!I224,'bases de donnée'!E$16/24)-7/24)))&lt;0,0,SUM(MOD('planning '!I224-'planning '!G224,1)-IF('planning '!I224&gt;'planning '!G224,MAX(0,MIN('planning '!I224,'bases de donnée'!E$16/24)-MAX('planning '!G224,7/24)),MAX(0,'bases de donnée'!E$16/24-MAX('planning '!G224,7/24))+MAX(0,MIN('planning '!I224,'bases de donnée'!E$16/24)-7/24))))</f>
        <v>0</v>
      </c>
      <c r="T224" s="82"/>
      <c r="U224" s="77" t="str">
        <f t="shared" si="207"/>
        <v>00:00</v>
      </c>
      <c r="V224" s="78">
        <f>IF(SUM(IF(O224&gt;("36:00"*1),O224-("36:00"*1),0)-V222-V223)&lt;0,0,SUM(IF(O224&gt;("36:00"*1),O224-("36:00"*1),0)-V221-V222-V223))</f>
        <v>0</v>
      </c>
      <c r="W224" s="47"/>
      <c r="X224" s="48">
        <f t="shared" si="199"/>
        <v>0</v>
      </c>
      <c r="Y224" s="42"/>
      <c r="Z224" s="49">
        <f t="shared" si="208"/>
        <v>0</v>
      </c>
      <c r="AA224" s="48">
        <f t="shared" si="209"/>
        <v>0</v>
      </c>
      <c r="AB224" s="47"/>
      <c r="AC224" s="54"/>
      <c r="AD224" s="33">
        <f t="shared" si="210"/>
        <v>0</v>
      </c>
      <c r="AE224" s="33">
        <f t="shared" ref="AE224:AE296" si="214">IF(SUM(V224-AA224)&lt;0,0,SUM(V224-AA224))</f>
        <v>0</v>
      </c>
    </row>
    <row r="225" spans="2:31" x14ac:dyDescent="0.3">
      <c r="B225"/>
      <c r="C225" s="9" t="s">
        <v>3</v>
      </c>
      <c r="D225" s="58">
        <f t="shared" si="213"/>
        <v>42196</v>
      </c>
      <c r="E225" s="29" t="s">
        <v>30</v>
      </c>
      <c r="F225" s="52"/>
      <c r="G225" s="194"/>
      <c r="H225" s="194"/>
      <c r="I225" s="194"/>
      <c r="J225" s="45">
        <f>IF(OR(E225="férié travaillé",E225="travail"),(I225-G225+IF(G225&gt;I225,1)-H225),INDEX('bases de donnée'!$E$20:'bases de donnée'!$E$32,MATCH(E225,gerald2,0)))</f>
        <v>0.3</v>
      </c>
      <c r="K225" s="20">
        <f>IF(SUM(J225-'bases de donnée'!E$7)&lt;0,0,SUM(J225-'bases de donnée'!E$7))</f>
        <v>0</v>
      </c>
      <c r="L225" s="11">
        <f>IF(OR(E225="férié travaillé",E225="travail"),I225-G225+IF(G225&gt;I225,1),INDEX('bases de donnée'!$E$20:'bases de donnée'!$E$32,MATCH(E225,gerald2,0)))</f>
        <v>0.3</v>
      </c>
      <c r="M225" s="21">
        <f>IF(SUM(L225-'bases de donnée'!E$4)&lt;0,0,SUM(L225-'bases de donnée'!E$4))</f>
        <v>0</v>
      </c>
      <c r="N225" s="155">
        <v>0</v>
      </c>
      <c r="O225" s="74">
        <f t="shared" si="211"/>
        <v>1.4395833333333334</v>
      </c>
      <c r="P225" s="8" t="s">
        <v>48</v>
      </c>
      <c r="Q225" s="120">
        <f t="shared" si="212"/>
        <v>1</v>
      </c>
      <c r="R225" s="30"/>
      <c r="S225" s="77">
        <f>IF(SUM(MOD(I225-G225,1)-IF(I225&gt;G225,MAX(0,MIN(I225,'bases de donnée'!E$16/24)-MAX('planning '!G225,7/24)),MAX(0,'bases de donnée'!E$16/24-MAX('planning '!G225,7/24))+MAX(0,MIN('planning '!I225,'bases de donnée'!E$16/24)-7/24)))&lt;0,0,SUM(MOD('planning '!I225-'planning '!G225,1)-IF('planning '!I225&gt;'planning '!G225,MAX(0,MIN('planning '!I225,'bases de donnée'!E$16/24)-MAX('planning '!G225,7/24)),MAX(0,'bases de donnée'!E$16/24-MAX('planning '!G225,7/24))+MAX(0,MIN('planning '!I225,'bases de donnée'!E$16/24)-7/24))))</f>
        <v>0</v>
      </c>
      <c r="T225" s="82"/>
      <c r="U225" s="77" t="str">
        <f t="shared" si="207"/>
        <v>00:00</v>
      </c>
      <c r="V225" s="78">
        <f>IF(SUM(IF(O225&gt;("36:00"*1),O225-("36:00"*1),0)-V223-V224)&lt;0,0,SUM(IF(O225&gt;("36:00"*1),O225-("36:00"*1),0)-V221-V222-V223-V224))</f>
        <v>0</v>
      </c>
      <c r="W225" s="47"/>
      <c r="X225" s="48">
        <f t="shared" si="199"/>
        <v>0</v>
      </c>
      <c r="Y225" s="42"/>
      <c r="Z225" s="49">
        <f t="shared" si="208"/>
        <v>0</v>
      </c>
      <c r="AA225" s="48">
        <f t="shared" si="209"/>
        <v>0</v>
      </c>
      <c r="AB225" s="47"/>
      <c r="AC225" s="54"/>
      <c r="AD225" s="33">
        <f t="shared" si="210"/>
        <v>0</v>
      </c>
      <c r="AE225" s="33">
        <f t="shared" si="214"/>
        <v>0</v>
      </c>
    </row>
    <row r="226" spans="2:31" x14ac:dyDescent="0.3">
      <c r="B226"/>
      <c r="C226" s="9" t="s">
        <v>4</v>
      </c>
      <c r="D226" s="58">
        <f t="shared" si="213"/>
        <v>42197</v>
      </c>
      <c r="E226" s="29" t="s">
        <v>28</v>
      </c>
      <c r="F226" s="52"/>
      <c r="G226" s="187"/>
      <c r="H226" s="187"/>
      <c r="I226" s="187"/>
      <c r="J226" s="45">
        <f>IF(OR(E226="férié travaillé",E226="travail"),(I226-G226+IF(G226&gt;I226,1)-H226),INDEX('bases de donnée'!$E$20:'bases de donnée'!$E$32,MATCH(E226,gerald2,0)))</f>
        <v>0</v>
      </c>
      <c r="K226" s="20">
        <f>IF(SUM(J226-'bases de donnée'!E$7)&lt;0,0,SUM(J226-'bases de donnée'!E$7))</f>
        <v>0</v>
      </c>
      <c r="L226" s="11">
        <f>IF(OR(E226="férié travaillé",E226="travail"),I226-G226+IF(G226&gt;I226,1),INDEX('bases de donnée'!$E$20:'bases de donnée'!$E$32,MATCH(E226,gerald2,0)))</f>
        <v>0</v>
      </c>
      <c r="M226" s="21">
        <f>IF(SUM(L226-'bases de donnée'!E$4)&lt;0,0,SUM(L226-'bases de donnée'!E$4))</f>
        <v>0</v>
      </c>
      <c r="N226" s="155">
        <v>0</v>
      </c>
      <c r="O226" s="74">
        <f t="shared" si="211"/>
        <v>1.4395833333333334</v>
      </c>
      <c r="P226" s="61">
        <f>'bases de donnée'!E$10</f>
        <v>2</v>
      </c>
      <c r="Q226" s="120">
        <f t="shared" si="212"/>
        <v>0</v>
      </c>
      <c r="R226" s="30"/>
      <c r="S226" s="77">
        <f>IF(SUM(MOD(I226-G226,1)-IF(I226&gt;G226,MAX(0,MIN(I226,'bases de donnée'!E$16/24)-MAX('planning '!G226,7/24)),MAX(0,'bases de donnée'!E$16/24-MAX('planning '!G226,7/24))+MAX(0,MIN('planning '!I226,'bases de donnée'!E$16/24)-7/24)))&lt;0,0,SUM(MOD('planning '!I226-'planning '!G226,1)-IF('planning '!I226&gt;'planning '!G226,MAX(0,MIN('planning '!I226,'bases de donnée'!E$16/24)-MAX('planning '!G226,7/24)),MAX(0,'bases de donnée'!E$16/24-MAX('planning '!G226,7/24))+MAX(0,MIN('planning '!I226,'bases de donnée'!E$16/24)-7/24))))</f>
        <v>0</v>
      </c>
      <c r="T226" s="82"/>
      <c r="U226" s="77" t="str">
        <f t="shared" si="207"/>
        <v>00:00</v>
      </c>
      <c r="V226" s="78">
        <f>IF(SUM(IF(O226&gt;("36:00"*1),O226-("36:00"*1),0)-V224-V225)&lt;0,0,SUM(IF(O226&gt;("36:00"*1),O226-("36:00"*1),0)-V221-V222-V223-V224-V225))</f>
        <v>0</v>
      </c>
      <c r="W226" s="47"/>
      <c r="X226" s="48">
        <f t="shared" si="199"/>
        <v>0</v>
      </c>
      <c r="Y226" s="32"/>
      <c r="Z226" s="49">
        <f t="shared" si="208"/>
        <v>0</v>
      </c>
      <c r="AA226" s="48">
        <f t="shared" si="209"/>
        <v>0</v>
      </c>
      <c r="AB226" s="47"/>
      <c r="AC226" s="55"/>
      <c r="AD226" s="33">
        <f t="shared" si="210"/>
        <v>0</v>
      </c>
      <c r="AE226" s="33">
        <f t="shared" si="214"/>
        <v>0</v>
      </c>
    </row>
    <row r="227" spans="2:31" x14ac:dyDescent="0.3">
      <c r="B227"/>
      <c r="C227" s="9" t="s">
        <v>5</v>
      </c>
      <c r="D227" s="58">
        <f t="shared" si="213"/>
        <v>42198</v>
      </c>
      <c r="E227" s="29" t="s">
        <v>28</v>
      </c>
      <c r="F227" s="71"/>
      <c r="G227" s="187"/>
      <c r="H227" s="187"/>
      <c r="I227" s="187"/>
      <c r="J227" s="45">
        <f>IF(OR(E227="férié travaillé",E227="travail"),(I227-G227+IF(G227&gt;I227,1)-H227),INDEX('bases de donnée'!$E$20:'bases de donnée'!$E$32,MATCH(E227,gerald2,0)))</f>
        <v>0</v>
      </c>
      <c r="K227" s="20">
        <f>IF(SUM(J227-'bases de donnée'!E$7)&lt;0,0,SUM(J227-'bases de donnée'!E$7))</f>
        <v>0</v>
      </c>
      <c r="L227" s="11">
        <f>IF(OR(E227="férié travaillé",E227="travail"),I227-G227+IF(G227&gt;I227,1),INDEX('bases de donnée'!$E$20:'bases de donnée'!$E$32,MATCH(E227,gerald2,0)))</f>
        <v>0</v>
      </c>
      <c r="M227" s="21">
        <f>IF(SUM(L227-'bases de donnée'!E$4)&lt;0,0,SUM(L227-'bases de donnée'!E$4))</f>
        <v>0</v>
      </c>
      <c r="N227" s="155">
        <v>0</v>
      </c>
      <c r="O227" s="74">
        <f t="shared" si="211"/>
        <v>1.4395833333333334</v>
      </c>
      <c r="P227" s="33">
        <f>IF(SUM(O227-'bases de donnée'!E$10)&lt;0,0,SUM(O227-'bases de donnée'!E$10))</f>
        <v>0</v>
      </c>
      <c r="Q227" s="120">
        <f t="shared" si="212"/>
        <v>0</v>
      </c>
      <c r="R227" s="30"/>
      <c r="S227" s="77">
        <f>IF(SUM(MOD(I227-G227,1)-IF(I227&gt;G227,MAX(0,MIN(I227,'bases de donnée'!E$16/24)-MAX('planning '!G227,7/24)),MAX(0,'bases de donnée'!E$16/24-MAX('planning '!G227,7/24))+MAX(0,MIN('planning '!I227,'bases de donnée'!E$16/24)-7/24)))&lt;0,0,SUM(MOD('planning '!I227-'planning '!G227,1)-IF('planning '!I227&gt;'planning '!G227,MAX(0,MIN('planning '!I227,'bases de donnée'!E$16/24)-MAX('planning '!G227,7/24)),MAX(0,'bases de donnée'!E$16/24-MAX('planning '!G227,7/24))+MAX(0,MIN('planning '!I227,'bases de donnée'!E$16/24)-7/24))))</f>
        <v>0</v>
      </c>
      <c r="T227" s="77">
        <f>J227</f>
        <v>0</v>
      </c>
      <c r="U227" s="77" t="str">
        <f t="shared" si="207"/>
        <v>00:00</v>
      </c>
      <c r="V227" s="78">
        <f>IF(SUM(IF(O227&gt;("36:00"*1),O227-("36:00"*1),0)-V225-V226)&lt;0,0,SUM(IF(O227&gt;("36:00"*1),O227-("36:00"*1),0)-V221-V222-V223-V224-V225-V226))</f>
        <v>0</v>
      </c>
      <c r="W227" s="47"/>
      <c r="X227" s="48">
        <f t="shared" si="199"/>
        <v>0</v>
      </c>
      <c r="Y227" s="48">
        <f>IF(SUM(T227-S227)&lt;0,0,SUM(T227-S227))</f>
        <v>0</v>
      </c>
      <c r="Z227" s="56">
        <f>IF(SUM(U227-T227-S227)&lt;0,0,SUM(U227-T227-S227))</f>
        <v>0</v>
      </c>
      <c r="AA227" s="48">
        <f>IF(SUM(V227-S227-T227-U227)&lt;0,0,SUM(V227-S227-T227-U227))</f>
        <v>0</v>
      </c>
      <c r="AB227" s="47"/>
      <c r="AC227" s="57">
        <f>IF(SUM(T227-Y227)&lt;0,0,SUM(T227-Y227))</f>
        <v>0</v>
      </c>
      <c r="AD227" s="33">
        <f>IF(SUM(U227-Z227)&lt;0,0,SUM(U227-Z227))</f>
        <v>0</v>
      </c>
      <c r="AE227" s="33">
        <f t="shared" si="214"/>
        <v>0</v>
      </c>
    </row>
    <row r="228" spans="2:31" x14ac:dyDescent="0.3">
      <c r="B228"/>
      <c r="C228" s="25"/>
      <c r="D228" s="90"/>
      <c r="E228" s="90"/>
      <c r="F228" s="25"/>
      <c r="G228" s="185"/>
      <c r="H228" s="185"/>
      <c r="I228" s="185"/>
      <c r="J228" s="47"/>
      <c r="K228" s="92"/>
      <c r="L228" s="91"/>
      <c r="M228" s="91"/>
      <c r="N228" s="91"/>
      <c r="O228" s="93"/>
      <c r="P228" s="47"/>
      <c r="Q228" s="30"/>
      <c r="R228" s="30"/>
      <c r="S228" s="47"/>
      <c r="T228" s="47"/>
      <c r="U228" s="47"/>
      <c r="V228" s="93"/>
      <c r="W228" s="47"/>
      <c r="X228" s="47"/>
      <c r="Y228" s="47"/>
      <c r="Z228" s="47"/>
      <c r="AA228" s="47"/>
      <c r="AB228" s="47"/>
      <c r="AC228" s="47"/>
      <c r="AD228" s="47"/>
      <c r="AE228" s="47"/>
    </row>
    <row r="229" spans="2:31" x14ac:dyDescent="0.3">
      <c r="B229" s="14" t="s">
        <v>40</v>
      </c>
      <c r="C229" s="14" t="s">
        <v>6</v>
      </c>
      <c r="D229" s="43">
        <f>D227+1</f>
        <v>42199</v>
      </c>
      <c r="E229" s="29" t="s">
        <v>31</v>
      </c>
      <c r="F229" s="44"/>
      <c r="G229" s="187"/>
      <c r="H229" s="187"/>
      <c r="I229" s="187"/>
      <c r="J229" s="45">
        <f>IF(OR(E229="férié travaillé",E229="travail"),(I229-G229+IF(G229&gt;I229,1)-H229),INDEX('bases de donnée'!$E$20:'bases de donnée'!$E$32,MATCH(E229,gerald2,0)))</f>
        <v>0.3</v>
      </c>
      <c r="K229" s="20">
        <f>IF(SUM(J229-'bases de donnée'!E$7)&lt;0,0,SUM(J229-'bases de donnée'!E$7))</f>
        <v>0</v>
      </c>
      <c r="L229" s="11">
        <f>IF(OR(E229="férié travaillé",E229="travail"),I229-G229+IF(G229&gt;I229,1),INDEX('bases de donnée'!$E$20:'bases de donnée'!$E$32,MATCH(E229,gerald2,0)))</f>
        <v>0.3</v>
      </c>
      <c r="M229" s="21">
        <f>IF(SUM(L229-'bases de donnée'!E$4)&lt;0,0,SUM(L229-'bases de donnée'!E$4))</f>
        <v>0</v>
      </c>
      <c r="N229" s="155">
        <v>0</v>
      </c>
      <c r="O229" s="45">
        <f>J229</f>
        <v>0.3</v>
      </c>
      <c r="P229" s="122">
        <f>SUM(Q229:Q235)</f>
        <v>5</v>
      </c>
      <c r="Q229" s="120">
        <f>IF(AND(G229&lt;&gt;"",I229&lt;&gt;""),1,0+OR(N(I228)&lt;N(G228),E229="récupération",E229="congé 1 jour",E229="congé 1/2 jour ",E229="congé 5h24",E229="arrêt maladie",E229="arrêt travail",E229="férié ",E229="congé parentale",E229="congé de naissance"))</f>
        <v>1</v>
      </c>
      <c r="R229" s="30"/>
      <c r="S229" s="77">
        <f>IF(SUM(MOD(I229-G229,1)-IF(I229&gt;G229,MAX(0,MIN(I229,'bases de donnée'!E$16/24)-MAX('planning '!G229,7/24)),MAX(0,'bases de donnée'!E$16/24-MAX('planning '!G229,7/24))+MAX(0,MIN('planning '!I229,'bases de donnée'!E$16/24)-7/24)))&lt;0,0,SUM(MOD('planning '!I229-'planning '!G229,1)-IF('planning '!I229&gt;'planning '!G229,MAX(0,MIN('planning '!I229,'bases de donnée'!E$16/24)-MAX('planning '!G229,7/24)),MAX(0,'bases de donnée'!E$16/24-MAX('planning '!G229,7/24))+MAX(0,MIN('planning '!I229,'bases de donnée'!E$16/24)-7/24))))</f>
        <v>0</v>
      </c>
      <c r="T229" s="82"/>
      <c r="U229" s="79" t="str">
        <f t="shared" ref="U229:U235" si="215">IF(E229&lt;&gt;"travail",IF(E229="férié travaillé",MOD(I229-G229,1)-H229,"00:00"),"00:00")</f>
        <v>00:00</v>
      </c>
      <c r="V229" s="80"/>
      <c r="W229" s="47"/>
      <c r="X229" s="48">
        <f t="shared" si="199"/>
        <v>0</v>
      </c>
      <c r="Y229" s="31"/>
      <c r="Z229" s="49">
        <f t="shared" ref="Z229:Z234" si="216">IF(SUM(U229-X229)&lt;0,0,SUM(U229-X229))</f>
        <v>0</v>
      </c>
      <c r="AA229" s="48">
        <f t="shared" ref="AA229:AA234" si="217">IF(SUM(V229-X229-Z229)&lt;0,0,SUM(V229-X229-Z229))</f>
        <v>0</v>
      </c>
      <c r="AB229" s="47"/>
      <c r="AC229" s="50"/>
      <c r="AD229" s="33">
        <f t="shared" ref="AD229:AD234" si="218">IF(SUM(U229-Z229)&lt;0,0,SUM(U229-Z229))</f>
        <v>0</v>
      </c>
      <c r="AE229" s="33">
        <f t="shared" si="214"/>
        <v>0</v>
      </c>
    </row>
    <row r="230" spans="2:31" x14ac:dyDescent="0.3">
      <c r="B230" s="51">
        <f>B222+1</f>
        <v>28</v>
      </c>
      <c r="C230" s="14" t="s">
        <v>7</v>
      </c>
      <c r="D230" s="43">
        <f>D229+1</f>
        <v>42200</v>
      </c>
      <c r="E230" s="29" t="s">
        <v>31</v>
      </c>
      <c r="F230" s="52"/>
      <c r="G230" s="187"/>
      <c r="H230" s="187"/>
      <c r="I230" s="187"/>
      <c r="J230" s="45">
        <f>IF(OR(E230="férié travaillé",E230="travail"),(I230-G230+IF(G230&gt;I230,1)-H230),INDEX('bases de donnée'!$E$20:'bases de donnée'!$E$32,MATCH(E230,gerald2,0)))</f>
        <v>0.3</v>
      </c>
      <c r="K230" s="20">
        <f>IF(SUM(J230-'bases de donnée'!E$7)&lt;0,0,SUM(J230-'bases de donnée'!E$7))</f>
        <v>0</v>
      </c>
      <c r="L230" s="11">
        <f>IF(OR(E230="férié travaillé",E230="travail"),I230-G230+IF(G230&gt;I230,1),INDEX('bases de donnée'!$E$20:'bases de donnée'!$E$32,MATCH(E230,gerald2,0)))</f>
        <v>0.3</v>
      </c>
      <c r="M230" s="21">
        <f>IF(SUM(L230-'bases de donnée'!E$4)&lt;0,0,SUM(L230-'bases de donnée'!E$4))</f>
        <v>0</v>
      </c>
      <c r="N230" s="155">
        <v>0</v>
      </c>
      <c r="O230" s="73">
        <f t="shared" ref="O230:O235" si="219">O229+J230</f>
        <v>0.6</v>
      </c>
      <c r="P230" s="121">
        <f>IF(SUM(P229-'bases de donnée'!E$6)&lt;0,0,SUM(P229-'bases de donnée'!E$6))</f>
        <v>0</v>
      </c>
      <c r="Q230" s="120">
        <f t="shared" ref="Q230:Q235" si="220">IF(AND(G230&lt;&gt;"",I230&lt;&gt;""),1,0+OR(N(I229)&lt;N(G229),E230="récupération",E230="congé 1 jour",E230="congé 1/2 jour ",E230="congé 5h24",E230="arrêt maladie",E230="arrêt travail",E230="férié ",E230="congé parentale",E230="congé de naissance"))</f>
        <v>1</v>
      </c>
      <c r="R230" s="30"/>
      <c r="S230" s="77">
        <f>IF(SUM(MOD(I230-G230,1)-IF(I230&gt;G230,MAX(0,MIN(I230,'bases de donnée'!E$16/24)-MAX('planning '!G230,7/24)),MAX(0,'bases de donnée'!E$16/24-MAX('planning '!G230,7/24))+MAX(0,MIN('planning '!I230,'bases de donnée'!E$16/24)-7/24)))&lt;0,0,SUM(MOD('planning '!I230-'planning '!G230,1)-IF('planning '!I230&gt;'planning '!G230,MAX(0,MIN('planning '!I230,'bases de donnée'!E$16/24)-MAX('planning '!G230,7/24)),MAX(0,'bases de donnée'!E$16/24-MAX('planning '!G230,7/24))+MAX(0,MIN('planning '!I230,'bases de donnée'!E$16/24)-7/24))))</f>
        <v>0</v>
      </c>
      <c r="T230" s="82"/>
      <c r="U230" s="77" t="str">
        <f t="shared" si="215"/>
        <v>00:00</v>
      </c>
      <c r="V230" s="78">
        <f>IF(SUM(IF(O230&gt;('bases de donnée'!E$9*1),O230-('bases de donnée'!E$9*1),0)-V229)&lt;0,0,SUM(IF(O230&gt;('bases de donnée'!E$9*1),O230-('bases de donnée'!E$9*1),0)-V229))</f>
        <v>0</v>
      </c>
      <c r="W230" s="47"/>
      <c r="X230" s="48">
        <f t="shared" si="199"/>
        <v>0</v>
      </c>
      <c r="Y230" s="42"/>
      <c r="Z230" s="49">
        <f t="shared" si="216"/>
        <v>0</v>
      </c>
      <c r="AA230" s="48">
        <f t="shared" si="217"/>
        <v>0</v>
      </c>
      <c r="AB230" s="47"/>
      <c r="AC230" s="54"/>
      <c r="AD230" s="33">
        <f t="shared" si="218"/>
        <v>0</v>
      </c>
      <c r="AE230" s="33">
        <f t="shared" si="214"/>
        <v>0</v>
      </c>
    </row>
    <row r="231" spans="2:31" x14ac:dyDescent="0.3">
      <c r="B231"/>
      <c r="C231" s="14" t="s">
        <v>8</v>
      </c>
      <c r="D231" s="43">
        <f t="shared" ref="D231:D303" si="221">D230+1</f>
        <v>42201</v>
      </c>
      <c r="E231" s="29" t="s">
        <v>31</v>
      </c>
      <c r="F231" s="52"/>
      <c r="G231" s="187"/>
      <c r="H231" s="187"/>
      <c r="I231" s="187"/>
      <c r="J231" s="45">
        <f>IF(OR(E231="férié travaillé",E231="travail"),(I231-G231+IF(G231&gt;I231,1)-H231),INDEX('bases de donnée'!$E$20:'bases de donnée'!$E$32,MATCH(E231,gerald2,0)))</f>
        <v>0.3</v>
      </c>
      <c r="K231" s="20">
        <f>IF(SUM(J231-'bases de donnée'!E$7)&lt;0,0,SUM(J231-'bases de donnée'!E$7))</f>
        <v>0</v>
      </c>
      <c r="L231" s="11">
        <f>IF(OR(E231="férié travaillé",E231="travail"),I231-G231+IF(G231&gt;I231,1),INDEX('bases de donnée'!$E$20:'bases de donnée'!$E$32,MATCH(E231,gerald2,0)))</f>
        <v>0.3</v>
      </c>
      <c r="M231" s="21">
        <f>IF(SUM(L231-'bases de donnée'!E$4)&lt;0,0,SUM(L231-'bases de donnée'!E$4))</f>
        <v>0</v>
      </c>
      <c r="N231" s="155">
        <v>0</v>
      </c>
      <c r="O231" s="73">
        <f t="shared" si="219"/>
        <v>0.89999999999999991</v>
      </c>
      <c r="P231" s="34" t="s">
        <v>46</v>
      </c>
      <c r="Q231" s="120">
        <f t="shared" si="220"/>
        <v>1</v>
      </c>
      <c r="R231" s="30"/>
      <c r="S231" s="77">
        <f>IF(SUM(MOD(I231-G231,1)-IF(I231&gt;G231,MAX(0,MIN(I231,'bases de donnée'!E$16/24)-MAX('planning '!G231,7/24)),MAX(0,'bases de donnée'!E$16/24-MAX('planning '!G231,7/24))+MAX(0,MIN('planning '!I231,'bases de donnée'!E$16/24)-7/24)))&lt;0,0,SUM(MOD('planning '!I231-'planning '!G231,1)-IF('planning '!I231&gt;'planning '!G231,MAX(0,MIN('planning '!I231,'bases de donnée'!E$16/24)-MAX('planning '!G231,7/24)),MAX(0,'bases de donnée'!E$16/24-MAX('planning '!G231,7/24))+MAX(0,MIN('planning '!I231,'bases de donnée'!E$16/24)-7/24))))</f>
        <v>0</v>
      </c>
      <c r="T231" s="82"/>
      <c r="U231" s="77" t="str">
        <f t="shared" si="215"/>
        <v>00:00</v>
      </c>
      <c r="V231" s="78">
        <f>IF(SUM(IF(O231&gt;("36:00"*1),O231-("36:00"*1),0)-V229-V230)&lt;0,0,SUM(IF(O231&gt;("36:00"*1),O231-("36:00"*1),0)-V229-V230))</f>
        <v>0</v>
      </c>
      <c r="W231" s="47"/>
      <c r="X231" s="48">
        <f t="shared" si="199"/>
        <v>0</v>
      </c>
      <c r="Y231" s="42"/>
      <c r="Z231" s="49">
        <f t="shared" si="216"/>
        <v>0</v>
      </c>
      <c r="AA231" s="48">
        <f t="shared" si="217"/>
        <v>0</v>
      </c>
      <c r="AB231" s="47"/>
      <c r="AC231" s="54"/>
      <c r="AD231" s="33">
        <f t="shared" si="218"/>
        <v>0</v>
      </c>
      <c r="AE231" s="33">
        <f t="shared" si="214"/>
        <v>0</v>
      </c>
    </row>
    <row r="232" spans="2:31" x14ac:dyDescent="0.3">
      <c r="B232"/>
      <c r="C232" s="14" t="s">
        <v>9</v>
      </c>
      <c r="D232" s="43">
        <f t="shared" si="221"/>
        <v>42202</v>
      </c>
      <c r="E232" s="29" t="s">
        <v>31</v>
      </c>
      <c r="F232" s="52"/>
      <c r="G232" s="187"/>
      <c r="H232" s="187"/>
      <c r="I232" s="187"/>
      <c r="J232" s="45">
        <f>IF(OR(E232="férié travaillé",E232="travail"),(I232-G232+IF(G232&gt;I232,1)-H232),INDEX('bases de donnée'!$E$20:'bases de donnée'!$E$32,MATCH(E232,gerald2,0)))</f>
        <v>0.3</v>
      </c>
      <c r="K232" s="20">
        <f>IF(SUM(J232-'bases de donnée'!E$7)&lt;0,0,SUM(J232-'bases de donnée'!E$7))</f>
        <v>0</v>
      </c>
      <c r="L232" s="11">
        <f>IF(OR(E232="férié travaillé",E232="travail"),I232-G232+IF(G232&gt;I232,1),INDEX('bases de donnée'!$E$20:'bases de donnée'!$E$32,MATCH(E232,gerald2,0)))</f>
        <v>0.3</v>
      </c>
      <c r="M232" s="21">
        <f>IF(SUM(L232-'bases de donnée'!E$4)&lt;0,0,SUM(L232-'bases de donnée'!E$4))</f>
        <v>0</v>
      </c>
      <c r="N232" s="155">
        <v>0</v>
      </c>
      <c r="O232" s="73">
        <f t="shared" si="219"/>
        <v>1.2</v>
      </c>
      <c r="P232" s="86">
        <f>O235</f>
        <v>1.5</v>
      </c>
      <c r="Q232" s="120">
        <f t="shared" si="220"/>
        <v>1</v>
      </c>
      <c r="R232" s="30"/>
      <c r="S232" s="77">
        <f>IF(SUM(MOD(I232-G232,1)-IF(I232&gt;G232,MAX(0,MIN(I232,'bases de donnée'!E$16/24)-MAX('planning '!G232,7/24)),MAX(0,'bases de donnée'!E$16/24-MAX('planning '!G232,7/24))+MAX(0,MIN('planning '!I232,'bases de donnée'!E$16/24)-7/24)))&lt;0,0,SUM(MOD('planning '!I232-'planning '!G232,1)-IF('planning '!I232&gt;'planning '!G232,MAX(0,MIN('planning '!I232,'bases de donnée'!E$16/24)-MAX('planning '!G232,7/24)),MAX(0,'bases de donnée'!E$16/24-MAX('planning '!G232,7/24))+MAX(0,MIN('planning '!I232,'bases de donnée'!E$16/24)-7/24))))</f>
        <v>0</v>
      </c>
      <c r="T232" s="82"/>
      <c r="U232" s="77" t="str">
        <f t="shared" si="215"/>
        <v>00:00</v>
      </c>
      <c r="V232" s="78">
        <f>IF(SUM(IF(O232&gt;("36:00"*1),O232-("36:00"*1),0)-V230-V231)&lt;0,0,SUM(IF(O232&gt;("36:00"*1),O232-("36:00"*1),0)-V229-V230-V231))</f>
        <v>0</v>
      </c>
      <c r="W232" s="47"/>
      <c r="X232" s="48">
        <f t="shared" si="199"/>
        <v>0</v>
      </c>
      <c r="Y232" s="42"/>
      <c r="Z232" s="49">
        <f t="shared" si="216"/>
        <v>0</v>
      </c>
      <c r="AA232" s="48">
        <f t="shared" si="217"/>
        <v>0</v>
      </c>
      <c r="AB232" s="47"/>
      <c r="AC232" s="54"/>
      <c r="AD232" s="33">
        <f t="shared" si="218"/>
        <v>0</v>
      </c>
      <c r="AE232" s="33">
        <f t="shared" si="214"/>
        <v>0</v>
      </c>
    </row>
    <row r="233" spans="2:31" x14ac:dyDescent="0.3">
      <c r="B233"/>
      <c r="C233" s="14" t="s">
        <v>3</v>
      </c>
      <c r="D233" s="43">
        <f t="shared" si="221"/>
        <v>42203</v>
      </c>
      <c r="E233" s="29" t="s">
        <v>31</v>
      </c>
      <c r="F233" s="52"/>
      <c r="G233" s="187"/>
      <c r="H233" s="187"/>
      <c r="I233" s="187"/>
      <c r="J233" s="45">
        <f>IF(OR(E233="férié travaillé",E233="travail"),(I233-G233+IF(G233&gt;I233,1)-H233),INDEX('bases de donnée'!$E$20:'bases de donnée'!$E$32,MATCH(E233,gerald2,0)))</f>
        <v>0.3</v>
      </c>
      <c r="K233" s="20">
        <f>IF(SUM(J233-'bases de donnée'!E$7)&lt;0,0,SUM(J233-'bases de donnée'!E$7))</f>
        <v>0</v>
      </c>
      <c r="L233" s="11">
        <f>IF(OR(E233="férié travaillé",E233="travail"),I233-G233+IF(G233&gt;I233,1),INDEX('bases de donnée'!$E$20:'bases de donnée'!$E$32,MATCH(E233,gerald2,0)))</f>
        <v>0.3</v>
      </c>
      <c r="M233" s="21">
        <f>IF(SUM(L233-'bases de donnée'!E$4)&lt;0,0,SUM(L233-'bases de donnée'!E$4))</f>
        <v>0</v>
      </c>
      <c r="N233" s="155">
        <v>0</v>
      </c>
      <c r="O233" s="73">
        <f t="shared" si="219"/>
        <v>1.5</v>
      </c>
      <c r="P233" s="12" t="s">
        <v>48</v>
      </c>
      <c r="Q233" s="120">
        <f t="shared" si="220"/>
        <v>1</v>
      </c>
      <c r="R233" s="30"/>
      <c r="S233" s="77">
        <f>IF(SUM(MOD(I233-G233,1)-IF(I233&gt;G233,MAX(0,MIN(I233,'bases de donnée'!E$16/24)-MAX('planning '!G233,7/24)),MAX(0,'bases de donnée'!E$16/24-MAX('planning '!G233,7/24))+MAX(0,MIN('planning '!I233,'bases de donnée'!E$16/24)-7/24)))&lt;0,0,SUM(MOD('planning '!I233-'planning '!G233,1)-IF('planning '!I233&gt;'planning '!G233,MAX(0,MIN('planning '!I233,'bases de donnée'!E$16/24)-MAX('planning '!G233,7/24)),MAX(0,'bases de donnée'!E$16/24-MAX('planning '!G233,7/24))+MAX(0,MIN('planning '!I233,'bases de donnée'!E$16/24)-7/24))))</f>
        <v>0</v>
      </c>
      <c r="T233" s="82"/>
      <c r="U233" s="77" t="str">
        <f t="shared" si="215"/>
        <v>00:00</v>
      </c>
      <c r="V233" s="78">
        <f>IF(SUM(IF(O233&gt;("36:00"*1),O233-("36:00"*1),0)-V231-V232)&lt;0,0,SUM(IF(O233&gt;("36:00"*1),O233-("36:00"*1),0)-V229-V230-V231-V232))</f>
        <v>0</v>
      </c>
      <c r="W233" s="47"/>
      <c r="X233" s="48">
        <f t="shared" si="199"/>
        <v>0</v>
      </c>
      <c r="Y233" s="42"/>
      <c r="Z233" s="49">
        <f t="shared" si="216"/>
        <v>0</v>
      </c>
      <c r="AA233" s="48">
        <f t="shared" si="217"/>
        <v>0</v>
      </c>
      <c r="AB233" s="47"/>
      <c r="AC233" s="54"/>
      <c r="AD233" s="33">
        <f t="shared" si="218"/>
        <v>0</v>
      </c>
      <c r="AE233" s="33">
        <f t="shared" si="214"/>
        <v>0</v>
      </c>
    </row>
    <row r="234" spans="2:31" x14ac:dyDescent="0.3">
      <c r="B234"/>
      <c r="C234" s="14" t="s">
        <v>4</v>
      </c>
      <c r="D234" s="43">
        <f t="shared" si="221"/>
        <v>42204</v>
      </c>
      <c r="E234" s="29" t="s">
        <v>28</v>
      </c>
      <c r="F234" s="52"/>
      <c r="G234" s="187"/>
      <c r="H234" s="187"/>
      <c r="I234" s="187"/>
      <c r="J234" s="45">
        <f>IF(OR(E234="férié travaillé",E234="travail"),(I234-G234+IF(G234&gt;I234,1)-H234),INDEX('bases de donnée'!$E$20:'bases de donnée'!$E$32,MATCH(E234,gerald2,0)))</f>
        <v>0</v>
      </c>
      <c r="K234" s="20">
        <f>IF(SUM(J234-'bases de donnée'!E$7)&lt;0,0,SUM(J234-'bases de donnée'!E$7))</f>
        <v>0</v>
      </c>
      <c r="L234" s="11">
        <f>IF(OR(E234="férié travaillé",E234="travail"),I234-G234+IF(G234&gt;I234,1),INDEX('bases de donnée'!$E$20:'bases de donnée'!$E$32,MATCH(E234,gerald2,0)))</f>
        <v>0</v>
      </c>
      <c r="M234" s="21">
        <f>IF(SUM(L234-'bases de donnée'!E$4)&lt;0,0,SUM(L234-'bases de donnée'!E$4))</f>
        <v>0</v>
      </c>
      <c r="N234" s="155">
        <v>0</v>
      </c>
      <c r="O234" s="73">
        <f t="shared" si="219"/>
        <v>1.5</v>
      </c>
      <c r="P234" s="53">
        <f>'bases de donnée'!E$10</f>
        <v>2</v>
      </c>
      <c r="Q234" s="120">
        <f t="shared" si="220"/>
        <v>0</v>
      </c>
      <c r="R234" s="30"/>
      <c r="S234" s="77">
        <f>IF(SUM(MOD(I234-G234,1)-IF(I234&gt;G234,MAX(0,MIN(I234,'bases de donnée'!E$16/24)-MAX('planning '!G234,7/24)),MAX(0,'bases de donnée'!E$16/24-MAX('planning '!G234,7/24))+MAX(0,MIN('planning '!I234,'bases de donnée'!E$16/24)-7/24)))&lt;0,0,SUM(MOD('planning '!I234-'planning '!G234,1)-IF('planning '!I234&gt;'planning '!G234,MAX(0,MIN('planning '!I234,'bases de donnée'!E$16/24)-MAX('planning '!G234,7/24)),MAX(0,'bases de donnée'!E$16/24-MAX('planning '!G234,7/24))+MAX(0,MIN('planning '!I234,'bases de donnée'!E$16/24)-7/24))))</f>
        <v>0</v>
      </c>
      <c r="T234" s="82"/>
      <c r="U234" s="77" t="str">
        <f t="shared" si="215"/>
        <v>00:00</v>
      </c>
      <c r="V234" s="78">
        <f>IF(SUM(IF(O234&gt;("36:00"*1),O234-("36:00"*1),0)-V232-V233)&lt;0,0,SUM(IF(O234&gt;("36:00"*1),O234-("36:00"*1),0)-V229-V230-V231-V232-V233))</f>
        <v>0</v>
      </c>
      <c r="W234" s="47"/>
      <c r="X234" s="48">
        <f t="shared" si="199"/>
        <v>0</v>
      </c>
      <c r="Y234" s="32"/>
      <c r="Z234" s="49">
        <f t="shared" si="216"/>
        <v>0</v>
      </c>
      <c r="AA234" s="48">
        <f t="shared" si="217"/>
        <v>0</v>
      </c>
      <c r="AB234" s="47"/>
      <c r="AC234" s="55"/>
      <c r="AD234" s="33">
        <f t="shared" si="218"/>
        <v>0</v>
      </c>
      <c r="AE234" s="33">
        <f t="shared" si="214"/>
        <v>0</v>
      </c>
    </row>
    <row r="235" spans="2:31" x14ac:dyDescent="0.3">
      <c r="B235"/>
      <c r="C235" s="14" t="s">
        <v>5</v>
      </c>
      <c r="D235" s="43">
        <f t="shared" si="221"/>
        <v>42205</v>
      </c>
      <c r="E235" s="29" t="s">
        <v>28</v>
      </c>
      <c r="F235" s="71"/>
      <c r="G235" s="187"/>
      <c r="H235" s="187"/>
      <c r="I235" s="187"/>
      <c r="J235" s="45">
        <f>IF(OR(E235="férié travaillé",E235="travail"),(I235-G235+IF(G235&gt;I235,1)-H235),INDEX('bases de donnée'!$E$20:'bases de donnée'!$E$32,MATCH(E235,gerald2,0)))</f>
        <v>0</v>
      </c>
      <c r="K235" s="20">
        <f>IF(SUM(J235-'bases de donnée'!E$7)&lt;0,0,SUM(J235-'bases de donnée'!E$7))</f>
        <v>0</v>
      </c>
      <c r="L235" s="11">
        <f>IF(OR(E235="férié travaillé",E235="travail"),I235-G235+IF(G235&gt;I235,1),INDEX('bases de donnée'!$E$20:'bases de donnée'!$E$32,MATCH(E235,gerald2,0)))</f>
        <v>0</v>
      </c>
      <c r="M235" s="21">
        <f>IF(SUM(L235-'bases de donnée'!E$4)&lt;0,0,SUM(L235-'bases de donnée'!E$4))</f>
        <v>0</v>
      </c>
      <c r="N235" s="155">
        <v>0</v>
      </c>
      <c r="O235" s="73">
        <f t="shared" si="219"/>
        <v>1.5</v>
      </c>
      <c r="P235" s="33">
        <f>IF(SUM(O235-'bases de donnée'!E$10)&lt;0,0,SUM(O235-'bases de donnée'!E$10))</f>
        <v>0</v>
      </c>
      <c r="Q235" s="120">
        <f t="shared" si="220"/>
        <v>0</v>
      </c>
      <c r="R235" s="30"/>
      <c r="S235" s="77">
        <f>IF(SUM(MOD(I235-G235,1)-IF(I235&gt;G235,MAX(0,MIN(I235,'bases de donnée'!E$16/24)-MAX('planning '!G235,7/24)),MAX(0,'bases de donnée'!E$16/24-MAX('planning '!G235,7/24))+MAX(0,MIN('planning '!I235,'bases de donnée'!E$16/24)-7/24)))&lt;0,0,SUM(MOD('planning '!I235-'planning '!G235,1)-IF('planning '!I235&gt;'planning '!G235,MAX(0,MIN('planning '!I235,'bases de donnée'!E$16/24)-MAX('planning '!G235,7/24)),MAX(0,'bases de donnée'!E$16/24-MAX('planning '!G235,7/24))+MAX(0,MIN('planning '!I235,'bases de donnée'!E$16/24)-7/24))))</f>
        <v>0</v>
      </c>
      <c r="T235" s="85">
        <f>J235</f>
        <v>0</v>
      </c>
      <c r="U235" s="85" t="str">
        <f t="shared" si="215"/>
        <v>00:00</v>
      </c>
      <c r="V235" s="89">
        <f>IF(SUM(IF(O235&gt;("36:00"*1),O235-("36:00"*1),0)-V233-V234)&lt;0,0,SUM(IF(O235&gt;("36:00"*1),O235-("36:00"*1),0)-V229-V230-V231-V232-V233-V234))</f>
        <v>0</v>
      </c>
      <c r="W235" s="47"/>
      <c r="X235" s="48">
        <f t="shared" si="199"/>
        <v>0</v>
      </c>
      <c r="Y235" s="48">
        <f>IF(SUM(T235-S235)&lt;0,0,SUM(T235-S235))</f>
        <v>0</v>
      </c>
      <c r="Z235" s="56">
        <f>IF(SUM(U235-T235-S235)&lt;0,0,SUM(U235-T235-S235))</f>
        <v>0</v>
      </c>
      <c r="AA235" s="48">
        <f>IF(SUM(V235-S235-T235-U235)&lt;0,0,SUM(V235-S235-T235-U235))</f>
        <v>0</v>
      </c>
      <c r="AB235" s="47"/>
      <c r="AC235" s="57">
        <f>IF(SUM(T235-Y235)&lt;0,0,SUM(T235-Y235))</f>
        <v>0</v>
      </c>
      <c r="AD235" s="33">
        <f>IF(SUM(U235-Z235)&lt;0,0,SUM(U235-Z235))</f>
        <v>0</v>
      </c>
      <c r="AE235" s="33">
        <f t="shared" si="214"/>
        <v>0</v>
      </c>
    </row>
    <row r="236" spans="2:31" x14ac:dyDescent="0.3">
      <c r="B236"/>
      <c r="C236" s="25"/>
      <c r="D236" s="90"/>
      <c r="E236" s="90"/>
      <c r="F236" s="25"/>
      <c r="G236" s="185"/>
      <c r="H236" s="185"/>
      <c r="I236" s="185"/>
      <c r="J236" s="47"/>
      <c r="K236" s="92"/>
      <c r="L236" s="91"/>
      <c r="M236" s="91"/>
      <c r="N236" s="91"/>
      <c r="O236" s="93"/>
      <c r="P236" s="47"/>
      <c r="Q236" s="30"/>
      <c r="R236" s="30"/>
      <c r="S236" s="47"/>
      <c r="T236" s="47"/>
      <c r="U236" s="47"/>
      <c r="V236" s="93"/>
      <c r="W236" s="47"/>
      <c r="X236" s="47"/>
      <c r="Y236" s="47"/>
      <c r="Z236" s="47"/>
      <c r="AA236" s="47"/>
      <c r="AB236" s="47"/>
      <c r="AC236" s="47"/>
      <c r="AD236" s="47"/>
      <c r="AE236" s="47"/>
    </row>
    <row r="237" spans="2:31" x14ac:dyDescent="0.3">
      <c r="B237" s="105" t="s">
        <v>40</v>
      </c>
      <c r="C237" s="9" t="s">
        <v>6</v>
      </c>
      <c r="D237" s="58">
        <f>D235+1</f>
        <v>42206</v>
      </c>
      <c r="E237" s="29" t="s">
        <v>31</v>
      </c>
      <c r="F237" s="44"/>
      <c r="G237" s="187"/>
      <c r="H237" s="187"/>
      <c r="I237" s="187"/>
      <c r="J237" s="45">
        <f>IF(OR(E237="férié travaillé",E237="travail"),(I237-G237+IF(G237&gt;I237,1)-H237),INDEX('bases de donnée'!$E$20:'bases de donnée'!$E$32,MATCH(E237,gerald2,0)))</f>
        <v>0.3</v>
      </c>
      <c r="K237" s="20">
        <f>IF(SUM(J237-'bases de donnée'!E$7)&lt;0,0,SUM(J237-'bases de donnée'!E$7))</f>
        <v>0</v>
      </c>
      <c r="L237" s="11">
        <f>IF(OR(E237="férié travaillé",E237="travail"),I237-G237+IF(G237&gt;I237,1),INDEX('bases de donnée'!$E$20:'bases de donnée'!$E$32,MATCH(E237,gerald2,0)))</f>
        <v>0.3</v>
      </c>
      <c r="M237" s="21">
        <f>IF(SUM(L237-'bases de donnée'!E$4)&lt;0,0,SUM(L237-'bases de donnée'!E$4))</f>
        <v>0</v>
      </c>
      <c r="N237" s="155">
        <v>0</v>
      </c>
      <c r="O237" s="59">
        <f t="shared" ref="O237" si="222">J237</f>
        <v>0.3</v>
      </c>
      <c r="P237" s="122">
        <f>SUM(Q237:Q243)</f>
        <v>5</v>
      </c>
      <c r="Q237" s="120">
        <f>IF(AND(G237&lt;&gt;"",I237&lt;&gt;""),1,0+OR(N(I236)&lt;N(G236),E237="récupération",E237="congé 1 jour",E237="congé 1/2 jour ",E237="congé 5h24",E237="arrêt maladie",E237="arrêt travail",E237="férié ",E237="congé parentale",E237="congé de naissance"))</f>
        <v>1</v>
      </c>
      <c r="R237" s="30"/>
      <c r="S237" s="77">
        <f>IF(SUM(MOD(I237-G237,1)-IF(I237&gt;G237,MAX(0,MIN(I237,'bases de donnée'!E$16/24)-MAX('planning '!G237,7/24)),MAX(0,'bases de donnée'!E$16/24-MAX('planning '!G237,7/24))+MAX(0,MIN('planning '!I237,'bases de donnée'!E$16/24)-7/24)))&lt;0,0,SUM(MOD('planning '!I237-'planning '!G237,1)-IF('planning '!I237&gt;'planning '!G237,MAX(0,MIN('planning '!I237,'bases de donnée'!E$16/24)-MAX('planning '!G237,7/24)),MAX(0,'bases de donnée'!E$16/24-MAX('planning '!G237,7/24))+MAX(0,MIN('planning '!I237,'bases de donnée'!E$16/24)-7/24))))</f>
        <v>0</v>
      </c>
      <c r="T237" s="50"/>
      <c r="U237" s="77" t="str">
        <f t="shared" ref="U237:U243" si="223">IF(E237&lt;&gt;"travail",IF(E237="férié travaillé",MOD(I237-G237,1)-H237,"00:00"),"00:00")</f>
        <v>00:00</v>
      </c>
      <c r="V237" s="78"/>
      <c r="W237" s="47"/>
      <c r="X237" s="48">
        <f t="shared" si="199"/>
        <v>0</v>
      </c>
      <c r="Y237" s="31"/>
      <c r="Z237" s="49">
        <f t="shared" ref="Z237:Z242" si="224">IF(SUM(U237-X237)&lt;0,0,SUM(U237-X237))</f>
        <v>0</v>
      </c>
      <c r="AA237" s="48">
        <f t="shared" ref="AA237:AA242" si="225">IF(SUM(V237-X237-Z237)&lt;0,0,SUM(V237-X237-Z237))</f>
        <v>0</v>
      </c>
      <c r="AB237" s="47"/>
      <c r="AC237" s="50"/>
      <c r="AD237" s="33">
        <f t="shared" ref="AD237:AD251" si="226">IF(SUM(U237-Z237)&lt;0,0,SUM(U237-Z237))</f>
        <v>0</v>
      </c>
      <c r="AE237" s="33">
        <f t="shared" si="214"/>
        <v>0</v>
      </c>
    </row>
    <row r="238" spans="2:31" x14ac:dyDescent="0.3">
      <c r="B238" s="106">
        <f t="shared" ref="B238" si="227">B230+1</f>
        <v>29</v>
      </c>
      <c r="C238" s="9" t="s">
        <v>7</v>
      </c>
      <c r="D238" s="58">
        <f t="shared" si="221"/>
        <v>42207</v>
      </c>
      <c r="E238" s="29" t="s">
        <v>31</v>
      </c>
      <c r="F238" s="52"/>
      <c r="G238" s="187"/>
      <c r="H238" s="187"/>
      <c r="I238" s="187"/>
      <c r="J238" s="45">
        <f>IF(OR(E238="férié travaillé",E238="travail"),(I238-G238+IF(G238&gt;I238,1)-H238),INDEX('bases de donnée'!$E$20:'bases de donnée'!$E$32,MATCH(E238,gerald2,0)))</f>
        <v>0.3</v>
      </c>
      <c r="K238" s="20">
        <f>IF(SUM(J238-'bases de donnée'!E$7)&lt;0,0,SUM(J238-'bases de donnée'!E$7))</f>
        <v>0</v>
      </c>
      <c r="L238" s="11">
        <f>IF(OR(E238="férié travaillé",E238="travail"),I238-G238+IF(G238&gt;I238,1),INDEX('bases de donnée'!$E$20:'bases de donnée'!$E$32,MATCH(E238,gerald2,0)))</f>
        <v>0.3</v>
      </c>
      <c r="M238" s="21">
        <f>IF(SUM(L238-'bases de donnée'!E$4)&lt;0,0,SUM(L238-'bases de donnée'!E$4))</f>
        <v>0</v>
      </c>
      <c r="N238" s="155">
        <v>0</v>
      </c>
      <c r="O238" s="74">
        <f t="shared" ref="O238:O243" si="228">O237+J238</f>
        <v>0.6</v>
      </c>
      <c r="P238" s="121">
        <f>IF(SUM(P237-'bases de donnée'!E$6)&lt;0,0,SUM(P237-'bases de donnée'!E$6))</f>
        <v>0</v>
      </c>
      <c r="Q238" s="120">
        <f t="shared" ref="Q238:Q243" si="229">IF(AND(G238&lt;&gt;"",I238&lt;&gt;""),1,0+OR(N(I237)&lt;N(G237),E238="récupération",E238="congé 1 jour",E238="congé 1/2 jour ",E238="congé 5h24",E238="arrêt maladie",E238="arrêt travail",E238="férié ",E238="congé parentale",E238="congé de naissance"))</f>
        <v>1</v>
      </c>
      <c r="R238" s="30"/>
      <c r="S238" s="77">
        <f>IF(SUM(MOD(I238-G238,1)-IF(I238&gt;G238,MAX(0,MIN(I238,'bases de donnée'!E$16/24)-MAX('planning '!G238,7/24)),MAX(0,'bases de donnée'!E$16/24-MAX('planning '!G238,7/24))+MAX(0,MIN('planning '!I238,'bases de donnée'!E$16/24)-7/24)))&lt;0,0,SUM(MOD('planning '!I238-'planning '!G238,1)-IF('planning '!I238&gt;'planning '!G238,MAX(0,MIN('planning '!I238,'bases de donnée'!E$16/24)-MAX('planning '!G238,7/24)),MAX(0,'bases de donnée'!E$16/24-MAX('planning '!G238,7/24))+MAX(0,MIN('planning '!I238,'bases de donnée'!E$16/24)-7/24))))</f>
        <v>0</v>
      </c>
      <c r="T238" s="54"/>
      <c r="U238" s="77" t="str">
        <f t="shared" si="223"/>
        <v>00:00</v>
      </c>
      <c r="V238" s="78">
        <f>IF(SUM(IF(O238&gt;('bases de donnée'!E$9*1),O238-('bases de donnée'!E$9*1),0)-V237)&lt;0,0,SUM(IF(O238&gt;('bases de donnée'!E$9*1),O238-('bases de donnée'!E$9*1),0)-V237))</f>
        <v>0</v>
      </c>
      <c r="W238" s="47"/>
      <c r="X238" s="48">
        <f t="shared" si="199"/>
        <v>0</v>
      </c>
      <c r="Y238" s="42"/>
      <c r="Z238" s="49">
        <f t="shared" si="224"/>
        <v>0</v>
      </c>
      <c r="AA238" s="48">
        <f t="shared" si="225"/>
        <v>0</v>
      </c>
      <c r="AB238" s="47"/>
      <c r="AC238" s="54"/>
      <c r="AD238" s="33">
        <f t="shared" si="226"/>
        <v>0</v>
      </c>
      <c r="AE238" s="33">
        <f t="shared" si="214"/>
        <v>0</v>
      </c>
    </row>
    <row r="239" spans="2:31" x14ac:dyDescent="0.3">
      <c r="B239"/>
      <c r="C239" s="9" t="s">
        <v>8</v>
      </c>
      <c r="D239" s="58">
        <f t="shared" si="221"/>
        <v>42208</v>
      </c>
      <c r="E239" s="29" t="s">
        <v>31</v>
      </c>
      <c r="F239" s="52"/>
      <c r="G239" s="187"/>
      <c r="H239" s="187"/>
      <c r="I239" s="187"/>
      <c r="J239" s="45">
        <f>IF(OR(E239="férié travaillé",E239="travail"),(I239-G239+IF(G239&gt;I239,1)-H239),INDEX('bases de donnée'!$E$20:'bases de donnée'!$E$32,MATCH(E239,gerald2,0)))</f>
        <v>0.3</v>
      </c>
      <c r="K239" s="20">
        <f>IF(SUM(J239-'bases de donnée'!E$7)&lt;0,0,SUM(J239-'bases de donnée'!E$7))</f>
        <v>0</v>
      </c>
      <c r="L239" s="11">
        <f>IF(OR(E239="férié travaillé",E239="travail"),I239-G239+IF(G239&gt;I239,1),INDEX('bases de donnée'!$E$20:'bases de donnée'!$E$32,MATCH(E239,gerald2,0)))</f>
        <v>0.3</v>
      </c>
      <c r="M239" s="21">
        <f>IF(SUM(L239-'bases de donnée'!E$4)&lt;0,0,SUM(L239-'bases de donnée'!E$4))</f>
        <v>0</v>
      </c>
      <c r="N239" s="155">
        <v>0</v>
      </c>
      <c r="O239" s="74">
        <f t="shared" si="228"/>
        <v>0.89999999999999991</v>
      </c>
      <c r="P239" s="34" t="s">
        <v>46</v>
      </c>
      <c r="Q239" s="120">
        <f t="shared" si="229"/>
        <v>1</v>
      </c>
      <c r="R239" s="30"/>
      <c r="S239" s="77">
        <f>IF(SUM(MOD(I239-G239,1)-IF(I239&gt;G239,MAX(0,MIN(I239,'bases de donnée'!E$16/24)-MAX('planning '!G239,7/24)),MAX(0,'bases de donnée'!E$16/24-MAX('planning '!G239,7/24))+MAX(0,MIN('planning '!I239,'bases de donnée'!E$16/24)-7/24)))&lt;0,0,SUM(MOD('planning '!I239-'planning '!G239,1)-IF('planning '!I239&gt;'planning '!G239,MAX(0,MIN('planning '!I239,'bases de donnée'!E$16/24)-MAX('planning '!G239,7/24)),MAX(0,'bases de donnée'!E$16/24-MAX('planning '!G239,7/24))+MAX(0,MIN('planning '!I239,'bases de donnée'!E$16/24)-7/24))))</f>
        <v>0</v>
      </c>
      <c r="T239" s="54"/>
      <c r="U239" s="77" t="str">
        <f t="shared" si="223"/>
        <v>00:00</v>
      </c>
      <c r="V239" s="78">
        <f>IF(SUM(IF(O239&gt;("36:00"*1),O239-("36:00"*1),0)-V237-V238)&lt;0,0,SUM(IF(O239&gt;("36:00"*1),O239-("36:00"*1),0)-V237-V238))</f>
        <v>0</v>
      </c>
      <c r="W239" s="47"/>
      <c r="X239" s="48">
        <f t="shared" si="199"/>
        <v>0</v>
      </c>
      <c r="Y239" s="42"/>
      <c r="Z239" s="49">
        <f t="shared" si="224"/>
        <v>0</v>
      </c>
      <c r="AA239" s="48">
        <f t="shared" si="225"/>
        <v>0</v>
      </c>
      <c r="AB239" s="47"/>
      <c r="AC239" s="54"/>
      <c r="AD239" s="33">
        <f t="shared" si="226"/>
        <v>0</v>
      </c>
      <c r="AE239" s="33">
        <f t="shared" si="214"/>
        <v>0</v>
      </c>
    </row>
    <row r="240" spans="2:31" x14ac:dyDescent="0.3">
      <c r="B240"/>
      <c r="C240" s="9" t="s">
        <v>9</v>
      </c>
      <c r="D240" s="58">
        <f t="shared" si="221"/>
        <v>42209</v>
      </c>
      <c r="E240" s="29" t="s">
        <v>31</v>
      </c>
      <c r="F240" s="52"/>
      <c r="G240" s="187"/>
      <c r="H240" s="187"/>
      <c r="I240" s="187"/>
      <c r="J240" s="45">
        <f>IF(OR(E240="férié travaillé",E240="travail"),(I240-G240+IF(G240&gt;I240,1)-H240),INDEX('bases de donnée'!$E$20:'bases de donnée'!$E$32,MATCH(E240,gerald2,0)))</f>
        <v>0.3</v>
      </c>
      <c r="K240" s="20">
        <f>IF(SUM(J240-'bases de donnée'!E$7)&lt;0,0,SUM(J240-'bases de donnée'!E$7))</f>
        <v>0</v>
      </c>
      <c r="L240" s="11">
        <f>IF(OR(E240="férié travaillé",E240="travail"),I240-G240+IF(G240&gt;I240,1),INDEX('bases de donnée'!$E$20:'bases de donnée'!$E$32,MATCH(E240,gerald2,0)))</f>
        <v>0.3</v>
      </c>
      <c r="M240" s="21">
        <f>IF(SUM(L240-'bases de donnée'!E$4)&lt;0,0,SUM(L240-'bases de donnée'!E$4))</f>
        <v>0</v>
      </c>
      <c r="N240" s="155">
        <v>0</v>
      </c>
      <c r="O240" s="74">
        <f t="shared" si="228"/>
        <v>1.2</v>
      </c>
      <c r="P240" s="86">
        <f>O243</f>
        <v>1.5</v>
      </c>
      <c r="Q240" s="120">
        <f t="shared" si="229"/>
        <v>1</v>
      </c>
      <c r="R240" s="30"/>
      <c r="S240" s="77">
        <f>IF(SUM(MOD(I240-G240,1)-IF(I240&gt;G240,MAX(0,MIN(I240,'bases de donnée'!E$16/24)-MAX('planning '!G240,7/24)),MAX(0,'bases de donnée'!E$16/24-MAX('planning '!G240,7/24))+MAX(0,MIN('planning '!I240,'bases de donnée'!E$16/24)-7/24)))&lt;0,0,SUM(MOD('planning '!I240-'planning '!G240,1)-IF('planning '!I240&gt;'planning '!G240,MAX(0,MIN('planning '!I240,'bases de donnée'!E$16/24)-MAX('planning '!G240,7/24)),MAX(0,'bases de donnée'!E$16/24-MAX('planning '!G240,7/24))+MAX(0,MIN('planning '!I240,'bases de donnée'!E$16/24)-7/24))))</f>
        <v>0</v>
      </c>
      <c r="T240" s="54"/>
      <c r="U240" s="77" t="str">
        <f t="shared" si="223"/>
        <v>00:00</v>
      </c>
      <c r="V240" s="78">
        <f>IF(SUM(IF(O240&gt;("36:00"*1),O240-("36:00"*1),0)-V238-V239)&lt;0,0,SUM(IF(O240&gt;("36:00"*1),O240-("36:00"*1),0)-V237-V238-V239))</f>
        <v>0</v>
      </c>
      <c r="W240" s="47"/>
      <c r="X240" s="48">
        <f t="shared" si="199"/>
        <v>0</v>
      </c>
      <c r="Y240" s="42"/>
      <c r="Z240" s="49">
        <f t="shared" si="224"/>
        <v>0</v>
      </c>
      <c r="AA240" s="48">
        <f t="shared" si="225"/>
        <v>0</v>
      </c>
      <c r="AB240" s="47"/>
      <c r="AC240" s="54"/>
      <c r="AD240" s="33">
        <f t="shared" si="226"/>
        <v>0</v>
      </c>
      <c r="AE240" s="33">
        <f t="shared" si="214"/>
        <v>0</v>
      </c>
    </row>
    <row r="241" spans="2:31" x14ac:dyDescent="0.3">
      <c r="B241"/>
      <c r="C241" s="9" t="s">
        <v>3</v>
      </c>
      <c r="D241" s="58">
        <f t="shared" si="221"/>
        <v>42210</v>
      </c>
      <c r="E241" s="29" t="s">
        <v>31</v>
      </c>
      <c r="F241" s="52"/>
      <c r="G241" s="187"/>
      <c r="H241" s="187"/>
      <c r="I241" s="187"/>
      <c r="J241" s="45">
        <f>IF(OR(E241="férié travaillé",E241="travail"),(I241-G241+IF(G241&gt;I241,1)-H241),INDEX('bases de donnée'!$E$20:'bases de donnée'!$E$32,MATCH(E241,gerald2,0)))</f>
        <v>0.3</v>
      </c>
      <c r="K241" s="20">
        <f>IF(SUM(J241-'bases de donnée'!E$7)&lt;0,0,SUM(J241-'bases de donnée'!E$7))</f>
        <v>0</v>
      </c>
      <c r="L241" s="11">
        <f>IF(OR(E241="férié travaillé",E241="travail"),I241-G241+IF(G241&gt;I241,1),INDEX('bases de donnée'!$E$20:'bases de donnée'!$E$32,MATCH(E241,gerald2,0)))</f>
        <v>0.3</v>
      </c>
      <c r="M241" s="21">
        <f>IF(SUM(L241-'bases de donnée'!E$4)&lt;0,0,SUM(L241-'bases de donnée'!E$4))</f>
        <v>0</v>
      </c>
      <c r="N241" s="155">
        <v>0</v>
      </c>
      <c r="O241" s="74">
        <f t="shared" si="228"/>
        <v>1.5</v>
      </c>
      <c r="P241" s="8" t="s">
        <v>48</v>
      </c>
      <c r="Q241" s="120">
        <f t="shared" si="229"/>
        <v>1</v>
      </c>
      <c r="R241" s="30"/>
      <c r="S241" s="77">
        <f>IF(SUM(MOD(I241-G241,1)-IF(I241&gt;G241,MAX(0,MIN(I241,'bases de donnée'!E$16/24)-MAX('planning '!G241,7/24)),MAX(0,'bases de donnée'!E$16/24-MAX('planning '!G241,7/24))+MAX(0,MIN('planning '!I241,'bases de donnée'!E$16/24)-7/24)))&lt;0,0,SUM(MOD('planning '!I241-'planning '!G241,1)-IF('planning '!I241&gt;'planning '!G241,MAX(0,MIN('planning '!I241,'bases de donnée'!E$16/24)-MAX('planning '!G241,7/24)),MAX(0,'bases de donnée'!E$16/24-MAX('planning '!G241,7/24))+MAX(0,MIN('planning '!I241,'bases de donnée'!E$16/24)-7/24))))</f>
        <v>0</v>
      </c>
      <c r="T241" s="54"/>
      <c r="U241" s="77" t="str">
        <f t="shared" si="223"/>
        <v>00:00</v>
      </c>
      <c r="V241" s="78">
        <f>IF(SUM(IF(O241&gt;("36:00"*1),O241-("36:00"*1),0)-V239-V240)&lt;0,0,SUM(IF(O241&gt;("36:00"*1),O241-("36:00"*1),0)-V237-V238-V239-V240))</f>
        <v>0</v>
      </c>
      <c r="W241" s="47"/>
      <c r="X241" s="48">
        <f t="shared" si="199"/>
        <v>0</v>
      </c>
      <c r="Y241" s="42"/>
      <c r="Z241" s="49">
        <f t="shared" si="224"/>
        <v>0</v>
      </c>
      <c r="AA241" s="48">
        <f t="shared" si="225"/>
        <v>0</v>
      </c>
      <c r="AB241" s="47"/>
      <c r="AC241" s="54"/>
      <c r="AD241" s="33">
        <f t="shared" si="226"/>
        <v>0</v>
      </c>
      <c r="AE241" s="33">
        <f t="shared" si="214"/>
        <v>0</v>
      </c>
    </row>
    <row r="242" spans="2:31" x14ac:dyDescent="0.3">
      <c r="B242"/>
      <c r="C242" s="9" t="s">
        <v>4</v>
      </c>
      <c r="D242" s="58">
        <f t="shared" si="221"/>
        <v>42211</v>
      </c>
      <c r="E242" s="29" t="s">
        <v>28</v>
      </c>
      <c r="F242" s="52"/>
      <c r="G242" s="187"/>
      <c r="H242" s="187"/>
      <c r="I242" s="187"/>
      <c r="J242" s="45">
        <f>IF(OR(E242="férié travaillé",E242="travail"),(I242-G242+IF(G242&gt;I242,1)-H242),INDEX('bases de donnée'!$E$20:'bases de donnée'!$E$32,MATCH(E242,gerald2,0)))</f>
        <v>0</v>
      </c>
      <c r="K242" s="20">
        <f>IF(SUM(J242-'bases de donnée'!E$7)&lt;0,0,SUM(J242-'bases de donnée'!E$7))</f>
        <v>0</v>
      </c>
      <c r="L242" s="11">
        <f>IF(OR(E242="férié travaillé",E242="travail"),I242-G242+IF(G242&gt;I242,1),INDEX('bases de donnée'!$E$20:'bases de donnée'!$E$32,MATCH(E242,gerald2,0)))</f>
        <v>0</v>
      </c>
      <c r="M242" s="21">
        <f>IF(SUM(L242-'bases de donnée'!E$4)&lt;0,0,SUM(L242-'bases de donnée'!E$4))</f>
        <v>0</v>
      </c>
      <c r="N242" s="155">
        <v>0</v>
      </c>
      <c r="O242" s="74">
        <f t="shared" si="228"/>
        <v>1.5</v>
      </c>
      <c r="P242" s="61">
        <f>'bases de donnée'!E$10</f>
        <v>2</v>
      </c>
      <c r="Q242" s="120">
        <f t="shared" si="229"/>
        <v>0</v>
      </c>
      <c r="R242" s="30"/>
      <c r="S242" s="77">
        <f>IF(SUM(MOD(I242-G242,1)-IF(I242&gt;G242,MAX(0,MIN(I242,'bases de donnée'!E$16/24)-MAX('planning '!G242,7/24)),MAX(0,'bases de donnée'!E$16/24-MAX('planning '!G242,7/24))+MAX(0,MIN('planning '!I242,'bases de donnée'!E$16/24)-7/24)))&lt;0,0,SUM(MOD('planning '!I242-'planning '!G242,1)-IF('planning '!I242&gt;'planning '!G242,MAX(0,MIN('planning '!I242,'bases de donnée'!E$16/24)-MAX('planning '!G242,7/24)),MAX(0,'bases de donnée'!E$16/24-MAX('planning '!G242,7/24))+MAX(0,MIN('planning '!I242,'bases de donnée'!E$16/24)-7/24))))</f>
        <v>0</v>
      </c>
      <c r="T242" s="55"/>
      <c r="U242" s="77" t="str">
        <f t="shared" si="223"/>
        <v>00:00</v>
      </c>
      <c r="V242" s="78">
        <f>IF(SUM(IF(O242&gt;("36:00"*1),O242-("36:00"*1),0)-V240-V241)&lt;0,0,SUM(IF(O242&gt;("36:00"*1),O242-("36:00"*1),0)-V237-V238-V239-V240-V241))</f>
        <v>0</v>
      </c>
      <c r="W242" s="47"/>
      <c r="X242" s="48">
        <f t="shared" si="199"/>
        <v>0</v>
      </c>
      <c r="Y242" s="32"/>
      <c r="Z242" s="49">
        <f t="shared" si="224"/>
        <v>0</v>
      </c>
      <c r="AA242" s="48">
        <f t="shared" si="225"/>
        <v>0</v>
      </c>
      <c r="AB242" s="47"/>
      <c r="AC242" s="55"/>
      <c r="AD242" s="33">
        <f t="shared" si="226"/>
        <v>0</v>
      </c>
      <c r="AE242" s="33">
        <f t="shared" si="214"/>
        <v>0</v>
      </c>
    </row>
    <row r="243" spans="2:31" x14ac:dyDescent="0.3">
      <c r="B243"/>
      <c r="C243" s="9" t="s">
        <v>5</v>
      </c>
      <c r="D243" s="58">
        <f t="shared" si="221"/>
        <v>42212</v>
      </c>
      <c r="E243" s="29" t="s">
        <v>28</v>
      </c>
      <c r="F243" s="71"/>
      <c r="G243" s="187"/>
      <c r="H243" s="187"/>
      <c r="I243" s="187"/>
      <c r="J243" s="45">
        <f>IF(OR(E243="férié travaillé",E243="travail"),(I243-G243+IF(G243&gt;I243,1)-H243),INDEX('bases de donnée'!$E$20:'bases de donnée'!$E$32,MATCH(E243,gerald2,0)))</f>
        <v>0</v>
      </c>
      <c r="K243" s="20">
        <f>IF(SUM(J243-'bases de donnée'!E$7)&lt;0,0,SUM(J243-'bases de donnée'!E$7))</f>
        <v>0</v>
      </c>
      <c r="L243" s="11">
        <f>IF(OR(E243="férié travaillé",E243="travail"),I243-G243+IF(G243&gt;I243,1),INDEX('bases de donnée'!$E$20:'bases de donnée'!$E$32,MATCH(E243,gerald2,0)))</f>
        <v>0</v>
      </c>
      <c r="M243" s="21">
        <f>IF(SUM(L243-'bases de donnée'!E$4)&lt;0,0,SUM(L243-'bases de donnée'!E$4))</f>
        <v>0</v>
      </c>
      <c r="N243" s="155">
        <v>0</v>
      </c>
      <c r="O243" s="74">
        <f t="shared" si="228"/>
        <v>1.5</v>
      </c>
      <c r="P243" s="33">
        <f>IF(SUM(O243-'bases de donnée'!E$10)&lt;0,0,SUM(O243-'bases de donnée'!E$10))</f>
        <v>0</v>
      </c>
      <c r="Q243" s="120">
        <f t="shared" si="229"/>
        <v>0</v>
      </c>
      <c r="R243" s="30"/>
      <c r="S243" s="77">
        <f>IF(SUM(MOD(I243-G243,1)-IF(I243&gt;G243,MAX(0,MIN(I243,'bases de donnée'!E$16/24)-MAX('planning '!G243,7/24)),MAX(0,'bases de donnée'!E$16/24-MAX('planning '!G243,7/24))+MAX(0,MIN('planning '!I243,'bases de donnée'!E$16/24)-7/24)))&lt;0,0,SUM(MOD('planning '!I243-'planning '!G243,1)-IF('planning '!I243&gt;'planning '!G243,MAX(0,MIN('planning '!I243,'bases de donnée'!E$16/24)-MAX('planning '!G243,7/24)),MAX(0,'bases de donnée'!E$16/24-MAX('planning '!G243,7/24))+MAX(0,MIN('planning '!I243,'bases de donnée'!E$16/24)-7/24))))</f>
        <v>0</v>
      </c>
      <c r="T243" s="77">
        <f>J243</f>
        <v>0</v>
      </c>
      <c r="U243" s="77" t="str">
        <f t="shared" si="223"/>
        <v>00:00</v>
      </c>
      <c r="V243" s="78">
        <f>IF(SUM(IF(O243&gt;("36:00"*1),O243-("36:00"*1),0)-V241-V242)&lt;0,0,SUM(IF(O243&gt;("36:00"*1),O243-("36:00"*1),0)-V237-V238-V239-V240-V241-V242))</f>
        <v>0</v>
      </c>
      <c r="W243" s="47"/>
      <c r="X243" s="48">
        <f t="shared" si="199"/>
        <v>0</v>
      </c>
      <c r="Y243" s="48">
        <f t="shared" ref="Y243" si="230">IF(SUM(T243-S243)&lt;0,0,SUM(T243-S243))</f>
        <v>0</v>
      </c>
      <c r="Z243" s="56">
        <f t="shared" ref="Z243" si="231">IF(SUM(U243-T243-S243)&lt;0,0,SUM(U243-T243-S243))</f>
        <v>0</v>
      </c>
      <c r="AA243" s="48">
        <f>IF(SUM(V243-S243-T243-U243)&lt;0,0,SUM(V243-S243-T243-U243))</f>
        <v>0</v>
      </c>
      <c r="AB243" s="47"/>
      <c r="AC243" s="57">
        <f t="shared" ref="AC243" si="232">IF(SUM(T243-Y243)&lt;0,0,SUM(T243-Y243))</f>
        <v>0</v>
      </c>
      <c r="AD243" s="33">
        <f t="shared" si="226"/>
        <v>0</v>
      </c>
      <c r="AE243" s="33">
        <f t="shared" si="214"/>
        <v>0</v>
      </c>
    </row>
    <row r="244" spans="2:31" x14ac:dyDescent="0.3">
      <c r="B244"/>
      <c r="C244" s="107"/>
      <c r="D244" s="108"/>
      <c r="E244" s="108"/>
      <c r="F244" s="109"/>
      <c r="G244" s="188"/>
      <c r="H244" s="188"/>
      <c r="I244" s="188"/>
      <c r="J244" s="102"/>
      <c r="K244" s="110"/>
      <c r="L244" s="111"/>
      <c r="M244" s="111"/>
      <c r="N244" s="111"/>
      <c r="O244" s="112"/>
      <c r="P244" s="113"/>
      <c r="Q244" s="30"/>
      <c r="R244" s="30"/>
      <c r="S244" s="47"/>
      <c r="T244" s="47"/>
      <c r="U244" s="47"/>
      <c r="V244" s="93"/>
      <c r="W244" s="47"/>
      <c r="X244" s="47"/>
      <c r="Y244" s="47"/>
      <c r="Z244" s="47"/>
      <c r="AA244" s="47"/>
      <c r="AB244" s="47"/>
      <c r="AC244" s="47"/>
      <c r="AD244" s="47"/>
      <c r="AE244" s="47"/>
    </row>
    <row r="245" spans="2:31" x14ac:dyDescent="0.3">
      <c r="B245" s="14" t="s">
        <v>40</v>
      </c>
      <c r="C245" s="14" t="s">
        <v>6</v>
      </c>
      <c r="D245" s="43">
        <f>D243+1</f>
        <v>42213</v>
      </c>
      <c r="E245" s="29" t="s">
        <v>31</v>
      </c>
      <c r="F245" s="44"/>
      <c r="G245" s="187"/>
      <c r="H245" s="187"/>
      <c r="I245" s="187"/>
      <c r="J245" s="45">
        <f>IF(OR(E245="férié travaillé",E245="travail"),(I245-G245+IF(G245&gt;I245,1)-H245),INDEX('bases de donnée'!$E$20:'bases de donnée'!$E$32,MATCH(E245,gerald2,0)))</f>
        <v>0.3</v>
      </c>
      <c r="K245" s="20">
        <f>IF(SUM(J245-'bases de donnée'!E$7)&lt;0,0,SUM(J245-'bases de donnée'!E$7))</f>
        <v>0</v>
      </c>
      <c r="L245" s="11">
        <f>IF(OR(E245="férié travaillé",E245="travail"),I245-G245+IF(G245&gt;I245,1),INDEX('bases de donnée'!$E$20:'bases de donnée'!$E$32,MATCH(E245,gerald2,0)))</f>
        <v>0.3</v>
      </c>
      <c r="M245" s="21">
        <f>IF(SUM(L245-'bases de donnée'!E$4)&lt;0,0,SUM(L245-'bases de donnée'!E$4))</f>
        <v>0</v>
      </c>
      <c r="N245" s="155">
        <v>0</v>
      </c>
      <c r="O245" s="45">
        <f t="shared" ref="O245" si="233">J245</f>
        <v>0.3</v>
      </c>
      <c r="P245" s="122">
        <f>SUM(Q245:Q251)</f>
        <v>5</v>
      </c>
      <c r="Q245" s="120">
        <f>IF(AND(G245&lt;&gt;"",I245&lt;&gt;""),1,0+OR(N(I244)&lt;N(G244),E245="récupération",E245="congé 1 jour",E245="congé 1/2 jour ",E245="congé 5h24",E245="arrêt maladie",E245="arrêt travail",E245="férié ",E245="congé parentale",E245="congé de naissance"))</f>
        <v>1</v>
      </c>
      <c r="R245" s="30"/>
      <c r="S245" s="77">
        <f>IF(SUM(MOD(I245-G245,1)-IF(I245&gt;G245,MAX(0,MIN(I245,'bases de donnée'!E$16/24)-MAX('planning '!G245,7/24)),MAX(0,'bases de donnée'!E$16/24-MAX('planning '!G245,7/24))+MAX(0,MIN('planning '!I245,'bases de donnée'!E$16/24)-7/24)))&lt;0,0,SUM(MOD('planning '!I245-'planning '!G245,1)-IF('planning '!I245&gt;'planning '!G245,MAX(0,MIN('planning '!I245,'bases de donnée'!E$16/24)-MAX('planning '!G245,7/24)),MAX(0,'bases de donnée'!E$16/24-MAX('planning '!G245,7/24))+MAX(0,MIN('planning '!I245,'bases de donnée'!E$16/24)-7/24))))</f>
        <v>0</v>
      </c>
      <c r="T245" s="81"/>
      <c r="U245" s="77" t="str">
        <f t="shared" ref="U245:U251" si="234">IF(E245&lt;&gt;"travail",IF(E245="férié travaillé",MOD(I245-G245,1)-H245,"00:00"),"00:00")</f>
        <v>00:00</v>
      </c>
      <c r="V245" s="78"/>
      <c r="W245" s="47"/>
      <c r="X245" s="48">
        <f t="shared" si="199"/>
        <v>0</v>
      </c>
      <c r="Y245" s="31"/>
      <c r="Z245" s="49">
        <f t="shared" ref="Z245:Z250" si="235">IF(SUM(U245-X245)&lt;0,0,SUM(U245-X245))</f>
        <v>0</v>
      </c>
      <c r="AA245" s="48">
        <f t="shared" ref="AA245:AA250" si="236">IF(SUM(V245-X245-Z245)&lt;0,0,SUM(V245-X245-Z245))</f>
        <v>0</v>
      </c>
      <c r="AB245" s="47"/>
      <c r="AC245" s="50"/>
      <c r="AD245" s="33">
        <f t="shared" si="226"/>
        <v>0</v>
      </c>
      <c r="AE245" s="33">
        <f t="shared" si="214"/>
        <v>0</v>
      </c>
    </row>
    <row r="246" spans="2:31" x14ac:dyDescent="0.3">
      <c r="B246" s="51">
        <f t="shared" ref="B246" si="237">B238+1</f>
        <v>30</v>
      </c>
      <c r="C246" s="14" t="s">
        <v>7</v>
      </c>
      <c r="D246" s="43">
        <f t="shared" si="221"/>
        <v>42214</v>
      </c>
      <c r="E246" s="29" t="s">
        <v>31</v>
      </c>
      <c r="F246" s="52"/>
      <c r="G246" s="187"/>
      <c r="H246" s="187"/>
      <c r="I246" s="187"/>
      <c r="J246" s="45">
        <f>IF(OR(E246="férié travaillé",E246="travail"),(I246-G246+IF(G246&gt;I246,1)-H246),INDEX('bases de donnée'!$E$20:'bases de donnée'!$E$32,MATCH(E246,gerald2,0)))</f>
        <v>0.3</v>
      </c>
      <c r="K246" s="20">
        <f>IF(SUM(J246-'bases de donnée'!E$7)&lt;0,0,SUM(J246-'bases de donnée'!E$7))</f>
        <v>0</v>
      </c>
      <c r="L246" s="11">
        <f>IF(OR(E246="férié travaillé",E246="travail"),I246-G246+IF(G246&gt;I246,1),INDEX('bases de donnée'!$E$20:'bases de donnée'!$E$32,MATCH(E246,gerald2,0)))</f>
        <v>0.3</v>
      </c>
      <c r="M246" s="21">
        <f>IF(SUM(L246-'bases de donnée'!E$4)&lt;0,0,SUM(L246-'bases de donnée'!E$4))</f>
        <v>0</v>
      </c>
      <c r="N246" s="155">
        <v>0</v>
      </c>
      <c r="O246" s="73">
        <f t="shared" ref="O246:O251" si="238">O245+J246</f>
        <v>0.6</v>
      </c>
      <c r="P246" s="121">
        <f>IF(SUM(P245-'bases de donnée'!E$6)&lt;0,0,SUM(P245-'bases de donnée'!E$6))</f>
        <v>0</v>
      </c>
      <c r="Q246" s="120">
        <f t="shared" ref="Q246:Q251" si="239">IF(AND(G246&lt;&gt;"",I246&lt;&gt;""),1,0+OR(N(I245)&lt;N(G245),E246="récupération",E246="congé 1 jour",E246="congé 1/2 jour ",E246="congé 5h24",E246="arrêt maladie",E246="arrêt travail",E246="férié ",E246="congé parentale",E246="congé de naissance"))</f>
        <v>1</v>
      </c>
      <c r="R246" s="30"/>
      <c r="S246" s="77">
        <f>IF(SUM(MOD(I246-G246,1)-IF(I246&gt;G246,MAX(0,MIN(I246,'bases de donnée'!E$16/24)-MAX('planning '!G246,7/24)),MAX(0,'bases de donnée'!E$16/24-MAX('planning '!G246,7/24))+MAX(0,MIN('planning '!I246,'bases de donnée'!E$16/24)-7/24)))&lt;0,0,SUM(MOD('planning '!I246-'planning '!G246,1)-IF('planning '!I246&gt;'planning '!G246,MAX(0,MIN('planning '!I246,'bases de donnée'!E$16/24)-MAX('planning '!G246,7/24)),MAX(0,'bases de donnée'!E$16/24-MAX('planning '!G246,7/24))+MAX(0,MIN('planning '!I246,'bases de donnée'!E$16/24)-7/24))))</f>
        <v>0</v>
      </c>
      <c r="T246" s="82"/>
      <c r="U246" s="77" t="str">
        <f t="shared" si="234"/>
        <v>00:00</v>
      </c>
      <c r="V246" s="78">
        <f>IF(SUM(IF(O246&gt;('bases de donnée'!E$9*1),O246-('bases de donnée'!E$9*1),0)-V245)&lt;0,0,SUM(IF(O246&gt;('bases de donnée'!E$9*1),O246-('bases de donnée'!E$9*1),0)-V245))</f>
        <v>0</v>
      </c>
      <c r="W246" s="47"/>
      <c r="X246" s="48">
        <f t="shared" si="199"/>
        <v>0</v>
      </c>
      <c r="Y246" s="42"/>
      <c r="Z246" s="49">
        <f t="shared" si="235"/>
        <v>0</v>
      </c>
      <c r="AA246" s="48">
        <f t="shared" si="236"/>
        <v>0</v>
      </c>
      <c r="AB246" s="47"/>
      <c r="AC246" s="54"/>
      <c r="AD246" s="33">
        <f t="shared" si="226"/>
        <v>0</v>
      </c>
      <c r="AE246" s="33">
        <f t="shared" si="214"/>
        <v>0</v>
      </c>
    </row>
    <row r="247" spans="2:31" x14ac:dyDescent="0.3">
      <c r="B247"/>
      <c r="C247" s="14" t="s">
        <v>8</v>
      </c>
      <c r="D247" s="43">
        <f t="shared" si="221"/>
        <v>42215</v>
      </c>
      <c r="E247" s="29" t="s">
        <v>31</v>
      </c>
      <c r="F247" s="52"/>
      <c r="G247" s="187"/>
      <c r="H247" s="187"/>
      <c r="I247" s="187"/>
      <c r="J247" s="45">
        <f>IF(OR(E247="férié travaillé",E247="travail"),(I247-G247+IF(G247&gt;I247,1)-H247),INDEX('bases de donnée'!$E$20:'bases de donnée'!$E$32,MATCH(E247,gerald2,0)))</f>
        <v>0.3</v>
      </c>
      <c r="K247" s="20">
        <f>IF(SUM(J247-'bases de donnée'!E$7)&lt;0,0,SUM(J247-'bases de donnée'!E$7))</f>
        <v>0</v>
      </c>
      <c r="L247" s="11">
        <f>IF(OR(E247="férié travaillé",E247="travail"),I247-G247+IF(G247&gt;I247,1),INDEX('bases de donnée'!$E$20:'bases de donnée'!$E$32,MATCH(E247,gerald2,0)))</f>
        <v>0.3</v>
      </c>
      <c r="M247" s="21">
        <f>IF(SUM(L247-'bases de donnée'!E$4)&lt;0,0,SUM(L247-'bases de donnée'!E$4))</f>
        <v>0</v>
      </c>
      <c r="N247" s="155">
        <v>0</v>
      </c>
      <c r="O247" s="73">
        <f t="shared" si="238"/>
        <v>0.89999999999999991</v>
      </c>
      <c r="P247" s="34" t="s">
        <v>46</v>
      </c>
      <c r="Q247" s="120">
        <f t="shared" si="239"/>
        <v>1</v>
      </c>
      <c r="R247" s="30"/>
      <c r="S247" s="77">
        <f>IF(SUM(MOD(I247-G247,1)-IF(I247&gt;G247,MAX(0,MIN(I247,'bases de donnée'!E$16/24)-MAX('planning '!G247,7/24)),MAX(0,'bases de donnée'!E$16/24-MAX('planning '!G247,7/24))+MAX(0,MIN('planning '!I247,'bases de donnée'!E$16/24)-7/24)))&lt;0,0,SUM(MOD('planning '!I247-'planning '!G247,1)-IF('planning '!I247&gt;'planning '!G247,MAX(0,MIN('planning '!I247,'bases de donnée'!E$16/24)-MAX('planning '!G247,7/24)),MAX(0,'bases de donnée'!E$16/24-MAX('planning '!G247,7/24))+MAX(0,MIN('planning '!I247,'bases de donnée'!E$16/24)-7/24))))</f>
        <v>0</v>
      </c>
      <c r="T247" s="82"/>
      <c r="U247" s="77" t="str">
        <f t="shared" si="234"/>
        <v>00:00</v>
      </c>
      <c r="V247" s="78">
        <f>IF(SUM(IF(O247&gt;("36:00"*1),O247-("36:00"*1),0)-V245-V246)&lt;0,0,SUM(IF(O247&gt;("36:00"*1),O247-("36:00"*1),0)-V245-V246))</f>
        <v>0</v>
      </c>
      <c r="W247" s="47"/>
      <c r="X247" s="48">
        <f t="shared" si="199"/>
        <v>0</v>
      </c>
      <c r="Y247" s="42"/>
      <c r="Z247" s="49">
        <f t="shared" si="235"/>
        <v>0</v>
      </c>
      <c r="AA247" s="48">
        <f t="shared" si="236"/>
        <v>0</v>
      </c>
      <c r="AB247" s="47"/>
      <c r="AC247" s="54"/>
      <c r="AD247" s="33">
        <f t="shared" si="226"/>
        <v>0</v>
      </c>
      <c r="AE247" s="33">
        <f t="shared" si="214"/>
        <v>0</v>
      </c>
    </row>
    <row r="248" spans="2:31" x14ac:dyDescent="0.3">
      <c r="B248"/>
      <c r="C248" s="14" t="s">
        <v>9</v>
      </c>
      <c r="D248" s="43">
        <f t="shared" si="221"/>
        <v>42216</v>
      </c>
      <c r="E248" s="29" t="s">
        <v>31</v>
      </c>
      <c r="F248" s="52"/>
      <c r="G248" s="187"/>
      <c r="H248" s="187"/>
      <c r="I248" s="187"/>
      <c r="J248" s="45">
        <f>IF(OR(E248="férié travaillé",E248="travail"),(I248-G248+IF(G248&gt;I248,1)-H248),INDEX('bases de donnée'!$E$20:'bases de donnée'!$E$32,MATCH(E248,gerald2,0)))</f>
        <v>0.3</v>
      </c>
      <c r="K248" s="20">
        <f>IF(SUM(J248-'bases de donnée'!E$7)&lt;0,0,SUM(J248-'bases de donnée'!E$7))</f>
        <v>0</v>
      </c>
      <c r="L248" s="11">
        <f>IF(OR(E248="férié travaillé",E248="travail"),I248-G248+IF(G248&gt;I248,1),INDEX('bases de donnée'!$E$20:'bases de donnée'!$E$32,MATCH(E248,gerald2,0)))</f>
        <v>0.3</v>
      </c>
      <c r="M248" s="21">
        <f>IF(SUM(L248-'bases de donnée'!E$4)&lt;0,0,SUM(L248-'bases de donnée'!E$4))</f>
        <v>0</v>
      </c>
      <c r="N248" s="155">
        <v>0</v>
      </c>
      <c r="O248" s="73">
        <f t="shared" si="238"/>
        <v>1.2</v>
      </c>
      <c r="P248" s="86">
        <f>O251</f>
        <v>1.5</v>
      </c>
      <c r="Q248" s="120">
        <f t="shared" si="239"/>
        <v>1</v>
      </c>
      <c r="R248" s="30"/>
      <c r="S248" s="77">
        <f>IF(SUM(MOD(I248-G248,1)-IF(I248&gt;G248,MAX(0,MIN(I248,'bases de donnée'!E$16/24)-MAX('planning '!G248,7/24)),MAX(0,'bases de donnée'!E$16/24-MAX('planning '!G248,7/24))+MAX(0,MIN('planning '!I248,'bases de donnée'!E$16/24)-7/24)))&lt;0,0,SUM(MOD('planning '!I248-'planning '!G248,1)-IF('planning '!I248&gt;'planning '!G248,MAX(0,MIN('planning '!I248,'bases de donnée'!E$16/24)-MAX('planning '!G248,7/24)),MAX(0,'bases de donnée'!E$16/24-MAX('planning '!G248,7/24))+MAX(0,MIN('planning '!I248,'bases de donnée'!E$16/24)-7/24))))</f>
        <v>0</v>
      </c>
      <c r="T248" s="82"/>
      <c r="U248" s="77" t="str">
        <f t="shared" si="234"/>
        <v>00:00</v>
      </c>
      <c r="V248" s="78">
        <f>IF(SUM(IF(O248&gt;("36:00"*1),O248-("36:00"*1),0)-V246-V247)&lt;0,0,SUM(IF(O248&gt;("36:00"*1),O248-("36:00"*1),0)-V245-V246-V247))</f>
        <v>0</v>
      </c>
      <c r="W248" s="47"/>
      <c r="X248" s="48">
        <f t="shared" si="199"/>
        <v>0</v>
      </c>
      <c r="Y248" s="42"/>
      <c r="Z248" s="49">
        <f t="shared" si="235"/>
        <v>0</v>
      </c>
      <c r="AA248" s="48">
        <f t="shared" si="236"/>
        <v>0</v>
      </c>
      <c r="AB248" s="47"/>
      <c r="AC248" s="54"/>
      <c r="AD248" s="33">
        <f t="shared" si="226"/>
        <v>0</v>
      </c>
      <c r="AE248" s="33">
        <f t="shared" si="214"/>
        <v>0</v>
      </c>
    </row>
    <row r="249" spans="2:31" x14ac:dyDescent="0.3">
      <c r="B249"/>
      <c r="C249" s="14" t="s">
        <v>3</v>
      </c>
      <c r="D249" s="43">
        <f t="shared" si="221"/>
        <v>42217</v>
      </c>
      <c r="E249" s="29" t="s">
        <v>31</v>
      </c>
      <c r="F249" s="52"/>
      <c r="G249" s="187"/>
      <c r="H249" s="187"/>
      <c r="I249" s="187"/>
      <c r="J249" s="45">
        <f>IF(OR(E249="férié travaillé",E249="travail"),(I249-G249+IF(G249&gt;I249,1)-H249),INDEX('bases de donnée'!$E$20:'bases de donnée'!$E$32,MATCH(E249,gerald2,0)))</f>
        <v>0.3</v>
      </c>
      <c r="K249" s="20">
        <f>IF(SUM(J249-'bases de donnée'!E$7)&lt;0,0,SUM(J249-'bases de donnée'!E$7))</f>
        <v>0</v>
      </c>
      <c r="L249" s="11">
        <f>IF(OR(E249="férié travaillé",E249="travail"),I249-G249+IF(G249&gt;I249,1),INDEX('bases de donnée'!$E$20:'bases de donnée'!$E$32,MATCH(E249,gerald2,0)))</f>
        <v>0.3</v>
      </c>
      <c r="M249" s="21">
        <f>IF(SUM(L249-'bases de donnée'!E$4)&lt;0,0,SUM(L249-'bases de donnée'!E$4))</f>
        <v>0</v>
      </c>
      <c r="N249" s="155">
        <v>0</v>
      </c>
      <c r="O249" s="73">
        <f t="shared" si="238"/>
        <v>1.5</v>
      </c>
      <c r="P249" s="12" t="s">
        <v>48</v>
      </c>
      <c r="Q249" s="120">
        <f t="shared" si="239"/>
        <v>1</v>
      </c>
      <c r="R249" s="30"/>
      <c r="S249" s="77">
        <f>IF(SUM(MOD(I249-G249,1)-IF(I249&gt;G249,MAX(0,MIN(I249,'bases de donnée'!E$16/24)-MAX('planning '!G249,7/24)),MAX(0,'bases de donnée'!E$16/24-MAX('planning '!G249,7/24))+MAX(0,MIN('planning '!I249,'bases de donnée'!E$16/24)-7/24)))&lt;0,0,SUM(MOD('planning '!I249-'planning '!G249,1)-IF('planning '!I249&gt;'planning '!G249,MAX(0,MIN('planning '!I249,'bases de donnée'!E$16/24)-MAX('planning '!G249,7/24)),MAX(0,'bases de donnée'!E$16/24-MAX('planning '!G249,7/24))+MAX(0,MIN('planning '!I249,'bases de donnée'!E$16/24)-7/24))))</f>
        <v>0</v>
      </c>
      <c r="T249" s="82"/>
      <c r="U249" s="77" t="str">
        <f t="shared" si="234"/>
        <v>00:00</v>
      </c>
      <c r="V249" s="78">
        <f>IF(SUM(IF(O249&gt;("36:00"*1),O249-("36:00"*1),0)-V247-V248)&lt;0,0,SUM(IF(O249&gt;("36:00"*1),O249-("36:00"*1),0)-V245-V246-V247-V248))</f>
        <v>0</v>
      </c>
      <c r="W249" s="47"/>
      <c r="X249" s="48">
        <f t="shared" si="199"/>
        <v>0</v>
      </c>
      <c r="Y249" s="42"/>
      <c r="Z249" s="49">
        <f t="shared" si="235"/>
        <v>0</v>
      </c>
      <c r="AA249" s="48">
        <f t="shared" si="236"/>
        <v>0</v>
      </c>
      <c r="AB249" s="47"/>
      <c r="AC249" s="54"/>
      <c r="AD249" s="33">
        <f t="shared" si="226"/>
        <v>0</v>
      </c>
      <c r="AE249" s="33">
        <f t="shared" si="214"/>
        <v>0</v>
      </c>
    </row>
    <row r="250" spans="2:31" x14ac:dyDescent="0.3">
      <c r="B250"/>
      <c r="C250" s="14" t="s">
        <v>4</v>
      </c>
      <c r="D250" s="43">
        <f t="shared" si="221"/>
        <v>42218</v>
      </c>
      <c r="E250" s="29" t="s">
        <v>28</v>
      </c>
      <c r="F250" s="71"/>
      <c r="G250" s="187"/>
      <c r="H250" s="187"/>
      <c r="I250" s="187"/>
      <c r="J250" s="45">
        <f>IF(OR(E250="férié travaillé",E250="travail"),(I250-G250+IF(G250&gt;I250,1)-H250),INDEX('bases de donnée'!$E$20:'bases de donnée'!$E$32,MATCH(E250,gerald2,0)))</f>
        <v>0</v>
      </c>
      <c r="K250" s="20">
        <f>IF(SUM(J250-'bases de donnée'!E$7)&lt;0,0,SUM(J250-'bases de donnée'!E$7))</f>
        <v>0</v>
      </c>
      <c r="L250" s="11">
        <f>IF(OR(E250="férié travaillé",E250="travail"),I250-G250+IF(G250&gt;I250,1),INDEX('bases de donnée'!$E$20:'bases de donnée'!$E$32,MATCH(E250,gerald2,0)))</f>
        <v>0</v>
      </c>
      <c r="M250" s="21">
        <f>IF(SUM(L250-'bases de donnée'!E$4)&lt;0,0,SUM(L250-'bases de donnée'!E$4))</f>
        <v>0</v>
      </c>
      <c r="N250" s="155">
        <v>0</v>
      </c>
      <c r="O250" s="73">
        <f t="shared" si="238"/>
        <v>1.5</v>
      </c>
      <c r="P250" s="68">
        <f>'bases de donnée'!E$10</f>
        <v>2</v>
      </c>
      <c r="Q250" s="120">
        <f t="shared" si="239"/>
        <v>0</v>
      </c>
      <c r="R250" s="30"/>
      <c r="S250" s="77">
        <f>IF(SUM(MOD(I250-G250,1)-IF(I250&gt;G250,MAX(0,MIN(I250,'bases de donnée'!E$16/24)-MAX('planning '!G250,7/24)),MAX(0,'bases de donnée'!E$16/24-MAX('planning '!G250,7/24))+MAX(0,MIN('planning '!I250,'bases de donnée'!E$16/24)-7/24)))&lt;0,0,SUM(MOD('planning '!I250-'planning '!G250,1)-IF('planning '!I250&gt;'planning '!G250,MAX(0,MIN('planning '!I250,'bases de donnée'!E$16/24)-MAX('planning '!G250,7/24)),MAX(0,'bases de donnée'!E$16/24-MAX('planning '!G250,7/24))+MAX(0,MIN('planning '!I250,'bases de donnée'!E$16/24)-7/24))))</f>
        <v>0</v>
      </c>
      <c r="T250" s="82"/>
      <c r="U250" s="77" t="str">
        <f t="shared" si="234"/>
        <v>00:00</v>
      </c>
      <c r="V250" s="78">
        <f>IF(SUM(IF(O250&gt;("36:00"*1),O250-("36:00"*1),0)-V248-V249)&lt;0,0,SUM(IF(O250&gt;("36:00"*1),O250-("36:00"*1),0)-V245-V246-V247-V248-V249))</f>
        <v>0</v>
      </c>
      <c r="W250" s="47"/>
      <c r="X250" s="48">
        <f t="shared" si="199"/>
        <v>0</v>
      </c>
      <c r="Y250" s="32"/>
      <c r="Z250" s="49">
        <f t="shared" si="235"/>
        <v>0</v>
      </c>
      <c r="AA250" s="48">
        <f t="shared" si="236"/>
        <v>0</v>
      </c>
      <c r="AB250" s="47"/>
      <c r="AC250" s="55"/>
      <c r="AD250" s="33">
        <f t="shared" si="226"/>
        <v>0</v>
      </c>
      <c r="AE250" s="33">
        <f t="shared" si="214"/>
        <v>0</v>
      </c>
    </row>
    <row r="251" spans="2:31" x14ac:dyDescent="0.3">
      <c r="B251"/>
      <c r="C251" s="94" t="s">
        <v>5</v>
      </c>
      <c r="D251" s="95">
        <f t="shared" si="221"/>
        <v>42219</v>
      </c>
      <c r="E251" s="29" t="s">
        <v>28</v>
      </c>
      <c r="F251" s="71"/>
      <c r="G251" s="186"/>
      <c r="H251" s="186"/>
      <c r="I251" s="186"/>
      <c r="J251" s="45">
        <f>IF(OR(E251="férié travaillé",E251="travail"),(I251-G251+IF(G251&gt;I251,1)-H251),INDEX('bases de donnée'!$E$20:'bases de donnée'!$E$32,MATCH(E251,gerald2,0)))</f>
        <v>0</v>
      </c>
      <c r="K251" s="20">
        <f>IF(SUM(J251-'bases de donnée'!E$7)&lt;0,0,SUM(J251-'bases de donnée'!E$7))</f>
        <v>0</v>
      </c>
      <c r="L251" s="11">
        <f>IF(OR(E251="férié travaillé",E251="travail"),I251-G251+IF(G251&gt;I251,1),INDEX('bases de donnée'!$E$20:'bases de donnée'!$E$32,MATCH(E251,gerald2,0)))</f>
        <v>0</v>
      </c>
      <c r="M251" s="21">
        <f>IF(SUM(L251-'bases de donnée'!E$4)&lt;0,0,SUM(L251-'bases de donnée'!E$4))</f>
        <v>0</v>
      </c>
      <c r="N251" s="155">
        <v>0</v>
      </c>
      <c r="O251" s="98">
        <f t="shared" si="238"/>
        <v>1.5</v>
      </c>
      <c r="P251" s="57">
        <f>IF(SUM(O251-'bases de donnée'!E$10)&lt;0,0,SUM(O251-'bases de donnée'!E$10))</f>
        <v>0</v>
      </c>
      <c r="Q251" s="120">
        <f t="shared" si="239"/>
        <v>0</v>
      </c>
      <c r="R251" s="30"/>
      <c r="S251" s="77">
        <f>IF(SUM(MOD(I251-G251,1)-IF(I251&gt;G251,MAX(0,MIN(I251,'bases de donnée'!E$16/24)-MAX('planning '!G251,7/24)),MAX(0,'bases de donnée'!E$16/24-MAX('planning '!G251,7/24))+MAX(0,MIN('planning '!I251,'bases de donnée'!E$16/24)-7/24)))&lt;0,0,SUM(MOD('planning '!I251-'planning '!G251,1)-IF('planning '!I251&gt;'planning '!G251,MAX(0,MIN('planning '!I251,'bases de donnée'!E$16/24)-MAX('planning '!G251,7/24)),MAX(0,'bases de donnée'!E$16/24-MAX('planning '!G251,7/24))+MAX(0,MIN('planning '!I251,'bases de donnée'!E$16/24)-7/24))))</f>
        <v>0</v>
      </c>
      <c r="T251" s="77">
        <f>J251</f>
        <v>0</v>
      </c>
      <c r="U251" s="77" t="str">
        <f t="shared" si="234"/>
        <v>00:00</v>
      </c>
      <c r="V251" s="78">
        <f>IF(SUM(IF(O251&gt;("36:00"*1),O251-("36:00"*1),0)-V249-V250)&lt;0,0,SUM(IF(O251&gt;("36:00"*1),O251-("36:00"*1),0)-V245-V246-V247-V248-V249-V250))</f>
        <v>0</v>
      </c>
      <c r="W251" s="47"/>
      <c r="X251" s="48">
        <f t="shared" si="199"/>
        <v>0</v>
      </c>
      <c r="Y251" s="48">
        <f t="shared" ref="Y251" si="240">IF(SUM(T251-S251)&lt;0,0,SUM(T251-S251))</f>
        <v>0</v>
      </c>
      <c r="Z251" s="56">
        <f t="shared" ref="Z251" si="241">IF(SUM(U251-T251-S251)&lt;0,0,SUM(U251-T251-S251))</f>
        <v>0</v>
      </c>
      <c r="AA251" s="48">
        <f>IF(SUM(V251-S251-T251-U251)&lt;0,0,SUM(V251-S251-T251-U251))</f>
        <v>0</v>
      </c>
      <c r="AB251" s="47"/>
      <c r="AC251" s="57">
        <f t="shared" ref="AC251" si="242">IF(SUM(T251-Y251)&lt;0,0,SUM(T251-Y251))</f>
        <v>0</v>
      </c>
      <c r="AD251" s="33">
        <f t="shared" si="226"/>
        <v>0</v>
      </c>
      <c r="AE251" s="33">
        <f t="shared" si="214"/>
        <v>0</v>
      </c>
    </row>
    <row r="252" spans="2:31" x14ac:dyDescent="0.3">
      <c r="B252"/>
      <c r="C252" s="25"/>
      <c r="D252" s="90"/>
      <c r="E252" s="90"/>
      <c r="F252" s="25"/>
      <c r="G252" s="185"/>
      <c r="H252" s="185"/>
      <c r="I252" s="185"/>
      <c r="J252" s="47"/>
      <c r="K252" s="92"/>
      <c r="L252" s="91"/>
      <c r="M252" s="91"/>
      <c r="N252" s="91"/>
      <c r="O252" s="93"/>
      <c r="P252" s="47"/>
      <c r="Q252" s="30"/>
      <c r="R252" s="30"/>
      <c r="S252" s="47"/>
      <c r="T252" s="47"/>
      <c r="U252" s="47"/>
      <c r="V252" s="93"/>
      <c r="W252" s="47"/>
      <c r="X252" s="47"/>
      <c r="Y252" s="47"/>
      <c r="Z252" s="47"/>
      <c r="AA252" s="47"/>
      <c r="AB252" s="47"/>
      <c r="AC252" s="47"/>
      <c r="AD252" s="47"/>
      <c r="AE252" s="47"/>
    </row>
    <row r="253" spans="2:31" x14ac:dyDescent="0.3">
      <c r="B253" s="9" t="s">
        <v>40</v>
      </c>
      <c r="C253" s="9" t="s">
        <v>6</v>
      </c>
      <c r="D253" s="58">
        <f>D251+1</f>
        <v>42220</v>
      </c>
      <c r="E253" s="29" t="s">
        <v>31</v>
      </c>
      <c r="F253" s="44"/>
      <c r="G253" s="187"/>
      <c r="H253" s="187"/>
      <c r="I253" s="187"/>
      <c r="J253" s="45">
        <f>IF(OR(E253="férié travaillé",E253="travail"),(I253-G253+IF(G253&gt;I253,1)-H253),INDEX('bases de donnée'!$E$20:'bases de donnée'!$E$32,MATCH(E253,gerald2,0)))</f>
        <v>0.3</v>
      </c>
      <c r="K253" s="20">
        <f>IF(SUM(J253-'bases de donnée'!E$7)&lt;0,0,SUM(J253-'bases de donnée'!E$7))</f>
        <v>0</v>
      </c>
      <c r="L253" s="11">
        <f>IF(OR(E253="férié travaillé",E253="travail"),I253-G253+IF(G253&gt;I253,1),INDEX('bases de donnée'!$E$20:'bases de donnée'!$E$32,MATCH(E253,gerald2,0)))</f>
        <v>0.3</v>
      </c>
      <c r="M253" s="21">
        <f>IF(SUM(L253-'bases de donnée'!E$4)&lt;0,0,SUM(L253-'bases de donnée'!E$4))</f>
        <v>0</v>
      </c>
      <c r="N253" s="155">
        <v>0</v>
      </c>
      <c r="O253" s="59">
        <f t="shared" ref="O253" si="243">J253</f>
        <v>0.3</v>
      </c>
      <c r="P253" s="122">
        <f>SUM(Q253:Q259)</f>
        <v>5</v>
      </c>
      <c r="Q253" s="120">
        <f>IF(AND(G253&lt;&gt;"",I253&lt;&gt;""),1,0+OR(N(I252)&lt;N(G252),E253="récupération",E253="congé 1 jour",E253="congé 1/2 jour ",E253="congé 5h24",E253="arrêt maladie",E253="arrêt travail",E253="férié ",E253="congé parentale",E253="congé de naissance"))</f>
        <v>1</v>
      </c>
      <c r="R253" s="30"/>
      <c r="S253" s="77">
        <f>IF(SUM(MOD(I253-G253,1)-IF(I253&gt;G253,MAX(0,MIN(I253,'bases de donnée'!E$16/24)-MAX('planning '!G253,7/24)),MAX(0,'bases de donnée'!E$16/24-MAX('planning '!G253,7/24))+MAX(0,MIN('planning '!I253,'bases de donnée'!E$16/24)-7/24)))&lt;0,0,SUM(MOD('planning '!I253-'planning '!G253,1)-IF('planning '!I253&gt;'planning '!G253,MAX(0,MIN('planning '!I253,'bases de donnée'!E$16/24)-MAX('planning '!G253,7/24)),MAX(0,'bases de donnée'!E$16/24-MAX('planning '!G253,7/24))+MAX(0,MIN('planning '!I253,'bases de donnée'!E$16/24)-7/24))))</f>
        <v>0</v>
      </c>
      <c r="T253" s="81"/>
      <c r="U253" s="77" t="str">
        <f t="shared" ref="U253:U259" si="244">IF(E253&lt;&gt;"travail",IF(E253="férié travaillé",MOD(I253-G253,1)-H253,"00:00"),"00:00")</f>
        <v>00:00</v>
      </c>
      <c r="V253" s="78"/>
      <c r="W253" s="47"/>
      <c r="X253" s="48">
        <f t="shared" ref="X253:X325" si="245">S253</f>
        <v>0</v>
      </c>
      <c r="Y253" s="31"/>
      <c r="Z253" s="49">
        <f t="shared" ref="Z253:Z258" si="246">IF(SUM(U253-X253)&lt;0,0,SUM(U253-X253))</f>
        <v>0</v>
      </c>
      <c r="AA253" s="48">
        <f t="shared" ref="AA253:AA258" si="247">IF(SUM(V253-X253-Z253)&lt;0,0,SUM(V253-X253-Z253))</f>
        <v>0</v>
      </c>
      <c r="AB253" s="47"/>
      <c r="AC253" s="50"/>
      <c r="AD253" s="33">
        <f t="shared" ref="AD253:AD325" si="248">IF(SUM(U253-Z253)&lt;0,0,SUM(U253-Z253))</f>
        <v>0</v>
      </c>
      <c r="AE253" s="33">
        <f t="shared" si="214"/>
        <v>0</v>
      </c>
    </row>
    <row r="254" spans="2:31" x14ac:dyDescent="0.3">
      <c r="B254" s="60">
        <f t="shared" ref="B254" si="249">B246+1</f>
        <v>31</v>
      </c>
      <c r="C254" s="9" t="s">
        <v>7</v>
      </c>
      <c r="D254" s="58">
        <f t="shared" si="221"/>
        <v>42221</v>
      </c>
      <c r="E254" s="29" t="s">
        <v>31</v>
      </c>
      <c r="F254" s="52"/>
      <c r="G254" s="187"/>
      <c r="H254" s="187"/>
      <c r="I254" s="187"/>
      <c r="J254" s="45">
        <f>IF(OR(E254="férié travaillé",E254="travail"),(I254-G254+IF(G254&gt;I254,1)-H254),INDEX('bases de donnée'!$E$20:'bases de donnée'!$E$32,MATCH(E254,gerald2,0)))</f>
        <v>0.3</v>
      </c>
      <c r="K254" s="20">
        <f>IF(SUM(J254-'bases de donnée'!E$7)&lt;0,0,SUM(J254-'bases de donnée'!E$7))</f>
        <v>0</v>
      </c>
      <c r="L254" s="11">
        <f>IF(OR(E254="férié travaillé",E254="travail"),I254-G254+IF(G254&gt;I254,1),INDEX('bases de donnée'!$E$20:'bases de donnée'!$E$32,MATCH(E254,gerald2,0)))</f>
        <v>0.3</v>
      </c>
      <c r="M254" s="21">
        <f>IF(SUM(L254-'bases de donnée'!E$4)&lt;0,0,SUM(L254-'bases de donnée'!E$4))</f>
        <v>0</v>
      </c>
      <c r="N254" s="155">
        <v>0</v>
      </c>
      <c r="O254" s="74">
        <f t="shared" ref="O254:O259" si="250">O253+J254</f>
        <v>0.6</v>
      </c>
      <c r="P254" s="121">
        <f>IF(SUM(P253-'bases de donnée'!E$6)&lt;0,0,SUM(P253-'bases de donnée'!E$6))</f>
        <v>0</v>
      </c>
      <c r="Q254" s="120">
        <f t="shared" ref="Q254:Q259" si="251">IF(AND(G254&lt;&gt;"",I254&lt;&gt;""),1,0+OR(N(I253)&lt;N(G253),E254="récupération",E254="congé 1 jour",E254="congé 1/2 jour ",E254="congé 5h24",E254="arrêt maladie",E254="arrêt travail",E254="férié ",E254="congé parentale",E254="congé de naissance"))</f>
        <v>1</v>
      </c>
      <c r="R254" s="30"/>
      <c r="S254" s="77">
        <f>IF(SUM(MOD(I254-G254,1)-IF(I254&gt;G254,MAX(0,MIN(I254,'bases de donnée'!E$16/24)-MAX('planning '!G254,7/24)),MAX(0,'bases de donnée'!E$16/24-MAX('planning '!G254,7/24))+MAX(0,MIN('planning '!I254,'bases de donnée'!E$16/24)-7/24)))&lt;0,0,SUM(MOD('planning '!I254-'planning '!G254,1)-IF('planning '!I254&gt;'planning '!G254,MAX(0,MIN('planning '!I254,'bases de donnée'!E$16/24)-MAX('planning '!G254,7/24)),MAX(0,'bases de donnée'!E$16/24-MAX('planning '!G254,7/24))+MAX(0,MIN('planning '!I254,'bases de donnée'!E$16/24)-7/24))))</f>
        <v>0</v>
      </c>
      <c r="T254" s="82"/>
      <c r="U254" s="77" t="str">
        <f t="shared" si="244"/>
        <v>00:00</v>
      </c>
      <c r="V254" s="78">
        <f>IF(SUM(IF(O254&gt;('bases de donnée'!E$9*1),O254-('bases de donnée'!E$9*1),0)-V253)&lt;0,0,SUM(IF(O254&gt;('bases de donnée'!E$9*1),O254-('bases de donnée'!E$9*1),0)-V253))</f>
        <v>0</v>
      </c>
      <c r="W254" s="47"/>
      <c r="X254" s="48">
        <f t="shared" si="245"/>
        <v>0</v>
      </c>
      <c r="Y254" s="42"/>
      <c r="Z254" s="49">
        <f t="shared" si="246"/>
        <v>0</v>
      </c>
      <c r="AA254" s="48">
        <f t="shared" si="247"/>
        <v>0</v>
      </c>
      <c r="AB254" s="47"/>
      <c r="AC254" s="54"/>
      <c r="AD254" s="33">
        <f t="shared" si="248"/>
        <v>0</v>
      </c>
      <c r="AE254" s="33">
        <f t="shared" si="214"/>
        <v>0</v>
      </c>
    </row>
    <row r="255" spans="2:31" x14ac:dyDescent="0.3">
      <c r="B255"/>
      <c r="C255" s="9" t="s">
        <v>8</v>
      </c>
      <c r="D255" s="58">
        <f t="shared" si="221"/>
        <v>42222</v>
      </c>
      <c r="E255" s="29" t="s">
        <v>31</v>
      </c>
      <c r="F255" s="52"/>
      <c r="G255" s="187"/>
      <c r="H255" s="187"/>
      <c r="I255" s="187"/>
      <c r="J255" s="45">
        <f>IF(OR(E255="férié travaillé",E255="travail"),(I255-G255+IF(G255&gt;I255,1)-H255),INDEX('bases de donnée'!$E$20:'bases de donnée'!$E$32,MATCH(E255,gerald2,0)))</f>
        <v>0.3</v>
      </c>
      <c r="K255" s="20">
        <f>IF(SUM(J255-'bases de donnée'!E$7)&lt;0,0,SUM(J255-'bases de donnée'!E$7))</f>
        <v>0</v>
      </c>
      <c r="L255" s="11">
        <f>IF(OR(E255="férié travaillé",E255="travail"),I255-G255+IF(G255&gt;I255,1),INDEX('bases de donnée'!$E$20:'bases de donnée'!$E$32,MATCH(E255,gerald2,0)))</f>
        <v>0.3</v>
      </c>
      <c r="M255" s="21">
        <f>IF(SUM(L255-'bases de donnée'!E$4)&lt;0,0,SUM(L255-'bases de donnée'!E$4))</f>
        <v>0</v>
      </c>
      <c r="N255" s="155">
        <v>0</v>
      </c>
      <c r="O255" s="74">
        <f t="shared" si="250"/>
        <v>0.89999999999999991</v>
      </c>
      <c r="P255" s="34" t="s">
        <v>46</v>
      </c>
      <c r="Q255" s="120">
        <f t="shared" si="251"/>
        <v>1</v>
      </c>
      <c r="R255" s="30"/>
      <c r="S255" s="77">
        <f>IF(SUM(MOD(I255-G255,1)-IF(I255&gt;G255,MAX(0,MIN(I255,'bases de donnée'!E$16/24)-MAX('planning '!G255,7/24)),MAX(0,'bases de donnée'!E$16/24-MAX('planning '!G255,7/24))+MAX(0,MIN('planning '!I255,'bases de donnée'!E$16/24)-7/24)))&lt;0,0,SUM(MOD('planning '!I255-'planning '!G255,1)-IF('planning '!I255&gt;'planning '!G255,MAX(0,MIN('planning '!I255,'bases de donnée'!E$16/24)-MAX('planning '!G255,7/24)),MAX(0,'bases de donnée'!E$16/24-MAX('planning '!G255,7/24))+MAX(0,MIN('planning '!I255,'bases de donnée'!E$16/24)-7/24))))</f>
        <v>0</v>
      </c>
      <c r="T255" s="82"/>
      <c r="U255" s="77" t="str">
        <f t="shared" si="244"/>
        <v>00:00</v>
      </c>
      <c r="V255" s="78">
        <f>IF(SUM(IF(O255&gt;("36:00"*1),O255-("36:00"*1),0)-V253-V254)&lt;0,0,SUM(IF(O255&gt;("36:00"*1),O255-("36:00"*1),0)-V253-V254))</f>
        <v>0</v>
      </c>
      <c r="W255" s="47"/>
      <c r="X255" s="48">
        <f t="shared" si="245"/>
        <v>0</v>
      </c>
      <c r="Y255" s="42"/>
      <c r="Z255" s="49">
        <f t="shared" si="246"/>
        <v>0</v>
      </c>
      <c r="AA255" s="48">
        <f t="shared" si="247"/>
        <v>0</v>
      </c>
      <c r="AB255" s="47"/>
      <c r="AC255" s="54"/>
      <c r="AD255" s="33">
        <f t="shared" si="248"/>
        <v>0</v>
      </c>
      <c r="AE255" s="33">
        <f t="shared" si="214"/>
        <v>0</v>
      </c>
    </row>
    <row r="256" spans="2:31" x14ac:dyDescent="0.3">
      <c r="B256"/>
      <c r="C256" s="9" t="s">
        <v>9</v>
      </c>
      <c r="D256" s="58">
        <f t="shared" si="221"/>
        <v>42223</v>
      </c>
      <c r="E256" s="29" t="s">
        <v>31</v>
      </c>
      <c r="F256" s="52"/>
      <c r="G256" s="187"/>
      <c r="H256" s="187"/>
      <c r="I256" s="187"/>
      <c r="J256" s="45">
        <f>IF(OR(E256="férié travaillé",E256="travail"),(I256-G256+IF(G256&gt;I256,1)-H256),INDEX('bases de donnée'!$E$20:'bases de donnée'!$E$32,MATCH(E256,gerald2,0)))</f>
        <v>0.3</v>
      </c>
      <c r="K256" s="20">
        <f>IF(SUM(J256-'bases de donnée'!E$7)&lt;0,0,SUM(J256-'bases de donnée'!E$7))</f>
        <v>0</v>
      </c>
      <c r="L256" s="11">
        <f>IF(OR(E256="férié travaillé",E256="travail"),I256-G256+IF(G256&gt;I256,1),INDEX('bases de donnée'!$E$20:'bases de donnée'!$E$32,MATCH(E256,gerald2,0)))</f>
        <v>0.3</v>
      </c>
      <c r="M256" s="21">
        <f>IF(SUM(L256-'bases de donnée'!E$4)&lt;0,0,SUM(L256-'bases de donnée'!E$4))</f>
        <v>0</v>
      </c>
      <c r="N256" s="155">
        <v>0</v>
      </c>
      <c r="O256" s="74">
        <f t="shared" si="250"/>
        <v>1.2</v>
      </c>
      <c r="P256" s="86">
        <f>O259</f>
        <v>1.5</v>
      </c>
      <c r="Q256" s="120">
        <f t="shared" si="251"/>
        <v>1</v>
      </c>
      <c r="R256" s="30"/>
      <c r="S256" s="77">
        <f>IF(SUM(MOD(I256-G256,1)-IF(I256&gt;G256,MAX(0,MIN(I256,'bases de donnée'!E$16/24)-MAX('planning '!G256,7/24)),MAX(0,'bases de donnée'!E$16/24-MAX('planning '!G256,7/24))+MAX(0,MIN('planning '!I256,'bases de donnée'!E$16/24)-7/24)))&lt;0,0,SUM(MOD('planning '!I256-'planning '!G256,1)-IF('planning '!I256&gt;'planning '!G256,MAX(0,MIN('planning '!I256,'bases de donnée'!E$16/24)-MAX('planning '!G256,7/24)),MAX(0,'bases de donnée'!E$16/24-MAX('planning '!G256,7/24))+MAX(0,MIN('planning '!I256,'bases de donnée'!E$16/24)-7/24))))</f>
        <v>0</v>
      </c>
      <c r="T256" s="82"/>
      <c r="U256" s="77" t="str">
        <f t="shared" si="244"/>
        <v>00:00</v>
      </c>
      <c r="V256" s="78">
        <f>IF(SUM(IF(O256&gt;("36:00"*1),O256-("36:00"*1),0)-V254-V255)&lt;0,0,SUM(IF(O256&gt;("36:00"*1),O256-("36:00"*1),0)-V253-V254-V255))</f>
        <v>0</v>
      </c>
      <c r="W256" s="47"/>
      <c r="X256" s="48">
        <f t="shared" si="245"/>
        <v>0</v>
      </c>
      <c r="Y256" s="42"/>
      <c r="Z256" s="49">
        <f t="shared" si="246"/>
        <v>0</v>
      </c>
      <c r="AA256" s="48">
        <f t="shared" si="247"/>
        <v>0</v>
      </c>
      <c r="AB256" s="47"/>
      <c r="AC256" s="54"/>
      <c r="AD256" s="33">
        <f t="shared" si="248"/>
        <v>0</v>
      </c>
      <c r="AE256" s="33">
        <f t="shared" si="214"/>
        <v>0</v>
      </c>
    </row>
    <row r="257" spans="2:31" x14ac:dyDescent="0.3">
      <c r="B257"/>
      <c r="C257" s="9" t="s">
        <v>3</v>
      </c>
      <c r="D257" s="58">
        <f t="shared" si="221"/>
        <v>42224</v>
      </c>
      <c r="E257" s="29" t="s">
        <v>31</v>
      </c>
      <c r="F257" s="52"/>
      <c r="G257" s="187"/>
      <c r="H257" s="187"/>
      <c r="I257" s="187"/>
      <c r="J257" s="45">
        <f>IF(OR(E257="férié travaillé",E257="travail"),(I257-G257+IF(G257&gt;I257,1)-H257),INDEX('bases de donnée'!$E$20:'bases de donnée'!$E$32,MATCH(E257,gerald2,0)))</f>
        <v>0.3</v>
      </c>
      <c r="K257" s="20">
        <f>IF(SUM(J257-'bases de donnée'!E$7)&lt;0,0,SUM(J257-'bases de donnée'!E$7))</f>
        <v>0</v>
      </c>
      <c r="L257" s="11">
        <f>IF(OR(E257="férié travaillé",E257="travail"),I257-G257+IF(G257&gt;I257,1),INDEX('bases de donnée'!$E$20:'bases de donnée'!$E$32,MATCH(E257,gerald2,0)))</f>
        <v>0.3</v>
      </c>
      <c r="M257" s="21">
        <f>IF(SUM(L257-'bases de donnée'!E$4)&lt;0,0,SUM(L257-'bases de donnée'!E$4))</f>
        <v>0</v>
      </c>
      <c r="N257" s="155">
        <v>0</v>
      </c>
      <c r="O257" s="74">
        <f t="shared" si="250"/>
        <v>1.5</v>
      </c>
      <c r="P257" s="8" t="s">
        <v>48</v>
      </c>
      <c r="Q257" s="120">
        <f t="shared" si="251"/>
        <v>1</v>
      </c>
      <c r="R257" s="30"/>
      <c r="S257" s="77">
        <f>IF(SUM(MOD(I257-G257,1)-IF(I257&gt;G257,MAX(0,MIN(I257,'bases de donnée'!E$16/24)-MAX('planning '!G257,7/24)),MAX(0,'bases de donnée'!E$16/24-MAX('planning '!G257,7/24))+MAX(0,MIN('planning '!I257,'bases de donnée'!E$16/24)-7/24)))&lt;0,0,SUM(MOD('planning '!I257-'planning '!G257,1)-IF('planning '!I257&gt;'planning '!G257,MAX(0,MIN('planning '!I257,'bases de donnée'!E$16/24)-MAX('planning '!G257,7/24)),MAX(0,'bases de donnée'!E$16/24-MAX('planning '!G257,7/24))+MAX(0,MIN('planning '!I257,'bases de donnée'!E$16/24)-7/24))))</f>
        <v>0</v>
      </c>
      <c r="T257" s="82"/>
      <c r="U257" s="77" t="str">
        <f t="shared" si="244"/>
        <v>00:00</v>
      </c>
      <c r="V257" s="78">
        <f>IF(SUM(IF(O257&gt;("36:00"*1),O257-("36:00"*1),0)-V255-V256)&lt;0,0,SUM(IF(O257&gt;("36:00"*1),O257-("36:00"*1),0)-V253-V254-V255-V256))</f>
        <v>0</v>
      </c>
      <c r="W257" s="47"/>
      <c r="X257" s="48">
        <f t="shared" si="245"/>
        <v>0</v>
      </c>
      <c r="Y257" s="42"/>
      <c r="Z257" s="49">
        <f t="shared" si="246"/>
        <v>0</v>
      </c>
      <c r="AA257" s="48">
        <f t="shared" si="247"/>
        <v>0</v>
      </c>
      <c r="AB257" s="47"/>
      <c r="AC257" s="54"/>
      <c r="AD257" s="33">
        <f t="shared" si="248"/>
        <v>0</v>
      </c>
      <c r="AE257" s="33">
        <f t="shared" si="214"/>
        <v>0</v>
      </c>
    </row>
    <row r="258" spans="2:31" x14ac:dyDescent="0.3">
      <c r="B258"/>
      <c r="C258" s="9" t="s">
        <v>4</v>
      </c>
      <c r="D258" s="58">
        <f t="shared" si="221"/>
        <v>42225</v>
      </c>
      <c r="E258" s="29" t="s">
        <v>28</v>
      </c>
      <c r="F258" s="52"/>
      <c r="G258" s="187"/>
      <c r="H258" s="187"/>
      <c r="I258" s="187"/>
      <c r="J258" s="45">
        <f>IF(OR(E258="férié travaillé",E258="travail"),(I258-G258+IF(G258&gt;I258,1)-H258),INDEX('bases de donnée'!$E$20:'bases de donnée'!$E$32,MATCH(E258,gerald2,0)))</f>
        <v>0</v>
      </c>
      <c r="K258" s="20">
        <f>IF(SUM(J258-'bases de donnée'!E$7)&lt;0,0,SUM(J258-'bases de donnée'!E$7))</f>
        <v>0</v>
      </c>
      <c r="L258" s="11">
        <f>IF(OR(E258="férié travaillé",E258="travail"),I258-G258+IF(G258&gt;I258,1),INDEX('bases de donnée'!$E$20:'bases de donnée'!$E$32,MATCH(E258,gerald2,0)))</f>
        <v>0</v>
      </c>
      <c r="M258" s="21">
        <f>IF(SUM(L258-'bases de donnée'!E$4)&lt;0,0,SUM(L258-'bases de donnée'!E$4))</f>
        <v>0</v>
      </c>
      <c r="N258" s="155">
        <v>0</v>
      </c>
      <c r="O258" s="74">
        <f t="shared" si="250"/>
        <v>1.5</v>
      </c>
      <c r="P258" s="61">
        <f>'bases de donnée'!E$10</f>
        <v>2</v>
      </c>
      <c r="Q258" s="120">
        <f t="shared" si="251"/>
        <v>0</v>
      </c>
      <c r="R258" s="30"/>
      <c r="S258" s="77">
        <f>IF(SUM(MOD(I258-G258,1)-IF(I258&gt;G258,MAX(0,MIN(I258,'bases de donnée'!E$16/24)-MAX('planning '!G258,7/24)),MAX(0,'bases de donnée'!E$16/24-MAX('planning '!G258,7/24))+MAX(0,MIN('planning '!I258,'bases de donnée'!E$16/24)-7/24)))&lt;0,0,SUM(MOD('planning '!I258-'planning '!G258,1)-IF('planning '!I258&gt;'planning '!G258,MAX(0,MIN('planning '!I258,'bases de donnée'!E$16/24)-MAX('planning '!G258,7/24)),MAX(0,'bases de donnée'!E$16/24-MAX('planning '!G258,7/24))+MAX(0,MIN('planning '!I258,'bases de donnée'!E$16/24)-7/24))))</f>
        <v>0</v>
      </c>
      <c r="T258" s="82"/>
      <c r="U258" s="77" t="str">
        <f t="shared" si="244"/>
        <v>00:00</v>
      </c>
      <c r="V258" s="78">
        <f>IF(SUM(IF(O258&gt;("36:00"*1),O258-("36:00"*1),0)-V256-V257)&lt;0,0,SUM(IF(O258&gt;("36:00"*1),O258-("36:00"*1),0)-V253-V254-V255-V256-V257))</f>
        <v>0</v>
      </c>
      <c r="W258" s="47"/>
      <c r="X258" s="48">
        <f t="shared" si="245"/>
        <v>0</v>
      </c>
      <c r="Y258" s="32"/>
      <c r="Z258" s="49">
        <f t="shared" si="246"/>
        <v>0</v>
      </c>
      <c r="AA258" s="48">
        <f t="shared" si="247"/>
        <v>0</v>
      </c>
      <c r="AB258" s="47"/>
      <c r="AC258" s="55"/>
      <c r="AD258" s="33">
        <f t="shared" si="248"/>
        <v>0</v>
      </c>
      <c r="AE258" s="33">
        <f t="shared" si="214"/>
        <v>0</v>
      </c>
    </row>
    <row r="259" spans="2:31" x14ac:dyDescent="0.3">
      <c r="B259"/>
      <c r="C259" s="9" t="s">
        <v>5</v>
      </c>
      <c r="D259" s="58">
        <f t="shared" si="221"/>
        <v>42226</v>
      </c>
      <c r="E259" s="29" t="s">
        <v>28</v>
      </c>
      <c r="F259" s="71"/>
      <c r="G259" s="187"/>
      <c r="H259" s="187"/>
      <c r="I259" s="187"/>
      <c r="J259" s="45">
        <f>IF(OR(E259="férié travaillé",E259="travail"),(I259-G259+IF(G259&gt;I259,1)-H259),INDEX('bases de donnée'!$E$20:'bases de donnée'!$E$32,MATCH(E259,gerald2,0)))</f>
        <v>0</v>
      </c>
      <c r="K259" s="20">
        <f>IF(SUM(J259-'bases de donnée'!E$7)&lt;0,0,SUM(J259-'bases de donnée'!E$7))</f>
        <v>0</v>
      </c>
      <c r="L259" s="11">
        <f>IF(OR(E259="férié travaillé",E259="travail"),I259-G259+IF(G259&gt;I259,1),INDEX('bases de donnée'!$E$20:'bases de donnée'!$E$32,MATCH(E259,gerald2,0)))</f>
        <v>0</v>
      </c>
      <c r="M259" s="21">
        <f>IF(SUM(L259-'bases de donnée'!E$4)&lt;0,0,SUM(L259-'bases de donnée'!E$4))</f>
        <v>0</v>
      </c>
      <c r="N259" s="155">
        <v>0</v>
      </c>
      <c r="O259" s="74">
        <f t="shared" si="250"/>
        <v>1.5</v>
      </c>
      <c r="P259" s="33">
        <f>IF(SUM(O259-'bases de donnée'!E$10)&lt;0,0,SUM(O259-'bases de donnée'!E$10))</f>
        <v>0</v>
      </c>
      <c r="Q259" s="120">
        <f t="shared" si="251"/>
        <v>0</v>
      </c>
      <c r="R259" s="30"/>
      <c r="S259" s="77">
        <f>IF(SUM(MOD(I259-G259,1)-IF(I259&gt;G259,MAX(0,MIN(I259,'bases de donnée'!E$16/24)-MAX('planning '!G259,7/24)),MAX(0,'bases de donnée'!E$16/24-MAX('planning '!G259,7/24))+MAX(0,MIN('planning '!I259,'bases de donnée'!E$16/24)-7/24)))&lt;0,0,SUM(MOD('planning '!I259-'planning '!G259,1)-IF('planning '!I259&gt;'planning '!G259,MAX(0,MIN('planning '!I259,'bases de donnée'!E$16/24)-MAX('planning '!G259,7/24)),MAX(0,'bases de donnée'!E$16/24-MAX('planning '!G259,7/24))+MAX(0,MIN('planning '!I259,'bases de donnée'!E$16/24)-7/24))))</f>
        <v>0</v>
      </c>
      <c r="T259" s="77">
        <f>J259</f>
        <v>0</v>
      </c>
      <c r="U259" s="77" t="str">
        <f t="shared" si="244"/>
        <v>00:00</v>
      </c>
      <c r="V259" s="78">
        <f>IF(SUM(IF(O259&gt;("36:00"*1),O259-("36:00"*1),0)-V257-V258)&lt;0,0,SUM(IF(O259&gt;("36:00"*1),O259-("36:00"*1),0)-V253-V254-V255-V256-V257-V258))</f>
        <v>0</v>
      </c>
      <c r="W259" s="47"/>
      <c r="X259" s="48">
        <f t="shared" si="245"/>
        <v>0</v>
      </c>
      <c r="Y259" s="48">
        <f t="shared" ref="Y259" si="252">IF(SUM(T259-S259)&lt;0,0,SUM(T259-S259))</f>
        <v>0</v>
      </c>
      <c r="Z259" s="56">
        <f t="shared" ref="Z259" si="253">IF(SUM(U259-T259-S259)&lt;0,0,SUM(U259-T259-S259))</f>
        <v>0</v>
      </c>
      <c r="AA259" s="48">
        <f>IF(SUM(V259-S259-T259-U259)&lt;0,0,SUM(V259-S259-T259-U259))</f>
        <v>0</v>
      </c>
      <c r="AB259" s="47"/>
      <c r="AC259" s="57">
        <f t="shared" ref="AC259" si="254">IF(SUM(T259-Y259)&lt;0,0,SUM(T259-Y259))</f>
        <v>0</v>
      </c>
      <c r="AD259" s="33">
        <f t="shared" si="248"/>
        <v>0</v>
      </c>
      <c r="AE259" s="33">
        <f t="shared" si="214"/>
        <v>0</v>
      </c>
    </row>
    <row r="260" spans="2:31" x14ac:dyDescent="0.3">
      <c r="B260"/>
      <c r="C260" s="25"/>
      <c r="D260" s="90"/>
      <c r="E260" s="90"/>
      <c r="F260" s="25"/>
      <c r="G260" s="185"/>
      <c r="H260" s="185"/>
      <c r="I260" s="185"/>
      <c r="J260" s="47"/>
      <c r="K260" s="92"/>
      <c r="L260" s="91"/>
      <c r="M260" s="91"/>
      <c r="N260" s="91"/>
      <c r="O260" s="93"/>
      <c r="P260" s="47"/>
      <c r="Q260" s="30"/>
      <c r="R260" s="30"/>
      <c r="S260" s="47"/>
      <c r="T260" s="47"/>
      <c r="U260" s="47"/>
      <c r="V260" s="93"/>
      <c r="W260" s="47"/>
      <c r="X260" s="47"/>
      <c r="Y260" s="47"/>
      <c r="Z260" s="47"/>
      <c r="AA260" s="47"/>
      <c r="AB260" s="47"/>
      <c r="AC260" s="47"/>
      <c r="AD260" s="47"/>
      <c r="AE260" s="47"/>
    </row>
    <row r="261" spans="2:31" x14ac:dyDescent="0.3">
      <c r="B261" s="14" t="s">
        <v>40</v>
      </c>
      <c r="C261" s="14" t="s">
        <v>6</v>
      </c>
      <c r="D261" s="43">
        <f>D259+1</f>
        <v>42227</v>
      </c>
      <c r="E261" s="29" t="s">
        <v>31</v>
      </c>
      <c r="F261" s="44"/>
      <c r="G261" s="187"/>
      <c r="H261" s="187"/>
      <c r="I261" s="187"/>
      <c r="J261" s="45">
        <f>IF(OR(E261="férié travaillé",E261="travail"),(I261-G261+IF(G261&gt;I261,1)-H261),INDEX('bases de donnée'!$E$20:'bases de donnée'!$E$32,MATCH(E261,gerald2,0)))</f>
        <v>0.3</v>
      </c>
      <c r="K261" s="20">
        <f>IF(SUM(J261-'bases de donnée'!E$7)&lt;0,0,SUM(J261-'bases de donnée'!E$7))</f>
        <v>0</v>
      </c>
      <c r="L261" s="11">
        <f>IF(OR(E261="férié travaillé",E261="travail"),I261-G261+IF(G261&gt;I261,1),INDEX('bases de donnée'!$E$20:'bases de donnée'!$E$32,MATCH(E261,gerald2,0)))</f>
        <v>0.3</v>
      </c>
      <c r="M261" s="21">
        <f>IF(SUM(L261-'bases de donnée'!E$4)&lt;0,0,SUM(L261-'bases de donnée'!E$4))</f>
        <v>0</v>
      </c>
      <c r="N261" s="155">
        <v>0</v>
      </c>
      <c r="O261" s="45">
        <f t="shared" ref="O261" si="255">J261</f>
        <v>0.3</v>
      </c>
      <c r="P261" s="122">
        <f>SUM(Q261:Q267)</f>
        <v>5</v>
      </c>
      <c r="Q261" s="120">
        <f>IF(AND(G261&lt;&gt;"",I261&lt;&gt;""),1,0+OR(N(I260)&lt;N(G260),E261="récupération",E261="congé 1 jour",E261="congé 1/2 jour ",E261="congé 5h24",E261="arrêt maladie",E261="arrêt travail",E261="férié ",E261="congé parentale",E261="congé de naissance"))</f>
        <v>1</v>
      </c>
      <c r="R261" s="30"/>
      <c r="S261" s="77">
        <f>IF(SUM(MOD(I261-G261,1)-IF(I261&gt;G261,MAX(0,MIN(I261,'bases de donnée'!E$16/24)-MAX('planning '!G261,7/24)),MAX(0,'bases de donnée'!E$16/24-MAX('planning '!G261,7/24))+MAX(0,MIN('planning '!I261,'bases de donnée'!E$16/24)-7/24)))&lt;0,0,SUM(MOD('planning '!I261-'planning '!G261,1)-IF('planning '!I261&gt;'planning '!G261,MAX(0,MIN('planning '!I261,'bases de donnée'!E$16/24)-MAX('planning '!G261,7/24)),MAX(0,'bases de donnée'!E$16/24-MAX('planning '!G261,7/24))+MAX(0,MIN('planning '!I261,'bases de donnée'!E$16/24)-7/24))))</f>
        <v>0</v>
      </c>
      <c r="T261" s="81"/>
      <c r="U261" s="77" t="str">
        <f t="shared" ref="U261:U267" si="256">IF(E261&lt;&gt;"travail",IF(E261="férié travaillé",MOD(I261-G261,1)-H261,"00:00"),"00:00")</f>
        <v>00:00</v>
      </c>
      <c r="V261" s="78"/>
      <c r="W261" s="47"/>
      <c r="X261" s="48">
        <f t="shared" si="245"/>
        <v>0</v>
      </c>
      <c r="Y261" s="31"/>
      <c r="Z261" s="49">
        <f t="shared" ref="Z261:Z266" si="257">IF(SUM(U261-X261)&lt;0,0,SUM(U261-X261))</f>
        <v>0</v>
      </c>
      <c r="AA261" s="48">
        <f t="shared" ref="AA261:AA266" si="258">IF(SUM(V261-X261-Z261)&lt;0,0,SUM(V261-X261-Z261))</f>
        <v>0</v>
      </c>
      <c r="AB261" s="47"/>
      <c r="AC261" s="50"/>
      <c r="AD261" s="33">
        <f t="shared" si="248"/>
        <v>0</v>
      </c>
      <c r="AE261" s="33">
        <f t="shared" si="214"/>
        <v>0</v>
      </c>
    </row>
    <row r="262" spans="2:31" x14ac:dyDescent="0.3">
      <c r="B262" s="51">
        <f t="shared" ref="B262" si="259">B254+1</f>
        <v>32</v>
      </c>
      <c r="C262" s="14" t="s">
        <v>7</v>
      </c>
      <c r="D262" s="43">
        <f t="shared" si="221"/>
        <v>42228</v>
      </c>
      <c r="E262" s="29" t="s">
        <v>31</v>
      </c>
      <c r="F262" s="52"/>
      <c r="G262" s="187"/>
      <c r="H262" s="187"/>
      <c r="I262" s="187"/>
      <c r="J262" s="45">
        <f>IF(OR(E262="férié travaillé",E262="travail"),(I262-G262+IF(G262&gt;I262,1)-H262),INDEX('bases de donnée'!$E$20:'bases de donnée'!$E$32,MATCH(E262,gerald2,0)))</f>
        <v>0.3</v>
      </c>
      <c r="K262" s="20">
        <f>IF(SUM(J262-'bases de donnée'!E$7)&lt;0,0,SUM(J262-'bases de donnée'!E$7))</f>
        <v>0</v>
      </c>
      <c r="L262" s="11">
        <f>IF(OR(E262="férié travaillé",E262="travail"),I262-G262+IF(G262&gt;I262,1),INDEX('bases de donnée'!$E$20:'bases de donnée'!$E$32,MATCH(E262,gerald2,0)))</f>
        <v>0.3</v>
      </c>
      <c r="M262" s="21">
        <f>IF(SUM(L262-'bases de donnée'!E$4)&lt;0,0,SUM(L262-'bases de donnée'!E$4))</f>
        <v>0</v>
      </c>
      <c r="N262" s="155">
        <v>0</v>
      </c>
      <c r="O262" s="73">
        <f t="shared" ref="O262:O267" si="260">O261+J262</f>
        <v>0.6</v>
      </c>
      <c r="P262" s="121">
        <f>IF(SUM(P261-'bases de donnée'!E$6)&lt;0,0,SUM(P261-'bases de donnée'!E$6))</f>
        <v>0</v>
      </c>
      <c r="Q262" s="120">
        <f t="shared" ref="Q262:Q267" si="261">IF(AND(G262&lt;&gt;"",I262&lt;&gt;""),1,0+OR(N(I261)&lt;N(G261),E262="récupération",E262="congé 1 jour",E262="congé 1/2 jour ",E262="congé 5h24",E262="arrêt maladie",E262="arrêt travail",E262="férié ",E262="congé parentale",E262="congé de naissance"))</f>
        <v>1</v>
      </c>
      <c r="R262" s="30"/>
      <c r="S262" s="77">
        <f>IF(SUM(MOD(I262-G262,1)-IF(I262&gt;G262,MAX(0,MIN(I262,'bases de donnée'!E$16/24)-MAX('planning '!G262,7/24)),MAX(0,'bases de donnée'!E$16/24-MAX('planning '!G262,7/24))+MAX(0,MIN('planning '!I262,'bases de donnée'!E$16/24)-7/24)))&lt;0,0,SUM(MOD('planning '!I262-'planning '!G262,1)-IF('planning '!I262&gt;'planning '!G262,MAX(0,MIN('planning '!I262,'bases de donnée'!E$16/24)-MAX('planning '!G262,7/24)),MAX(0,'bases de donnée'!E$16/24-MAX('planning '!G262,7/24))+MAX(0,MIN('planning '!I262,'bases de donnée'!E$16/24)-7/24))))</f>
        <v>0</v>
      </c>
      <c r="T262" s="82"/>
      <c r="U262" s="77" t="str">
        <f t="shared" si="256"/>
        <v>00:00</v>
      </c>
      <c r="V262" s="78">
        <f>IF(SUM(IF(O262&gt;('bases de donnée'!E$9*1),O262-('bases de donnée'!E$9*1),0)-V261)&lt;0,0,SUM(IF(O262&gt;('bases de donnée'!E$9*1),O262-('bases de donnée'!E$9*1),0)-V261))</f>
        <v>0</v>
      </c>
      <c r="W262" s="47"/>
      <c r="X262" s="48">
        <f t="shared" si="245"/>
        <v>0</v>
      </c>
      <c r="Y262" s="42"/>
      <c r="Z262" s="49">
        <f t="shared" si="257"/>
        <v>0</v>
      </c>
      <c r="AA262" s="48">
        <f t="shared" si="258"/>
        <v>0</v>
      </c>
      <c r="AB262" s="47"/>
      <c r="AC262" s="54"/>
      <c r="AD262" s="33">
        <f t="shared" si="248"/>
        <v>0</v>
      </c>
      <c r="AE262" s="33">
        <f t="shared" si="214"/>
        <v>0</v>
      </c>
    </row>
    <row r="263" spans="2:31" x14ac:dyDescent="0.3">
      <c r="B263"/>
      <c r="C263" s="14" t="s">
        <v>8</v>
      </c>
      <c r="D263" s="43">
        <f t="shared" si="221"/>
        <v>42229</v>
      </c>
      <c r="E263" s="29" t="s">
        <v>31</v>
      </c>
      <c r="F263" s="52"/>
      <c r="G263" s="187"/>
      <c r="H263" s="187"/>
      <c r="I263" s="187"/>
      <c r="J263" s="45">
        <f>IF(OR(E263="férié travaillé",E263="travail"),(I263-G263+IF(G263&gt;I263,1)-H263),INDEX('bases de donnée'!$E$20:'bases de donnée'!$E$32,MATCH(E263,gerald2,0)))</f>
        <v>0.3</v>
      </c>
      <c r="K263" s="20">
        <f>IF(SUM(J263-'bases de donnée'!E$7)&lt;0,0,SUM(J263-'bases de donnée'!E$7))</f>
        <v>0</v>
      </c>
      <c r="L263" s="11">
        <f>IF(OR(E263="férié travaillé",E263="travail"),I263-G263+IF(G263&gt;I263,1),INDEX('bases de donnée'!$E$20:'bases de donnée'!$E$32,MATCH(E263,gerald2,0)))</f>
        <v>0.3</v>
      </c>
      <c r="M263" s="21">
        <f>IF(SUM(L263-'bases de donnée'!E$4)&lt;0,0,SUM(L263-'bases de donnée'!E$4))</f>
        <v>0</v>
      </c>
      <c r="N263" s="155">
        <v>0</v>
      </c>
      <c r="O263" s="73">
        <f t="shared" si="260"/>
        <v>0.89999999999999991</v>
      </c>
      <c r="P263" s="34" t="s">
        <v>46</v>
      </c>
      <c r="Q263" s="120">
        <f t="shared" si="261"/>
        <v>1</v>
      </c>
      <c r="R263" s="30"/>
      <c r="S263" s="77">
        <f>IF(SUM(MOD(I263-G263,1)-IF(I263&gt;G263,MAX(0,MIN(I263,'bases de donnée'!E$16/24)-MAX('planning '!G263,7/24)),MAX(0,'bases de donnée'!E$16/24-MAX('planning '!G263,7/24))+MAX(0,MIN('planning '!I263,'bases de donnée'!E$16/24)-7/24)))&lt;0,0,SUM(MOD('planning '!I263-'planning '!G263,1)-IF('planning '!I263&gt;'planning '!G263,MAX(0,MIN('planning '!I263,'bases de donnée'!E$16/24)-MAX('planning '!G263,7/24)),MAX(0,'bases de donnée'!E$16/24-MAX('planning '!G263,7/24))+MAX(0,MIN('planning '!I263,'bases de donnée'!E$16/24)-7/24))))</f>
        <v>0</v>
      </c>
      <c r="T263" s="82"/>
      <c r="U263" s="77" t="str">
        <f t="shared" si="256"/>
        <v>00:00</v>
      </c>
      <c r="V263" s="78">
        <f>IF(SUM(IF(O263&gt;("36:00"*1),O263-("36:00"*1),0)-V261-V262)&lt;0,0,SUM(IF(O263&gt;("36:00"*1),O263-("36:00"*1),0)-V261-V262))</f>
        <v>0</v>
      </c>
      <c r="W263" s="47"/>
      <c r="X263" s="48">
        <f t="shared" si="245"/>
        <v>0</v>
      </c>
      <c r="Y263" s="42"/>
      <c r="Z263" s="49">
        <f t="shared" si="257"/>
        <v>0</v>
      </c>
      <c r="AA263" s="48">
        <f t="shared" si="258"/>
        <v>0</v>
      </c>
      <c r="AB263" s="47"/>
      <c r="AC263" s="54"/>
      <c r="AD263" s="33">
        <f t="shared" si="248"/>
        <v>0</v>
      </c>
      <c r="AE263" s="33">
        <f t="shared" si="214"/>
        <v>0</v>
      </c>
    </row>
    <row r="264" spans="2:31" x14ac:dyDescent="0.3">
      <c r="B264"/>
      <c r="C264" s="14" t="s">
        <v>9</v>
      </c>
      <c r="D264" s="43">
        <f t="shared" si="221"/>
        <v>42230</v>
      </c>
      <c r="E264" s="29" t="s">
        <v>36</v>
      </c>
      <c r="F264" s="52"/>
      <c r="G264" s="187"/>
      <c r="H264" s="187"/>
      <c r="I264" s="187"/>
      <c r="J264" s="45">
        <f>IF(OR(E264="férié travaillé",E264="travail"),(I264-G264+IF(G264&gt;I264,1)-H264),INDEX('bases de donnée'!$E$20:'bases de donnée'!$E$32,MATCH(E264,gerald2,0)))</f>
        <v>0.3</v>
      </c>
      <c r="K264" s="20">
        <f>IF(SUM(J264-'bases de donnée'!E$7)&lt;0,0,SUM(J264-'bases de donnée'!E$7))</f>
        <v>0</v>
      </c>
      <c r="L264" s="11">
        <f>IF(OR(E264="férié travaillé",E264="travail"),I264-G264+IF(G264&gt;I264,1),INDEX('bases de donnée'!$E$20:'bases de donnée'!$E$32,MATCH(E264,gerald2,0)))</f>
        <v>0.3</v>
      </c>
      <c r="M264" s="21">
        <f>IF(SUM(L264-'bases de donnée'!E$4)&lt;0,0,SUM(L264-'bases de donnée'!E$4))</f>
        <v>0</v>
      </c>
      <c r="N264" s="155">
        <v>0</v>
      </c>
      <c r="O264" s="73">
        <f t="shared" si="260"/>
        <v>1.2</v>
      </c>
      <c r="P264" s="86">
        <f>O267</f>
        <v>1.5</v>
      </c>
      <c r="Q264" s="120">
        <f t="shared" si="261"/>
        <v>1</v>
      </c>
      <c r="R264" s="30"/>
      <c r="S264" s="77">
        <f>IF(SUM(MOD(I264-G264,1)-IF(I264&gt;G264,MAX(0,MIN(I264,'bases de donnée'!E$16/24)-MAX('planning '!G264,7/24)),MAX(0,'bases de donnée'!E$16/24-MAX('planning '!G264,7/24))+MAX(0,MIN('planning '!I264,'bases de donnée'!E$16/24)-7/24)))&lt;0,0,SUM(MOD('planning '!I264-'planning '!G264,1)-IF('planning '!I264&gt;'planning '!G264,MAX(0,MIN('planning '!I264,'bases de donnée'!E$16/24)-MAX('planning '!G264,7/24)),MAX(0,'bases de donnée'!E$16/24-MAX('planning '!G264,7/24))+MAX(0,MIN('planning '!I264,'bases de donnée'!E$16/24)-7/24))))</f>
        <v>0</v>
      </c>
      <c r="T264" s="82"/>
      <c r="U264" s="77" t="str">
        <f t="shared" si="256"/>
        <v>00:00</v>
      </c>
      <c r="V264" s="78">
        <f>IF(SUM(IF(O264&gt;("36:00"*1),O264-("36:00"*1),0)-V262-V263)&lt;0,0,SUM(IF(O264&gt;("36:00"*1),O264-("36:00"*1),0)-V261-V262-V263))</f>
        <v>0</v>
      </c>
      <c r="W264" s="47"/>
      <c r="X264" s="48">
        <f t="shared" si="245"/>
        <v>0</v>
      </c>
      <c r="Y264" s="42"/>
      <c r="Z264" s="49">
        <f t="shared" si="257"/>
        <v>0</v>
      </c>
      <c r="AA264" s="48">
        <f t="shared" si="258"/>
        <v>0</v>
      </c>
      <c r="AB264" s="47"/>
      <c r="AC264" s="54"/>
      <c r="AD264" s="33">
        <f t="shared" si="248"/>
        <v>0</v>
      </c>
      <c r="AE264" s="33">
        <f t="shared" si="214"/>
        <v>0</v>
      </c>
    </row>
    <row r="265" spans="2:31" x14ac:dyDescent="0.3">
      <c r="B265"/>
      <c r="C265" s="14" t="s">
        <v>3</v>
      </c>
      <c r="D265" s="43">
        <f t="shared" si="221"/>
        <v>42231</v>
      </c>
      <c r="E265" s="29" t="s">
        <v>31</v>
      </c>
      <c r="F265" s="52"/>
      <c r="G265" s="187"/>
      <c r="H265" s="187"/>
      <c r="I265" s="187"/>
      <c r="J265" s="45">
        <f>IF(OR(E265="férié travaillé",E265="travail"),(I265-G265+IF(G265&gt;I265,1)-H265),INDEX('bases de donnée'!$E$20:'bases de donnée'!$E$32,MATCH(E265,gerald2,0)))</f>
        <v>0.3</v>
      </c>
      <c r="K265" s="20">
        <f>IF(SUM(J265-'bases de donnée'!E$7)&lt;0,0,SUM(J265-'bases de donnée'!E$7))</f>
        <v>0</v>
      </c>
      <c r="L265" s="11">
        <f>IF(OR(E265="férié travaillé",E265="travail"),I265-G265+IF(G265&gt;I265,1),INDEX('bases de donnée'!$E$20:'bases de donnée'!$E$32,MATCH(E265,gerald2,0)))</f>
        <v>0.3</v>
      </c>
      <c r="M265" s="21">
        <f>IF(SUM(L265-'bases de donnée'!E$4)&lt;0,0,SUM(L265-'bases de donnée'!E$4))</f>
        <v>0</v>
      </c>
      <c r="N265" s="155">
        <v>0</v>
      </c>
      <c r="O265" s="73">
        <f t="shared" si="260"/>
        <v>1.5</v>
      </c>
      <c r="P265" s="12" t="s">
        <v>48</v>
      </c>
      <c r="Q265" s="120">
        <f t="shared" si="261"/>
        <v>1</v>
      </c>
      <c r="R265" s="30"/>
      <c r="S265" s="77">
        <f>IF(SUM(MOD(I265-G265,1)-IF(I265&gt;G265,MAX(0,MIN(I265,'bases de donnée'!E$16/24)-MAX('planning '!G265,7/24)),MAX(0,'bases de donnée'!E$16/24-MAX('planning '!G265,7/24))+MAX(0,MIN('planning '!I265,'bases de donnée'!E$16/24)-7/24)))&lt;0,0,SUM(MOD('planning '!I265-'planning '!G265,1)-IF('planning '!I265&gt;'planning '!G265,MAX(0,MIN('planning '!I265,'bases de donnée'!E$16/24)-MAX('planning '!G265,7/24)),MAX(0,'bases de donnée'!E$16/24-MAX('planning '!G265,7/24))+MAX(0,MIN('planning '!I265,'bases de donnée'!E$16/24)-7/24))))</f>
        <v>0</v>
      </c>
      <c r="T265" s="82"/>
      <c r="U265" s="77" t="str">
        <f t="shared" si="256"/>
        <v>00:00</v>
      </c>
      <c r="V265" s="78">
        <f>IF(SUM(IF(O265&gt;("36:00"*1),O265-("36:00"*1),0)-V263-V264)&lt;0,0,SUM(IF(O265&gt;("36:00"*1),O265-("36:00"*1),0)-V261-V262-V263-V264))</f>
        <v>0</v>
      </c>
      <c r="W265" s="47"/>
      <c r="X265" s="48">
        <f t="shared" si="245"/>
        <v>0</v>
      </c>
      <c r="Y265" s="42"/>
      <c r="Z265" s="49">
        <f t="shared" si="257"/>
        <v>0</v>
      </c>
      <c r="AA265" s="48">
        <f t="shared" si="258"/>
        <v>0</v>
      </c>
      <c r="AB265" s="47"/>
      <c r="AC265" s="54"/>
      <c r="AD265" s="33">
        <f t="shared" si="248"/>
        <v>0</v>
      </c>
      <c r="AE265" s="33">
        <f t="shared" si="214"/>
        <v>0</v>
      </c>
    </row>
    <row r="266" spans="2:31" x14ac:dyDescent="0.3">
      <c r="B266"/>
      <c r="C266" s="14" t="s">
        <v>4</v>
      </c>
      <c r="D266" s="43">
        <f t="shared" si="221"/>
        <v>42232</v>
      </c>
      <c r="E266" s="29" t="s">
        <v>28</v>
      </c>
      <c r="F266" s="52"/>
      <c r="G266" s="187"/>
      <c r="H266" s="187"/>
      <c r="I266" s="187"/>
      <c r="J266" s="45">
        <f>IF(OR(E266="férié travaillé",E266="travail"),(I266-G266+IF(G266&gt;I266,1)-H266),INDEX('bases de donnée'!$E$20:'bases de donnée'!$E$32,MATCH(E266,gerald2,0)))</f>
        <v>0</v>
      </c>
      <c r="K266" s="20">
        <f>IF(SUM(J266-'bases de donnée'!E$7)&lt;0,0,SUM(J266-'bases de donnée'!E$7))</f>
        <v>0</v>
      </c>
      <c r="L266" s="11">
        <f>IF(OR(E266="férié travaillé",E266="travail"),I266-G266+IF(G266&gt;I266,1),INDEX('bases de donnée'!$E$20:'bases de donnée'!$E$32,MATCH(E266,gerald2,0)))</f>
        <v>0</v>
      </c>
      <c r="M266" s="21">
        <f>IF(SUM(L266-'bases de donnée'!E$4)&lt;0,0,SUM(L266-'bases de donnée'!E$4))</f>
        <v>0</v>
      </c>
      <c r="N266" s="155">
        <v>0</v>
      </c>
      <c r="O266" s="73">
        <f t="shared" si="260"/>
        <v>1.5</v>
      </c>
      <c r="P266" s="53">
        <f>'bases de donnée'!E$10</f>
        <v>2</v>
      </c>
      <c r="Q266" s="120">
        <f t="shared" si="261"/>
        <v>0</v>
      </c>
      <c r="R266" s="30"/>
      <c r="S266" s="77">
        <f>IF(SUM(MOD(I266-G266,1)-IF(I266&gt;G266,MAX(0,MIN(I266,'bases de donnée'!E$16/24)-MAX('planning '!G266,7/24)),MAX(0,'bases de donnée'!E$16/24-MAX('planning '!G266,7/24))+MAX(0,MIN('planning '!I266,'bases de donnée'!E$16/24)-7/24)))&lt;0,0,SUM(MOD('planning '!I266-'planning '!G266,1)-IF('planning '!I266&gt;'planning '!G266,MAX(0,MIN('planning '!I266,'bases de donnée'!E$16/24)-MAX('planning '!G266,7/24)),MAX(0,'bases de donnée'!E$16/24-MAX('planning '!G266,7/24))+MAX(0,MIN('planning '!I266,'bases de donnée'!E$16/24)-7/24))))</f>
        <v>0</v>
      </c>
      <c r="T266" s="82"/>
      <c r="U266" s="77" t="str">
        <f t="shared" si="256"/>
        <v>00:00</v>
      </c>
      <c r="V266" s="78">
        <f>IF(SUM(IF(O266&gt;("36:00"*1),O266-("36:00"*1),0)-V264-V265)&lt;0,0,SUM(IF(O266&gt;("36:00"*1),O266-("36:00"*1),0)-V261-V262-V263-V264-V265))</f>
        <v>0</v>
      </c>
      <c r="W266" s="47"/>
      <c r="X266" s="48">
        <f t="shared" si="245"/>
        <v>0</v>
      </c>
      <c r="Y266" s="32"/>
      <c r="Z266" s="49">
        <f t="shared" si="257"/>
        <v>0</v>
      </c>
      <c r="AA266" s="48">
        <f t="shared" si="258"/>
        <v>0</v>
      </c>
      <c r="AB266" s="47"/>
      <c r="AC266" s="55"/>
      <c r="AD266" s="33">
        <f t="shared" si="248"/>
        <v>0</v>
      </c>
      <c r="AE266" s="33">
        <f t="shared" si="214"/>
        <v>0</v>
      </c>
    </row>
    <row r="267" spans="2:31" x14ac:dyDescent="0.3">
      <c r="B267"/>
      <c r="C267" s="14" t="s">
        <v>5</v>
      </c>
      <c r="D267" s="43">
        <f t="shared" si="221"/>
        <v>42233</v>
      </c>
      <c r="E267" s="29" t="s">
        <v>28</v>
      </c>
      <c r="F267" s="71"/>
      <c r="G267" s="187"/>
      <c r="H267" s="187"/>
      <c r="I267" s="187"/>
      <c r="J267" s="45">
        <f>IF(OR(E267="férié travaillé",E267="travail"),(I267-G267+IF(G267&gt;I267,1)-H267),INDEX('bases de donnée'!$E$20:'bases de donnée'!$E$32,MATCH(E267,gerald2,0)))</f>
        <v>0</v>
      </c>
      <c r="K267" s="20">
        <f>IF(SUM(J267-'bases de donnée'!E$7)&lt;0,0,SUM(J267-'bases de donnée'!E$7))</f>
        <v>0</v>
      </c>
      <c r="L267" s="11">
        <f>IF(OR(E267="férié travaillé",E267="travail"),I267-G267+IF(G267&gt;I267,1),INDEX('bases de donnée'!$E$20:'bases de donnée'!$E$32,MATCH(E267,gerald2,0)))</f>
        <v>0</v>
      </c>
      <c r="M267" s="21">
        <f>IF(SUM(L267-'bases de donnée'!E$4)&lt;0,0,SUM(L267-'bases de donnée'!E$4))</f>
        <v>0</v>
      </c>
      <c r="N267" s="155">
        <v>0</v>
      </c>
      <c r="O267" s="73">
        <f t="shared" si="260"/>
        <v>1.5</v>
      </c>
      <c r="P267" s="33">
        <f>IF(SUM(O267-'bases de donnée'!E$10)&lt;0,0,SUM(O267-'bases de donnée'!E$10))</f>
        <v>0</v>
      </c>
      <c r="Q267" s="120">
        <f t="shared" si="261"/>
        <v>0</v>
      </c>
      <c r="R267" s="30"/>
      <c r="S267" s="77">
        <f>IF(SUM(MOD(I267-G267,1)-IF(I267&gt;G267,MAX(0,MIN(I267,'bases de donnée'!E$16/24)-MAX('planning '!G267,7/24)),MAX(0,'bases de donnée'!E$16/24-MAX('planning '!G267,7/24))+MAX(0,MIN('planning '!I267,'bases de donnée'!E$16/24)-7/24)))&lt;0,0,SUM(MOD('planning '!I267-'planning '!G267,1)-IF('planning '!I267&gt;'planning '!G267,MAX(0,MIN('planning '!I267,'bases de donnée'!E$16/24)-MAX('planning '!G267,7/24)),MAX(0,'bases de donnée'!E$16/24-MAX('planning '!G267,7/24))+MAX(0,MIN('planning '!I267,'bases de donnée'!E$16/24)-7/24))))</f>
        <v>0</v>
      </c>
      <c r="T267" s="77">
        <f>J267</f>
        <v>0</v>
      </c>
      <c r="U267" s="77" t="str">
        <f t="shared" si="256"/>
        <v>00:00</v>
      </c>
      <c r="V267" s="78">
        <f>IF(SUM(IF(O267&gt;("36:00"*1),O267-("36:00"*1),0)-V265-V266)&lt;0,0,SUM(IF(O267&gt;("36:00"*1),O267-("36:00"*1),0)-V261-V262-V263-V264-V265-V266))</f>
        <v>0</v>
      </c>
      <c r="W267" s="47"/>
      <c r="X267" s="48">
        <f t="shared" si="245"/>
        <v>0</v>
      </c>
      <c r="Y267" s="48">
        <f t="shared" ref="Y267" si="262">IF(SUM(T267-S267)&lt;0,0,SUM(T267-S267))</f>
        <v>0</v>
      </c>
      <c r="Z267" s="56">
        <f t="shared" ref="Z267" si="263">IF(SUM(U267-T267-S267)&lt;0,0,SUM(U267-T267-S267))</f>
        <v>0</v>
      </c>
      <c r="AA267" s="48">
        <f>IF(SUM(V267-S267-T267-U267)&lt;0,0,SUM(V267-S267-T267-U267))</f>
        <v>0</v>
      </c>
      <c r="AB267" s="47"/>
      <c r="AC267" s="57">
        <f t="shared" ref="AC267" si="264">IF(SUM(T267-Y267)&lt;0,0,SUM(T267-Y267))</f>
        <v>0</v>
      </c>
      <c r="AD267" s="33">
        <f t="shared" si="248"/>
        <v>0</v>
      </c>
      <c r="AE267" s="33">
        <f t="shared" si="214"/>
        <v>0</v>
      </c>
    </row>
    <row r="268" spans="2:31" x14ac:dyDescent="0.3">
      <c r="B268"/>
      <c r="C268" s="25"/>
      <c r="D268" s="90"/>
      <c r="E268" s="90"/>
      <c r="F268" s="25"/>
      <c r="G268" s="185"/>
      <c r="H268" s="185"/>
      <c r="I268" s="185"/>
      <c r="J268" s="47"/>
      <c r="K268" s="92"/>
      <c r="L268" s="91"/>
      <c r="M268" s="91"/>
      <c r="N268" s="91"/>
      <c r="O268" s="93"/>
      <c r="P268" s="47"/>
      <c r="Q268" s="30"/>
      <c r="R268" s="30"/>
      <c r="S268" s="47"/>
      <c r="T268" s="47"/>
      <c r="U268" s="47"/>
      <c r="V268" s="93"/>
      <c r="W268" s="47"/>
      <c r="X268" s="47"/>
      <c r="Y268" s="47"/>
      <c r="Z268" s="47"/>
      <c r="AA268" s="47"/>
      <c r="AB268" s="47"/>
      <c r="AC268" s="47"/>
      <c r="AD268" s="47"/>
      <c r="AE268" s="47"/>
    </row>
    <row r="269" spans="2:31" x14ac:dyDescent="0.3">
      <c r="B269" s="9" t="s">
        <v>40</v>
      </c>
      <c r="C269" s="9" t="s">
        <v>6</v>
      </c>
      <c r="D269" s="58">
        <f>D267+1</f>
        <v>42234</v>
      </c>
      <c r="E269" s="29" t="s">
        <v>30</v>
      </c>
      <c r="F269" s="44"/>
      <c r="G269" s="194"/>
      <c r="H269" s="194"/>
      <c r="I269" s="194"/>
      <c r="J269" s="45">
        <f>IF(OR(E269="férié travaillé",E269="travail"),(I269-G269+IF(G269&gt;I269,1)-H269),INDEX('bases de donnée'!$E$20:'bases de donnée'!$E$32,MATCH(E269,gerald2,0)))</f>
        <v>0.3</v>
      </c>
      <c r="K269" s="20">
        <f>IF(SUM(J269-'bases de donnée'!E$7)&lt;0,0,SUM(J269-'bases de donnée'!E$7))</f>
        <v>0</v>
      </c>
      <c r="L269" s="11">
        <f>IF(OR(E269="férié travaillé",E269="travail"),I269-G269+IF(G269&gt;I269,1),INDEX('bases de donnée'!$E$20:'bases de donnée'!$E$32,MATCH(E269,gerald2,0)))</f>
        <v>0.3</v>
      </c>
      <c r="M269" s="21">
        <f>IF(SUM(L269-'bases de donnée'!E$4)&lt;0,0,SUM(L269-'bases de donnée'!E$4))</f>
        <v>0</v>
      </c>
      <c r="N269" s="155">
        <v>0</v>
      </c>
      <c r="O269" s="59">
        <f t="shared" ref="O269" si="265">J269</f>
        <v>0.3</v>
      </c>
      <c r="P269" s="122">
        <f>SUM(Q269:Q275)</f>
        <v>5</v>
      </c>
      <c r="Q269" s="120">
        <f>IF(AND(G269&lt;&gt;"",I269&lt;&gt;""),1,0+OR(N(I268)&lt;N(G268),E269="récupération",E269="congé 1 jour",E269="congé 1/2 jour ",E269="congé 5h24",E269="arrêt maladie",E269="arrêt travail",E269="férié ",E269="congé parentale",E269="congé de naissance"))</f>
        <v>1</v>
      </c>
      <c r="R269" s="30"/>
      <c r="S269" s="77">
        <f>IF(SUM(MOD(I269-G269,1)-IF(I269&gt;G269,MAX(0,MIN(I269,'bases de donnée'!E$16/24)-MAX('planning '!G269,7/24)),MAX(0,'bases de donnée'!E$16/24-MAX('planning '!G269,7/24))+MAX(0,MIN('planning '!I269,'bases de donnée'!E$16/24)-7/24)))&lt;0,0,SUM(MOD('planning '!I269-'planning '!G269,1)-IF('planning '!I269&gt;'planning '!G269,MAX(0,MIN('planning '!I269,'bases de donnée'!E$16/24)-MAX('planning '!G269,7/24)),MAX(0,'bases de donnée'!E$16/24-MAX('planning '!G269,7/24))+MAX(0,MIN('planning '!I269,'bases de donnée'!E$16/24)-7/24))))</f>
        <v>0</v>
      </c>
      <c r="T269" s="81"/>
      <c r="U269" s="77" t="str">
        <f t="shared" ref="U269:U275" si="266">IF(E269&lt;&gt;"travail",IF(E269="férié travaillé",MOD(I269-G269,1)-H269,"00:00"),"00:00")</f>
        <v>00:00</v>
      </c>
      <c r="V269" s="78"/>
      <c r="W269" s="47"/>
      <c r="X269" s="48">
        <f t="shared" si="245"/>
        <v>0</v>
      </c>
      <c r="Y269" s="31"/>
      <c r="Z269" s="49">
        <f t="shared" ref="Z269:Z274" si="267">IF(SUM(U269-X269)&lt;0,0,SUM(U269-X269))</f>
        <v>0</v>
      </c>
      <c r="AA269" s="48">
        <f t="shared" ref="AA269:AA274" si="268">IF(SUM(V269-X269-Z269)&lt;0,0,SUM(V269-X269-Z269))</f>
        <v>0</v>
      </c>
      <c r="AB269" s="47"/>
      <c r="AC269" s="50"/>
      <c r="AD269" s="33">
        <f t="shared" si="248"/>
        <v>0</v>
      </c>
      <c r="AE269" s="33">
        <f t="shared" si="214"/>
        <v>0</v>
      </c>
    </row>
    <row r="270" spans="2:31" x14ac:dyDescent="0.3">
      <c r="B270" s="60">
        <f t="shared" ref="B270" si="269">B262+1</f>
        <v>33</v>
      </c>
      <c r="C270" s="9" t="s">
        <v>7</v>
      </c>
      <c r="D270" s="58">
        <f t="shared" si="221"/>
        <v>42235</v>
      </c>
      <c r="E270" s="29" t="s">
        <v>30</v>
      </c>
      <c r="F270" s="52"/>
      <c r="G270" s="194"/>
      <c r="H270" s="194"/>
      <c r="I270" s="194"/>
      <c r="J270" s="45">
        <f>IF(OR(E270="férié travaillé",E270="travail"),(I270-G270+IF(G270&gt;I270,1)-H270),INDEX('bases de donnée'!$E$20:'bases de donnée'!$E$32,MATCH(E270,gerald2,0)))</f>
        <v>0.3</v>
      </c>
      <c r="K270" s="20">
        <f>IF(SUM(J270-'bases de donnée'!E$7)&lt;0,0,SUM(J270-'bases de donnée'!E$7))</f>
        <v>0</v>
      </c>
      <c r="L270" s="11">
        <f>IF(OR(E270="férié travaillé",E270="travail"),I270-G270+IF(G270&gt;I270,1),INDEX('bases de donnée'!$E$20:'bases de donnée'!$E$32,MATCH(E270,gerald2,0)))</f>
        <v>0.3</v>
      </c>
      <c r="M270" s="21">
        <f>IF(SUM(L270-'bases de donnée'!E$4)&lt;0,0,SUM(L270-'bases de donnée'!E$4))</f>
        <v>0</v>
      </c>
      <c r="N270" s="155">
        <v>0</v>
      </c>
      <c r="O270" s="74">
        <f t="shared" ref="O270:O275" si="270">O269+J270</f>
        <v>0.6</v>
      </c>
      <c r="P270" s="121">
        <f>IF(SUM(P269-'bases de donnée'!E$6)&lt;0,0,SUM(P269-'bases de donnée'!E$6))</f>
        <v>0</v>
      </c>
      <c r="Q270" s="120">
        <f t="shared" ref="Q270:Q275" si="271">IF(AND(G270&lt;&gt;"",I270&lt;&gt;""),1,0+OR(N(I269)&lt;N(G269),E270="récupération",E270="congé 1 jour",E270="congé 1/2 jour ",E270="congé 5h24",E270="arrêt maladie",E270="arrêt travail",E270="férié ",E270="congé parentale",E270="congé de naissance"))</f>
        <v>1</v>
      </c>
      <c r="R270" s="30"/>
      <c r="S270" s="77">
        <f>IF(SUM(MOD(I270-G270,1)-IF(I270&gt;G270,MAX(0,MIN(I270,'bases de donnée'!E$16/24)-MAX('planning '!G270,7/24)),MAX(0,'bases de donnée'!E$16/24-MAX('planning '!G270,7/24))+MAX(0,MIN('planning '!I270,'bases de donnée'!E$16/24)-7/24)))&lt;0,0,SUM(MOD('planning '!I270-'planning '!G270,1)-IF('planning '!I270&gt;'planning '!G270,MAX(0,MIN('planning '!I270,'bases de donnée'!E$16/24)-MAX('planning '!G270,7/24)),MAX(0,'bases de donnée'!E$16/24-MAX('planning '!G270,7/24))+MAX(0,MIN('planning '!I270,'bases de donnée'!E$16/24)-7/24))))</f>
        <v>0</v>
      </c>
      <c r="T270" s="82"/>
      <c r="U270" s="77" t="str">
        <f t="shared" si="266"/>
        <v>00:00</v>
      </c>
      <c r="V270" s="78">
        <f>IF(SUM(IF(O270&gt;('bases de donnée'!E$9*1),O270-('bases de donnée'!E$9*1),0)-V269)&lt;0,0,SUM(IF(O270&gt;('bases de donnée'!E$9*1),O270-('bases de donnée'!E$9*1),0)-V269))</f>
        <v>0</v>
      </c>
      <c r="W270" s="47"/>
      <c r="X270" s="48">
        <f t="shared" si="245"/>
        <v>0</v>
      </c>
      <c r="Y270" s="42"/>
      <c r="Z270" s="49">
        <f t="shared" si="267"/>
        <v>0</v>
      </c>
      <c r="AA270" s="48">
        <f t="shared" si="268"/>
        <v>0</v>
      </c>
      <c r="AB270" s="47"/>
      <c r="AC270" s="54"/>
      <c r="AD270" s="33">
        <f t="shared" si="248"/>
        <v>0</v>
      </c>
      <c r="AE270" s="33">
        <f t="shared" si="214"/>
        <v>0</v>
      </c>
    </row>
    <row r="271" spans="2:31" x14ac:dyDescent="0.3">
      <c r="B271"/>
      <c r="C271" s="9" t="s">
        <v>8</v>
      </c>
      <c r="D271" s="58">
        <f t="shared" si="221"/>
        <v>42236</v>
      </c>
      <c r="E271" s="29" t="s">
        <v>30</v>
      </c>
      <c r="F271" s="52"/>
      <c r="G271" s="194"/>
      <c r="H271" s="194"/>
      <c r="I271" s="194"/>
      <c r="J271" s="45">
        <f>IF(OR(E271="férié travaillé",E271="travail"),(I271-G271+IF(G271&gt;I271,1)-H271),INDEX('bases de donnée'!$E$20:'bases de donnée'!$E$32,MATCH(E271,gerald2,0)))</f>
        <v>0.3</v>
      </c>
      <c r="K271" s="20">
        <f>IF(SUM(J271-'bases de donnée'!E$7)&lt;0,0,SUM(J271-'bases de donnée'!E$7))</f>
        <v>0</v>
      </c>
      <c r="L271" s="11">
        <f>IF(OR(E271="férié travaillé",E271="travail"),I271-G271+IF(G271&gt;I271,1),INDEX('bases de donnée'!$E$20:'bases de donnée'!$E$32,MATCH(E271,gerald2,0)))</f>
        <v>0.3</v>
      </c>
      <c r="M271" s="21">
        <f>IF(SUM(L271-'bases de donnée'!E$4)&lt;0,0,SUM(L271-'bases de donnée'!E$4))</f>
        <v>0</v>
      </c>
      <c r="N271" s="155">
        <v>0</v>
      </c>
      <c r="O271" s="74">
        <f t="shared" si="270"/>
        <v>0.89999999999999991</v>
      </c>
      <c r="P271" s="34" t="s">
        <v>46</v>
      </c>
      <c r="Q271" s="120">
        <f t="shared" si="271"/>
        <v>1</v>
      </c>
      <c r="R271" s="30"/>
      <c r="S271" s="77">
        <f>IF(SUM(MOD(I271-G271,1)-IF(I271&gt;G271,MAX(0,MIN(I271,'bases de donnée'!E$16/24)-MAX('planning '!G271,7/24)),MAX(0,'bases de donnée'!E$16/24-MAX('planning '!G271,7/24))+MAX(0,MIN('planning '!I271,'bases de donnée'!E$16/24)-7/24)))&lt;0,0,SUM(MOD('planning '!I271-'planning '!G271,1)-IF('planning '!I271&gt;'planning '!G271,MAX(0,MIN('planning '!I271,'bases de donnée'!E$16/24)-MAX('planning '!G271,7/24)),MAX(0,'bases de donnée'!E$16/24-MAX('planning '!G271,7/24))+MAX(0,MIN('planning '!I271,'bases de donnée'!E$16/24)-7/24))))</f>
        <v>0</v>
      </c>
      <c r="T271" s="82"/>
      <c r="U271" s="77" t="str">
        <f t="shared" si="266"/>
        <v>00:00</v>
      </c>
      <c r="V271" s="78">
        <f>IF(SUM(IF(O271&gt;("36:00"*1),O271-("36:00"*1),0)-V269-V270)&lt;0,0,SUM(IF(O271&gt;("36:00"*1),O271-("36:00"*1),0)-V269-V270))</f>
        <v>0</v>
      </c>
      <c r="W271" s="47"/>
      <c r="X271" s="48">
        <f t="shared" si="245"/>
        <v>0</v>
      </c>
      <c r="Y271" s="42"/>
      <c r="Z271" s="49">
        <f t="shared" si="267"/>
        <v>0</v>
      </c>
      <c r="AA271" s="48">
        <f t="shared" si="268"/>
        <v>0</v>
      </c>
      <c r="AB271" s="47"/>
      <c r="AC271" s="54"/>
      <c r="AD271" s="33">
        <f t="shared" si="248"/>
        <v>0</v>
      </c>
      <c r="AE271" s="33">
        <f t="shared" si="214"/>
        <v>0</v>
      </c>
    </row>
    <row r="272" spans="2:31" x14ac:dyDescent="0.3">
      <c r="B272"/>
      <c r="C272" s="9" t="s">
        <v>9</v>
      </c>
      <c r="D272" s="58">
        <f t="shared" si="221"/>
        <v>42237</v>
      </c>
      <c r="E272" s="29" t="s">
        <v>30</v>
      </c>
      <c r="F272" s="52"/>
      <c r="G272" s="194"/>
      <c r="H272" s="194"/>
      <c r="I272" s="194"/>
      <c r="J272" s="45">
        <f>IF(OR(E272="férié travaillé",E272="travail"),(I272-G272+IF(G272&gt;I272,1)-H272),INDEX('bases de donnée'!$E$20:'bases de donnée'!$E$32,MATCH(E272,gerald2,0)))</f>
        <v>0.3</v>
      </c>
      <c r="K272" s="20">
        <f>IF(SUM(J272-'bases de donnée'!E$7)&lt;0,0,SUM(J272-'bases de donnée'!E$7))</f>
        <v>0</v>
      </c>
      <c r="L272" s="11">
        <f>IF(OR(E272="férié travaillé",E272="travail"),I272-G272+IF(G272&gt;I272,1),INDEX('bases de donnée'!$E$20:'bases de donnée'!$E$32,MATCH(E272,gerald2,0)))</f>
        <v>0.3</v>
      </c>
      <c r="M272" s="21">
        <f>IF(SUM(L272-'bases de donnée'!E$4)&lt;0,0,SUM(L272-'bases de donnée'!E$4))</f>
        <v>0</v>
      </c>
      <c r="N272" s="155">
        <v>0</v>
      </c>
      <c r="O272" s="74">
        <f t="shared" si="270"/>
        <v>1.2</v>
      </c>
      <c r="P272" s="86">
        <f>O275</f>
        <v>1.5</v>
      </c>
      <c r="Q272" s="120">
        <f t="shared" si="271"/>
        <v>1</v>
      </c>
      <c r="R272" s="30"/>
      <c r="S272" s="77">
        <f>IF(SUM(MOD(I272-G272,1)-IF(I272&gt;G272,MAX(0,MIN(I272,'bases de donnée'!E$16/24)-MAX('planning '!G272,7/24)),MAX(0,'bases de donnée'!E$16/24-MAX('planning '!G272,7/24))+MAX(0,MIN('planning '!I272,'bases de donnée'!E$16/24)-7/24)))&lt;0,0,SUM(MOD('planning '!I272-'planning '!G272,1)-IF('planning '!I272&gt;'planning '!G272,MAX(0,MIN('planning '!I272,'bases de donnée'!E$16/24)-MAX('planning '!G272,7/24)),MAX(0,'bases de donnée'!E$16/24-MAX('planning '!G272,7/24))+MAX(0,MIN('planning '!I272,'bases de donnée'!E$16/24)-7/24))))</f>
        <v>0</v>
      </c>
      <c r="T272" s="82"/>
      <c r="U272" s="77" t="str">
        <f t="shared" si="266"/>
        <v>00:00</v>
      </c>
      <c r="V272" s="78">
        <f>IF(SUM(IF(O272&gt;("36:00"*1),O272-("36:00"*1),0)-V270-V271)&lt;0,0,SUM(IF(O272&gt;("36:00"*1),O272-("36:00"*1),0)-V269-V270-V271))</f>
        <v>0</v>
      </c>
      <c r="W272" s="47"/>
      <c r="X272" s="48">
        <f t="shared" si="245"/>
        <v>0</v>
      </c>
      <c r="Y272" s="42"/>
      <c r="Z272" s="49">
        <f t="shared" si="267"/>
        <v>0</v>
      </c>
      <c r="AA272" s="48">
        <f t="shared" si="268"/>
        <v>0</v>
      </c>
      <c r="AB272" s="47"/>
      <c r="AC272" s="54"/>
      <c r="AD272" s="33">
        <f t="shared" si="248"/>
        <v>0</v>
      </c>
      <c r="AE272" s="33">
        <f t="shared" si="214"/>
        <v>0</v>
      </c>
    </row>
    <row r="273" spans="2:31" x14ac:dyDescent="0.3">
      <c r="B273"/>
      <c r="C273" s="9" t="s">
        <v>3</v>
      </c>
      <c r="D273" s="58">
        <f t="shared" si="221"/>
        <v>42238</v>
      </c>
      <c r="E273" s="29" t="s">
        <v>30</v>
      </c>
      <c r="F273" s="52"/>
      <c r="G273" s="194"/>
      <c r="H273" s="194"/>
      <c r="I273" s="194"/>
      <c r="J273" s="45">
        <f>IF(OR(E273="férié travaillé",E273="travail"),(I273-G273+IF(G273&gt;I273,1)-H273),INDEX('bases de donnée'!$E$20:'bases de donnée'!$E$32,MATCH(E273,gerald2,0)))</f>
        <v>0.3</v>
      </c>
      <c r="K273" s="20">
        <f>IF(SUM(J273-'bases de donnée'!E$7)&lt;0,0,SUM(J273-'bases de donnée'!E$7))</f>
        <v>0</v>
      </c>
      <c r="L273" s="11">
        <f>IF(OR(E273="férié travaillé",E273="travail"),I273-G273+IF(G273&gt;I273,1),INDEX('bases de donnée'!$E$20:'bases de donnée'!$E$32,MATCH(E273,gerald2,0)))</f>
        <v>0.3</v>
      </c>
      <c r="M273" s="21">
        <f>IF(SUM(L273-'bases de donnée'!E$4)&lt;0,0,SUM(L273-'bases de donnée'!E$4))</f>
        <v>0</v>
      </c>
      <c r="N273" s="155">
        <v>0</v>
      </c>
      <c r="O273" s="74">
        <f t="shared" si="270"/>
        <v>1.5</v>
      </c>
      <c r="P273" s="8" t="s">
        <v>48</v>
      </c>
      <c r="Q273" s="120">
        <f t="shared" si="271"/>
        <v>1</v>
      </c>
      <c r="R273" s="30"/>
      <c r="S273" s="77">
        <f>IF(SUM(MOD(I273-G273,1)-IF(I273&gt;G273,MAX(0,MIN(I273,'bases de donnée'!E$16/24)-MAX('planning '!G273,7/24)),MAX(0,'bases de donnée'!E$16/24-MAX('planning '!G273,7/24))+MAX(0,MIN('planning '!I273,'bases de donnée'!E$16/24)-7/24)))&lt;0,0,SUM(MOD('planning '!I273-'planning '!G273,1)-IF('planning '!I273&gt;'planning '!G273,MAX(0,MIN('planning '!I273,'bases de donnée'!E$16/24)-MAX('planning '!G273,7/24)),MAX(0,'bases de donnée'!E$16/24-MAX('planning '!G273,7/24))+MAX(0,MIN('planning '!I273,'bases de donnée'!E$16/24)-7/24))))</f>
        <v>0</v>
      </c>
      <c r="T273" s="82"/>
      <c r="U273" s="77" t="str">
        <f t="shared" si="266"/>
        <v>00:00</v>
      </c>
      <c r="V273" s="78">
        <f>IF(SUM(IF(O273&gt;("36:00"*1),O273-("36:00"*1),0)-V271-V272)&lt;0,0,SUM(IF(O273&gt;("36:00"*1),O273-("36:00"*1),0)-V269-V270-V271-V272))</f>
        <v>0</v>
      </c>
      <c r="W273" s="47"/>
      <c r="X273" s="48">
        <f t="shared" si="245"/>
        <v>0</v>
      </c>
      <c r="Y273" s="42"/>
      <c r="Z273" s="49">
        <f t="shared" si="267"/>
        <v>0</v>
      </c>
      <c r="AA273" s="48">
        <f t="shared" si="268"/>
        <v>0</v>
      </c>
      <c r="AB273" s="47"/>
      <c r="AC273" s="54"/>
      <c r="AD273" s="33">
        <f t="shared" si="248"/>
        <v>0</v>
      </c>
      <c r="AE273" s="33">
        <f t="shared" si="214"/>
        <v>0</v>
      </c>
    </row>
    <row r="274" spans="2:31" x14ac:dyDescent="0.3">
      <c r="B274"/>
      <c r="C274" s="9" t="s">
        <v>4</v>
      </c>
      <c r="D274" s="58">
        <f t="shared" si="221"/>
        <v>42239</v>
      </c>
      <c r="E274" s="29" t="s">
        <v>28</v>
      </c>
      <c r="F274" s="52"/>
      <c r="G274" s="187"/>
      <c r="H274" s="187"/>
      <c r="I274" s="187"/>
      <c r="J274" s="45">
        <f>IF(OR(E274="férié travaillé",E274="travail"),(I274-G274+IF(G274&gt;I274,1)-H274),INDEX('bases de donnée'!$E$20:'bases de donnée'!$E$32,MATCH(E274,gerald2,0)))</f>
        <v>0</v>
      </c>
      <c r="K274" s="20">
        <f>IF(SUM(J274-'bases de donnée'!E$7)&lt;0,0,SUM(J274-'bases de donnée'!E$7))</f>
        <v>0</v>
      </c>
      <c r="L274" s="11">
        <f>IF(OR(E274="férié travaillé",E274="travail"),I274-G274+IF(G274&gt;I274,1),INDEX('bases de donnée'!$E$20:'bases de donnée'!$E$32,MATCH(E274,gerald2,0)))</f>
        <v>0</v>
      </c>
      <c r="M274" s="21">
        <f>IF(SUM(L274-'bases de donnée'!E$4)&lt;0,0,SUM(L274-'bases de donnée'!E$4))</f>
        <v>0</v>
      </c>
      <c r="N274" s="155">
        <v>0</v>
      </c>
      <c r="O274" s="74">
        <f t="shared" si="270"/>
        <v>1.5</v>
      </c>
      <c r="P274" s="61">
        <f>'bases de donnée'!E$10</f>
        <v>2</v>
      </c>
      <c r="Q274" s="120">
        <f t="shared" si="271"/>
        <v>0</v>
      </c>
      <c r="R274" s="30"/>
      <c r="S274" s="77">
        <f>IF(SUM(MOD(I274-G274,1)-IF(I274&gt;G274,MAX(0,MIN(I274,'bases de donnée'!E$16/24)-MAX('planning '!G274,7/24)),MAX(0,'bases de donnée'!E$16/24-MAX('planning '!G274,7/24))+MAX(0,MIN('planning '!I274,'bases de donnée'!E$16/24)-7/24)))&lt;0,0,SUM(MOD('planning '!I274-'planning '!G274,1)-IF('planning '!I274&gt;'planning '!G274,MAX(0,MIN('planning '!I274,'bases de donnée'!E$16/24)-MAX('planning '!G274,7/24)),MAX(0,'bases de donnée'!E$16/24-MAX('planning '!G274,7/24))+MAX(0,MIN('planning '!I274,'bases de donnée'!E$16/24)-7/24))))</f>
        <v>0</v>
      </c>
      <c r="T274" s="82"/>
      <c r="U274" s="77" t="str">
        <f t="shared" si="266"/>
        <v>00:00</v>
      </c>
      <c r="V274" s="78">
        <f>IF(SUM(IF(O274&gt;("36:00"*1),O274-("36:00"*1),0)-V272-V273)&lt;0,0,SUM(IF(O274&gt;("36:00"*1),O274-("36:00"*1),0)-V269-V270-V271-V272-V273))</f>
        <v>0</v>
      </c>
      <c r="W274" s="47"/>
      <c r="X274" s="48">
        <f t="shared" si="245"/>
        <v>0</v>
      </c>
      <c r="Y274" s="32"/>
      <c r="Z274" s="49">
        <f t="shared" si="267"/>
        <v>0</v>
      </c>
      <c r="AA274" s="48">
        <f t="shared" si="268"/>
        <v>0</v>
      </c>
      <c r="AB274" s="47"/>
      <c r="AC274" s="55"/>
      <c r="AD274" s="33">
        <f t="shared" si="248"/>
        <v>0</v>
      </c>
      <c r="AE274" s="33">
        <f t="shared" si="214"/>
        <v>0</v>
      </c>
    </row>
    <row r="275" spans="2:31" x14ac:dyDescent="0.3">
      <c r="B275"/>
      <c r="C275" s="9" t="s">
        <v>5</v>
      </c>
      <c r="D275" s="58">
        <f t="shared" si="221"/>
        <v>42240</v>
      </c>
      <c r="E275" s="29" t="s">
        <v>28</v>
      </c>
      <c r="F275" s="71"/>
      <c r="G275" s="187"/>
      <c r="H275" s="187"/>
      <c r="I275" s="187"/>
      <c r="J275" s="45">
        <f>IF(OR(E275="férié travaillé",E275="travail"),(I275-G275+IF(G275&gt;I275,1)-H275),INDEX('bases de donnée'!$E$20:'bases de donnée'!$E$32,MATCH(E275,gerald2,0)))</f>
        <v>0</v>
      </c>
      <c r="K275" s="20">
        <f>IF(SUM(J275-'bases de donnée'!E$7)&lt;0,0,SUM(J275-'bases de donnée'!E$7))</f>
        <v>0</v>
      </c>
      <c r="L275" s="11">
        <f>IF(OR(E275="férié travaillé",E275="travail"),I275-G275+IF(G275&gt;I275,1),INDEX('bases de donnée'!$E$20:'bases de donnée'!$E$32,MATCH(E275,gerald2,0)))</f>
        <v>0</v>
      </c>
      <c r="M275" s="21">
        <f>IF(SUM(L275-'bases de donnée'!E$4)&lt;0,0,SUM(L275-'bases de donnée'!E$4))</f>
        <v>0</v>
      </c>
      <c r="N275" s="155">
        <v>0</v>
      </c>
      <c r="O275" s="74">
        <f t="shared" si="270"/>
        <v>1.5</v>
      </c>
      <c r="P275" s="33">
        <f>IF(SUM(O275-'bases de donnée'!E$10)&lt;0,0,SUM(O275-'bases de donnée'!E$10))</f>
        <v>0</v>
      </c>
      <c r="Q275" s="120">
        <f t="shared" si="271"/>
        <v>0</v>
      </c>
      <c r="R275" s="30"/>
      <c r="S275" s="77">
        <f>IF(SUM(MOD(I275-G275,1)-IF(I275&gt;G275,MAX(0,MIN(I275,'bases de donnée'!E$16/24)-MAX('planning '!G275,7/24)),MAX(0,'bases de donnée'!E$16/24-MAX('planning '!G275,7/24))+MAX(0,MIN('planning '!I275,'bases de donnée'!E$16/24)-7/24)))&lt;0,0,SUM(MOD('planning '!I275-'planning '!G275,1)-IF('planning '!I275&gt;'planning '!G275,MAX(0,MIN('planning '!I275,'bases de donnée'!E$16/24)-MAX('planning '!G275,7/24)),MAX(0,'bases de donnée'!E$16/24-MAX('planning '!G275,7/24))+MAX(0,MIN('planning '!I275,'bases de donnée'!E$16/24)-7/24))))</f>
        <v>0</v>
      </c>
      <c r="T275" s="77">
        <f>J275</f>
        <v>0</v>
      </c>
      <c r="U275" s="77" t="str">
        <f t="shared" si="266"/>
        <v>00:00</v>
      </c>
      <c r="V275" s="78">
        <f>IF(SUM(IF(O275&gt;("36:00"*1),O275-("36:00"*1),0)-V273-V274)&lt;0,0,SUM(IF(O275&gt;("36:00"*1),O275-("36:00"*1),0)-V269-V270-V271-V272-V273-V274))</f>
        <v>0</v>
      </c>
      <c r="W275" s="47"/>
      <c r="X275" s="48">
        <f t="shared" si="245"/>
        <v>0</v>
      </c>
      <c r="Y275" s="48">
        <f t="shared" ref="Y275" si="272">IF(SUM(T275-S275)&lt;0,0,SUM(T275-S275))</f>
        <v>0</v>
      </c>
      <c r="Z275" s="56">
        <f t="shared" ref="Z275" si="273">IF(SUM(U275-T275-S275)&lt;0,0,SUM(U275-T275-S275))</f>
        <v>0</v>
      </c>
      <c r="AA275" s="48">
        <f>IF(SUM(V275-S275-T275-U275)&lt;0,0,SUM(V275-S275-T275-U275))</f>
        <v>0</v>
      </c>
      <c r="AB275" s="47"/>
      <c r="AC275" s="57">
        <f t="shared" ref="AC275" si="274">IF(SUM(T275-Y275)&lt;0,0,SUM(T275-Y275))</f>
        <v>0</v>
      </c>
      <c r="AD275" s="33">
        <f t="shared" si="248"/>
        <v>0</v>
      </c>
      <c r="AE275" s="33">
        <f t="shared" si="214"/>
        <v>0</v>
      </c>
    </row>
    <row r="276" spans="2:31" x14ac:dyDescent="0.3">
      <c r="B276"/>
      <c r="C276" s="25"/>
      <c r="D276" s="90"/>
      <c r="E276" s="90"/>
      <c r="F276" s="25"/>
      <c r="G276" s="185"/>
      <c r="H276" s="185"/>
      <c r="I276" s="185"/>
      <c r="J276" s="47"/>
      <c r="K276" s="92"/>
      <c r="L276" s="91"/>
      <c r="M276" s="91"/>
      <c r="N276" s="91"/>
      <c r="O276" s="93"/>
      <c r="P276" s="47"/>
      <c r="Q276" s="30"/>
      <c r="R276" s="30"/>
      <c r="S276" s="47"/>
      <c r="T276" s="47"/>
      <c r="U276" s="47"/>
      <c r="V276" s="93"/>
      <c r="W276" s="47"/>
      <c r="X276" s="47"/>
      <c r="Y276" s="47"/>
      <c r="Z276" s="47"/>
      <c r="AA276" s="47"/>
      <c r="AB276" s="47"/>
      <c r="AC276" s="47"/>
      <c r="AD276" s="47"/>
      <c r="AE276" s="47"/>
    </row>
    <row r="277" spans="2:31" x14ac:dyDescent="0.3">
      <c r="B277" s="14" t="s">
        <v>40</v>
      </c>
      <c r="C277" s="14" t="s">
        <v>6</v>
      </c>
      <c r="D277" s="43">
        <f>D275+1</f>
        <v>42241</v>
      </c>
      <c r="E277" s="29" t="s">
        <v>30</v>
      </c>
      <c r="F277" s="44"/>
      <c r="G277" s="194"/>
      <c r="H277" s="194"/>
      <c r="I277" s="194"/>
      <c r="J277" s="45">
        <f>IF(OR(E277="férié travaillé",E277="travail"),(I277-G277+IF(G277&gt;I277,1)-H277),INDEX('bases de donnée'!$E$20:'bases de donnée'!$E$32,MATCH(E277,gerald2,0)))</f>
        <v>0.3</v>
      </c>
      <c r="K277" s="20">
        <f>IF(SUM(J277-'bases de donnée'!E$7)&lt;0,0,SUM(J277-'bases de donnée'!E$7))</f>
        <v>0</v>
      </c>
      <c r="L277" s="11">
        <f>IF(OR(E277="férié travaillé",E277="travail"),I277-G277+IF(G277&gt;I277,1),INDEX('bases de donnée'!$E$20:'bases de donnée'!$E$32,MATCH(E277,gerald2,0)))</f>
        <v>0.3</v>
      </c>
      <c r="M277" s="21">
        <f>IF(SUM(L277-'bases de donnée'!E$4)&lt;0,0,SUM(L277-'bases de donnée'!E$4))</f>
        <v>0</v>
      </c>
      <c r="N277" s="155">
        <v>0</v>
      </c>
      <c r="O277" s="45">
        <f t="shared" ref="O277" si="275">J277</f>
        <v>0.3</v>
      </c>
      <c r="P277" s="122">
        <f>SUM(Q277:Q283)</f>
        <v>5</v>
      </c>
      <c r="Q277" s="120">
        <f>IF(AND(G277&lt;&gt;"",I277&lt;&gt;""),1,0+OR(N(I276)&lt;N(G276),E277="récupération",E277="congé 1 jour",E277="congé 1/2 jour ",E277="congé 5h24",E277="arrêt maladie",E277="arrêt travail",E277="férié ",E277="congé parentale",E277="congé de naissance"))</f>
        <v>1</v>
      </c>
      <c r="R277" s="30"/>
      <c r="S277" s="77">
        <f>IF(SUM(MOD(I277-G277,1)-IF(I277&gt;G277,MAX(0,MIN(I277,'bases de donnée'!E$16/24)-MAX('planning '!G277,7/24)),MAX(0,'bases de donnée'!E$16/24-MAX('planning '!G277,7/24))+MAX(0,MIN('planning '!I277,'bases de donnée'!E$16/24)-7/24)))&lt;0,0,SUM(MOD('planning '!I277-'planning '!G277,1)-IF('planning '!I277&gt;'planning '!G277,MAX(0,MIN('planning '!I277,'bases de donnée'!E$16/24)-MAX('planning '!G277,7/24)),MAX(0,'bases de donnée'!E$16/24-MAX('planning '!G277,7/24))+MAX(0,MIN('planning '!I277,'bases de donnée'!E$16/24)-7/24))))</f>
        <v>0</v>
      </c>
      <c r="T277" s="81"/>
      <c r="U277" s="77" t="str">
        <f t="shared" ref="U277:U283" si="276">IF(E277&lt;&gt;"travail",IF(E277="férié travaillé",MOD(I277-G277,1)-H277,"00:00"),"00:00")</f>
        <v>00:00</v>
      </c>
      <c r="V277" s="78"/>
      <c r="W277" s="47"/>
      <c r="X277" s="48">
        <f t="shared" si="245"/>
        <v>0</v>
      </c>
      <c r="Y277" s="31"/>
      <c r="Z277" s="49">
        <f t="shared" ref="Z277:Z282" si="277">IF(SUM(U277-X277)&lt;0,0,SUM(U277-X277))</f>
        <v>0</v>
      </c>
      <c r="AA277" s="48">
        <f t="shared" ref="AA277:AA282" si="278">IF(SUM(V277-X277-Z277)&lt;0,0,SUM(V277-X277-Z277))</f>
        <v>0</v>
      </c>
      <c r="AB277" s="47"/>
      <c r="AC277" s="50"/>
      <c r="AD277" s="33">
        <f t="shared" si="248"/>
        <v>0</v>
      </c>
      <c r="AE277" s="33">
        <f t="shared" si="214"/>
        <v>0</v>
      </c>
    </row>
    <row r="278" spans="2:31" x14ac:dyDescent="0.3">
      <c r="B278" s="51">
        <f t="shared" ref="B278" si="279">B270+1</f>
        <v>34</v>
      </c>
      <c r="C278" s="14" t="s">
        <v>7</v>
      </c>
      <c r="D278" s="43">
        <f t="shared" si="221"/>
        <v>42242</v>
      </c>
      <c r="E278" s="29" t="s">
        <v>30</v>
      </c>
      <c r="F278" s="52"/>
      <c r="G278" s="194"/>
      <c r="H278" s="194"/>
      <c r="I278" s="194"/>
      <c r="J278" s="45">
        <f>IF(OR(E278="férié travaillé",E278="travail"),(I278-G278+IF(G278&gt;I278,1)-H278),INDEX('bases de donnée'!$E$20:'bases de donnée'!$E$32,MATCH(E278,gerald2,0)))</f>
        <v>0.3</v>
      </c>
      <c r="K278" s="20">
        <f>IF(SUM(J278-'bases de donnée'!E$7)&lt;0,0,SUM(J278-'bases de donnée'!E$7))</f>
        <v>0</v>
      </c>
      <c r="L278" s="11">
        <f>IF(OR(E278="férié travaillé",E278="travail"),I278-G278+IF(G278&gt;I278,1),INDEX('bases de donnée'!$E$20:'bases de donnée'!$E$32,MATCH(E278,gerald2,0)))</f>
        <v>0.3</v>
      </c>
      <c r="M278" s="21">
        <f>IF(SUM(L278-'bases de donnée'!E$4)&lt;0,0,SUM(L278-'bases de donnée'!E$4))</f>
        <v>0</v>
      </c>
      <c r="N278" s="155">
        <v>0</v>
      </c>
      <c r="O278" s="73">
        <f t="shared" ref="O278:O283" si="280">O277+J278</f>
        <v>0.6</v>
      </c>
      <c r="P278" s="121">
        <f>IF(SUM(P277-'bases de donnée'!E$6)&lt;0,0,SUM(P277-'bases de donnée'!E$6))</f>
        <v>0</v>
      </c>
      <c r="Q278" s="120">
        <f t="shared" ref="Q278:Q283" si="281">IF(AND(G278&lt;&gt;"",I278&lt;&gt;""),1,0+OR(N(I277)&lt;N(G277),E278="récupération",E278="congé 1 jour",E278="congé 1/2 jour ",E278="congé 5h24",E278="arrêt maladie",E278="arrêt travail",E278="férié ",E278="congé parentale",E278="congé de naissance"))</f>
        <v>1</v>
      </c>
      <c r="R278" s="30"/>
      <c r="S278" s="77">
        <f>IF(SUM(MOD(I278-G278,1)-IF(I278&gt;G278,MAX(0,MIN(I278,'bases de donnée'!E$16/24)-MAX('planning '!G278,7/24)),MAX(0,'bases de donnée'!E$16/24-MAX('planning '!G278,7/24))+MAX(0,MIN('planning '!I278,'bases de donnée'!E$16/24)-7/24)))&lt;0,0,SUM(MOD('planning '!I278-'planning '!G278,1)-IF('planning '!I278&gt;'planning '!G278,MAX(0,MIN('planning '!I278,'bases de donnée'!E$16/24)-MAX('planning '!G278,7/24)),MAX(0,'bases de donnée'!E$16/24-MAX('planning '!G278,7/24))+MAX(0,MIN('planning '!I278,'bases de donnée'!E$16/24)-7/24))))</f>
        <v>0</v>
      </c>
      <c r="T278" s="82"/>
      <c r="U278" s="77" t="str">
        <f t="shared" si="276"/>
        <v>00:00</v>
      </c>
      <c r="V278" s="78">
        <f>IF(SUM(IF(O278&gt;('bases de donnée'!E$9*1),O278-('bases de donnée'!E$9*1),0)-V277)&lt;0,0,SUM(IF(O278&gt;('bases de donnée'!E$9*1),O278-('bases de donnée'!E$9*1),0)-V277))</f>
        <v>0</v>
      </c>
      <c r="W278" s="47"/>
      <c r="X278" s="48">
        <f t="shared" si="245"/>
        <v>0</v>
      </c>
      <c r="Y278" s="42"/>
      <c r="Z278" s="49">
        <f t="shared" si="277"/>
        <v>0</v>
      </c>
      <c r="AA278" s="48">
        <f t="shared" si="278"/>
        <v>0</v>
      </c>
      <c r="AB278" s="47"/>
      <c r="AC278" s="54"/>
      <c r="AD278" s="33">
        <f t="shared" si="248"/>
        <v>0</v>
      </c>
      <c r="AE278" s="33">
        <f t="shared" si="214"/>
        <v>0</v>
      </c>
    </row>
    <row r="279" spans="2:31" x14ac:dyDescent="0.3">
      <c r="B279"/>
      <c r="C279" s="14" t="s">
        <v>8</v>
      </c>
      <c r="D279" s="43">
        <f t="shared" si="221"/>
        <v>42243</v>
      </c>
      <c r="E279" s="29" t="s">
        <v>30</v>
      </c>
      <c r="F279" s="52"/>
      <c r="G279" s="194"/>
      <c r="H279" s="194"/>
      <c r="I279" s="194"/>
      <c r="J279" s="45">
        <f>IF(OR(E279="férié travaillé",E279="travail"),(I279-G279+IF(G279&gt;I279,1)-H279),INDEX('bases de donnée'!$E$20:'bases de donnée'!$E$32,MATCH(E279,gerald2,0)))</f>
        <v>0.3</v>
      </c>
      <c r="K279" s="20">
        <f>IF(SUM(J279-'bases de donnée'!E$7)&lt;0,0,SUM(J279-'bases de donnée'!E$7))</f>
        <v>0</v>
      </c>
      <c r="L279" s="11">
        <f>IF(OR(E279="férié travaillé",E279="travail"),I279-G279+IF(G279&gt;I279,1),INDEX('bases de donnée'!$E$20:'bases de donnée'!$E$32,MATCH(E279,gerald2,0)))</f>
        <v>0.3</v>
      </c>
      <c r="M279" s="21">
        <f>IF(SUM(L279-'bases de donnée'!E$4)&lt;0,0,SUM(L279-'bases de donnée'!E$4))</f>
        <v>0</v>
      </c>
      <c r="N279" s="155">
        <v>0</v>
      </c>
      <c r="O279" s="73">
        <f t="shared" si="280"/>
        <v>0.89999999999999991</v>
      </c>
      <c r="P279" s="34" t="s">
        <v>46</v>
      </c>
      <c r="Q279" s="120">
        <f t="shared" si="281"/>
        <v>1</v>
      </c>
      <c r="R279" s="30"/>
      <c r="S279" s="77">
        <f>IF(SUM(MOD(I279-G279,1)-IF(I279&gt;G279,MAX(0,MIN(I279,'bases de donnée'!E$16/24)-MAX('planning '!G279,7/24)),MAX(0,'bases de donnée'!E$16/24-MAX('planning '!G279,7/24))+MAX(0,MIN('planning '!I279,'bases de donnée'!E$16/24)-7/24)))&lt;0,0,SUM(MOD('planning '!I279-'planning '!G279,1)-IF('planning '!I279&gt;'planning '!G279,MAX(0,MIN('planning '!I279,'bases de donnée'!E$16/24)-MAX('planning '!G279,7/24)),MAX(0,'bases de donnée'!E$16/24-MAX('planning '!G279,7/24))+MAX(0,MIN('planning '!I279,'bases de donnée'!E$16/24)-7/24))))</f>
        <v>0</v>
      </c>
      <c r="T279" s="82"/>
      <c r="U279" s="77" t="str">
        <f t="shared" si="276"/>
        <v>00:00</v>
      </c>
      <c r="V279" s="78">
        <f>IF(SUM(IF(O279&gt;("36:00"*1),O279-("36:00"*1),0)-V277-V278)&lt;0,0,SUM(IF(O279&gt;("36:00"*1),O279-("36:00"*1),0)-V277-V278))</f>
        <v>0</v>
      </c>
      <c r="W279" s="47"/>
      <c r="X279" s="48">
        <f t="shared" si="245"/>
        <v>0</v>
      </c>
      <c r="Y279" s="42"/>
      <c r="Z279" s="49">
        <f t="shared" si="277"/>
        <v>0</v>
      </c>
      <c r="AA279" s="48">
        <f t="shared" si="278"/>
        <v>0</v>
      </c>
      <c r="AB279" s="47"/>
      <c r="AC279" s="54"/>
      <c r="AD279" s="33">
        <f t="shared" si="248"/>
        <v>0</v>
      </c>
      <c r="AE279" s="33">
        <f t="shared" si="214"/>
        <v>0</v>
      </c>
    </row>
    <row r="280" spans="2:31" x14ac:dyDescent="0.3">
      <c r="B280"/>
      <c r="C280" s="14" t="s">
        <v>9</v>
      </c>
      <c r="D280" s="43">
        <f t="shared" si="221"/>
        <v>42244</v>
      </c>
      <c r="E280" s="29" t="s">
        <v>30</v>
      </c>
      <c r="F280" s="52"/>
      <c r="G280" s="194"/>
      <c r="H280" s="194"/>
      <c r="I280" s="194"/>
      <c r="J280" s="45">
        <f>IF(OR(E280="férié travaillé",E280="travail"),(I280-G280+IF(G280&gt;I280,1)-H280),INDEX('bases de donnée'!$E$20:'bases de donnée'!$E$32,MATCH(E280,gerald2,0)))</f>
        <v>0.3</v>
      </c>
      <c r="K280" s="20">
        <f>IF(SUM(J280-'bases de donnée'!E$7)&lt;0,0,SUM(J280-'bases de donnée'!E$7))</f>
        <v>0</v>
      </c>
      <c r="L280" s="11">
        <f>IF(OR(E280="férié travaillé",E280="travail"),I280-G280+IF(G280&gt;I280,1),INDEX('bases de donnée'!$E$20:'bases de donnée'!$E$32,MATCH(E280,gerald2,0)))</f>
        <v>0.3</v>
      </c>
      <c r="M280" s="21">
        <f>IF(SUM(L280-'bases de donnée'!E$4)&lt;0,0,SUM(L280-'bases de donnée'!E$4))</f>
        <v>0</v>
      </c>
      <c r="N280" s="155">
        <v>0</v>
      </c>
      <c r="O280" s="73">
        <f t="shared" si="280"/>
        <v>1.2</v>
      </c>
      <c r="P280" s="86">
        <f>O283</f>
        <v>1.5</v>
      </c>
      <c r="Q280" s="120">
        <f t="shared" si="281"/>
        <v>1</v>
      </c>
      <c r="R280" s="30"/>
      <c r="S280" s="77">
        <f>IF(SUM(MOD(I280-G280,1)-IF(I280&gt;G280,MAX(0,MIN(I280,'bases de donnée'!E$16/24)-MAX('planning '!G280,7/24)),MAX(0,'bases de donnée'!E$16/24-MAX('planning '!G280,7/24))+MAX(0,MIN('planning '!I280,'bases de donnée'!E$16/24)-7/24)))&lt;0,0,SUM(MOD('planning '!I280-'planning '!G280,1)-IF('planning '!I280&gt;'planning '!G280,MAX(0,MIN('planning '!I280,'bases de donnée'!E$16/24)-MAX('planning '!G280,7/24)),MAX(0,'bases de donnée'!E$16/24-MAX('planning '!G280,7/24))+MAX(0,MIN('planning '!I280,'bases de donnée'!E$16/24)-7/24))))</f>
        <v>0</v>
      </c>
      <c r="T280" s="82"/>
      <c r="U280" s="77" t="str">
        <f t="shared" si="276"/>
        <v>00:00</v>
      </c>
      <c r="V280" s="78">
        <f>IF(SUM(IF(O280&gt;("36:00"*1),O280-("36:00"*1),0)-V278-V279)&lt;0,0,SUM(IF(O280&gt;("36:00"*1),O280-("36:00"*1),0)-V277-V278-V279))</f>
        <v>0</v>
      </c>
      <c r="W280" s="47"/>
      <c r="X280" s="48">
        <f t="shared" si="245"/>
        <v>0</v>
      </c>
      <c r="Y280" s="42"/>
      <c r="Z280" s="49">
        <f t="shared" si="277"/>
        <v>0</v>
      </c>
      <c r="AA280" s="48">
        <f t="shared" si="278"/>
        <v>0</v>
      </c>
      <c r="AB280" s="47"/>
      <c r="AC280" s="54"/>
      <c r="AD280" s="33">
        <f t="shared" si="248"/>
        <v>0</v>
      </c>
      <c r="AE280" s="33">
        <f t="shared" si="214"/>
        <v>0</v>
      </c>
    </row>
    <row r="281" spans="2:31" x14ac:dyDescent="0.3">
      <c r="B281"/>
      <c r="C281" s="14" t="s">
        <v>3</v>
      </c>
      <c r="D281" s="43">
        <f t="shared" si="221"/>
        <v>42245</v>
      </c>
      <c r="E281" s="29" t="s">
        <v>30</v>
      </c>
      <c r="F281" s="52"/>
      <c r="G281" s="194"/>
      <c r="H281" s="194"/>
      <c r="I281" s="194"/>
      <c r="J281" s="45">
        <f>IF(OR(E281="férié travaillé",E281="travail"),(I281-G281+IF(G281&gt;I281,1)-H281),INDEX('bases de donnée'!$E$20:'bases de donnée'!$E$32,MATCH(E281,gerald2,0)))</f>
        <v>0.3</v>
      </c>
      <c r="K281" s="20">
        <f>IF(SUM(J281-'bases de donnée'!E$7)&lt;0,0,SUM(J281-'bases de donnée'!E$7))</f>
        <v>0</v>
      </c>
      <c r="L281" s="11">
        <f>IF(OR(E281="férié travaillé",E281="travail"),I281-G281+IF(G281&gt;I281,1),INDEX('bases de donnée'!$E$20:'bases de donnée'!$E$32,MATCH(E281,gerald2,0)))</f>
        <v>0.3</v>
      </c>
      <c r="M281" s="21">
        <f>IF(SUM(L281-'bases de donnée'!E$4)&lt;0,0,SUM(L281-'bases de donnée'!E$4))</f>
        <v>0</v>
      </c>
      <c r="N281" s="155">
        <v>0</v>
      </c>
      <c r="O281" s="73">
        <f t="shared" si="280"/>
        <v>1.5</v>
      </c>
      <c r="P281" s="12" t="s">
        <v>48</v>
      </c>
      <c r="Q281" s="120">
        <f t="shared" si="281"/>
        <v>1</v>
      </c>
      <c r="R281" s="30"/>
      <c r="S281" s="77">
        <f>IF(SUM(MOD(I281-G281,1)-IF(I281&gt;G281,MAX(0,MIN(I281,'bases de donnée'!E$16/24)-MAX('planning '!G281,7/24)),MAX(0,'bases de donnée'!E$16/24-MAX('planning '!G281,7/24))+MAX(0,MIN('planning '!I281,'bases de donnée'!E$16/24)-7/24)))&lt;0,0,SUM(MOD('planning '!I281-'planning '!G281,1)-IF('planning '!I281&gt;'planning '!G281,MAX(0,MIN('planning '!I281,'bases de donnée'!E$16/24)-MAX('planning '!G281,7/24)),MAX(0,'bases de donnée'!E$16/24-MAX('planning '!G281,7/24))+MAX(0,MIN('planning '!I281,'bases de donnée'!E$16/24)-7/24))))</f>
        <v>0</v>
      </c>
      <c r="T281" s="82"/>
      <c r="U281" s="77" t="str">
        <f t="shared" si="276"/>
        <v>00:00</v>
      </c>
      <c r="V281" s="78">
        <f>IF(SUM(IF(O281&gt;("36:00"*1),O281-("36:00"*1),0)-V279-V280)&lt;0,0,SUM(IF(O281&gt;("36:00"*1),O281-("36:00"*1),0)-V277-V278-V279-V280))</f>
        <v>0</v>
      </c>
      <c r="W281" s="47"/>
      <c r="X281" s="48">
        <f t="shared" si="245"/>
        <v>0</v>
      </c>
      <c r="Y281" s="42"/>
      <c r="Z281" s="49">
        <f t="shared" si="277"/>
        <v>0</v>
      </c>
      <c r="AA281" s="48">
        <f t="shared" si="278"/>
        <v>0</v>
      </c>
      <c r="AB281" s="47"/>
      <c r="AC281" s="54"/>
      <c r="AD281" s="33">
        <f t="shared" si="248"/>
        <v>0</v>
      </c>
      <c r="AE281" s="33">
        <f t="shared" si="214"/>
        <v>0</v>
      </c>
    </row>
    <row r="282" spans="2:31" x14ac:dyDescent="0.3">
      <c r="B282"/>
      <c r="C282" s="14" t="s">
        <v>4</v>
      </c>
      <c r="D282" s="43">
        <f t="shared" si="221"/>
        <v>42246</v>
      </c>
      <c r="E282" s="29" t="s">
        <v>28</v>
      </c>
      <c r="F282" s="52"/>
      <c r="G282" s="187"/>
      <c r="H282" s="187"/>
      <c r="I282" s="187"/>
      <c r="J282" s="45">
        <f>IF(OR(E282="férié travaillé",E282="travail"),(I282-G282+IF(G282&gt;I282,1)-H282),INDEX('bases de donnée'!$E$20:'bases de donnée'!$E$32,MATCH(E282,gerald2,0)))</f>
        <v>0</v>
      </c>
      <c r="K282" s="20">
        <f>IF(SUM(J282-'bases de donnée'!E$7)&lt;0,0,SUM(J282-'bases de donnée'!E$7))</f>
        <v>0</v>
      </c>
      <c r="L282" s="11">
        <f>IF(OR(E282="férié travaillé",E282="travail"),I282-G282+IF(G282&gt;I282,1),INDEX('bases de donnée'!$E$20:'bases de donnée'!$E$32,MATCH(E282,gerald2,0)))</f>
        <v>0</v>
      </c>
      <c r="M282" s="21">
        <f>IF(SUM(L282-'bases de donnée'!E$4)&lt;0,0,SUM(L282-'bases de donnée'!E$4))</f>
        <v>0</v>
      </c>
      <c r="N282" s="155">
        <v>0</v>
      </c>
      <c r="O282" s="73">
        <f t="shared" si="280"/>
        <v>1.5</v>
      </c>
      <c r="P282" s="53">
        <f>'bases de donnée'!E$10</f>
        <v>2</v>
      </c>
      <c r="Q282" s="120">
        <f t="shared" si="281"/>
        <v>0</v>
      </c>
      <c r="R282" s="30"/>
      <c r="S282" s="77">
        <f>IF(SUM(MOD(I282-G282,1)-IF(I282&gt;G282,MAX(0,MIN(I282,'bases de donnée'!E$16/24)-MAX('planning '!G282,7/24)),MAX(0,'bases de donnée'!E$16/24-MAX('planning '!G282,7/24))+MAX(0,MIN('planning '!I282,'bases de donnée'!E$16/24)-7/24)))&lt;0,0,SUM(MOD('planning '!I282-'planning '!G282,1)-IF('planning '!I282&gt;'planning '!G282,MAX(0,MIN('planning '!I282,'bases de donnée'!E$16/24)-MAX('planning '!G282,7/24)),MAX(0,'bases de donnée'!E$16/24-MAX('planning '!G282,7/24))+MAX(0,MIN('planning '!I282,'bases de donnée'!E$16/24)-7/24))))</f>
        <v>0</v>
      </c>
      <c r="T282" s="82"/>
      <c r="U282" s="77" t="str">
        <f t="shared" si="276"/>
        <v>00:00</v>
      </c>
      <c r="V282" s="78">
        <f>IF(SUM(IF(O282&gt;("36:00"*1),O282-("36:00"*1),0)-V280-V281)&lt;0,0,SUM(IF(O282&gt;("36:00"*1),O282-("36:00"*1),0)-V277-V278-V279-V280-V281))</f>
        <v>0</v>
      </c>
      <c r="W282" s="47"/>
      <c r="X282" s="48">
        <f t="shared" si="245"/>
        <v>0</v>
      </c>
      <c r="Y282" s="32"/>
      <c r="Z282" s="49">
        <f t="shared" si="277"/>
        <v>0</v>
      </c>
      <c r="AA282" s="48">
        <f t="shared" si="278"/>
        <v>0</v>
      </c>
      <c r="AB282" s="47"/>
      <c r="AC282" s="55"/>
      <c r="AD282" s="33">
        <f t="shared" si="248"/>
        <v>0</v>
      </c>
      <c r="AE282" s="33">
        <f t="shared" si="214"/>
        <v>0</v>
      </c>
    </row>
    <row r="283" spans="2:31" x14ac:dyDescent="0.3">
      <c r="B283"/>
      <c r="C283" s="14" t="s">
        <v>5</v>
      </c>
      <c r="D283" s="43">
        <f t="shared" si="221"/>
        <v>42247</v>
      </c>
      <c r="E283" s="29" t="s">
        <v>28</v>
      </c>
      <c r="F283" s="71"/>
      <c r="G283" s="187"/>
      <c r="H283" s="187"/>
      <c r="I283" s="187"/>
      <c r="J283" s="45">
        <f>IF(OR(E283="férié travaillé",E283="travail"),(I283-G283+IF(G283&gt;I283,1)-H283),INDEX('bases de donnée'!$E$20:'bases de donnée'!$E$32,MATCH(E283,gerald2,0)))</f>
        <v>0</v>
      </c>
      <c r="K283" s="20">
        <f>IF(SUM(J283-'bases de donnée'!E$7)&lt;0,0,SUM(J283-'bases de donnée'!E$7))</f>
        <v>0</v>
      </c>
      <c r="L283" s="11">
        <f>IF(OR(E283="férié travaillé",E283="travail"),I283-G283+IF(G283&gt;I283,1),INDEX('bases de donnée'!$E$20:'bases de donnée'!$E$32,MATCH(E283,gerald2,0)))</f>
        <v>0</v>
      </c>
      <c r="M283" s="21">
        <f>IF(SUM(L283-'bases de donnée'!E$4)&lt;0,0,SUM(L283-'bases de donnée'!E$4))</f>
        <v>0</v>
      </c>
      <c r="N283" s="155">
        <v>0</v>
      </c>
      <c r="O283" s="73">
        <f t="shared" si="280"/>
        <v>1.5</v>
      </c>
      <c r="P283" s="33">
        <f>IF(SUM(O283-'bases de donnée'!E$10)&lt;0,0,SUM(O283-'bases de donnée'!E$10))</f>
        <v>0</v>
      </c>
      <c r="Q283" s="120">
        <f t="shared" si="281"/>
        <v>0</v>
      </c>
      <c r="R283" s="30"/>
      <c r="S283" s="77">
        <f>IF(SUM(MOD(I283-G283,1)-IF(I283&gt;G283,MAX(0,MIN(I283,'bases de donnée'!E$16/24)-MAX('planning '!G283,7/24)),MAX(0,'bases de donnée'!E$16/24-MAX('planning '!G283,7/24))+MAX(0,MIN('planning '!I283,'bases de donnée'!E$16/24)-7/24)))&lt;0,0,SUM(MOD('planning '!I283-'planning '!G283,1)-IF('planning '!I283&gt;'planning '!G283,MAX(0,MIN('planning '!I283,'bases de donnée'!E$16/24)-MAX('planning '!G283,7/24)),MAX(0,'bases de donnée'!E$16/24-MAX('planning '!G283,7/24))+MAX(0,MIN('planning '!I283,'bases de donnée'!E$16/24)-7/24))))</f>
        <v>0</v>
      </c>
      <c r="T283" s="77">
        <f>J283</f>
        <v>0</v>
      </c>
      <c r="U283" s="77" t="str">
        <f t="shared" si="276"/>
        <v>00:00</v>
      </c>
      <c r="V283" s="78">
        <f>IF(SUM(IF(O283&gt;("36:00"*1),O283-("36:00"*1),0)-V281-V282)&lt;0,0,SUM(IF(O283&gt;("36:00"*1),O283-("36:00"*1),0)-V277-V278-V279-V280-V281-V282))</f>
        <v>0</v>
      </c>
      <c r="W283" s="47"/>
      <c r="X283" s="48">
        <f t="shared" si="245"/>
        <v>0</v>
      </c>
      <c r="Y283" s="48">
        <f t="shared" ref="Y283" si="282">IF(SUM(T283-S283)&lt;0,0,SUM(T283-S283))</f>
        <v>0</v>
      </c>
      <c r="Z283" s="56">
        <f t="shared" ref="Z283" si="283">IF(SUM(U283-T283-S283)&lt;0,0,SUM(U283-T283-S283))</f>
        <v>0</v>
      </c>
      <c r="AA283" s="48">
        <f>IF(SUM(V283-S283-T283-U283)&lt;0,0,SUM(V283-S283-T283-U283))</f>
        <v>0</v>
      </c>
      <c r="AB283" s="47"/>
      <c r="AC283" s="57">
        <f t="shared" ref="AC283" si="284">IF(SUM(T283-Y283)&lt;0,0,SUM(T283-Y283))</f>
        <v>0</v>
      </c>
      <c r="AD283" s="33">
        <f t="shared" si="248"/>
        <v>0</v>
      </c>
      <c r="AE283" s="33">
        <f t="shared" si="214"/>
        <v>0</v>
      </c>
    </row>
    <row r="284" spans="2:31" x14ac:dyDescent="0.3">
      <c r="B284"/>
      <c r="C284" s="25"/>
      <c r="D284" s="90"/>
      <c r="E284" s="90"/>
      <c r="F284" s="25"/>
      <c r="G284" s="185"/>
      <c r="H284" s="185"/>
      <c r="I284" s="185"/>
      <c r="J284" s="47"/>
      <c r="K284" s="92"/>
      <c r="L284" s="91"/>
      <c r="M284" s="91"/>
      <c r="N284" s="91"/>
      <c r="O284" s="93"/>
      <c r="P284" s="47"/>
      <c r="Q284" s="30"/>
      <c r="R284" s="30"/>
      <c r="S284" s="47"/>
      <c r="T284" s="47"/>
      <c r="U284" s="47"/>
      <c r="V284" s="93"/>
      <c r="W284" s="47"/>
      <c r="X284" s="47"/>
      <c r="Y284" s="47"/>
      <c r="Z284" s="47"/>
      <c r="AA284" s="47"/>
      <c r="AB284" s="47"/>
      <c r="AC284" s="47"/>
      <c r="AD284" s="47"/>
      <c r="AE284" s="47"/>
    </row>
    <row r="285" spans="2:31" x14ac:dyDescent="0.3">
      <c r="B285" s="9" t="s">
        <v>40</v>
      </c>
      <c r="C285" s="9" t="s">
        <v>6</v>
      </c>
      <c r="D285" s="58">
        <f>D283+1</f>
        <v>42248</v>
      </c>
      <c r="E285" s="29" t="s">
        <v>29</v>
      </c>
      <c r="F285" s="190"/>
      <c r="G285" s="194">
        <v>0.38541666666666669</v>
      </c>
      <c r="H285" s="194">
        <v>3.125E-2</v>
      </c>
      <c r="I285" s="194">
        <v>0.70833333333333337</v>
      </c>
      <c r="J285" s="193">
        <f>IF(OR(E285="férié travaillé",E285="travail"),(I285-G285+IF(G285&gt;I285,1)-H285),INDEX('bases de donnée'!$E$20:'bases de donnée'!$E$32,MATCH(E285,gerald2,0)))</f>
        <v>0.29166666666666669</v>
      </c>
      <c r="K285" s="20">
        <f>IF(SUM(J285-'bases de donnée'!E$7)&lt;0,0,SUM(J285-'bases de donnée'!E$7))</f>
        <v>0</v>
      </c>
      <c r="L285" s="11">
        <f>IF(OR(E285="férié travaillé",E285="travail"),I285-G285+IF(G285&gt;I285,1),INDEX('bases de donnée'!$E$20:'bases de donnée'!$E$32,MATCH(E285,gerald2,0)))</f>
        <v>0.32291666666666669</v>
      </c>
      <c r="M285" s="21">
        <f>IF(SUM(L285-'bases de donnée'!E$4)&lt;0,0,SUM(L285-'bases de donnée'!E$4))</f>
        <v>0</v>
      </c>
      <c r="N285" s="155">
        <v>0</v>
      </c>
      <c r="O285" s="59">
        <f t="shared" ref="O285" si="285">J285</f>
        <v>0.29166666666666669</v>
      </c>
      <c r="P285" s="122">
        <f>SUM(Q285:Q291)</f>
        <v>5</v>
      </c>
      <c r="Q285" s="120">
        <f>IF(AND(G285&lt;&gt;"",I285&lt;&gt;""),1,0+OR(N(I284)&lt;N(G284),E285="récupération",E285="congé 1 jour",E285="congé 1/2 jour ",E285="congé 5h24",E285="arrêt maladie",E285="arrêt travail",E285="férié ",E285="congé parentale",E285="congé de naissance"))</f>
        <v>1</v>
      </c>
      <c r="R285" s="30"/>
      <c r="S285" s="77">
        <f>IF(SUM(MOD(I285-G285,1)-IF(I285&gt;G285,MAX(0,MIN(I285,'bases de donnée'!E$16/24)-MAX('planning '!G285,7/24)),MAX(0,'bases de donnée'!E$16/24-MAX('planning '!G285,7/24))+MAX(0,MIN('planning '!I285,'bases de donnée'!E$16/24)-7/24)))&lt;0,0,SUM(MOD('planning '!I285-'planning '!G285,1)-IF('planning '!I285&gt;'planning '!G285,MAX(0,MIN('planning '!I285,'bases de donnée'!E$16/24)-MAX('planning '!G285,7/24)),MAX(0,'bases de donnée'!E$16/24-MAX('planning '!G285,7/24))+MAX(0,MIN('planning '!I285,'bases de donnée'!E$16/24)-7/24))))</f>
        <v>0</v>
      </c>
      <c r="T285" s="81"/>
      <c r="U285" s="77" t="str">
        <f t="shared" ref="U285:U291" si="286">IF(E285&lt;&gt;"travail",IF(E285="férié travaillé",MOD(I285-G285,1)-H285,"00:00"),"00:00")</f>
        <v>00:00</v>
      </c>
      <c r="V285" s="78"/>
      <c r="W285" s="47"/>
      <c r="X285" s="48">
        <f t="shared" si="245"/>
        <v>0</v>
      </c>
      <c r="Y285" s="31"/>
      <c r="Z285" s="49">
        <f t="shared" ref="Z285:Z290" si="287">IF(SUM(U285-X285)&lt;0,0,SUM(U285-X285))</f>
        <v>0</v>
      </c>
      <c r="AA285" s="48">
        <f t="shared" ref="AA285:AA290" si="288">IF(SUM(V285-X285-Z285)&lt;0,0,SUM(V285-X285-Z285))</f>
        <v>0</v>
      </c>
      <c r="AB285" s="47"/>
      <c r="AC285" s="50"/>
      <c r="AD285" s="33">
        <f t="shared" si="248"/>
        <v>0</v>
      </c>
      <c r="AE285" s="33">
        <f t="shared" si="214"/>
        <v>0</v>
      </c>
    </row>
    <row r="286" spans="2:31" x14ac:dyDescent="0.3">
      <c r="B286" s="60">
        <f t="shared" ref="B286" si="289">B278+1</f>
        <v>35</v>
      </c>
      <c r="C286" s="9" t="s">
        <v>7</v>
      </c>
      <c r="D286" s="58">
        <f t="shared" si="221"/>
        <v>42249</v>
      </c>
      <c r="E286" s="29" t="s">
        <v>29</v>
      </c>
      <c r="F286" s="191"/>
      <c r="G286" s="194">
        <v>0.38541666666666669</v>
      </c>
      <c r="H286" s="194">
        <v>3.125E-2</v>
      </c>
      <c r="I286" s="194">
        <v>0.66666666666666663</v>
      </c>
      <c r="J286" s="193">
        <f>IF(OR(E286="férié travaillé",E286="travail"),(I286-G286+IF(G286&gt;I286,1)-H286),INDEX('bases de donnée'!$E$20:'bases de donnée'!$E$32,MATCH(E286,gerald2,0)))</f>
        <v>0.24999999999999994</v>
      </c>
      <c r="K286" s="20">
        <f>IF(SUM(J286-'bases de donnée'!E$7)&lt;0,0,SUM(J286-'bases de donnée'!E$7))</f>
        <v>0</v>
      </c>
      <c r="L286" s="11">
        <f>IF(OR(E286="férié travaillé",E286="travail"),I286-G286+IF(G286&gt;I286,1),INDEX('bases de donnée'!$E$20:'bases de donnée'!$E$32,MATCH(E286,gerald2,0)))</f>
        <v>0.28124999999999994</v>
      </c>
      <c r="M286" s="21">
        <f>IF(SUM(L286-'bases de donnée'!E$4)&lt;0,0,SUM(L286-'bases de donnée'!E$4))</f>
        <v>0</v>
      </c>
      <c r="N286" s="155">
        <v>0</v>
      </c>
      <c r="O286" s="74">
        <f t="shared" ref="O286:O291" si="290">O285+J286</f>
        <v>0.54166666666666663</v>
      </c>
      <c r="P286" s="121">
        <f>IF(SUM(P285-'bases de donnée'!E$6)&lt;0,0,SUM(P285-'bases de donnée'!E$6))</f>
        <v>0</v>
      </c>
      <c r="Q286" s="120">
        <f t="shared" ref="Q286:Q291" si="291">IF(AND(G286&lt;&gt;"",I286&lt;&gt;""),1,0+OR(N(I285)&lt;N(G285),E286="récupération",E286="congé 1 jour",E286="congé 1/2 jour ",E286="congé 5h24",E286="arrêt maladie",E286="arrêt travail",E286="férié ",E286="congé parentale",E286="congé de naissance"))</f>
        <v>1</v>
      </c>
      <c r="R286" s="30"/>
      <c r="S286" s="77">
        <f>IF(SUM(MOD(I286-G286,1)-IF(I286&gt;G286,MAX(0,MIN(I286,'bases de donnée'!E$16/24)-MAX('planning '!G286,7/24)),MAX(0,'bases de donnée'!E$16/24-MAX('planning '!G286,7/24))+MAX(0,MIN('planning '!I286,'bases de donnée'!E$16/24)-7/24)))&lt;0,0,SUM(MOD('planning '!I286-'planning '!G286,1)-IF('planning '!I286&gt;'planning '!G286,MAX(0,MIN('planning '!I286,'bases de donnée'!E$16/24)-MAX('planning '!G286,7/24)),MAX(0,'bases de donnée'!E$16/24-MAX('planning '!G286,7/24))+MAX(0,MIN('planning '!I286,'bases de donnée'!E$16/24)-7/24))))</f>
        <v>0</v>
      </c>
      <c r="T286" s="82"/>
      <c r="U286" s="77" t="str">
        <f t="shared" si="286"/>
        <v>00:00</v>
      </c>
      <c r="V286" s="78">
        <f>IF(SUM(IF(O286&gt;('bases de donnée'!E$9*1),O286-('bases de donnée'!E$9*1),0)-V285)&lt;0,0,SUM(IF(O286&gt;('bases de donnée'!E$9*1),O286-('bases de donnée'!E$9*1),0)-V285))</f>
        <v>0</v>
      </c>
      <c r="W286" s="47"/>
      <c r="X286" s="48">
        <f t="shared" si="245"/>
        <v>0</v>
      </c>
      <c r="Y286" s="42"/>
      <c r="Z286" s="49">
        <f t="shared" si="287"/>
        <v>0</v>
      </c>
      <c r="AA286" s="48">
        <f t="shared" si="288"/>
        <v>0</v>
      </c>
      <c r="AB286" s="47"/>
      <c r="AC286" s="54"/>
      <c r="AD286" s="33">
        <f t="shared" si="248"/>
        <v>0</v>
      </c>
      <c r="AE286" s="33">
        <f t="shared" si="214"/>
        <v>0</v>
      </c>
    </row>
    <row r="287" spans="2:31" x14ac:dyDescent="0.3">
      <c r="B287"/>
      <c r="C287" s="9" t="s">
        <v>8</v>
      </c>
      <c r="D287" s="58">
        <f t="shared" si="221"/>
        <v>42250</v>
      </c>
      <c r="E287" s="29" t="s">
        <v>34</v>
      </c>
      <c r="F287" s="191"/>
      <c r="G287" s="194"/>
      <c r="H287" s="194"/>
      <c r="I287" s="194"/>
      <c r="J287" s="193">
        <f>IF(OR(E287="férié travaillé",E287="travail"),(I287-G287+IF(G287&gt;I287,1)-H287),INDEX('bases de donnée'!$E$20:'bases de donnée'!$E$32,MATCH(E287,gerald2,0)))</f>
        <v>0.3</v>
      </c>
      <c r="K287" s="20">
        <f>IF(SUM(J287-'bases de donnée'!E$7)&lt;0,0,SUM(J287-'bases de donnée'!E$7))</f>
        <v>0</v>
      </c>
      <c r="L287" s="11">
        <f>IF(OR(E287="férié travaillé",E287="travail"),I287-G287+IF(G287&gt;I287,1),INDEX('bases de donnée'!$E$20:'bases de donnée'!$E$32,MATCH(E287,gerald2,0)))</f>
        <v>0.3</v>
      </c>
      <c r="M287" s="21">
        <f>IF(SUM(L287-'bases de donnée'!E$4)&lt;0,0,SUM(L287-'bases de donnée'!E$4))</f>
        <v>0</v>
      </c>
      <c r="N287" s="155">
        <v>0</v>
      </c>
      <c r="O287" s="74">
        <f t="shared" si="290"/>
        <v>0.84166666666666656</v>
      </c>
      <c r="P287" s="34" t="s">
        <v>46</v>
      </c>
      <c r="Q287" s="120">
        <f t="shared" si="291"/>
        <v>1</v>
      </c>
      <c r="R287" s="30"/>
      <c r="S287" s="77">
        <f>IF(SUM(MOD(I287-G287,1)-IF(I287&gt;G287,MAX(0,MIN(I287,'bases de donnée'!E$16/24)-MAX('planning '!G287,7/24)),MAX(0,'bases de donnée'!E$16/24-MAX('planning '!G287,7/24))+MAX(0,MIN('planning '!I287,'bases de donnée'!E$16/24)-7/24)))&lt;0,0,SUM(MOD('planning '!I287-'planning '!G287,1)-IF('planning '!I287&gt;'planning '!G287,MAX(0,MIN('planning '!I287,'bases de donnée'!E$16/24)-MAX('planning '!G287,7/24)),MAX(0,'bases de donnée'!E$16/24-MAX('planning '!G287,7/24))+MAX(0,MIN('planning '!I287,'bases de donnée'!E$16/24)-7/24))))</f>
        <v>0</v>
      </c>
      <c r="T287" s="82"/>
      <c r="U287" s="77" t="str">
        <f t="shared" si="286"/>
        <v>00:00</v>
      </c>
      <c r="V287" s="78">
        <f>IF(SUM(IF(O287&gt;("36:00"*1),O287-("36:00"*1),0)-V285-V286)&lt;0,0,SUM(IF(O287&gt;("36:00"*1),O287-("36:00"*1),0)-V285-V286))</f>
        <v>0</v>
      </c>
      <c r="W287" s="47"/>
      <c r="X287" s="48">
        <f t="shared" si="245"/>
        <v>0</v>
      </c>
      <c r="Y287" s="42"/>
      <c r="Z287" s="49">
        <f t="shared" si="287"/>
        <v>0</v>
      </c>
      <c r="AA287" s="48">
        <f t="shared" si="288"/>
        <v>0</v>
      </c>
      <c r="AB287" s="47"/>
      <c r="AC287" s="54"/>
      <c r="AD287" s="33">
        <f t="shared" si="248"/>
        <v>0</v>
      </c>
      <c r="AE287" s="33">
        <f t="shared" si="214"/>
        <v>0</v>
      </c>
    </row>
    <row r="288" spans="2:31" x14ac:dyDescent="0.3">
      <c r="B288"/>
      <c r="C288" s="9" t="s">
        <v>9</v>
      </c>
      <c r="D288" s="58">
        <f t="shared" si="221"/>
        <v>42251</v>
      </c>
      <c r="E288" s="29" t="s">
        <v>34</v>
      </c>
      <c r="F288" s="191"/>
      <c r="G288" s="194"/>
      <c r="H288" s="194"/>
      <c r="I288" s="194"/>
      <c r="J288" s="193">
        <f>IF(OR(E288="férié travaillé",E288="travail"),(I288-G288+IF(G288&gt;I288,1)-H288),INDEX('bases de donnée'!$E$20:'bases de donnée'!$E$32,MATCH(E288,gerald2,0)))</f>
        <v>0.3</v>
      </c>
      <c r="K288" s="20">
        <f>IF(SUM(J288-'bases de donnée'!E$7)&lt;0,0,SUM(J288-'bases de donnée'!E$7))</f>
        <v>0</v>
      </c>
      <c r="L288" s="11">
        <f>IF(OR(E288="férié travaillé",E288="travail"),I288-G288+IF(G288&gt;I288,1),INDEX('bases de donnée'!$E$20:'bases de donnée'!$E$32,MATCH(E288,gerald2,0)))</f>
        <v>0.3</v>
      </c>
      <c r="M288" s="21">
        <f>IF(SUM(L288-'bases de donnée'!E$4)&lt;0,0,SUM(L288-'bases de donnée'!E$4))</f>
        <v>0</v>
      </c>
      <c r="N288" s="155">
        <v>0</v>
      </c>
      <c r="O288" s="74">
        <f t="shared" si="290"/>
        <v>1.1416666666666666</v>
      </c>
      <c r="P288" s="86">
        <f>O291</f>
        <v>1.4416666666666667</v>
      </c>
      <c r="Q288" s="120">
        <f t="shared" si="291"/>
        <v>1</v>
      </c>
      <c r="R288" s="30"/>
      <c r="S288" s="77">
        <f>IF(SUM(MOD(I288-G288,1)-IF(I288&gt;G288,MAX(0,MIN(I288,'bases de donnée'!E$16/24)-MAX('planning '!G288,7/24)),MAX(0,'bases de donnée'!E$16/24-MAX('planning '!G288,7/24))+MAX(0,MIN('planning '!I288,'bases de donnée'!E$16/24)-7/24)))&lt;0,0,SUM(MOD('planning '!I288-'planning '!G288,1)-IF('planning '!I288&gt;'planning '!G288,MAX(0,MIN('planning '!I288,'bases de donnée'!E$16/24)-MAX('planning '!G288,7/24)),MAX(0,'bases de donnée'!E$16/24-MAX('planning '!G288,7/24))+MAX(0,MIN('planning '!I288,'bases de donnée'!E$16/24)-7/24))))</f>
        <v>0</v>
      </c>
      <c r="T288" s="82"/>
      <c r="U288" s="77" t="str">
        <f>IF(E288&lt;&gt;"travail",IF(E288="férié travaillé",MOD(I288-G288,1)-H288,"00:00"),"00:00")</f>
        <v>00:00</v>
      </c>
      <c r="V288" s="78">
        <f>IF(SUM(IF(O288&gt;("36:00"*1),O288-("36:00"*1),0)-V286-V287)&lt;0,0,SUM(IF(O288&gt;("36:00"*1),O288-("36:00"*1),0)-V285-V286-V287))</f>
        <v>0</v>
      </c>
      <c r="W288" s="47"/>
      <c r="X288" s="48">
        <f t="shared" si="245"/>
        <v>0</v>
      </c>
      <c r="Y288" s="42"/>
      <c r="Z288" s="49">
        <f t="shared" si="287"/>
        <v>0</v>
      </c>
      <c r="AA288" s="48">
        <f t="shared" si="288"/>
        <v>0</v>
      </c>
      <c r="AB288" s="47"/>
      <c r="AC288" s="54"/>
      <c r="AD288" s="33">
        <f t="shared" si="248"/>
        <v>0</v>
      </c>
      <c r="AE288" s="33">
        <f t="shared" si="214"/>
        <v>0</v>
      </c>
    </row>
    <row r="289" spans="2:31" x14ac:dyDescent="0.3">
      <c r="B289"/>
      <c r="C289" s="9" t="s">
        <v>3</v>
      </c>
      <c r="D289" s="58">
        <f t="shared" si="221"/>
        <v>42252</v>
      </c>
      <c r="E289" s="29" t="s">
        <v>34</v>
      </c>
      <c r="F289" s="191"/>
      <c r="G289" s="194"/>
      <c r="H289" s="194"/>
      <c r="I289" s="194"/>
      <c r="J289" s="193">
        <f>IF(OR(E289="férié travaillé",E289="travail"),(I289-G289+IF(G289&gt;I289,1)-H289),INDEX('bases de donnée'!$E$20:'bases de donnée'!$E$32,MATCH(E289,gerald2,0)))</f>
        <v>0.3</v>
      </c>
      <c r="K289" s="20">
        <f>IF(SUM(J289-'bases de donnée'!E$7)&lt;0,0,SUM(J289-'bases de donnée'!E$7))</f>
        <v>0</v>
      </c>
      <c r="L289" s="11">
        <f>IF(OR(E289="férié travaillé",E289="travail"),I289-G289+IF(G289&gt;I289,1),INDEX('bases de donnée'!$E$20:'bases de donnée'!$E$32,MATCH(E289,gerald2,0)))</f>
        <v>0.3</v>
      </c>
      <c r="M289" s="21">
        <f>IF(SUM(L289-'bases de donnée'!E$4)&lt;0,0,SUM(L289-'bases de donnée'!E$4))</f>
        <v>0</v>
      </c>
      <c r="N289" s="155">
        <v>0</v>
      </c>
      <c r="O289" s="74">
        <f t="shared" si="290"/>
        <v>1.4416666666666667</v>
      </c>
      <c r="P289" s="8" t="s">
        <v>48</v>
      </c>
      <c r="Q289" s="120">
        <f t="shared" si="291"/>
        <v>1</v>
      </c>
      <c r="R289" s="30"/>
      <c r="S289" s="77">
        <f>IF(SUM(MOD(I289-G289,1)-IF(I289&gt;G289,MAX(0,MIN(I289,'bases de donnée'!E$16/24)-MAX('planning '!G289,7/24)),MAX(0,'bases de donnée'!E$16/24-MAX('planning '!G289,7/24))+MAX(0,MIN('planning '!I289,'bases de donnée'!E$16/24)-7/24)))&lt;0,0,SUM(MOD('planning '!I289-'planning '!G289,1)-IF('planning '!I289&gt;'planning '!G289,MAX(0,MIN('planning '!I289,'bases de donnée'!E$16/24)-MAX('planning '!G289,7/24)),MAX(0,'bases de donnée'!E$16/24-MAX('planning '!G289,7/24))+MAX(0,MIN('planning '!I289,'bases de donnée'!E$16/24)-7/24))))</f>
        <v>0</v>
      </c>
      <c r="T289" s="82"/>
      <c r="U289" s="77" t="str">
        <f>IF(E289&lt;&gt;"travail",IF(E289="férié travaillé",MOD(I289-G289,1)-H289,"00:00"),"00:00")</f>
        <v>00:00</v>
      </c>
      <c r="V289" s="78">
        <f>IF(SUM(IF(O289&gt;("36:00"*1),O289-("36:00"*1),0)-V287-V288)&lt;0,0,SUM(IF(O289&gt;("36:00"*1),O289-("36:00"*1),0)-V285-V286-V287-V288))</f>
        <v>0</v>
      </c>
      <c r="W289" s="47"/>
      <c r="X289" s="48">
        <f t="shared" si="245"/>
        <v>0</v>
      </c>
      <c r="Y289" s="42"/>
      <c r="Z289" s="49">
        <f t="shared" si="287"/>
        <v>0</v>
      </c>
      <c r="AA289" s="48">
        <f t="shared" si="288"/>
        <v>0</v>
      </c>
      <c r="AB289" s="47"/>
      <c r="AC289" s="54"/>
      <c r="AD289" s="33">
        <f t="shared" si="248"/>
        <v>0</v>
      </c>
      <c r="AE289" s="33">
        <f t="shared" si="214"/>
        <v>0</v>
      </c>
    </row>
    <row r="290" spans="2:31" x14ac:dyDescent="0.3">
      <c r="B290"/>
      <c r="C290" s="9" t="s">
        <v>4</v>
      </c>
      <c r="D290" s="58">
        <f t="shared" si="221"/>
        <v>42253</v>
      </c>
      <c r="E290" s="29" t="s">
        <v>28</v>
      </c>
      <c r="F290" s="191"/>
      <c r="G290" s="194"/>
      <c r="H290" s="194"/>
      <c r="I290" s="194"/>
      <c r="J290" s="193">
        <f>IF(OR(E290="férié travaillé",E290="travail"),(I290-G290+IF(G290&gt;I290,1)-H290),INDEX('bases de donnée'!$E$20:'bases de donnée'!$E$32,MATCH(E290,gerald2,0)))</f>
        <v>0</v>
      </c>
      <c r="K290" s="20">
        <f>IF(SUM(J290-'bases de donnée'!E$7)&lt;0,0,SUM(J290-'bases de donnée'!E$7))</f>
        <v>0</v>
      </c>
      <c r="L290" s="11">
        <f>IF(OR(E290="férié travaillé",E290="travail"),I290-G290+IF(G290&gt;I290,1),INDEX('bases de donnée'!$E$20:'bases de donnée'!$E$32,MATCH(E290,gerald2,0)))</f>
        <v>0</v>
      </c>
      <c r="M290" s="21">
        <f>IF(SUM(L290-'bases de donnée'!E$4)&lt;0,0,SUM(L290-'bases de donnée'!E$4))</f>
        <v>0</v>
      </c>
      <c r="N290" s="155">
        <v>0</v>
      </c>
      <c r="O290" s="74">
        <f t="shared" si="290"/>
        <v>1.4416666666666667</v>
      </c>
      <c r="P290" s="61">
        <f>'bases de donnée'!E$10</f>
        <v>2</v>
      </c>
      <c r="Q290" s="120">
        <f t="shared" si="291"/>
        <v>0</v>
      </c>
      <c r="R290" s="30"/>
      <c r="S290" s="77">
        <f>IF(SUM(MOD(I290-G290,1)-IF(I290&gt;G290,MAX(0,MIN(I290,'bases de donnée'!E$16/24)-MAX('planning '!G290,7/24)),MAX(0,'bases de donnée'!E$16/24-MAX('planning '!G290,7/24))+MAX(0,MIN('planning '!I290,'bases de donnée'!E$16/24)-7/24)))&lt;0,0,SUM(MOD('planning '!I290-'planning '!G290,1)-IF('planning '!I290&gt;'planning '!G290,MAX(0,MIN('planning '!I290,'bases de donnée'!E$16/24)-MAX('planning '!G290,7/24)),MAX(0,'bases de donnée'!E$16/24-MAX('planning '!G290,7/24))+MAX(0,MIN('planning '!I290,'bases de donnée'!E$16/24)-7/24))))</f>
        <v>0</v>
      </c>
      <c r="T290" s="82"/>
      <c r="U290" s="77" t="str">
        <f>IF(E290&lt;&gt;"travail",IF(E290="férié travaillé",MOD(I290-G290,1)-H290,"00:00"),"00:00")</f>
        <v>00:00</v>
      </c>
      <c r="V290" s="78">
        <f>IF(SUM(IF(O290&gt;("36:00"*1),O290-("36:00"*1),0)-V288-V289)&lt;0,0,SUM(IF(O290&gt;("36:00"*1),O290-("36:00"*1),0)-V285-V286-V287-V288-V289))</f>
        <v>0</v>
      </c>
      <c r="W290" s="47"/>
      <c r="X290" s="48">
        <f t="shared" si="245"/>
        <v>0</v>
      </c>
      <c r="Y290" s="32"/>
      <c r="Z290" s="49">
        <f t="shared" si="287"/>
        <v>0</v>
      </c>
      <c r="AA290" s="48">
        <f t="shared" si="288"/>
        <v>0</v>
      </c>
      <c r="AB290" s="47"/>
      <c r="AC290" s="55"/>
      <c r="AD290" s="33">
        <f t="shared" si="248"/>
        <v>0</v>
      </c>
      <c r="AE290" s="33">
        <f t="shared" si="214"/>
        <v>0</v>
      </c>
    </row>
    <row r="291" spans="2:31" x14ac:dyDescent="0.3">
      <c r="B291"/>
      <c r="C291" s="9" t="s">
        <v>5</v>
      </c>
      <c r="D291" s="58">
        <f t="shared" si="221"/>
        <v>42254</v>
      </c>
      <c r="E291" s="29" t="s">
        <v>28</v>
      </c>
      <c r="F291" s="192"/>
      <c r="G291" s="194"/>
      <c r="H291" s="194"/>
      <c r="I291" s="194"/>
      <c r="J291" s="193">
        <f>IF(OR(E291="férié travaillé",E291="travail"),(I291-G291+IF(G291&gt;I291,1)-H291),INDEX('bases de donnée'!$E$20:'bases de donnée'!$E$32,MATCH(E291,gerald2,0)))</f>
        <v>0</v>
      </c>
      <c r="K291" s="20">
        <f>IF(SUM(J291-'bases de donnée'!E$7)&lt;0,0,SUM(J291-'bases de donnée'!E$7))</f>
        <v>0</v>
      </c>
      <c r="L291" s="11">
        <f>IF(OR(E291="férié travaillé",E291="travail"),I291-G291+IF(G291&gt;I291,1),INDEX('bases de donnée'!$E$20:'bases de donnée'!$E$32,MATCH(E291,gerald2,0)))</f>
        <v>0</v>
      </c>
      <c r="M291" s="21">
        <f>IF(SUM(L291-'bases de donnée'!E$4)&lt;0,0,SUM(L291-'bases de donnée'!E$4))</f>
        <v>0</v>
      </c>
      <c r="N291" s="155">
        <v>0</v>
      </c>
      <c r="O291" s="74">
        <f t="shared" si="290"/>
        <v>1.4416666666666667</v>
      </c>
      <c r="P291" s="33">
        <f>IF(SUM(O291-'bases de donnée'!E$10)&lt;0,0,SUM(O291-'bases de donnée'!E$10))</f>
        <v>0</v>
      </c>
      <c r="Q291" s="120">
        <f t="shared" si="291"/>
        <v>0</v>
      </c>
      <c r="R291" s="30"/>
      <c r="S291" s="77">
        <f>IF(SUM(MOD(I291-G291,1)-IF(I291&gt;G291,MAX(0,MIN(I291,'bases de donnée'!E$16/24)-MAX('planning '!G291,7/24)),MAX(0,'bases de donnée'!E$16/24-MAX('planning '!G291,7/24))+MAX(0,MIN('planning '!I291,'bases de donnée'!E$16/24)-7/24)))&lt;0,0,SUM(MOD('planning '!I291-'planning '!G291,1)-IF('planning '!I291&gt;'planning '!G291,MAX(0,MIN('planning '!I291,'bases de donnée'!E$16/24)-MAX('planning '!G291,7/24)),MAX(0,'bases de donnée'!E$16/24-MAX('planning '!G291,7/24))+MAX(0,MIN('planning '!I291,'bases de donnée'!E$16/24)-7/24))))</f>
        <v>0</v>
      </c>
      <c r="T291" s="77">
        <f>J291</f>
        <v>0</v>
      </c>
      <c r="U291" s="77" t="str">
        <f t="shared" si="286"/>
        <v>00:00</v>
      </c>
      <c r="V291" s="78">
        <f>IF(SUM(IF(O291&gt;("36:00"*1),O291-("36:00"*1),0)-V289-V290)&lt;0,0,SUM(IF(O291&gt;("36:00"*1),O291-("36:00"*1),0)-V285-V286-V287-V288-V289-V290))</f>
        <v>0</v>
      </c>
      <c r="W291" s="47"/>
      <c r="X291" s="48">
        <f t="shared" si="245"/>
        <v>0</v>
      </c>
      <c r="Y291" s="48">
        <f t="shared" ref="Y291" si="292">IF(SUM(T291-S291)&lt;0,0,SUM(T291-S291))</f>
        <v>0</v>
      </c>
      <c r="Z291" s="56">
        <f t="shared" ref="Z291" si="293">IF(SUM(U291-T291-S291)&lt;0,0,SUM(U291-T291-S291))</f>
        <v>0</v>
      </c>
      <c r="AA291" s="48">
        <f>IF(SUM(V291-S291-T291-U291)&lt;0,0,SUM(V291-S291-T291-U291))</f>
        <v>0</v>
      </c>
      <c r="AB291" s="47"/>
      <c r="AC291" s="57">
        <f t="shared" ref="AC291" si="294">IF(SUM(T291-Y291)&lt;0,0,SUM(T291-Y291))</f>
        <v>0</v>
      </c>
      <c r="AD291" s="33">
        <f t="shared" si="248"/>
        <v>0</v>
      </c>
      <c r="AE291" s="33">
        <f t="shared" si="214"/>
        <v>0</v>
      </c>
    </row>
    <row r="292" spans="2:31" x14ac:dyDescent="0.3">
      <c r="B292"/>
      <c r="C292" s="25"/>
      <c r="D292" s="90"/>
      <c r="E292" s="90"/>
      <c r="F292" s="25"/>
      <c r="G292" s="185"/>
      <c r="H292" s="185"/>
      <c r="I292" s="185"/>
      <c r="J292" s="47"/>
      <c r="K292" s="92"/>
      <c r="L292" s="91"/>
      <c r="M292" s="91"/>
      <c r="N292" s="91"/>
      <c r="O292" s="93"/>
      <c r="P292" s="47"/>
      <c r="Q292" s="30"/>
      <c r="R292" s="30"/>
      <c r="S292" s="47"/>
      <c r="T292" s="47"/>
      <c r="U292" s="47"/>
      <c r="V292" s="93"/>
      <c r="W292" s="47"/>
      <c r="X292" s="47"/>
      <c r="Y292" s="47"/>
      <c r="Z292" s="47"/>
      <c r="AA292" s="47"/>
      <c r="AB292" s="47"/>
      <c r="AC292" s="47"/>
      <c r="AD292" s="47"/>
      <c r="AE292" s="47"/>
    </row>
    <row r="293" spans="2:31" x14ac:dyDescent="0.3">
      <c r="B293" s="14" t="s">
        <v>40</v>
      </c>
      <c r="C293" s="14" t="s">
        <v>6</v>
      </c>
      <c r="D293" s="43">
        <f>D291+1</f>
        <v>42255</v>
      </c>
      <c r="E293" s="29" t="s">
        <v>29</v>
      </c>
      <c r="F293" s="190"/>
      <c r="G293" s="194">
        <v>0.38541666666666669</v>
      </c>
      <c r="H293" s="194">
        <v>3.125E-2</v>
      </c>
      <c r="I293" s="194">
        <v>0.64583333333333337</v>
      </c>
      <c r="J293" s="193">
        <f>IF(OR(E293="férié travaillé",E293="travail"),(I293-G293+IF(G293&gt;I293,1)-H293),INDEX('bases de donnée'!$E$20:'bases de donnée'!$E$32,MATCH(E293,gerald2,0)))</f>
        <v>0.22916666666666669</v>
      </c>
      <c r="K293" s="20">
        <f>IF(SUM(J293-'bases de donnée'!E$7)&lt;0,0,SUM(J293-'bases de donnée'!E$7))</f>
        <v>0</v>
      </c>
      <c r="L293" s="11">
        <f>IF(OR(E293="férié travaillé",E293="travail"),I293-G293+IF(G293&gt;I293,1),INDEX('bases de donnée'!$E$20:'bases de donnée'!$E$32,MATCH(E293,gerald2,0)))</f>
        <v>0.26041666666666669</v>
      </c>
      <c r="M293" s="21">
        <f>IF(SUM(L293-'bases de donnée'!E$4)&lt;0,0,SUM(L293-'bases de donnée'!E$4))</f>
        <v>0</v>
      </c>
      <c r="N293" s="155">
        <v>0</v>
      </c>
      <c r="O293" s="45">
        <f t="shared" ref="O293" si="295">J293</f>
        <v>0.22916666666666669</v>
      </c>
      <c r="P293" s="122">
        <f>SUM(Q293:Q299)</f>
        <v>5</v>
      </c>
      <c r="Q293" s="120">
        <f>IF(AND(G293&lt;&gt;"",I293&lt;&gt;""),1,0+OR(N(I292)&lt;N(G292),E293="récupération",E293="congé 1 jour",E293="congé 1/2 jour ",E293="congé 5h24",E293="arrêt maladie",E293="arrêt travail",E293="férié ",E293="congé parentale",E293="congé de naissance"))</f>
        <v>1</v>
      </c>
      <c r="R293" s="30"/>
      <c r="S293" s="77">
        <f>IF(SUM(MOD(I293-G293,1)-IF(I293&gt;G293,MAX(0,MIN(I293,'bases de donnée'!E$16/24)-MAX('planning '!G293,7/24)),MAX(0,'bases de donnée'!E$16/24-MAX('planning '!G293,7/24))+MAX(0,MIN('planning '!I293,'bases de donnée'!E$16/24)-7/24)))&lt;0,0,SUM(MOD('planning '!I293-'planning '!G293,1)-IF('planning '!I293&gt;'planning '!G293,MAX(0,MIN('planning '!I293,'bases de donnée'!E$16/24)-MAX('planning '!G293,7/24)),MAX(0,'bases de donnée'!E$16/24-MAX('planning '!G293,7/24))+MAX(0,MIN('planning '!I293,'bases de donnée'!E$16/24)-7/24))))</f>
        <v>0</v>
      </c>
      <c r="T293" s="81"/>
      <c r="U293" s="77" t="str">
        <f t="shared" ref="U293:U299" si="296">IF(E293&lt;&gt;"travail",IF(E293="férié travaillé",MOD(I293-G293,1)-H293,"00:00"),"00:00")</f>
        <v>00:00</v>
      </c>
      <c r="V293" s="78"/>
      <c r="W293" s="47"/>
      <c r="X293" s="48">
        <f t="shared" si="245"/>
        <v>0</v>
      </c>
      <c r="Y293" s="31"/>
      <c r="Z293" s="49">
        <f t="shared" ref="Z293:Z298" si="297">IF(SUM(U293-X293)&lt;0,0,SUM(U293-X293))</f>
        <v>0</v>
      </c>
      <c r="AA293" s="48">
        <f t="shared" ref="AA293:AA298" si="298">IF(SUM(V293-X293-Z293)&lt;0,0,SUM(V293-X293-Z293))</f>
        <v>0</v>
      </c>
      <c r="AB293" s="47"/>
      <c r="AC293" s="50"/>
      <c r="AD293" s="33">
        <f t="shared" si="248"/>
        <v>0</v>
      </c>
      <c r="AE293" s="33">
        <f t="shared" si="214"/>
        <v>0</v>
      </c>
    </row>
    <row r="294" spans="2:31" x14ac:dyDescent="0.3">
      <c r="B294" s="51">
        <f t="shared" ref="B294" si="299">B286+1</f>
        <v>36</v>
      </c>
      <c r="C294" s="14" t="s">
        <v>7</v>
      </c>
      <c r="D294" s="43">
        <f t="shared" si="221"/>
        <v>42256</v>
      </c>
      <c r="E294" s="29" t="s">
        <v>29</v>
      </c>
      <c r="F294" s="191"/>
      <c r="G294" s="194">
        <v>0.38541666666666669</v>
      </c>
      <c r="H294" s="194">
        <v>3.125E-2</v>
      </c>
      <c r="I294" s="194">
        <v>0.75</v>
      </c>
      <c r="J294" s="193">
        <f>IF(OR(E294="férié travaillé",E294="travail"),(I294-G294+IF(G294&gt;I294,1)-H294),INDEX('bases de donnée'!$E$20:'bases de donnée'!$E$32,MATCH(E294,gerald2,0)))</f>
        <v>0.33333333333333331</v>
      </c>
      <c r="K294" s="20">
        <f>IF(SUM(J294-'bases de donnée'!E$7)&lt;0,0,SUM(J294-'bases de donnée'!E$7))</f>
        <v>0</v>
      </c>
      <c r="L294" s="11">
        <f>IF(OR(E294="férié travaillé",E294="travail"),I294-G294+IF(G294&gt;I294,1),INDEX('bases de donnée'!$E$20:'bases de donnée'!$E$32,MATCH(E294,gerald2,0)))</f>
        <v>0.36458333333333331</v>
      </c>
      <c r="M294" s="21">
        <f>IF(SUM(L294-'bases de donnée'!E$4)&lt;0,0,SUM(L294-'bases de donnée'!E$4))</f>
        <v>0</v>
      </c>
      <c r="N294" s="155">
        <v>0</v>
      </c>
      <c r="O294" s="73">
        <f t="shared" ref="O294:O299" si="300">O293+J294</f>
        <v>0.5625</v>
      </c>
      <c r="P294" s="121">
        <f>IF(SUM(P293-'bases de donnée'!E$6)&lt;0,0,SUM(P293-'bases de donnée'!E$6))</f>
        <v>0</v>
      </c>
      <c r="Q294" s="120">
        <f t="shared" ref="Q294:Q299" si="301">IF(AND(G294&lt;&gt;"",I294&lt;&gt;""),1,0+OR(N(I293)&lt;N(G293),E294="récupération",E294="congé 1 jour",E294="congé 1/2 jour ",E294="congé 5h24",E294="arrêt maladie",E294="arrêt travail",E294="férié ",E294="congé parentale",E294="congé de naissance"))</f>
        <v>1</v>
      </c>
      <c r="R294" s="30"/>
      <c r="S294" s="77">
        <f>IF(SUM(MOD(I294-G294,1)-IF(I294&gt;G294,MAX(0,MIN(I294,'bases de donnée'!E$16/24)-MAX('planning '!G294,7/24)),MAX(0,'bases de donnée'!E$16/24-MAX('planning '!G294,7/24))+MAX(0,MIN('planning '!I294,'bases de donnée'!E$16/24)-7/24)))&lt;0,0,SUM(MOD('planning '!I294-'planning '!G294,1)-IF('planning '!I294&gt;'planning '!G294,MAX(0,MIN('planning '!I294,'bases de donnée'!E$16/24)-MAX('planning '!G294,7/24)),MAX(0,'bases de donnée'!E$16/24-MAX('planning '!G294,7/24))+MAX(0,MIN('planning '!I294,'bases de donnée'!E$16/24)-7/24))))</f>
        <v>0</v>
      </c>
      <c r="T294" s="82"/>
      <c r="U294" s="77" t="str">
        <f t="shared" si="296"/>
        <v>00:00</v>
      </c>
      <c r="V294" s="78">
        <f>IF(SUM(IF(O294&gt;('bases de donnée'!E$9*1),O294-('bases de donnée'!E$9*1),0)-V293)&lt;0,0,SUM(IF(O294&gt;('bases de donnée'!E$9*1),O294-('bases de donnée'!E$9*1),0)-V293))</f>
        <v>0</v>
      </c>
      <c r="W294" s="47"/>
      <c r="X294" s="48">
        <f t="shared" si="245"/>
        <v>0</v>
      </c>
      <c r="Y294" s="42"/>
      <c r="Z294" s="49">
        <f t="shared" si="297"/>
        <v>0</v>
      </c>
      <c r="AA294" s="48">
        <f t="shared" si="298"/>
        <v>0</v>
      </c>
      <c r="AB294" s="47"/>
      <c r="AC294" s="54"/>
      <c r="AD294" s="33">
        <f t="shared" si="248"/>
        <v>0</v>
      </c>
      <c r="AE294" s="33">
        <f t="shared" si="214"/>
        <v>0</v>
      </c>
    </row>
    <row r="295" spans="2:31" x14ac:dyDescent="0.3">
      <c r="B295"/>
      <c r="C295" s="14" t="s">
        <v>8</v>
      </c>
      <c r="D295" s="43">
        <f t="shared" si="221"/>
        <v>42257</v>
      </c>
      <c r="E295" s="29" t="s">
        <v>29</v>
      </c>
      <c r="F295" s="191"/>
      <c r="G295" s="194">
        <v>0.375</v>
      </c>
      <c r="H295" s="194">
        <v>3.125E-2</v>
      </c>
      <c r="I295" s="194">
        <v>0.75</v>
      </c>
      <c r="J295" s="193">
        <f>IF(OR(E295="férié travaillé",E295="travail"),(I295-G295+IF(G295&gt;I295,1)-H295),INDEX('bases de donnée'!$E$20:'bases de donnée'!$E$32,MATCH(E295,gerald2,0)))</f>
        <v>0.34375</v>
      </c>
      <c r="K295" s="20">
        <f>IF(SUM(J295-'bases de donnée'!E$7)&lt;0,0,SUM(J295-'bases de donnée'!E$7))</f>
        <v>0</v>
      </c>
      <c r="L295" s="11">
        <f>IF(OR(E295="férié travaillé",E295="travail"),I295-G295+IF(G295&gt;I295,1),INDEX('bases de donnée'!$E$20:'bases de donnée'!$E$32,MATCH(E295,gerald2,0)))</f>
        <v>0.375</v>
      </c>
      <c r="M295" s="21">
        <f>IF(SUM(L295-'bases de donnée'!E$4)&lt;0,0,SUM(L295-'bases de donnée'!E$4))</f>
        <v>0</v>
      </c>
      <c r="N295" s="155">
        <v>0</v>
      </c>
      <c r="O295" s="73">
        <f t="shared" si="300"/>
        <v>0.90625</v>
      </c>
      <c r="P295" s="34" t="s">
        <v>46</v>
      </c>
      <c r="Q295" s="120">
        <f t="shared" si="301"/>
        <v>1</v>
      </c>
      <c r="R295" s="30"/>
      <c r="S295" s="77">
        <f>IF(SUM(MOD(I295-G295,1)-IF(I295&gt;G295,MAX(0,MIN(I295,'bases de donnée'!E$16/24)-MAX('planning '!G295,7/24)),MAX(0,'bases de donnée'!E$16/24-MAX('planning '!G295,7/24))+MAX(0,MIN('planning '!I295,'bases de donnée'!E$16/24)-7/24)))&lt;0,0,SUM(MOD('planning '!I295-'planning '!G295,1)-IF('planning '!I295&gt;'planning '!G295,MAX(0,MIN('planning '!I295,'bases de donnée'!E$16/24)-MAX('planning '!G295,7/24)),MAX(0,'bases de donnée'!E$16/24-MAX('planning '!G295,7/24))+MAX(0,MIN('planning '!I295,'bases de donnée'!E$16/24)-7/24))))</f>
        <v>0</v>
      </c>
      <c r="T295" s="82"/>
      <c r="U295" s="77" t="str">
        <f t="shared" si="296"/>
        <v>00:00</v>
      </c>
      <c r="V295" s="78">
        <f>IF(SUM(IF(O295&gt;("36:00"*1),O295-("36:00"*1),0)-V293-V294)&lt;0,0,SUM(IF(O295&gt;("36:00"*1),O295-("36:00"*1),0)-V293-V294))</f>
        <v>0</v>
      </c>
      <c r="W295" s="47"/>
      <c r="X295" s="48">
        <f t="shared" si="245"/>
        <v>0</v>
      </c>
      <c r="Y295" s="42"/>
      <c r="Z295" s="49">
        <f t="shared" si="297"/>
        <v>0</v>
      </c>
      <c r="AA295" s="48">
        <f t="shared" si="298"/>
        <v>0</v>
      </c>
      <c r="AB295" s="47"/>
      <c r="AC295" s="54"/>
      <c r="AD295" s="33">
        <f t="shared" si="248"/>
        <v>0</v>
      </c>
      <c r="AE295" s="33">
        <f t="shared" si="214"/>
        <v>0</v>
      </c>
    </row>
    <row r="296" spans="2:31" x14ac:dyDescent="0.3">
      <c r="B296"/>
      <c r="C296" s="14" t="s">
        <v>9</v>
      </c>
      <c r="D296" s="43">
        <f t="shared" si="221"/>
        <v>42258</v>
      </c>
      <c r="E296" s="29" t="s">
        <v>29</v>
      </c>
      <c r="F296" s="191"/>
      <c r="G296" s="194">
        <v>0.38541666666666669</v>
      </c>
      <c r="H296" s="194">
        <v>3.125E-2</v>
      </c>
      <c r="I296" s="194">
        <v>0.6875</v>
      </c>
      <c r="J296" s="193">
        <f>IF(OR(E296="férié travaillé",E296="travail"),(I296-G296+IF(G296&gt;I296,1)-H296),INDEX('bases de donnée'!$E$20:'bases de donnée'!$E$32,MATCH(E296,gerald2,0)))</f>
        <v>0.27083333333333331</v>
      </c>
      <c r="K296" s="20">
        <f>IF(SUM(J296-'bases de donnée'!E$7)&lt;0,0,SUM(J296-'bases de donnée'!E$7))</f>
        <v>0</v>
      </c>
      <c r="L296" s="11">
        <f>IF(OR(E296="férié travaillé",E296="travail"),I296-G296+IF(G296&gt;I296,1),INDEX('bases de donnée'!$E$20:'bases de donnée'!$E$32,MATCH(E296,gerald2,0)))</f>
        <v>0.30208333333333331</v>
      </c>
      <c r="M296" s="21">
        <f>IF(SUM(L296-'bases de donnée'!E$4)&lt;0,0,SUM(L296-'bases de donnée'!E$4))</f>
        <v>0</v>
      </c>
      <c r="N296" s="155">
        <v>0</v>
      </c>
      <c r="O296" s="73">
        <f t="shared" si="300"/>
        <v>1.1770833333333333</v>
      </c>
      <c r="P296" s="86">
        <f>O299</f>
        <v>1.5</v>
      </c>
      <c r="Q296" s="120">
        <f t="shared" si="301"/>
        <v>1</v>
      </c>
      <c r="R296" s="30"/>
      <c r="S296" s="77">
        <f>IF(SUM(MOD(I296-G296,1)-IF(I296&gt;G296,MAX(0,MIN(I296,'bases de donnée'!E$16/24)-MAX('planning '!G296,7/24)),MAX(0,'bases de donnée'!E$16/24-MAX('planning '!G296,7/24))+MAX(0,MIN('planning '!I296,'bases de donnée'!E$16/24)-7/24)))&lt;0,0,SUM(MOD('planning '!I296-'planning '!G296,1)-IF('planning '!I296&gt;'planning '!G296,MAX(0,MIN('planning '!I296,'bases de donnée'!E$16/24)-MAX('planning '!G296,7/24)),MAX(0,'bases de donnée'!E$16/24-MAX('planning '!G296,7/24))+MAX(0,MIN('planning '!I296,'bases de donnée'!E$16/24)-7/24))))</f>
        <v>0</v>
      </c>
      <c r="T296" s="82"/>
      <c r="U296" s="77" t="str">
        <f t="shared" si="296"/>
        <v>00:00</v>
      </c>
      <c r="V296" s="78">
        <f>IF(SUM(IF(O296&gt;("36:00"*1),O296-("36:00"*1),0)-V294-V295)&lt;0,0,SUM(IF(O296&gt;("36:00"*1),O296-("36:00"*1),0)-V293-V294-V295))</f>
        <v>0</v>
      </c>
      <c r="W296" s="47"/>
      <c r="X296" s="48">
        <f t="shared" si="245"/>
        <v>0</v>
      </c>
      <c r="Y296" s="42"/>
      <c r="Z296" s="49">
        <f t="shared" si="297"/>
        <v>0</v>
      </c>
      <c r="AA296" s="48">
        <f t="shared" si="298"/>
        <v>0</v>
      </c>
      <c r="AB296" s="47"/>
      <c r="AC296" s="54"/>
      <c r="AD296" s="33">
        <f t="shared" si="248"/>
        <v>0</v>
      </c>
      <c r="AE296" s="33">
        <f t="shared" si="214"/>
        <v>0</v>
      </c>
    </row>
    <row r="297" spans="2:31" x14ac:dyDescent="0.3">
      <c r="B297"/>
      <c r="C297" s="14" t="s">
        <v>3</v>
      </c>
      <c r="D297" s="43">
        <f t="shared" si="221"/>
        <v>42259</v>
      </c>
      <c r="E297" s="29" t="s">
        <v>29</v>
      </c>
      <c r="F297" s="191"/>
      <c r="G297" s="194">
        <v>0.38541666666666669</v>
      </c>
      <c r="H297" s="194">
        <v>3.125E-2</v>
      </c>
      <c r="I297" s="194">
        <v>0.73958333333333337</v>
      </c>
      <c r="J297" s="193">
        <f>IF(OR(E297="férié travaillé",E297="travail"),(I297-G297+IF(G297&gt;I297,1)-H297),INDEX('bases de donnée'!$E$20:'bases de donnée'!$E$32,MATCH(E297,gerald2,0)))</f>
        <v>0.32291666666666669</v>
      </c>
      <c r="K297" s="20">
        <f>IF(SUM(J297-'bases de donnée'!E$7)&lt;0,0,SUM(J297-'bases de donnée'!E$7))</f>
        <v>0</v>
      </c>
      <c r="L297" s="11">
        <f>IF(OR(E297="férié travaillé",E297="travail"),I297-G297+IF(G297&gt;I297,1),INDEX('bases de donnée'!$E$20:'bases de donnée'!$E$32,MATCH(E297,gerald2,0)))</f>
        <v>0.35416666666666669</v>
      </c>
      <c r="M297" s="21">
        <f>IF(SUM(L297-'bases de donnée'!E$4)&lt;0,0,SUM(L297-'bases de donnée'!E$4))</f>
        <v>0</v>
      </c>
      <c r="N297" s="155">
        <v>0</v>
      </c>
      <c r="O297" s="73">
        <f t="shared" si="300"/>
        <v>1.5</v>
      </c>
      <c r="P297" s="12" t="s">
        <v>48</v>
      </c>
      <c r="Q297" s="120">
        <f t="shared" si="301"/>
        <v>1</v>
      </c>
      <c r="R297" s="30"/>
      <c r="S297" s="77">
        <f>IF(SUM(MOD(I297-G297,1)-IF(I297&gt;G297,MAX(0,MIN(I297,'bases de donnée'!E$16/24)-MAX('planning '!G297,7/24)),MAX(0,'bases de donnée'!E$16/24-MAX('planning '!G297,7/24))+MAX(0,MIN('planning '!I297,'bases de donnée'!E$16/24)-7/24)))&lt;0,0,SUM(MOD('planning '!I297-'planning '!G297,1)-IF('planning '!I297&gt;'planning '!G297,MAX(0,MIN('planning '!I297,'bases de donnée'!E$16/24)-MAX('planning '!G297,7/24)),MAX(0,'bases de donnée'!E$16/24-MAX('planning '!G297,7/24))+MAX(0,MIN('planning '!I297,'bases de donnée'!E$16/24)-7/24))))</f>
        <v>0</v>
      </c>
      <c r="T297" s="82"/>
      <c r="U297" s="77" t="str">
        <f t="shared" si="296"/>
        <v>00:00</v>
      </c>
      <c r="V297" s="78">
        <f>IF(SUM(IF(O297&gt;("36:00"*1),O297-("36:00"*1),0)-V295-V296)&lt;0,0,SUM(IF(O297&gt;("36:00"*1),O297-("36:00"*1),0)-V293-V294-V295-V296))</f>
        <v>0</v>
      </c>
      <c r="W297" s="47"/>
      <c r="X297" s="48">
        <f t="shared" si="245"/>
        <v>0</v>
      </c>
      <c r="Y297" s="42"/>
      <c r="Z297" s="49">
        <f t="shared" si="297"/>
        <v>0</v>
      </c>
      <c r="AA297" s="48">
        <f t="shared" si="298"/>
        <v>0</v>
      </c>
      <c r="AB297" s="47"/>
      <c r="AC297" s="54"/>
      <c r="AD297" s="33">
        <f t="shared" si="248"/>
        <v>0</v>
      </c>
      <c r="AE297" s="33">
        <f t="shared" ref="AE297:AE369" si="302">IF(SUM(V297-AA297)&lt;0,0,SUM(V297-AA297))</f>
        <v>0</v>
      </c>
    </row>
    <row r="298" spans="2:31" x14ac:dyDescent="0.3">
      <c r="B298"/>
      <c r="C298" s="14" t="s">
        <v>4</v>
      </c>
      <c r="D298" s="43">
        <f t="shared" si="221"/>
        <v>42260</v>
      </c>
      <c r="E298" s="29" t="s">
        <v>28</v>
      </c>
      <c r="F298" s="191"/>
      <c r="G298" s="194"/>
      <c r="H298" s="194"/>
      <c r="I298" s="194"/>
      <c r="J298" s="193">
        <f>IF(OR(E298="férié travaillé",E298="travail"),(I298-G298+IF(G298&gt;I298,1)-H298),INDEX('bases de donnée'!$E$20:'bases de donnée'!$E$32,MATCH(E298,gerald2,0)))</f>
        <v>0</v>
      </c>
      <c r="K298" s="20">
        <f>IF(SUM(J298-'bases de donnée'!E$7)&lt;0,0,SUM(J298-'bases de donnée'!E$7))</f>
        <v>0</v>
      </c>
      <c r="L298" s="11">
        <f>IF(OR(E298="férié travaillé",E298="travail"),I298-G298+IF(G298&gt;I298,1),INDEX('bases de donnée'!$E$20:'bases de donnée'!$E$32,MATCH(E298,gerald2,0)))</f>
        <v>0</v>
      </c>
      <c r="M298" s="21">
        <f>IF(SUM(L298-'bases de donnée'!E$4)&lt;0,0,SUM(L298-'bases de donnée'!E$4))</f>
        <v>0</v>
      </c>
      <c r="N298" s="155">
        <v>0</v>
      </c>
      <c r="O298" s="73">
        <f t="shared" si="300"/>
        <v>1.5</v>
      </c>
      <c r="P298" s="53">
        <f>'bases de donnée'!E$10</f>
        <v>2</v>
      </c>
      <c r="Q298" s="120">
        <f t="shared" si="301"/>
        <v>0</v>
      </c>
      <c r="R298" s="30"/>
      <c r="S298" s="77">
        <f>IF(SUM(MOD(I298-G298,1)-IF(I298&gt;G298,MAX(0,MIN(I298,'bases de donnée'!E$16/24)-MAX('planning '!G298,7/24)),MAX(0,'bases de donnée'!E$16/24-MAX('planning '!G298,7/24))+MAX(0,MIN('planning '!I298,'bases de donnée'!E$16/24)-7/24)))&lt;0,0,SUM(MOD('planning '!I298-'planning '!G298,1)-IF('planning '!I298&gt;'planning '!G298,MAX(0,MIN('planning '!I298,'bases de donnée'!E$16/24)-MAX('planning '!G298,7/24)),MAX(0,'bases de donnée'!E$16/24-MAX('planning '!G298,7/24))+MAX(0,MIN('planning '!I298,'bases de donnée'!E$16/24)-7/24))))</f>
        <v>0</v>
      </c>
      <c r="T298" s="82"/>
      <c r="U298" s="77" t="str">
        <f t="shared" si="296"/>
        <v>00:00</v>
      </c>
      <c r="V298" s="78">
        <f>IF(SUM(IF(O298&gt;("36:00"*1),O298-("36:00"*1),0)-V296-V297)&lt;0,0,SUM(IF(O298&gt;("36:00"*1),O298-("36:00"*1),0)-V293-V294-V295-V296-V297))</f>
        <v>0</v>
      </c>
      <c r="W298" s="47"/>
      <c r="X298" s="48">
        <f t="shared" si="245"/>
        <v>0</v>
      </c>
      <c r="Y298" s="32"/>
      <c r="Z298" s="49">
        <f t="shared" si="297"/>
        <v>0</v>
      </c>
      <c r="AA298" s="48">
        <f t="shared" si="298"/>
        <v>0</v>
      </c>
      <c r="AB298" s="47"/>
      <c r="AC298" s="55"/>
      <c r="AD298" s="33">
        <f t="shared" si="248"/>
        <v>0</v>
      </c>
      <c r="AE298" s="33">
        <f t="shared" si="302"/>
        <v>0</v>
      </c>
    </row>
    <row r="299" spans="2:31" x14ac:dyDescent="0.3">
      <c r="B299"/>
      <c r="C299" s="14" t="s">
        <v>5</v>
      </c>
      <c r="D299" s="43">
        <f t="shared" si="221"/>
        <v>42261</v>
      </c>
      <c r="E299" s="29" t="s">
        <v>28</v>
      </c>
      <c r="F299" s="192"/>
      <c r="G299" s="194"/>
      <c r="H299" s="194"/>
      <c r="I299" s="194"/>
      <c r="J299" s="193">
        <f>IF(OR(E299="férié travaillé",E299="travail"),(I299-G299+IF(G299&gt;I299,1)-H299),INDEX('bases de donnée'!$E$20:'bases de donnée'!$E$32,MATCH(E299,gerald2,0)))</f>
        <v>0</v>
      </c>
      <c r="K299" s="20">
        <f>IF(SUM(J299-'bases de donnée'!E$7)&lt;0,0,SUM(J299-'bases de donnée'!E$7))</f>
        <v>0</v>
      </c>
      <c r="L299" s="11">
        <f>IF(OR(E299="férié travaillé",E299="travail"),I299-G299+IF(G299&gt;I299,1),INDEX('bases de donnée'!$E$20:'bases de donnée'!$E$32,MATCH(E299,gerald2,0)))</f>
        <v>0</v>
      </c>
      <c r="M299" s="21">
        <f>IF(SUM(L299-'bases de donnée'!E$4)&lt;0,0,SUM(L299-'bases de donnée'!E$4))</f>
        <v>0</v>
      </c>
      <c r="N299" s="155">
        <v>0</v>
      </c>
      <c r="O299" s="73">
        <f t="shared" si="300"/>
        <v>1.5</v>
      </c>
      <c r="P299" s="33">
        <f>IF(SUM(O299-'bases de donnée'!E$10)&lt;0,0,SUM(O299-'bases de donnée'!E$10))</f>
        <v>0</v>
      </c>
      <c r="Q299" s="120">
        <f t="shared" si="301"/>
        <v>0</v>
      </c>
      <c r="R299" s="30"/>
      <c r="S299" s="77">
        <f>IF(SUM(MOD(I299-G299,1)-IF(I299&gt;G299,MAX(0,MIN(I299,'bases de donnée'!E$16/24)-MAX('planning '!G299,7/24)),MAX(0,'bases de donnée'!E$16/24-MAX('planning '!G299,7/24))+MAX(0,MIN('planning '!I299,'bases de donnée'!E$16/24)-7/24)))&lt;0,0,SUM(MOD('planning '!I299-'planning '!G299,1)-IF('planning '!I299&gt;'planning '!G299,MAX(0,MIN('planning '!I299,'bases de donnée'!E$16/24)-MAX('planning '!G299,7/24)),MAX(0,'bases de donnée'!E$16/24-MAX('planning '!G299,7/24))+MAX(0,MIN('planning '!I299,'bases de donnée'!E$16/24)-7/24))))</f>
        <v>0</v>
      </c>
      <c r="T299" s="77">
        <f>J299</f>
        <v>0</v>
      </c>
      <c r="U299" s="77" t="str">
        <f t="shared" si="296"/>
        <v>00:00</v>
      </c>
      <c r="V299" s="78">
        <f>IF(SUM(IF(O299&gt;("36:00"*1),O299-("36:00"*1),0)-V297-V298)&lt;0,0,SUM(IF(O299&gt;("36:00"*1),O299-("36:00"*1),0)-V293-V294-V295-V296-V297-V298))</f>
        <v>0</v>
      </c>
      <c r="W299" s="47"/>
      <c r="X299" s="48">
        <f t="shared" si="245"/>
        <v>0</v>
      </c>
      <c r="Y299" s="48">
        <f t="shared" ref="Y299" si="303">IF(SUM(T299-S299)&lt;0,0,SUM(T299-S299))</f>
        <v>0</v>
      </c>
      <c r="Z299" s="56">
        <f t="shared" ref="Z299" si="304">IF(SUM(U299-T299-S299)&lt;0,0,SUM(U299-T299-S299))</f>
        <v>0</v>
      </c>
      <c r="AA299" s="48">
        <f>IF(SUM(V299-S299-T299-U299)&lt;0,0,SUM(V299-S299-T299-U299))</f>
        <v>0</v>
      </c>
      <c r="AB299" s="47"/>
      <c r="AC299" s="57">
        <f t="shared" ref="AC299" si="305">IF(SUM(T299-Y299)&lt;0,0,SUM(T299-Y299))</f>
        <v>0</v>
      </c>
      <c r="AD299" s="33">
        <f t="shared" si="248"/>
        <v>0</v>
      </c>
      <c r="AE299" s="33">
        <f t="shared" si="302"/>
        <v>0</v>
      </c>
    </row>
    <row r="300" spans="2:31" x14ac:dyDescent="0.3">
      <c r="B300"/>
      <c r="C300" s="25"/>
      <c r="D300" s="90"/>
      <c r="E300" s="90"/>
      <c r="F300" s="25"/>
      <c r="G300" s="185"/>
      <c r="H300" s="185"/>
      <c r="I300" s="185"/>
      <c r="J300" s="47"/>
      <c r="K300" s="92"/>
      <c r="L300" s="91"/>
      <c r="M300" s="91"/>
      <c r="N300" s="91"/>
      <c r="O300" s="93"/>
      <c r="P300" s="47"/>
      <c r="Q300" s="30"/>
      <c r="R300" s="30"/>
      <c r="S300" s="47"/>
      <c r="T300" s="47"/>
      <c r="U300" s="47"/>
      <c r="V300" s="93"/>
      <c r="W300" s="47"/>
      <c r="X300" s="47"/>
      <c r="Y300" s="47"/>
      <c r="Z300" s="47"/>
      <c r="AA300" s="47"/>
      <c r="AB300" s="47"/>
      <c r="AC300" s="47"/>
      <c r="AD300" s="47"/>
      <c r="AE300" s="47"/>
    </row>
    <row r="301" spans="2:31" x14ac:dyDescent="0.3">
      <c r="B301" s="9" t="s">
        <v>40</v>
      </c>
      <c r="C301" s="9" t="s">
        <v>6</v>
      </c>
      <c r="D301" s="58">
        <f>D299+1</f>
        <v>42262</v>
      </c>
      <c r="E301" s="29" t="s">
        <v>29</v>
      </c>
      <c r="F301" s="190"/>
      <c r="G301" s="194">
        <v>0.375</v>
      </c>
      <c r="H301" s="194">
        <v>3.125E-2</v>
      </c>
      <c r="I301" s="194">
        <v>0.70833333333333337</v>
      </c>
      <c r="J301" s="193">
        <f>IF(OR(E301="férié travaillé",E301="travail"),(I301-G301+IF(G301&gt;I301,1)-H301),INDEX('bases de donnée'!$E$20:'bases de donnée'!$E$32,MATCH(E301,gerald2,0)))</f>
        <v>0.30208333333333337</v>
      </c>
      <c r="K301" s="20">
        <f>IF(SUM(J301-'bases de donnée'!E$7)&lt;0,0,SUM(J301-'bases de donnée'!E$7))</f>
        <v>0</v>
      </c>
      <c r="L301" s="11">
        <f>IF(OR(E301="férié travaillé",E301="travail"),I301-G301+IF(G301&gt;I301,1),INDEX('bases de donnée'!$E$20:'bases de donnée'!$E$32,MATCH(E301,gerald2,0)))</f>
        <v>0.33333333333333337</v>
      </c>
      <c r="M301" s="21">
        <f>IF(SUM(L301-'bases de donnée'!E$4)&lt;0,0,SUM(L301-'bases de donnée'!E$4))</f>
        <v>0</v>
      </c>
      <c r="N301" s="155">
        <v>0</v>
      </c>
      <c r="O301" s="59">
        <f t="shared" ref="O301" si="306">J301</f>
        <v>0.30208333333333337</v>
      </c>
      <c r="P301" s="122">
        <f>SUM(Q301:Q307)</f>
        <v>5</v>
      </c>
      <c r="Q301" s="120">
        <f>IF(AND(G301&lt;&gt;"",I301&lt;&gt;""),1,0+OR(N(I300)&lt;N(G300),E301="récupération",E301="congé 1 jour",E301="congé 1/2 jour ",E301="congé 5h24",E301="arrêt maladie",E301="arrêt travail",E301="férié ",E301="congé parentale",E301="congé de naissance"))</f>
        <v>1</v>
      </c>
      <c r="R301" s="30"/>
      <c r="S301" s="77">
        <f>IF(SUM(MOD(I301-G301,1)-IF(I301&gt;G301,MAX(0,MIN(I301,'bases de donnée'!E$16/24)-MAX('planning '!G301,7/24)),MAX(0,'bases de donnée'!E$16/24-MAX('planning '!G301,7/24))+MAX(0,MIN('planning '!I301,'bases de donnée'!E$16/24)-7/24)))&lt;0,0,SUM(MOD('planning '!I301-'planning '!G301,1)-IF('planning '!I301&gt;'planning '!G301,MAX(0,MIN('planning '!I301,'bases de donnée'!E$16/24)-MAX('planning '!G301,7/24)),MAX(0,'bases de donnée'!E$16/24-MAX('planning '!G301,7/24))+MAX(0,MIN('planning '!I301,'bases de donnée'!E$16/24)-7/24))))</f>
        <v>0</v>
      </c>
      <c r="T301" s="81"/>
      <c r="U301" s="77" t="str">
        <f t="shared" ref="U301:U307" si="307">IF(E301&lt;&gt;"travail",IF(E301="férié travaillé",MOD(I301-G301,1)-H301,"00:00"),"00:00")</f>
        <v>00:00</v>
      </c>
      <c r="V301" s="78"/>
      <c r="W301" s="47"/>
      <c r="X301" s="48">
        <f t="shared" si="245"/>
        <v>0</v>
      </c>
      <c r="Y301" s="31"/>
      <c r="Z301" s="49">
        <f t="shared" ref="Z301:Z306" si="308">IF(SUM(U301-X301)&lt;0,0,SUM(U301-X301))</f>
        <v>0</v>
      </c>
      <c r="AA301" s="48">
        <f t="shared" ref="AA301:AA306" si="309">IF(SUM(V301-X301-Z301)&lt;0,0,SUM(V301-X301-Z301))</f>
        <v>0</v>
      </c>
      <c r="AB301" s="47"/>
      <c r="AC301" s="50"/>
      <c r="AD301" s="33">
        <f t="shared" si="248"/>
        <v>0</v>
      </c>
      <c r="AE301" s="33">
        <f t="shared" si="302"/>
        <v>0</v>
      </c>
    </row>
    <row r="302" spans="2:31" x14ac:dyDescent="0.3">
      <c r="B302" s="60">
        <f t="shared" ref="B302" si="310">B294+1</f>
        <v>37</v>
      </c>
      <c r="C302" s="9" t="s">
        <v>7</v>
      </c>
      <c r="D302" s="58">
        <f t="shared" si="221"/>
        <v>42263</v>
      </c>
      <c r="E302" s="29" t="s">
        <v>29</v>
      </c>
      <c r="F302" s="191"/>
      <c r="G302" s="194">
        <v>0.375</v>
      </c>
      <c r="H302" s="194">
        <v>3.125E-2</v>
      </c>
      <c r="I302" s="194">
        <v>0.70833333333333337</v>
      </c>
      <c r="J302" s="193">
        <f>IF(OR(E302="férié travaillé",E302="travail"),(I302-G302+IF(G302&gt;I302,1)-H302),INDEX('bases de donnée'!$E$20:'bases de donnée'!$E$32,MATCH(E302,gerald2,0)))</f>
        <v>0.30208333333333337</v>
      </c>
      <c r="K302" s="20">
        <f>IF(SUM(J302-'bases de donnée'!E$7)&lt;0,0,SUM(J302-'bases de donnée'!E$7))</f>
        <v>0</v>
      </c>
      <c r="L302" s="11">
        <f>IF(OR(E302="férié travaillé",E302="travail"),I302-G302+IF(G302&gt;I302,1),INDEX('bases de donnée'!$E$20:'bases de donnée'!$E$32,MATCH(E302,gerald2,0)))</f>
        <v>0.33333333333333337</v>
      </c>
      <c r="M302" s="21">
        <f>IF(SUM(L302-'bases de donnée'!E$4)&lt;0,0,SUM(L302-'bases de donnée'!E$4))</f>
        <v>0</v>
      </c>
      <c r="N302" s="155">
        <v>0</v>
      </c>
      <c r="O302" s="74">
        <f t="shared" ref="O302:O307" si="311">O301+J302</f>
        <v>0.60416666666666674</v>
      </c>
      <c r="P302" s="121">
        <f>IF(SUM(P301-'bases de donnée'!E$6)&lt;0,0,SUM(P301-'bases de donnée'!E$6))</f>
        <v>0</v>
      </c>
      <c r="Q302" s="120">
        <f t="shared" ref="Q302:Q307" si="312">IF(AND(G302&lt;&gt;"",I302&lt;&gt;""),1,0+OR(N(I301)&lt;N(G301),E302="récupération",E302="congé 1 jour",E302="congé 1/2 jour ",E302="congé 5h24",E302="arrêt maladie",E302="arrêt travail",E302="férié ",E302="congé parentale",E302="congé de naissance"))</f>
        <v>1</v>
      </c>
      <c r="R302" s="30"/>
      <c r="S302" s="77">
        <f>IF(SUM(MOD(I302-G302,1)-IF(I302&gt;G302,MAX(0,MIN(I302,'bases de donnée'!E$16/24)-MAX('planning '!G302,7/24)),MAX(0,'bases de donnée'!E$16/24-MAX('planning '!G302,7/24))+MAX(0,MIN('planning '!I302,'bases de donnée'!E$16/24)-7/24)))&lt;0,0,SUM(MOD('planning '!I302-'planning '!G302,1)-IF('planning '!I302&gt;'planning '!G302,MAX(0,MIN('planning '!I302,'bases de donnée'!E$16/24)-MAX('planning '!G302,7/24)),MAX(0,'bases de donnée'!E$16/24-MAX('planning '!G302,7/24))+MAX(0,MIN('planning '!I302,'bases de donnée'!E$16/24)-7/24))))</f>
        <v>0</v>
      </c>
      <c r="T302" s="82"/>
      <c r="U302" s="77" t="str">
        <f t="shared" si="307"/>
        <v>00:00</v>
      </c>
      <c r="V302" s="78">
        <f>IF(SUM(IF(O302&gt;('bases de donnée'!E$9*1),O302-('bases de donnée'!E$9*1),0)-V301)&lt;0,0,SUM(IF(O302&gt;('bases de donnée'!E$9*1),O302-('bases de donnée'!E$9*1),0)-V301))</f>
        <v>0</v>
      </c>
      <c r="W302" s="47"/>
      <c r="X302" s="48">
        <f t="shared" si="245"/>
        <v>0</v>
      </c>
      <c r="Y302" s="42"/>
      <c r="Z302" s="49">
        <f t="shared" si="308"/>
        <v>0</v>
      </c>
      <c r="AA302" s="48">
        <f t="shared" si="309"/>
        <v>0</v>
      </c>
      <c r="AB302" s="47"/>
      <c r="AC302" s="54"/>
      <c r="AD302" s="33">
        <f t="shared" si="248"/>
        <v>0</v>
      </c>
      <c r="AE302" s="33">
        <f t="shared" si="302"/>
        <v>0</v>
      </c>
    </row>
    <row r="303" spans="2:31" x14ac:dyDescent="0.3">
      <c r="B303"/>
      <c r="C303" s="9" t="s">
        <v>8</v>
      </c>
      <c r="D303" s="58">
        <f t="shared" si="221"/>
        <v>42264</v>
      </c>
      <c r="E303" s="29" t="s">
        <v>29</v>
      </c>
      <c r="F303" s="191"/>
      <c r="G303" s="194">
        <v>0.375</v>
      </c>
      <c r="H303" s="194">
        <v>3.125E-2</v>
      </c>
      <c r="I303" s="194">
        <v>0.70833333333333337</v>
      </c>
      <c r="J303" s="193">
        <f>IF(OR(E303="férié travaillé",E303="travail"),(I303-G303+IF(G303&gt;I303,1)-H303),INDEX('bases de donnée'!$E$20:'bases de donnée'!$E$32,MATCH(E303,gerald2,0)))</f>
        <v>0.30208333333333337</v>
      </c>
      <c r="K303" s="20">
        <f>IF(SUM(J303-'bases de donnée'!E$7)&lt;0,0,SUM(J303-'bases de donnée'!E$7))</f>
        <v>0</v>
      </c>
      <c r="L303" s="11">
        <f>IF(OR(E303="férié travaillé",E303="travail"),I303-G303+IF(G303&gt;I303,1),INDEX('bases de donnée'!$E$20:'bases de donnée'!$E$32,MATCH(E303,gerald2,0)))</f>
        <v>0.33333333333333337</v>
      </c>
      <c r="M303" s="21">
        <f>IF(SUM(L303-'bases de donnée'!E$4)&lt;0,0,SUM(L303-'bases de donnée'!E$4))</f>
        <v>0</v>
      </c>
      <c r="N303" s="155">
        <v>0</v>
      </c>
      <c r="O303" s="74">
        <f t="shared" si="311"/>
        <v>0.90625000000000011</v>
      </c>
      <c r="P303" s="34" t="s">
        <v>46</v>
      </c>
      <c r="Q303" s="120">
        <f t="shared" si="312"/>
        <v>1</v>
      </c>
      <c r="R303" s="30"/>
      <c r="S303" s="77">
        <f>IF(SUM(MOD(I303-G303,1)-IF(I303&gt;G303,MAX(0,MIN(I303,'bases de donnée'!E$16/24)-MAX('planning '!G303,7/24)),MAX(0,'bases de donnée'!E$16/24-MAX('planning '!G303,7/24))+MAX(0,MIN('planning '!I303,'bases de donnée'!E$16/24)-7/24)))&lt;0,0,SUM(MOD('planning '!I303-'planning '!G303,1)-IF('planning '!I303&gt;'planning '!G303,MAX(0,MIN('planning '!I303,'bases de donnée'!E$16/24)-MAX('planning '!G303,7/24)),MAX(0,'bases de donnée'!E$16/24-MAX('planning '!G303,7/24))+MAX(0,MIN('planning '!I303,'bases de donnée'!E$16/24)-7/24))))</f>
        <v>0</v>
      </c>
      <c r="T303" s="82"/>
      <c r="U303" s="77" t="str">
        <f t="shared" si="307"/>
        <v>00:00</v>
      </c>
      <c r="V303" s="78">
        <f>IF(SUM(IF(O303&gt;("36:00"*1),O303-("36:00"*1),0)-V301-V302)&lt;0,0,SUM(IF(O303&gt;("36:00"*1),O303-("36:00"*1),0)-V301-V302))</f>
        <v>0</v>
      </c>
      <c r="W303" s="47"/>
      <c r="X303" s="48">
        <f t="shared" si="245"/>
        <v>0</v>
      </c>
      <c r="Y303" s="42"/>
      <c r="Z303" s="49">
        <f t="shared" si="308"/>
        <v>0</v>
      </c>
      <c r="AA303" s="48">
        <f t="shared" si="309"/>
        <v>0</v>
      </c>
      <c r="AB303" s="47"/>
      <c r="AC303" s="54"/>
      <c r="AD303" s="33">
        <f t="shared" si="248"/>
        <v>0</v>
      </c>
      <c r="AE303" s="33">
        <f t="shared" si="302"/>
        <v>0</v>
      </c>
    </row>
    <row r="304" spans="2:31" x14ac:dyDescent="0.3">
      <c r="B304"/>
      <c r="C304" s="9" t="s">
        <v>9</v>
      </c>
      <c r="D304" s="58">
        <f t="shared" ref="D304:D376" si="313">D303+1</f>
        <v>42265</v>
      </c>
      <c r="E304" s="29" t="s">
        <v>29</v>
      </c>
      <c r="F304" s="191"/>
      <c r="G304" s="194">
        <v>0.375</v>
      </c>
      <c r="H304" s="194">
        <v>3.125E-2</v>
      </c>
      <c r="I304" s="194">
        <v>0.70833333333333337</v>
      </c>
      <c r="J304" s="193">
        <f>IF(OR(E304="férié travaillé",E304="travail"),(I304-G304+IF(G304&gt;I304,1)-H304),INDEX('bases de donnée'!$E$20:'bases de donnée'!$E$32,MATCH(E304,gerald2,0)))</f>
        <v>0.30208333333333337</v>
      </c>
      <c r="K304" s="20">
        <f>IF(SUM(J304-'bases de donnée'!E$7)&lt;0,0,SUM(J304-'bases de donnée'!E$7))</f>
        <v>0</v>
      </c>
      <c r="L304" s="11">
        <f>IF(OR(E304="férié travaillé",E304="travail"),I304-G304+IF(G304&gt;I304,1),INDEX('bases de donnée'!$E$20:'bases de donnée'!$E$32,MATCH(E304,gerald2,0)))</f>
        <v>0.33333333333333337</v>
      </c>
      <c r="M304" s="21">
        <f>IF(SUM(L304-'bases de donnée'!E$4)&lt;0,0,SUM(L304-'bases de donnée'!E$4))</f>
        <v>0</v>
      </c>
      <c r="N304" s="155">
        <v>0</v>
      </c>
      <c r="O304" s="74">
        <f t="shared" si="311"/>
        <v>1.2083333333333335</v>
      </c>
      <c r="P304" s="86">
        <f>O307</f>
        <v>1.5</v>
      </c>
      <c r="Q304" s="120">
        <f t="shared" si="312"/>
        <v>1</v>
      </c>
      <c r="R304" s="30"/>
      <c r="S304" s="77">
        <f>IF(SUM(MOD(I304-G304,1)-IF(I304&gt;G304,MAX(0,MIN(I304,'bases de donnée'!E$16/24)-MAX('planning '!G304,7/24)),MAX(0,'bases de donnée'!E$16/24-MAX('planning '!G304,7/24))+MAX(0,MIN('planning '!I304,'bases de donnée'!E$16/24)-7/24)))&lt;0,0,SUM(MOD('planning '!I304-'planning '!G304,1)-IF('planning '!I304&gt;'planning '!G304,MAX(0,MIN('planning '!I304,'bases de donnée'!E$16/24)-MAX('planning '!G304,7/24)),MAX(0,'bases de donnée'!E$16/24-MAX('planning '!G304,7/24))+MAX(0,MIN('planning '!I304,'bases de donnée'!E$16/24)-7/24))))</f>
        <v>0</v>
      </c>
      <c r="T304" s="82"/>
      <c r="U304" s="77" t="str">
        <f t="shared" si="307"/>
        <v>00:00</v>
      </c>
      <c r="V304" s="78">
        <f>IF(SUM(IF(O304&gt;("36:00"*1),O304-("36:00"*1),0)-V302-V303)&lt;0,0,SUM(IF(O304&gt;("36:00"*1),O304-("36:00"*1),0)-V301-V302-V303))</f>
        <v>0</v>
      </c>
      <c r="W304" s="47"/>
      <c r="X304" s="48">
        <f t="shared" si="245"/>
        <v>0</v>
      </c>
      <c r="Y304" s="42"/>
      <c r="Z304" s="49">
        <f t="shared" si="308"/>
        <v>0</v>
      </c>
      <c r="AA304" s="48">
        <f t="shared" si="309"/>
        <v>0</v>
      </c>
      <c r="AB304" s="47"/>
      <c r="AC304" s="54"/>
      <c r="AD304" s="33">
        <f t="shared" si="248"/>
        <v>0</v>
      </c>
      <c r="AE304" s="33">
        <f t="shared" si="302"/>
        <v>0</v>
      </c>
    </row>
    <row r="305" spans="2:31" x14ac:dyDescent="0.3">
      <c r="B305"/>
      <c r="C305" s="9" t="s">
        <v>3</v>
      </c>
      <c r="D305" s="58">
        <f t="shared" si="313"/>
        <v>42266</v>
      </c>
      <c r="E305" s="29" t="s">
        <v>29</v>
      </c>
      <c r="F305" s="191"/>
      <c r="G305" s="194">
        <v>0.375</v>
      </c>
      <c r="H305" s="194">
        <v>3.125E-2</v>
      </c>
      <c r="I305" s="194">
        <v>0.69791666666666663</v>
      </c>
      <c r="J305" s="193">
        <f>IF(OR(E305="férié travaillé",E305="travail"),(I305-G305+IF(G305&gt;I305,1)-H305),INDEX('bases de donnée'!$E$20:'bases de donnée'!$E$32,MATCH(E305,gerald2,0)))</f>
        <v>0.29166666666666663</v>
      </c>
      <c r="K305" s="20">
        <f>IF(SUM(J305-'bases de donnée'!E$7)&lt;0,0,SUM(J305-'bases de donnée'!E$7))</f>
        <v>0</v>
      </c>
      <c r="L305" s="11">
        <f>IF(OR(E305="férié travaillé",E305="travail"),I305-G305+IF(G305&gt;I305,1),INDEX('bases de donnée'!$E$20:'bases de donnée'!$E$32,MATCH(E305,gerald2,0)))</f>
        <v>0.32291666666666663</v>
      </c>
      <c r="M305" s="21">
        <f>IF(SUM(L305-'bases de donnée'!E$4)&lt;0,0,SUM(L305-'bases de donnée'!E$4))</f>
        <v>0</v>
      </c>
      <c r="N305" s="155">
        <v>0</v>
      </c>
      <c r="O305" s="74">
        <f t="shared" si="311"/>
        <v>1.5</v>
      </c>
      <c r="P305" s="8" t="s">
        <v>48</v>
      </c>
      <c r="Q305" s="120">
        <f t="shared" si="312"/>
        <v>1</v>
      </c>
      <c r="R305" s="30"/>
      <c r="S305" s="77">
        <f>IF(SUM(MOD(I305-G305,1)-IF(I305&gt;G305,MAX(0,MIN(I305,'bases de donnée'!E$16/24)-MAX('planning '!G305,7/24)),MAX(0,'bases de donnée'!E$16/24-MAX('planning '!G305,7/24))+MAX(0,MIN('planning '!I305,'bases de donnée'!E$16/24)-7/24)))&lt;0,0,SUM(MOD('planning '!I305-'planning '!G305,1)-IF('planning '!I305&gt;'planning '!G305,MAX(0,MIN('planning '!I305,'bases de donnée'!E$16/24)-MAX('planning '!G305,7/24)),MAX(0,'bases de donnée'!E$16/24-MAX('planning '!G305,7/24))+MAX(0,MIN('planning '!I305,'bases de donnée'!E$16/24)-7/24))))</f>
        <v>0</v>
      </c>
      <c r="T305" s="82"/>
      <c r="U305" s="77" t="str">
        <f t="shared" si="307"/>
        <v>00:00</v>
      </c>
      <c r="V305" s="78">
        <f>IF(SUM(IF(O305&gt;("36:00"*1),O305-("36:00"*1),0)-V303-V304)&lt;0,0,SUM(IF(O305&gt;("36:00"*1),O305-("36:00"*1),0)-V301-V302-V303-V304))</f>
        <v>0</v>
      </c>
      <c r="W305" s="47"/>
      <c r="X305" s="48">
        <f t="shared" si="245"/>
        <v>0</v>
      </c>
      <c r="Y305" s="42"/>
      <c r="Z305" s="49">
        <f t="shared" si="308"/>
        <v>0</v>
      </c>
      <c r="AA305" s="48">
        <f t="shared" si="309"/>
        <v>0</v>
      </c>
      <c r="AB305" s="47"/>
      <c r="AC305" s="54"/>
      <c r="AD305" s="33">
        <f t="shared" si="248"/>
        <v>0</v>
      </c>
      <c r="AE305" s="33">
        <f t="shared" si="302"/>
        <v>0</v>
      </c>
    </row>
    <row r="306" spans="2:31" x14ac:dyDescent="0.3">
      <c r="B306"/>
      <c r="C306" s="9" t="s">
        <v>4</v>
      </c>
      <c r="D306" s="58">
        <f t="shared" si="313"/>
        <v>42267</v>
      </c>
      <c r="E306" s="29" t="s">
        <v>28</v>
      </c>
      <c r="F306" s="191"/>
      <c r="G306" s="194"/>
      <c r="H306" s="194"/>
      <c r="I306" s="194"/>
      <c r="J306" s="193">
        <f>IF(OR(E306="férié travaillé",E306="travail"),(I306-G306+IF(G306&gt;I306,1)-H306),INDEX('bases de donnée'!$E$20:'bases de donnée'!$E$32,MATCH(E306,gerald2,0)))</f>
        <v>0</v>
      </c>
      <c r="K306" s="20">
        <f>IF(SUM(J306-'bases de donnée'!E$7)&lt;0,0,SUM(J306-'bases de donnée'!E$7))</f>
        <v>0</v>
      </c>
      <c r="L306" s="11">
        <f>IF(OR(E306="férié travaillé",E306="travail"),I306-G306+IF(G306&gt;I306,1),INDEX('bases de donnée'!$E$20:'bases de donnée'!$E$32,MATCH(E306,gerald2,0)))</f>
        <v>0</v>
      </c>
      <c r="M306" s="21">
        <f>IF(SUM(L306-'bases de donnée'!E$4)&lt;0,0,SUM(L306-'bases de donnée'!E$4))</f>
        <v>0</v>
      </c>
      <c r="N306" s="155">
        <v>0</v>
      </c>
      <c r="O306" s="74">
        <f t="shared" si="311"/>
        <v>1.5</v>
      </c>
      <c r="P306" s="61">
        <f>'bases de donnée'!E$10</f>
        <v>2</v>
      </c>
      <c r="Q306" s="120">
        <f t="shared" si="312"/>
        <v>0</v>
      </c>
      <c r="R306" s="30"/>
      <c r="S306" s="77">
        <f>IF(SUM(MOD(I306-G306,1)-IF(I306&gt;G306,MAX(0,MIN(I306,'bases de donnée'!E$16/24)-MAX('planning '!G306,7/24)),MAX(0,'bases de donnée'!E$16/24-MAX('planning '!G306,7/24))+MAX(0,MIN('planning '!I306,'bases de donnée'!E$16/24)-7/24)))&lt;0,0,SUM(MOD('planning '!I306-'planning '!G306,1)-IF('planning '!I306&gt;'planning '!G306,MAX(0,MIN('planning '!I306,'bases de donnée'!E$16/24)-MAX('planning '!G306,7/24)),MAX(0,'bases de donnée'!E$16/24-MAX('planning '!G306,7/24))+MAX(0,MIN('planning '!I306,'bases de donnée'!E$16/24)-7/24))))</f>
        <v>0</v>
      </c>
      <c r="T306" s="82"/>
      <c r="U306" s="77" t="str">
        <f t="shared" si="307"/>
        <v>00:00</v>
      </c>
      <c r="V306" s="78">
        <f>IF(SUM(IF(O306&gt;("36:00"*1),O306-("36:00"*1),0)-V304-V305)&lt;0,0,SUM(IF(O306&gt;("36:00"*1),O306-("36:00"*1),0)-V301-V302-V303-V304-V305))</f>
        <v>0</v>
      </c>
      <c r="W306" s="47"/>
      <c r="X306" s="48">
        <f t="shared" si="245"/>
        <v>0</v>
      </c>
      <c r="Y306" s="32"/>
      <c r="Z306" s="49">
        <f t="shared" si="308"/>
        <v>0</v>
      </c>
      <c r="AA306" s="48">
        <f t="shared" si="309"/>
        <v>0</v>
      </c>
      <c r="AB306" s="47"/>
      <c r="AC306" s="55"/>
      <c r="AD306" s="33">
        <f t="shared" si="248"/>
        <v>0</v>
      </c>
      <c r="AE306" s="33">
        <f t="shared" si="302"/>
        <v>0</v>
      </c>
    </row>
    <row r="307" spans="2:31" x14ac:dyDescent="0.3">
      <c r="B307"/>
      <c r="C307" s="64" t="s">
        <v>5</v>
      </c>
      <c r="D307" s="65">
        <f t="shared" si="313"/>
        <v>42268</v>
      </c>
      <c r="E307" s="29" t="s">
        <v>28</v>
      </c>
      <c r="F307" s="192"/>
      <c r="G307" s="194"/>
      <c r="H307" s="194"/>
      <c r="I307" s="194"/>
      <c r="J307" s="193">
        <f>IF(OR(E307="férié travaillé",E307="travail"),(I307-G307+IF(G307&gt;I307,1)-H307),INDEX('bases de donnée'!$E$20:'bases de donnée'!$E$32,MATCH(E307,gerald2,0)))</f>
        <v>0</v>
      </c>
      <c r="K307" s="20">
        <f>IF(SUM(J307-'bases de donnée'!E$7)&lt;0,0,SUM(J307-'bases de donnée'!E$7))</f>
        <v>0</v>
      </c>
      <c r="L307" s="11">
        <f>IF(OR(E307="férié travaillé",E307="travail"),I307-G307+IF(G307&gt;I307,1),INDEX('bases de donnée'!$E$20:'bases de donnée'!$E$32,MATCH(E307,gerald2,0)))</f>
        <v>0</v>
      </c>
      <c r="M307" s="21">
        <f>IF(SUM(L307-'bases de donnée'!E$4)&lt;0,0,SUM(L307-'bases de donnée'!E$4))</f>
        <v>0</v>
      </c>
      <c r="N307" s="155">
        <v>0</v>
      </c>
      <c r="O307" s="99">
        <f t="shared" si="311"/>
        <v>1.5</v>
      </c>
      <c r="P307" s="33">
        <f>IF(SUM(O307-'bases de donnée'!E$10)&lt;0,0,SUM(O307-'bases de donnée'!E$10))</f>
        <v>0</v>
      </c>
      <c r="Q307" s="120">
        <f t="shared" si="312"/>
        <v>0</v>
      </c>
      <c r="R307" s="30"/>
      <c r="S307" s="77">
        <f>IF(SUM(MOD(I307-G307,1)-IF(I307&gt;G307,MAX(0,MIN(I307,'bases de donnée'!E$16/24)-MAX('planning '!G307,7/24)),MAX(0,'bases de donnée'!E$16/24-MAX('planning '!G307,7/24))+MAX(0,MIN('planning '!I307,'bases de donnée'!E$16/24)-7/24)))&lt;0,0,SUM(MOD('planning '!I307-'planning '!G307,1)-IF('planning '!I307&gt;'planning '!G307,MAX(0,MIN('planning '!I307,'bases de donnée'!E$16/24)-MAX('planning '!G307,7/24)),MAX(0,'bases de donnée'!E$16/24-MAX('planning '!G307,7/24))+MAX(0,MIN('planning '!I307,'bases de donnée'!E$16/24)-7/24))))</f>
        <v>0</v>
      </c>
      <c r="T307" s="77">
        <f>J307</f>
        <v>0</v>
      </c>
      <c r="U307" s="77" t="str">
        <f t="shared" si="307"/>
        <v>00:00</v>
      </c>
      <c r="V307" s="78">
        <f>IF(SUM(IF(O307&gt;("36:00"*1),O307-("36:00"*1),0)-V305-V306)&lt;0,0,SUM(IF(O307&gt;("36:00"*1),O307-("36:00"*1),0)-V301-V302-V303-V304-V305-V306))</f>
        <v>0</v>
      </c>
      <c r="W307" s="47"/>
      <c r="X307" s="48">
        <f t="shared" si="245"/>
        <v>0</v>
      </c>
      <c r="Y307" s="48">
        <f t="shared" ref="Y307" si="314">IF(SUM(T307-S307)&lt;0,0,SUM(T307-S307))</f>
        <v>0</v>
      </c>
      <c r="Z307" s="56">
        <f t="shared" ref="Z307" si="315">IF(SUM(U307-T307-S307)&lt;0,0,SUM(U307-T307-S307))</f>
        <v>0</v>
      </c>
      <c r="AA307" s="48">
        <f>IF(SUM(V307-S307-T307-U307)&lt;0,0,SUM(V307-S307-T307-U307))</f>
        <v>0</v>
      </c>
      <c r="AB307" s="47"/>
      <c r="AC307" s="57">
        <f t="shared" ref="AC307" si="316">IF(SUM(T307-Y307)&lt;0,0,SUM(T307-Y307))</f>
        <v>0</v>
      </c>
      <c r="AD307" s="33">
        <f t="shared" si="248"/>
        <v>0</v>
      </c>
      <c r="AE307" s="33">
        <f t="shared" si="302"/>
        <v>0</v>
      </c>
    </row>
    <row r="308" spans="2:31" x14ac:dyDescent="0.3">
      <c r="B308"/>
      <c r="C308" s="25"/>
      <c r="D308" s="90"/>
      <c r="E308" s="90"/>
      <c r="F308" s="25"/>
      <c r="G308" s="185"/>
      <c r="H308" s="185"/>
      <c r="I308" s="185"/>
      <c r="J308" s="47"/>
      <c r="K308" s="92"/>
      <c r="L308" s="91"/>
      <c r="M308" s="91"/>
      <c r="N308" s="91"/>
      <c r="O308" s="93"/>
      <c r="P308" s="47"/>
      <c r="Q308" s="30"/>
      <c r="R308" s="30"/>
      <c r="S308" s="47"/>
      <c r="T308" s="47"/>
      <c r="U308" s="47"/>
      <c r="V308" s="93"/>
      <c r="W308" s="47"/>
      <c r="X308" s="47"/>
      <c r="Y308" s="47"/>
      <c r="Z308" s="47"/>
      <c r="AA308" s="47"/>
      <c r="AB308" s="47"/>
      <c r="AC308" s="47"/>
      <c r="AD308" s="47"/>
      <c r="AE308" s="47"/>
    </row>
    <row r="309" spans="2:31" x14ac:dyDescent="0.3">
      <c r="B309" s="14" t="s">
        <v>40</v>
      </c>
      <c r="C309" s="14" t="s">
        <v>6</v>
      </c>
      <c r="D309" s="43">
        <f>D307+1</f>
        <v>42269</v>
      </c>
      <c r="E309" s="29" t="s">
        <v>29</v>
      </c>
      <c r="F309" s="116"/>
      <c r="G309" s="194">
        <v>0.375</v>
      </c>
      <c r="H309" s="194">
        <v>3.125E-2</v>
      </c>
      <c r="I309" s="194">
        <v>0.70833333333333337</v>
      </c>
      <c r="J309" s="45">
        <f>IF(OR(E309="férié travaillé",E309="travail"),(I309-G309+IF(G309&gt;I309,1)-H309),INDEX('bases de donnée'!$E$20:'bases de donnée'!$E$32,MATCH(E309,gerald2,0)))</f>
        <v>0.30208333333333337</v>
      </c>
      <c r="K309" s="20">
        <f>IF(SUM(J309-'bases de donnée'!E$7)&lt;0,0,SUM(J309-'bases de donnée'!E$7))</f>
        <v>0</v>
      </c>
      <c r="L309" s="11">
        <f>IF(OR(E309="férié travaillé",E309="travail"),I309-G309+IF(G309&gt;I309,1),INDEX('bases de donnée'!$E$20:'bases de donnée'!$E$32,MATCH(E309,gerald2,0)))</f>
        <v>0.33333333333333337</v>
      </c>
      <c r="M309" s="21">
        <f>IF(SUM(L309-'bases de donnée'!E$4)&lt;0,0,SUM(L309-'bases de donnée'!E$4))</f>
        <v>0</v>
      </c>
      <c r="N309" s="155">
        <v>0</v>
      </c>
      <c r="O309" s="45">
        <f t="shared" ref="O309" si="317">J309</f>
        <v>0.30208333333333337</v>
      </c>
      <c r="P309" s="122">
        <f>SUM(Q309:Q315)</f>
        <v>5</v>
      </c>
      <c r="Q309" s="120">
        <f>IF(AND(G309&lt;&gt;"",I309&lt;&gt;""),1,0+OR(N(I308)&lt;N(G308),E309="récupération",E309="congé 1 jour",E309="congé 1/2 jour ",E309="congé 5h24",E309="arrêt maladie",E309="arrêt travail",E309="férié ",E309="congé parentale",E309="congé de naissance"))</f>
        <v>1</v>
      </c>
      <c r="R309" s="30"/>
      <c r="S309" s="77">
        <f>IF(SUM(MOD(I309-G309,1)-IF(I309&gt;G309,MAX(0,MIN(I309,'bases de donnée'!E$16/24)-MAX('planning '!G309,7/24)),MAX(0,'bases de donnée'!E$16/24-MAX('planning '!G309,7/24))+MAX(0,MIN('planning '!I309,'bases de donnée'!E$16/24)-7/24)))&lt;0,0,SUM(MOD('planning '!I309-'planning '!G309,1)-IF('planning '!I309&gt;'planning '!G309,MAX(0,MIN('planning '!I309,'bases de donnée'!E$16/24)-MAX('planning '!G309,7/24)),MAX(0,'bases de donnée'!E$16/24-MAX('planning '!G309,7/24))+MAX(0,MIN('planning '!I309,'bases de donnée'!E$16/24)-7/24))))</f>
        <v>0</v>
      </c>
      <c r="T309" s="81"/>
      <c r="U309" s="77" t="str">
        <f t="shared" ref="U309:U315" si="318">IF(E309&lt;&gt;"travail",IF(E309="férié travaillé",MOD(I309-G309,1)-H309,"00:00"),"00:00")</f>
        <v>00:00</v>
      </c>
      <c r="V309" s="78"/>
      <c r="W309" s="47"/>
      <c r="X309" s="48">
        <f t="shared" si="245"/>
        <v>0</v>
      </c>
      <c r="Y309" s="31"/>
      <c r="Z309" s="49">
        <f t="shared" ref="Z309:Z314" si="319">IF(SUM(U309-X309)&lt;0,0,SUM(U309-X309))</f>
        <v>0</v>
      </c>
      <c r="AA309" s="48">
        <f t="shared" ref="AA309:AA314" si="320">IF(SUM(V309-X309-Z309)&lt;0,0,SUM(V309-X309-Z309))</f>
        <v>0</v>
      </c>
      <c r="AB309" s="47"/>
      <c r="AC309" s="50"/>
      <c r="AD309" s="33">
        <f t="shared" si="248"/>
        <v>0</v>
      </c>
      <c r="AE309" s="33">
        <f t="shared" si="302"/>
        <v>0</v>
      </c>
    </row>
    <row r="310" spans="2:31" x14ac:dyDescent="0.3">
      <c r="B310" s="51">
        <f t="shared" ref="B310" si="321">B302+1</f>
        <v>38</v>
      </c>
      <c r="C310" s="14" t="s">
        <v>7</v>
      </c>
      <c r="D310" s="43">
        <f t="shared" si="313"/>
        <v>42270</v>
      </c>
      <c r="E310" s="29" t="s">
        <v>29</v>
      </c>
      <c r="F310" s="117"/>
      <c r="G310" s="194">
        <v>0.375</v>
      </c>
      <c r="H310" s="194">
        <v>3.125E-2</v>
      </c>
      <c r="I310" s="194">
        <v>0.70833333333333337</v>
      </c>
      <c r="J310" s="45">
        <f>IF(OR(E310="férié travaillé",E310="travail"),(I310-G310+IF(G310&gt;I310,1)-H310),INDEX('bases de donnée'!$E$20:'bases de donnée'!$E$32,MATCH(E310,gerald2,0)))</f>
        <v>0.30208333333333337</v>
      </c>
      <c r="K310" s="20">
        <f>IF(SUM(J310-'bases de donnée'!E$7)&lt;0,0,SUM(J310-'bases de donnée'!E$7))</f>
        <v>0</v>
      </c>
      <c r="L310" s="11">
        <f>IF(OR(E310="férié travaillé",E310="travail"),I310-G310+IF(G310&gt;I310,1),INDEX('bases de donnée'!$E$20:'bases de donnée'!$E$32,MATCH(E310,gerald2,0)))</f>
        <v>0.33333333333333337</v>
      </c>
      <c r="M310" s="21">
        <f>IF(SUM(L310-'bases de donnée'!E$4)&lt;0,0,SUM(L310-'bases de donnée'!E$4))</f>
        <v>0</v>
      </c>
      <c r="N310" s="155">
        <v>0</v>
      </c>
      <c r="O310" s="73">
        <f t="shared" ref="O310:O315" si="322">O309+J310</f>
        <v>0.60416666666666674</v>
      </c>
      <c r="P310" s="121">
        <f>IF(SUM(P309-'bases de donnée'!E$6)&lt;0,0,SUM(P309-'bases de donnée'!E$6))</f>
        <v>0</v>
      </c>
      <c r="Q310" s="120">
        <f t="shared" ref="Q310:Q315" si="323">IF(AND(G310&lt;&gt;"",I310&lt;&gt;""),1,0+OR(N(I309)&lt;N(G309),E310="récupération",E310="congé 1 jour",E310="congé 1/2 jour ",E310="congé 5h24",E310="arrêt maladie",E310="arrêt travail",E310="férié ",E310="congé parentale",E310="congé de naissance"))</f>
        <v>1</v>
      </c>
      <c r="R310" s="30"/>
      <c r="S310" s="77">
        <f>IF(SUM(MOD(I310-G310,1)-IF(I310&gt;G310,MAX(0,MIN(I310,'bases de donnée'!E$16/24)-MAX('planning '!G310,7/24)),MAX(0,'bases de donnée'!E$16/24-MAX('planning '!G310,7/24))+MAX(0,MIN('planning '!I310,'bases de donnée'!E$16/24)-7/24)))&lt;0,0,SUM(MOD('planning '!I310-'planning '!G310,1)-IF('planning '!I310&gt;'planning '!G310,MAX(0,MIN('planning '!I310,'bases de donnée'!E$16/24)-MAX('planning '!G310,7/24)),MAX(0,'bases de donnée'!E$16/24-MAX('planning '!G310,7/24))+MAX(0,MIN('planning '!I310,'bases de donnée'!E$16/24)-7/24))))</f>
        <v>0</v>
      </c>
      <c r="T310" s="82"/>
      <c r="U310" s="77" t="str">
        <f t="shared" si="318"/>
        <v>00:00</v>
      </c>
      <c r="V310" s="78">
        <f>IF(SUM(IF(O310&gt;('bases de donnée'!E$9*1),O310-('bases de donnée'!E$9*1),0)-V309)&lt;0,0,SUM(IF(O310&gt;('bases de donnée'!E$9*1),O310-('bases de donnée'!E$9*1),0)-V309))</f>
        <v>0</v>
      </c>
      <c r="W310" s="47"/>
      <c r="X310" s="48">
        <f t="shared" si="245"/>
        <v>0</v>
      </c>
      <c r="Y310" s="42"/>
      <c r="Z310" s="49">
        <f t="shared" si="319"/>
        <v>0</v>
      </c>
      <c r="AA310" s="48">
        <f t="shared" si="320"/>
        <v>0</v>
      </c>
      <c r="AB310" s="47"/>
      <c r="AC310" s="54"/>
      <c r="AD310" s="33">
        <f t="shared" si="248"/>
        <v>0</v>
      </c>
      <c r="AE310" s="33">
        <f t="shared" si="302"/>
        <v>0</v>
      </c>
    </row>
    <row r="311" spans="2:31" x14ac:dyDescent="0.3">
      <c r="B311"/>
      <c r="C311" s="14" t="s">
        <v>8</v>
      </c>
      <c r="D311" s="43">
        <f t="shared" si="313"/>
        <v>42271</v>
      </c>
      <c r="E311" s="29" t="s">
        <v>29</v>
      </c>
      <c r="F311" s="198"/>
      <c r="G311" s="194">
        <v>0.375</v>
      </c>
      <c r="H311" s="194">
        <v>3.125E-2</v>
      </c>
      <c r="I311" s="194">
        <v>0.70833333333333337</v>
      </c>
      <c r="J311" s="193">
        <f>IF(OR(E311="férié travaillé",E311="travail"),(I311-G311+IF(G311&gt;I311,1)-H311),INDEX('bases de donnée'!$E$20:'bases de donnée'!$E$32,MATCH(E311,gerald2,0)))</f>
        <v>0.30208333333333337</v>
      </c>
      <c r="K311" s="20">
        <f>IF(SUM(J311-'bases de donnée'!E$7)&lt;0,0,SUM(J311-'bases de donnée'!E$7))</f>
        <v>0</v>
      </c>
      <c r="L311" s="11">
        <f>IF(OR(E311="férié travaillé",E311="travail"),I311-G311+IF(G311&gt;I311,1),INDEX('bases de donnée'!$E$20:'bases de donnée'!$E$32,MATCH(E311,gerald2,0)))</f>
        <v>0.33333333333333337</v>
      </c>
      <c r="M311" s="21">
        <f>IF(SUM(L311-'bases de donnée'!E$4)&lt;0,0,SUM(L311-'bases de donnée'!E$4))</f>
        <v>0</v>
      </c>
      <c r="N311" s="155">
        <v>0</v>
      </c>
      <c r="O311" s="73">
        <f t="shared" si="322"/>
        <v>0.90625000000000011</v>
      </c>
      <c r="P311" s="34" t="s">
        <v>46</v>
      </c>
      <c r="Q311" s="120">
        <f t="shared" si="323"/>
        <v>1</v>
      </c>
      <c r="R311" s="30"/>
      <c r="S311" s="77">
        <f>IF(SUM(MOD(I311-G311,1)-IF(I311&gt;G311,MAX(0,MIN(I311,'bases de donnée'!E$16/24)-MAX('planning '!G311,7/24)),MAX(0,'bases de donnée'!E$16/24-MAX('planning '!G311,7/24))+MAX(0,MIN('planning '!I311,'bases de donnée'!E$16/24)-7/24)))&lt;0,0,SUM(MOD('planning '!I311-'planning '!G311,1)-IF('planning '!I311&gt;'planning '!G311,MAX(0,MIN('planning '!I311,'bases de donnée'!E$16/24)-MAX('planning '!G311,7/24)),MAX(0,'bases de donnée'!E$16/24-MAX('planning '!G311,7/24))+MAX(0,MIN('planning '!I311,'bases de donnée'!E$16/24)-7/24))))</f>
        <v>0</v>
      </c>
      <c r="T311" s="82"/>
      <c r="U311" s="77" t="str">
        <f t="shared" si="318"/>
        <v>00:00</v>
      </c>
      <c r="V311" s="78">
        <f>IF(SUM(IF(O311&gt;("36:00"*1),O311-("36:00"*1),0)-V309-V310)&lt;0,0,SUM(IF(O311&gt;("36:00"*1),O311-("36:00"*1),0)-V309-V310))</f>
        <v>0</v>
      </c>
      <c r="W311" s="47"/>
      <c r="X311" s="48">
        <f t="shared" si="245"/>
        <v>0</v>
      </c>
      <c r="Y311" s="42"/>
      <c r="Z311" s="49">
        <f t="shared" si="319"/>
        <v>0</v>
      </c>
      <c r="AA311" s="48">
        <f t="shared" si="320"/>
        <v>0</v>
      </c>
      <c r="AB311" s="47"/>
      <c r="AC311" s="54"/>
      <c r="AD311" s="33">
        <f t="shared" si="248"/>
        <v>0</v>
      </c>
      <c r="AE311" s="33">
        <f t="shared" si="302"/>
        <v>0</v>
      </c>
    </row>
    <row r="312" spans="2:31" x14ac:dyDescent="0.3">
      <c r="B312"/>
      <c r="C312" s="14" t="s">
        <v>9</v>
      </c>
      <c r="D312" s="43">
        <f t="shared" si="313"/>
        <v>42272</v>
      </c>
      <c r="E312" s="29" t="s">
        <v>29</v>
      </c>
      <c r="F312" s="198"/>
      <c r="G312" s="194">
        <v>0.375</v>
      </c>
      <c r="H312" s="194">
        <v>3.125E-2</v>
      </c>
      <c r="I312" s="194">
        <v>0.70833333333333337</v>
      </c>
      <c r="J312" s="193">
        <f>IF(OR(E312="férié travaillé",E312="travail"),(I312-G312+IF(G312&gt;I312,1)-H312),INDEX('bases de donnée'!$E$20:'bases de donnée'!$E$32,MATCH(E312,gerald2,0)))</f>
        <v>0.30208333333333337</v>
      </c>
      <c r="K312" s="20">
        <f>IF(SUM(J312-'bases de donnée'!E$7)&lt;0,0,SUM(J312-'bases de donnée'!E$7))</f>
        <v>0</v>
      </c>
      <c r="L312" s="11">
        <f>IF(OR(E312="férié travaillé",E312="travail"),I312-G312+IF(G312&gt;I312,1),INDEX('bases de donnée'!$E$20:'bases de donnée'!$E$32,MATCH(E312,gerald2,0)))</f>
        <v>0.33333333333333337</v>
      </c>
      <c r="M312" s="21">
        <f>IF(SUM(L312-'bases de donnée'!E$4)&lt;0,0,SUM(L312-'bases de donnée'!E$4))</f>
        <v>0</v>
      </c>
      <c r="N312" s="155">
        <v>0</v>
      </c>
      <c r="O312" s="73">
        <f t="shared" si="322"/>
        <v>1.2083333333333335</v>
      </c>
      <c r="P312" s="86">
        <f>O315</f>
        <v>1.5</v>
      </c>
      <c r="Q312" s="120">
        <f t="shared" si="323"/>
        <v>1</v>
      </c>
      <c r="R312" s="30"/>
      <c r="S312" s="77">
        <f>IF(SUM(MOD(I312-G312,1)-IF(I312&gt;G312,MAX(0,MIN(I312,'bases de donnée'!E$16/24)-MAX('planning '!G312,7/24)),MAX(0,'bases de donnée'!E$16/24-MAX('planning '!G312,7/24))+MAX(0,MIN('planning '!I312,'bases de donnée'!E$16/24)-7/24)))&lt;0,0,SUM(MOD('planning '!I312-'planning '!G312,1)-IF('planning '!I312&gt;'planning '!G312,MAX(0,MIN('planning '!I312,'bases de donnée'!E$16/24)-MAX('planning '!G312,7/24)),MAX(0,'bases de donnée'!E$16/24-MAX('planning '!G312,7/24))+MAX(0,MIN('planning '!I312,'bases de donnée'!E$16/24)-7/24))))</f>
        <v>0</v>
      </c>
      <c r="T312" s="82"/>
      <c r="U312" s="77" t="str">
        <f t="shared" si="318"/>
        <v>00:00</v>
      </c>
      <c r="V312" s="78">
        <f>IF(SUM(IF(O312&gt;("36:00"*1),O312-("36:00"*1),0)-V310-V311)&lt;0,0,SUM(IF(O312&gt;("36:00"*1),O312-("36:00"*1),0)-V309-V310-V311))</f>
        <v>0</v>
      </c>
      <c r="W312" s="47"/>
      <c r="X312" s="48">
        <f t="shared" si="245"/>
        <v>0</v>
      </c>
      <c r="Y312" s="42"/>
      <c r="Z312" s="49">
        <f t="shared" si="319"/>
        <v>0</v>
      </c>
      <c r="AA312" s="48">
        <f t="shared" si="320"/>
        <v>0</v>
      </c>
      <c r="AB312" s="47"/>
      <c r="AC312" s="54"/>
      <c r="AD312" s="33">
        <f t="shared" si="248"/>
        <v>0</v>
      </c>
      <c r="AE312" s="33">
        <f t="shared" si="302"/>
        <v>0</v>
      </c>
    </row>
    <row r="313" spans="2:31" x14ac:dyDescent="0.3">
      <c r="B313"/>
      <c r="C313" s="14" t="s">
        <v>3</v>
      </c>
      <c r="D313" s="43">
        <f t="shared" si="313"/>
        <v>42273</v>
      </c>
      <c r="E313" s="29" t="s">
        <v>29</v>
      </c>
      <c r="F313" s="198"/>
      <c r="G313" s="194">
        <v>0.375</v>
      </c>
      <c r="H313" s="194">
        <v>3.125E-2</v>
      </c>
      <c r="I313" s="194">
        <v>0.69791666666666663</v>
      </c>
      <c r="J313" s="193">
        <f>IF(OR(E313="férié travaillé",E313="travail"),(I313-G313+IF(G313&gt;I313,1)-H313),INDEX('bases de donnée'!$E$20:'bases de donnée'!$E$32,MATCH(E313,gerald2,0)))</f>
        <v>0.29166666666666663</v>
      </c>
      <c r="K313" s="20">
        <f>IF(SUM(J313-'bases de donnée'!E$7)&lt;0,0,SUM(J313-'bases de donnée'!E$7))</f>
        <v>0</v>
      </c>
      <c r="L313" s="11">
        <f>IF(OR(E313="férié travaillé",E313="travail"),I313-G313+IF(G313&gt;I313,1),INDEX('bases de donnée'!$E$20:'bases de donnée'!$E$32,MATCH(E313,gerald2,0)))</f>
        <v>0.32291666666666663</v>
      </c>
      <c r="M313" s="21">
        <f>IF(SUM(L313-'bases de donnée'!E$4)&lt;0,0,SUM(L313-'bases de donnée'!E$4))</f>
        <v>0</v>
      </c>
      <c r="N313" s="155">
        <v>0</v>
      </c>
      <c r="O313" s="73">
        <f t="shared" si="322"/>
        <v>1.5</v>
      </c>
      <c r="P313" s="12" t="s">
        <v>48</v>
      </c>
      <c r="Q313" s="120">
        <f t="shared" si="323"/>
        <v>1</v>
      </c>
      <c r="R313" s="30"/>
      <c r="S313" s="77">
        <f>IF(SUM(MOD(I313-G313,1)-IF(I313&gt;G313,MAX(0,MIN(I313,'bases de donnée'!E$16/24)-MAX('planning '!G313,7/24)),MAX(0,'bases de donnée'!E$16/24-MAX('planning '!G313,7/24))+MAX(0,MIN('planning '!I313,'bases de donnée'!E$16/24)-7/24)))&lt;0,0,SUM(MOD('planning '!I313-'planning '!G313,1)-IF('planning '!I313&gt;'planning '!G313,MAX(0,MIN('planning '!I313,'bases de donnée'!E$16/24)-MAX('planning '!G313,7/24)),MAX(0,'bases de donnée'!E$16/24-MAX('planning '!G313,7/24))+MAX(0,MIN('planning '!I313,'bases de donnée'!E$16/24)-7/24))))</f>
        <v>0</v>
      </c>
      <c r="T313" s="82"/>
      <c r="U313" s="77" t="str">
        <f t="shared" si="318"/>
        <v>00:00</v>
      </c>
      <c r="V313" s="78">
        <f>IF(SUM(IF(O313&gt;("36:00"*1),O313-("36:00"*1),0)-V311-V312)&lt;0,0,SUM(IF(O313&gt;("36:00"*1),O313-("36:00"*1),0)-V309-V310-V311-V312))</f>
        <v>0</v>
      </c>
      <c r="W313" s="47"/>
      <c r="X313" s="48">
        <f t="shared" si="245"/>
        <v>0</v>
      </c>
      <c r="Y313" s="42"/>
      <c r="Z313" s="49">
        <f t="shared" si="319"/>
        <v>0</v>
      </c>
      <c r="AA313" s="48">
        <f t="shared" si="320"/>
        <v>0</v>
      </c>
      <c r="AB313" s="47"/>
      <c r="AC313" s="54"/>
      <c r="AD313" s="33">
        <f t="shared" si="248"/>
        <v>0</v>
      </c>
      <c r="AE313" s="33">
        <f t="shared" si="302"/>
        <v>0</v>
      </c>
    </row>
    <row r="314" spans="2:31" x14ac:dyDescent="0.3">
      <c r="B314"/>
      <c r="C314" s="14" t="s">
        <v>4</v>
      </c>
      <c r="D314" s="43">
        <f t="shared" si="313"/>
        <v>42274</v>
      </c>
      <c r="E314" s="29" t="s">
        <v>28</v>
      </c>
      <c r="F314" s="117"/>
      <c r="G314" s="189"/>
      <c r="H314" s="189"/>
      <c r="I314" s="189"/>
      <c r="J314" s="45">
        <f>IF(OR(E314="férié travaillé",E314="travail"),(I314-G314+IF(G314&gt;I314,1)-H314),INDEX('bases de donnée'!$E$20:'bases de donnée'!$E$32,MATCH(E314,gerald2,0)))</f>
        <v>0</v>
      </c>
      <c r="K314" s="20">
        <f>IF(SUM(J314-'bases de donnée'!E$7)&lt;0,0,SUM(J314-'bases de donnée'!E$7))</f>
        <v>0</v>
      </c>
      <c r="L314" s="11">
        <f>IF(OR(E314="férié travaillé",E314="travail"),I314-G314+IF(G314&gt;I314,1),INDEX('bases de donnée'!$E$20:'bases de donnée'!$E$32,MATCH(E314,gerald2,0)))</f>
        <v>0</v>
      </c>
      <c r="M314" s="21">
        <f>IF(SUM(L314-'bases de donnée'!E$4)&lt;0,0,SUM(L314-'bases de donnée'!E$4))</f>
        <v>0</v>
      </c>
      <c r="N314" s="155">
        <v>0</v>
      </c>
      <c r="O314" s="73">
        <f t="shared" si="322"/>
        <v>1.5</v>
      </c>
      <c r="P314" s="53">
        <f>'bases de donnée'!E$10</f>
        <v>2</v>
      </c>
      <c r="Q314" s="120">
        <f t="shared" si="323"/>
        <v>0</v>
      </c>
      <c r="R314" s="30"/>
      <c r="S314" s="77">
        <f>IF(SUM(MOD(I314-G314,1)-IF(I314&gt;G314,MAX(0,MIN(I314,'bases de donnée'!E$16/24)-MAX('planning '!G314,7/24)),MAX(0,'bases de donnée'!E$16/24-MAX('planning '!G314,7/24))+MAX(0,MIN('planning '!I314,'bases de donnée'!E$16/24)-7/24)))&lt;0,0,SUM(MOD('planning '!I314-'planning '!G314,1)-IF('planning '!I314&gt;'planning '!G314,MAX(0,MIN('planning '!I314,'bases de donnée'!E$16/24)-MAX('planning '!G314,7/24)),MAX(0,'bases de donnée'!E$16/24-MAX('planning '!G314,7/24))+MAX(0,MIN('planning '!I314,'bases de donnée'!E$16/24)-7/24))))</f>
        <v>0</v>
      </c>
      <c r="T314" s="82"/>
      <c r="U314" s="77" t="str">
        <f t="shared" si="318"/>
        <v>00:00</v>
      </c>
      <c r="V314" s="78">
        <f>IF(SUM(IF(O314&gt;("36:00"*1),O314-("36:00"*1),0)-V312-V313)&lt;0,0,SUM(IF(O314&gt;("36:00"*1),O314-("36:00"*1),0)-V309-V310-V311-V312-V313))</f>
        <v>0</v>
      </c>
      <c r="W314" s="47"/>
      <c r="X314" s="48">
        <f t="shared" si="245"/>
        <v>0</v>
      </c>
      <c r="Y314" s="32"/>
      <c r="Z314" s="56">
        <f t="shared" si="319"/>
        <v>0</v>
      </c>
      <c r="AA314" s="48">
        <f t="shared" si="320"/>
        <v>0</v>
      </c>
      <c r="AB314" s="47"/>
      <c r="AC314" s="55"/>
      <c r="AD314" s="33">
        <f t="shared" si="248"/>
        <v>0</v>
      </c>
      <c r="AE314" s="33">
        <f t="shared" si="302"/>
        <v>0</v>
      </c>
    </row>
    <row r="315" spans="2:31" x14ac:dyDescent="0.3">
      <c r="B315"/>
      <c r="C315" s="14" t="s">
        <v>5</v>
      </c>
      <c r="D315" s="43">
        <f t="shared" si="313"/>
        <v>42275</v>
      </c>
      <c r="E315" s="29" t="s">
        <v>28</v>
      </c>
      <c r="F315" s="118"/>
      <c r="G315" s="189"/>
      <c r="H315" s="189"/>
      <c r="I315" s="189"/>
      <c r="J315" s="45">
        <f>IF(OR(E315="férié travaillé",E315="travail"),(I315-G315+IF(G315&gt;I315,1)-H315),INDEX('bases de donnée'!$E$20:'bases de donnée'!$E$32,MATCH(E315,gerald2,0)))</f>
        <v>0</v>
      </c>
      <c r="K315" s="20">
        <f>IF(SUM(J315-'bases de donnée'!E$7)&lt;0,0,SUM(J315-'bases de donnée'!E$7))</f>
        <v>0</v>
      </c>
      <c r="L315" s="11">
        <f>IF(OR(E315="férié travaillé",E315="travail"),I315-G315+IF(G315&gt;I315,1),INDEX('bases de donnée'!$E$20:'bases de donnée'!$E$32,MATCH(E315,gerald2,0)))</f>
        <v>0</v>
      </c>
      <c r="M315" s="21">
        <f>IF(SUM(L315-'bases de donnée'!E$4)&lt;0,0,SUM(L315-'bases de donnée'!E$4))</f>
        <v>0</v>
      </c>
      <c r="N315" s="155">
        <v>0</v>
      </c>
      <c r="O315" s="73">
        <f t="shared" si="322"/>
        <v>1.5</v>
      </c>
      <c r="P315" s="33">
        <f>IF(SUM(O315-'bases de donnée'!E$10)&lt;0,0,SUM(O315-'bases de donnée'!E$10))</f>
        <v>0</v>
      </c>
      <c r="Q315" s="120">
        <f t="shared" si="323"/>
        <v>0</v>
      </c>
      <c r="R315" s="30"/>
      <c r="S315" s="77">
        <f>IF(SUM(MOD(I315-G315,1)-IF(I315&gt;G315,MAX(0,MIN(I315,'bases de donnée'!E$16/24)-MAX('planning '!G315,7/24)),MAX(0,'bases de donnée'!E$16/24-MAX('planning '!G315,7/24))+MAX(0,MIN('planning '!I315,'bases de donnée'!E$16/24)-7/24)))&lt;0,0,SUM(MOD('planning '!I315-'planning '!G315,1)-IF('planning '!I315&gt;'planning '!G315,MAX(0,MIN('planning '!I315,'bases de donnée'!E$16/24)-MAX('planning '!G315,7/24)),MAX(0,'bases de donnée'!E$16/24-MAX('planning '!G315,7/24))+MAX(0,MIN('planning '!I315,'bases de donnée'!E$16/24)-7/24))))</f>
        <v>0</v>
      </c>
      <c r="T315" s="77">
        <f>J315</f>
        <v>0</v>
      </c>
      <c r="U315" s="77" t="str">
        <f t="shared" si="318"/>
        <v>00:00</v>
      </c>
      <c r="V315" s="78">
        <f>IF(SUM(IF(O315&gt;("36:00"*1),O315-("36:00"*1),0)-V313-V314)&lt;0,0,SUM(IF(O315&gt;("36:00"*1),O315-("36:00"*1),0)-V309-V310-V311-V312-V313-V314))</f>
        <v>0</v>
      </c>
      <c r="W315" s="47"/>
      <c r="X315" s="48">
        <f t="shared" si="245"/>
        <v>0</v>
      </c>
      <c r="Y315" s="48">
        <f t="shared" ref="Y315" si="324">IF(SUM(T315-S315)&lt;0,0,SUM(T315-S315))</f>
        <v>0</v>
      </c>
      <c r="Z315" s="56">
        <f t="shared" ref="Z315" si="325">IF(SUM(U315-T315-S315)&lt;0,0,SUM(U315-T315-S315))</f>
        <v>0</v>
      </c>
      <c r="AA315" s="48">
        <f>IF(SUM(V315-S315-T315-U315)&lt;0,0,SUM(V315-S315-T315-U315))</f>
        <v>0</v>
      </c>
      <c r="AB315" s="47"/>
      <c r="AC315" s="57">
        <f t="shared" ref="AC315" si="326">IF(SUM(T315-Y315)&lt;0,0,SUM(T315-Y315))</f>
        <v>0</v>
      </c>
      <c r="AD315" s="33">
        <f t="shared" si="248"/>
        <v>0</v>
      </c>
      <c r="AE315" s="33">
        <f t="shared" si="302"/>
        <v>0</v>
      </c>
    </row>
    <row r="316" spans="2:31" x14ac:dyDescent="0.3">
      <c r="B316"/>
      <c r="C316" s="25"/>
      <c r="D316" s="90"/>
      <c r="E316" s="90"/>
      <c r="F316" s="25"/>
      <c r="G316" s="185"/>
      <c r="H316" s="185"/>
      <c r="I316" s="185"/>
      <c r="J316" s="47"/>
      <c r="K316" s="92"/>
      <c r="L316" s="91"/>
      <c r="M316" s="91"/>
      <c r="N316" s="91"/>
      <c r="O316" s="93"/>
      <c r="P316" s="47"/>
      <c r="Q316" s="30"/>
      <c r="R316" s="30"/>
      <c r="S316" s="47"/>
      <c r="T316" s="47"/>
      <c r="U316" s="47"/>
      <c r="V316" s="93"/>
      <c r="W316" s="47"/>
      <c r="X316" s="47"/>
      <c r="Y316" s="47"/>
      <c r="Z316" s="47"/>
      <c r="AA316" s="47"/>
      <c r="AB316" s="47"/>
      <c r="AC316" s="47"/>
      <c r="AD316" s="47"/>
      <c r="AE316" s="47"/>
    </row>
    <row r="317" spans="2:31" x14ac:dyDescent="0.3">
      <c r="B317" s="9" t="s">
        <v>40</v>
      </c>
      <c r="C317" s="9" t="s">
        <v>6</v>
      </c>
      <c r="D317" s="58">
        <f>D315+1</f>
        <v>42276</v>
      </c>
      <c r="E317" s="29" t="s">
        <v>29</v>
      </c>
      <c r="F317" s="190"/>
      <c r="G317" s="194">
        <v>0.375</v>
      </c>
      <c r="H317" s="194">
        <v>3.125E-2</v>
      </c>
      <c r="I317" s="194">
        <v>0.70833333333333337</v>
      </c>
      <c r="J317" s="193">
        <f>IF(OR(E317="férié travaillé",E317="travail"),(I317-G317+IF(G317&gt;I317,1)-H317),INDEX('bases de donnée'!$E$20:'bases de donnée'!$E$32,MATCH(E317,gerald2,0)))</f>
        <v>0.30208333333333337</v>
      </c>
      <c r="K317" s="20">
        <f>IF(SUM(J317-'bases de donnée'!E$7)&lt;0,0,SUM(J317-'bases de donnée'!E$7))</f>
        <v>0</v>
      </c>
      <c r="L317" s="11">
        <f>IF(OR(E317="férié travaillé",E317="travail"),I317-G317+IF(G317&gt;I317,1),INDEX('bases de donnée'!$E$20:'bases de donnée'!$E$32,MATCH(E317,gerald2,0)))</f>
        <v>0.33333333333333337</v>
      </c>
      <c r="M317" s="21">
        <f>IF(SUM(L317-'bases de donnée'!E$4)&lt;0,0,SUM(L317-'bases de donnée'!E$4))</f>
        <v>0</v>
      </c>
      <c r="N317" s="155">
        <v>0</v>
      </c>
      <c r="O317" s="59">
        <f t="shared" ref="O317" si="327">J317</f>
        <v>0.30208333333333337</v>
      </c>
      <c r="P317" s="122">
        <f>SUM(Q317:Q323)</f>
        <v>5</v>
      </c>
      <c r="Q317" s="120">
        <f>IF(AND(G317&lt;&gt;"",I317&lt;&gt;""),1,0+OR(N(I316)&lt;N(G316),E317="récupération",E317="congé 1 jour",E317="congé 1/2 jour ",E317="congé 5h24",E317="arrêt maladie",E317="arrêt travail",E317="férié ",E317="congé parentale",E317="congé de naissance"))</f>
        <v>1</v>
      </c>
      <c r="R317" s="30"/>
      <c r="S317" s="77">
        <f>IF(SUM(MOD(I317-G317,1)-IF(I317&gt;G317,MAX(0,MIN(I317,'bases de donnée'!E$16/24)-MAX('planning '!G317,7/24)),MAX(0,'bases de donnée'!E$16/24-MAX('planning '!G317,7/24))+MAX(0,MIN('planning '!I317,'bases de donnée'!E$16/24)-7/24)))&lt;0,0,SUM(MOD('planning '!I317-'planning '!G317,1)-IF('planning '!I317&gt;'planning '!G317,MAX(0,MIN('planning '!I317,'bases de donnée'!E$16/24)-MAX('planning '!G317,7/24)),MAX(0,'bases de donnée'!E$16/24-MAX('planning '!G317,7/24))+MAX(0,MIN('planning '!I317,'bases de donnée'!E$16/24)-7/24))))</f>
        <v>0</v>
      </c>
      <c r="T317" s="81"/>
      <c r="U317" s="77" t="str">
        <f t="shared" ref="U317:U323" si="328">IF(E317&lt;&gt;"travail",IF(E317="férié travaillé",MOD(I317-G317,1)-H317,"00:00"),"00:00")</f>
        <v>00:00</v>
      </c>
      <c r="V317" s="78"/>
      <c r="W317" s="47"/>
      <c r="X317" s="48">
        <f t="shared" si="245"/>
        <v>0</v>
      </c>
      <c r="Y317" s="114"/>
      <c r="Z317" s="48">
        <f t="shared" ref="Z317:Z322" si="329">IF(SUM(U317-X317)&lt;0,0,SUM(U317-X317))</f>
        <v>0</v>
      </c>
      <c r="AA317" s="48">
        <f t="shared" ref="AA317:AA322" si="330">IF(SUM(V317-X317-Z317)&lt;0,0,SUM(V317-X317-Z317))</f>
        <v>0</v>
      </c>
      <c r="AB317" s="47"/>
      <c r="AC317" s="50"/>
      <c r="AD317" s="33">
        <f t="shared" si="248"/>
        <v>0</v>
      </c>
      <c r="AE317" s="33">
        <f t="shared" si="302"/>
        <v>0</v>
      </c>
    </row>
    <row r="318" spans="2:31" x14ac:dyDescent="0.3">
      <c r="B318" s="60">
        <f t="shared" ref="B318" si="331">B310+1</f>
        <v>39</v>
      </c>
      <c r="C318" s="9" t="s">
        <v>7</v>
      </c>
      <c r="D318" s="58">
        <f t="shared" si="313"/>
        <v>42277</v>
      </c>
      <c r="E318" s="29" t="s">
        <v>29</v>
      </c>
      <c r="F318" s="191"/>
      <c r="G318" s="194">
        <v>0.375</v>
      </c>
      <c r="H318" s="194">
        <v>3.125E-2</v>
      </c>
      <c r="I318" s="194">
        <v>0.70833333333333337</v>
      </c>
      <c r="J318" s="193">
        <f>IF(OR(E318="férié travaillé",E318="travail"),(I318-G318+IF(G318&gt;I318,1)-H318),INDEX('bases de donnée'!$E$20:'bases de donnée'!$E$32,MATCH(E318,gerald2,0)))</f>
        <v>0.30208333333333337</v>
      </c>
      <c r="K318" s="20">
        <f>IF(SUM(J318-'bases de donnée'!E$7)&lt;0,0,SUM(J318-'bases de donnée'!E$7))</f>
        <v>0</v>
      </c>
      <c r="L318" s="11">
        <f>IF(OR(E318="férié travaillé",E318="travail"),I318-G318+IF(G318&gt;I318,1),INDEX('bases de donnée'!$E$20:'bases de donnée'!$E$32,MATCH(E318,gerald2,0)))</f>
        <v>0.33333333333333337</v>
      </c>
      <c r="M318" s="21">
        <f>IF(SUM(L318-'bases de donnée'!E$4)&lt;0,0,SUM(L318-'bases de donnée'!E$4))</f>
        <v>0</v>
      </c>
      <c r="N318" s="155">
        <v>0</v>
      </c>
      <c r="O318" s="74">
        <f t="shared" ref="O318:O323" si="332">O317+J318</f>
        <v>0.60416666666666674</v>
      </c>
      <c r="P318" s="121">
        <f>IF(SUM(P317-'bases de donnée'!E$6)&lt;0,0,SUM(P317-'bases de donnée'!E$6))</f>
        <v>0</v>
      </c>
      <c r="Q318" s="120">
        <f t="shared" ref="Q318:Q323" si="333">IF(AND(G318&lt;&gt;"",I318&lt;&gt;""),1,0+OR(N(I317)&lt;N(G317),E318="récupération",E318="congé 1 jour",E318="congé 1/2 jour ",E318="congé 5h24",E318="arrêt maladie",E318="arrêt travail",E318="férié ",E318="congé parentale",E318="congé de naissance"))</f>
        <v>1</v>
      </c>
      <c r="R318" s="30"/>
      <c r="S318" s="77">
        <f>IF(SUM(MOD(I318-G318,1)-IF(I318&gt;G318,MAX(0,MIN(I318,'bases de donnée'!E$16/24)-MAX('planning '!G318,7/24)),MAX(0,'bases de donnée'!E$16/24-MAX('planning '!G318,7/24))+MAX(0,MIN('planning '!I318,'bases de donnée'!E$16/24)-7/24)))&lt;0,0,SUM(MOD('planning '!I318-'planning '!G318,1)-IF('planning '!I318&gt;'planning '!G318,MAX(0,MIN('planning '!I318,'bases de donnée'!E$16/24)-MAX('planning '!G318,7/24)),MAX(0,'bases de donnée'!E$16/24-MAX('planning '!G318,7/24))+MAX(0,MIN('planning '!I318,'bases de donnée'!E$16/24)-7/24))))</f>
        <v>0</v>
      </c>
      <c r="T318" s="82"/>
      <c r="U318" s="77" t="str">
        <f t="shared" si="328"/>
        <v>00:00</v>
      </c>
      <c r="V318" s="78">
        <f>IF(SUM(IF(O318&gt;('bases de donnée'!E$9*1),O318-('bases de donnée'!E$9*1),0)-V317)&lt;0,0,SUM(IF(O318&gt;('bases de donnée'!E$9*1),O318-('bases de donnée'!E$9*1),0)-V317))</f>
        <v>0</v>
      </c>
      <c r="W318" s="47"/>
      <c r="X318" s="48">
        <f t="shared" si="245"/>
        <v>0</v>
      </c>
      <c r="Y318" s="42"/>
      <c r="Z318" s="49">
        <f t="shared" si="329"/>
        <v>0</v>
      </c>
      <c r="AA318" s="48">
        <f t="shared" si="330"/>
        <v>0</v>
      </c>
      <c r="AB318" s="47"/>
      <c r="AC318" s="54"/>
      <c r="AD318" s="33">
        <f t="shared" si="248"/>
        <v>0</v>
      </c>
      <c r="AE318" s="33">
        <f t="shared" si="302"/>
        <v>0</v>
      </c>
    </row>
    <row r="319" spans="2:31" x14ac:dyDescent="0.3">
      <c r="B319"/>
      <c r="C319" s="9" t="s">
        <v>8</v>
      </c>
      <c r="D319" s="58">
        <f t="shared" si="313"/>
        <v>42278</v>
      </c>
      <c r="E319" s="29" t="s">
        <v>29</v>
      </c>
      <c r="F319" s="191"/>
      <c r="G319" s="194">
        <v>0.375</v>
      </c>
      <c r="H319" s="194">
        <v>3.125E-2</v>
      </c>
      <c r="I319" s="194">
        <v>0.70833333333333337</v>
      </c>
      <c r="J319" s="193">
        <f>IF(OR(E319="férié travaillé",E319="travail"),(I319-G319+IF(G319&gt;I319,1)-H319),INDEX('bases de donnée'!$E$20:'bases de donnée'!$E$32,MATCH(E319,gerald2,0)))</f>
        <v>0.30208333333333337</v>
      </c>
      <c r="K319" s="20">
        <f>IF(SUM(J319-'bases de donnée'!E$7)&lt;0,0,SUM(J319-'bases de donnée'!E$7))</f>
        <v>0</v>
      </c>
      <c r="L319" s="11">
        <f>IF(OR(E319="férié travaillé",E319="travail"),I319-G319+IF(G319&gt;I319,1),INDEX('bases de donnée'!$E$20:'bases de donnée'!$E$32,MATCH(E319,gerald2,0)))</f>
        <v>0.33333333333333337</v>
      </c>
      <c r="M319" s="21">
        <f>IF(SUM(L319-'bases de donnée'!E$4)&lt;0,0,SUM(L319-'bases de donnée'!E$4))</f>
        <v>0</v>
      </c>
      <c r="N319" s="155">
        <v>0</v>
      </c>
      <c r="O319" s="74">
        <f t="shared" si="332"/>
        <v>0.90625000000000011</v>
      </c>
      <c r="P319" s="34" t="s">
        <v>46</v>
      </c>
      <c r="Q319" s="120">
        <f t="shared" si="333"/>
        <v>1</v>
      </c>
      <c r="R319" s="30"/>
      <c r="S319" s="77">
        <f>IF(SUM(MOD(I319-G319,1)-IF(I319&gt;G319,MAX(0,MIN(I319,'bases de donnée'!E$16/24)-MAX('planning '!G319,7/24)),MAX(0,'bases de donnée'!E$16/24-MAX('planning '!G319,7/24))+MAX(0,MIN('planning '!I319,'bases de donnée'!E$16/24)-7/24)))&lt;0,0,SUM(MOD('planning '!I319-'planning '!G319,1)-IF('planning '!I319&gt;'planning '!G319,MAX(0,MIN('planning '!I319,'bases de donnée'!E$16/24)-MAX('planning '!G319,7/24)),MAX(0,'bases de donnée'!E$16/24-MAX('planning '!G319,7/24))+MAX(0,MIN('planning '!I319,'bases de donnée'!E$16/24)-7/24))))</f>
        <v>0</v>
      </c>
      <c r="T319" s="82"/>
      <c r="U319" s="77" t="str">
        <f t="shared" si="328"/>
        <v>00:00</v>
      </c>
      <c r="V319" s="78">
        <f>IF(SUM(IF(O319&gt;("36:00"*1),O319-("36:00"*1),0)-V317-V318)&lt;0,0,SUM(IF(O319&gt;("36:00"*1),O319-("36:00"*1),0)-V317-V318))</f>
        <v>0</v>
      </c>
      <c r="W319" s="47"/>
      <c r="X319" s="48">
        <f t="shared" si="245"/>
        <v>0</v>
      </c>
      <c r="Y319" s="42"/>
      <c r="Z319" s="49">
        <f t="shared" si="329"/>
        <v>0</v>
      </c>
      <c r="AA319" s="48">
        <f t="shared" si="330"/>
        <v>0</v>
      </c>
      <c r="AB319" s="47"/>
      <c r="AC319" s="54"/>
      <c r="AD319" s="33">
        <f t="shared" si="248"/>
        <v>0</v>
      </c>
      <c r="AE319" s="33">
        <f t="shared" si="302"/>
        <v>0</v>
      </c>
    </row>
    <row r="320" spans="2:31" x14ac:dyDescent="0.3">
      <c r="B320"/>
      <c r="C320" s="9" t="s">
        <v>9</v>
      </c>
      <c r="D320" s="58">
        <f t="shared" si="313"/>
        <v>42279</v>
      </c>
      <c r="E320" s="29" t="s">
        <v>29</v>
      </c>
      <c r="F320" s="191"/>
      <c r="G320" s="194">
        <v>0.375</v>
      </c>
      <c r="H320" s="194">
        <v>3.125E-2</v>
      </c>
      <c r="I320" s="194">
        <v>0.70833333333333337</v>
      </c>
      <c r="J320" s="193">
        <f>IF(OR(E320="férié travaillé",E320="travail"),(I320-G320+IF(G320&gt;I320,1)-H320),INDEX('bases de donnée'!$E$20:'bases de donnée'!$E$32,MATCH(E320,gerald2,0)))</f>
        <v>0.30208333333333337</v>
      </c>
      <c r="K320" s="20">
        <f>IF(SUM(J320-'bases de donnée'!E$7)&lt;0,0,SUM(J320-'bases de donnée'!E$7))</f>
        <v>0</v>
      </c>
      <c r="L320" s="11">
        <f>IF(OR(E320="férié travaillé",E320="travail"),I320-G320+IF(G320&gt;I320,1),INDEX('bases de donnée'!$E$20:'bases de donnée'!$E$32,MATCH(E320,gerald2,0)))</f>
        <v>0.33333333333333337</v>
      </c>
      <c r="M320" s="21">
        <f>IF(SUM(L320-'bases de donnée'!E$4)&lt;0,0,SUM(L320-'bases de donnée'!E$4))</f>
        <v>0</v>
      </c>
      <c r="N320" s="155">
        <v>0</v>
      </c>
      <c r="O320" s="74">
        <f t="shared" si="332"/>
        <v>1.2083333333333335</v>
      </c>
      <c r="P320" s="86">
        <f>O323</f>
        <v>1.5</v>
      </c>
      <c r="Q320" s="120">
        <f t="shared" si="333"/>
        <v>1</v>
      </c>
      <c r="R320" s="30"/>
      <c r="S320" s="77">
        <f>IF(SUM(MOD(I320-G320,1)-IF(I320&gt;G320,MAX(0,MIN(I320,'bases de donnée'!E$16/24)-MAX('planning '!G320,7/24)),MAX(0,'bases de donnée'!E$16/24-MAX('planning '!G320,7/24))+MAX(0,MIN('planning '!I320,'bases de donnée'!E$16/24)-7/24)))&lt;0,0,SUM(MOD('planning '!I320-'planning '!G320,1)-IF('planning '!I320&gt;'planning '!G320,MAX(0,MIN('planning '!I320,'bases de donnée'!E$16/24)-MAX('planning '!G320,7/24)),MAX(0,'bases de donnée'!E$16/24-MAX('planning '!G320,7/24))+MAX(0,MIN('planning '!I320,'bases de donnée'!E$16/24)-7/24))))</f>
        <v>0</v>
      </c>
      <c r="T320" s="82"/>
      <c r="U320" s="77" t="str">
        <f t="shared" si="328"/>
        <v>00:00</v>
      </c>
      <c r="V320" s="78">
        <f>IF(SUM(IF(O320&gt;("36:00"*1),O320-("36:00"*1),0)-V318-V319)&lt;0,0,SUM(IF(O320&gt;("36:00"*1),O320-("36:00"*1),0)-V317-V318-V319))</f>
        <v>0</v>
      </c>
      <c r="W320" s="47"/>
      <c r="X320" s="48">
        <f t="shared" si="245"/>
        <v>0</v>
      </c>
      <c r="Y320" s="42"/>
      <c r="Z320" s="49">
        <f t="shared" si="329"/>
        <v>0</v>
      </c>
      <c r="AA320" s="48">
        <f t="shared" si="330"/>
        <v>0</v>
      </c>
      <c r="AB320" s="47"/>
      <c r="AC320" s="54"/>
      <c r="AD320" s="33">
        <f t="shared" si="248"/>
        <v>0</v>
      </c>
      <c r="AE320" s="33">
        <f t="shared" si="302"/>
        <v>0</v>
      </c>
    </row>
    <row r="321" spans="2:31" x14ac:dyDescent="0.3">
      <c r="B321"/>
      <c r="C321" s="9" t="s">
        <v>3</v>
      </c>
      <c r="D321" s="58">
        <f t="shared" si="313"/>
        <v>42280</v>
      </c>
      <c r="E321" s="29" t="s">
        <v>29</v>
      </c>
      <c r="F321" s="191"/>
      <c r="G321" s="194">
        <v>0.375</v>
      </c>
      <c r="H321" s="194">
        <v>3.125E-2</v>
      </c>
      <c r="I321" s="194">
        <v>0.69791666666666663</v>
      </c>
      <c r="J321" s="193">
        <f>IF(OR(E321="férié travaillé",E321="travail"),(I321-G321+IF(G321&gt;I321,1)-H321),INDEX('bases de donnée'!$E$20:'bases de donnée'!$E$32,MATCH(E321,gerald2,0)))</f>
        <v>0.29166666666666663</v>
      </c>
      <c r="K321" s="20">
        <f>IF(SUM(J321-'bases de donnée'!E$7)&lt;0,0,SUM(J321-'bases de donnée'!E$7))</f>
        <v>0</v>
      </c>
      <c r="L321" s="11">
        <f>IF(OR(E321="férié travaillé",E321="travail"),I321-G321+IF(G321&gt;I321,1),INDEX('bases de donnée'!$E$20:'bases de donnée'!$E$32,MATCH(E321,gerald2,0)))</f>
        <v>0.32291666666666663</v>
      </c>
      <c r="M321" s="21">
        <f>IF(SUM(L321-'bases de donnée'!E$4)&lt;0,0,SUM(L321-'bases de donnée'!E$4))</f>
        <v>0</v>
      </c>
      <c r="N321" s="155">
        <v>0</v>
      </c>
      <c r="O321" s="74">
        <f t="shared" si="332"/>
        <v>1.5</v>
      </c>
      <c r="P321" s="8" t="s">
        <v>48</v>
      </c>
      <c r="Q321" s="120">
        <f t="shared" si="333"/>
        <v>1</v>
      </c>
      <c r="R321" s="30"/>
      <c r="S321" s="77">
        <f>IF(SUM(MOD(I321-G321,1)-IF(I321&gt;G321,MAX(0,MIN(I321,'bases de donnée'!E$16/24)-MAX('planning '!G321,7/24)),MAX(0,'bases de donnée'!E$16/24-MAX('planning '!G321,7/24))+MAX(0,MIN('planning '!I321,'bases de donnée'!E$16/24)-7/24)))&lt;0,0,SUM(MOD('planning '!I321-'planning '!G321,1)-IF('planning '!I321&gt;'planning '!G321,MAX(0,MIN('planning '!I321,'bases de donnée'!E$16/24)-MAX('planning '!G321,7/24)),MAX(0,'bases de donnée'!E$16/24-MAX('planning '!G321,7/24))+MAX(0,MIN('planning '!I321,'bases de donnée'!E$16/24)-7/24))))</f>
        <v>0</v>
      </c>
      <c r="T321" s="82"/>
      <c r="U321" s="77" t="str">
        <f t="shared" si="328"/>
        <v>00:00</v>
      </c>
      <c r="V321" s="78">
        <f>IF(SUM(IF(O321&gt;("36:00"*1),O321-("36:00"*1),0)-V319-V320)&lt;0,0,SUM(IF(O321&gt;("36:00"*1),O321-("36:00"*1),0)-V317-V318-V319-V320))</f>
        <v>0</v>
      </c>
      <c r="W321" s="47"/>
      <c r="X321" s="48">
        <f t="shared" si="245"/>
        <v>0</v>
      </c>
      <c r="Y321" s="42"/>
      <c r="Z321" s="49">
        <f t="shared" si="329"/>
        <v>0</v>
      </c>
      <c r="AA321" s="48">
        <f t="shared" si="330"/>
        <v>0</v>
      </c>
      <c r="AB321" s="47"/>
      <c r="AC321" s="54"/>
      <c r="AD321" s="33">
        <f t="shared" si="248"/>
        <v>0</v>
      </c>
      <c r="AE321" s="33">
        <f t="shared" si="302"/>
        <v>0</v>
      </c>
    </row>
    <row r="322" spans="2:31" x14ac:dyDescent="0.3">
      <c r="B322"/>
      <c r="C322" s="9" t="s">
        <v>4</v>
      </c>
      <c r="D322" s="58">
        <f t="shared" si="313"/>
        <v>42281</v>
      </c>
      <c r="E322" s="29" t="s">
        <v>28</v>
      </c>
      <c r="F322" s="191"/>
      <c r="G322" s="194"/>
      <c r="H322" s="194"/>
      <c r="I322" s="194"/>
      <c r="J322" s="193">
        <f>IF(OR(E322="férié travaillé",E322="travail"),(I322-G322+IF(G322&gt;I322,1)-H322),INDEX('bases de donnée'!$E$20:'bases de donnée'!$E$32,MATCH(E322,gerald2,0)))</f>
        <v>0</v>
      </c>
      <c r="K322" s="20">
        <f>IF(SUM(J322-'bases de donnée'!E$7)&lt;0,0,SUM(J322-'bases de donnée'!E$7))</f>
        <v>0</v>
      </c>
      <c r="L322" s="11">
        <f>IF(OR(E322="férié travaillé",E322="travail"),I322-G322+IF(G322&gt;I322,1),INDEX('bases de donnée'!$E$20:'bases de donnée'!$E$32,MATCH(E322,gerald2,0)))</f>
        <v>0</v>
      </c>
      <c r="M322" s="21">
        <f>IF(SUM(L322-'bases de donnée'!E$4)&lt;0,0,SUM(L322-'bases de donnée'!E$4))</f>
        <v>0</v>
      </c>
      <c r="N322" s="155">
        <v>0</v>
      </c>
      <c r="O322" s="74">
        <f t="shared" si="332"/>
        <v>1.5</v>
      </c>
      <c r="P322" s="61">
        <f>'bases de donnée'!E$10</f>
        <v>2</v>
      </c>
      <c r="Q322" s="120">
        <f t="shared" si="333"/>
        <v>0</v>
      </c>
      <c r="R322" s="30"/>
      <c r="S322" s="77">
        <f>IF(SUM(MOD(I322-G322,1)-IF(I322&gt;G322,MAX(0,MIN(I322,'bases de donnée'!E$16/24)-MAX('planning '!G322,7/24)),MAX(0,'bases de donnée'!E$16/24-MAX('planning '!G322,7/24))+MAX(0,MIN('planning '!I322,'bases de donnée'!E$16/24)-7/24)))&lt;0,0,SUM(MOD('planning '!I322-'planning '!G322,1)-IF('planning '!I322&gt;'planning '!G322,MAX(0,MIN('planning '!I322,'bases de donnée'!E$16/24)-MAX('planning '!G322,7/24)),MAX(0,'bases de donnée'!E$16/24-MAX('planning '!G322,7/24))+MAX(0,MIN('planning '!I322,'bases de donnée'!E$16/24)-7/24))))</f>
        <v>0</v>
      </c>
      <c r="T322" s="83"/>
      <c r="U322" s="77" t="str">
        <f t="shared" si="328"/>
        <v>00:00</v>
      </c>
      <c r="V322" s="78">
        <f>IF(SUM(IF(O322&gt;("36:00"*1),O322-("36:00"*1),0)-V320-V321)&lt;0,0,SUM(IF(O322&gt;("36:00"*1),O322-("36:00"*1),0)-V317-V318-V319-V320-V321))</f>
        <v>0</v>
      </c>
      <c r="W322" s="47"/>
      <c r="X322" s="48">
        <f t="shared" si="245"/>
        <v>0</v>
      </c>
      <c r="Y322" s="32"/>
      <c r="Z322" s="49">
        <f t="shared" si="329"/>
        <v>0</v>
      </c>
      <c r="AA322" s="48">
        <f t="shared" si="330"/>
        <v>0</v>
      </c>
      <c r="AB322" s="47"/>
      <c r="AC322" s="55"/>
      <c r="AD322" s="33">
        <f t="shared" si="248"/>
        <v>0</v>
      </c>
      <c r="AE322" s="33">
        <f t="shared" si="302"/>
        <v>0</v>
      </c>
    </row>
    <row r="323" spans="2:31" x14ac:dyDescent="0.3">
      <c r="B323"/>
      <c r="C323" s="9" t="s">
        <v>5</v>
      </c>
      <c r="D323" s="58">
        <f t="shared" si="313"/>
        <v>42282</v>
      </c>
      <c r="E323" s="29" t="s">
        <v>28</v>
      </c>
      <c r="F323" s="192"/>
      <c r="G323" s="194"/>
      <c r="H323" s="194"/>
      <c r="I323" s="194"/>
      <c r="J323" s="193">
        <f>IF(OR(E323="férié travaillé",E323="travail"),(I323-G323+IF(G323&gt;I323,1)-H323),INDEX('bases de donnée'!$E$20:'bases de donnée'!$E$32,MATCH(E323,gerald2,0)))</f>
        <v>0</v>
      </c>
      <c r="K323" s="20">
        <f>IF(SUM(J323-'bases de donnée'!E$7)&lt;0,0,SUM(J323-'bases de donnée'!E$7))</f>
        <v>0</v>
      </c>
      <c r="L323" s="11">
        <f>IF(OR(E323="férié travaillé",E323="travail"),I323-G323+IF(G323&gt;I323,1),INDEX('bases de donnée'!$E$20:'bases de donnée'!$E$32,MATCH(E323,gerald2,0)))</f>
        <v>0</v>
      </c>
      <c r="M323" s="21">
        <f>IF(SUM(L323-'bases de donnée'!E$4)&lt;0,0,SUM(L323-'bases de donnée'!E$4))</f>
        <v>0</v>
      </c>
      <c r="N323" s="155">
        <v>0</v>
      </c>
      <c r="O323" s="74">
        <f t="shared" si="332"/>
        <v>1.5</v>
      </c>
      <c r="P323" s="33">
        <f>IF(SUM(O323-'bases de donnée'!E$10)&lt;0,0,SUM(O323-'bases de donnée'!E$10))</f>
        <v>0</v>
      </c>
      <c r="Q323" s="120">
        <f t="shared" si="333"/>
        <v>0</v>
      </c>
      <c r="R323" s="30"/>
      <c r="S323" s="77">
        <f>IF(SUM(MOD(I323-G323,1)-IF(I323&gt;G323,MAX(0,MIN(I323,'bases de donnée'!E$16/24)-MAX('planning '!G323,7/24)),MAX(0,'bases de donnée'!E$16/24-MAX('planning '!G323,7/24))+MAX(0,MIN('planning '!I323,'bases de donnée'!E$16/24)-7/24)))&lt;0,0,SUM(MOD('planning '!I323-'planning '!G323,1)-IF('planning '!I323&gt;'planning '!G323,MAX(0,MIN('planning '!I323,'bases de donnée'!E$16/24)-MAX('planning '!G323,7/24)),MAX(0,'bases de donnée'!E$16/24-MAX('planning '!G323,7/24))+MAX(0,MIN('planning '!I323,'bases de donnée'!E$16/24)-7/24))))</f>
        <v>0</v>
      </c>
      <c r="T323" s="77">
        <f>J323</f>
        <v>0</v>
      </c>
      <c r="U323" s="77" t="str">
        <f t="shared" si="328"/>
        <v>00:00</v>
      </c>
      <c r="V323" s="78">
        <f>IF(SUM(IF(O323&gt;("36:00"*1),O323-("36:00"*1),0)-V321-V322)&lt;0,0,SUM(IF(O323&gt;("36:00"*1),O323-("36:00"*1),0)-V317-V318-V319-V320-V321-V322))</f>
        <v>0</v>
      </c>
      <c r="W323" s="47"/>
      <c r="X323" s="48">
        <f t="shared" si="245"/>
        <v>0</v>
      </c>
      <c r="Y323" s="48">
        <f t="shared" ref="Y323" si="334">IF(SUM(T323-S323)&lt;0,0,SUM(T323-S323))</f>
        <v>0</v>
      </c>
      <c r="Z323" s="56">
        <f t="shared" ref="Z323" si="335">IF(SUM(U323-T323-S323)&lt;0,0,SUM(U323-T323-S323))</f>
        <v>0</v>
      </c>
      <c r="AA323" s="48">
        <f>IF(SUM(V323-S323-T323-U323)&lt;0,0,SUM(V323-S323-T323-U323))</f>
        <v>0</v>
      </c>
      <c r="AB323" s="47"/>
      <c r="AC323" s="57">
        <f t="shared" ref="AC323" si="336">IF(SUM(T323-Y323)&lt;0,0,SUM(T323-Y323))</f>
        <v>0</v>
      </c>
      <c r="AD323" s="33">
        <f t="shared" si="248"/>
        <v>0</v>
      </c>
      <c r="AE323" s="33">
        <f t="shared" si="302"/>
        <v>0</v>
      </c>
    </row>
    <row r="324" spans="2:31" x14ac:dyDescent="0.3">
      <c r="B324"/>
      <c r="C324" s="25"/>
      <c r="D324" s="90"/>
      <c r="E324" s="90"/>
      <c r="F324" s="25"/>
      <c r="G324" s="185"/>
      <c r="H324" s="185"/>
      <c r="I324" s="185"/>
      <c r="J324" s="47"/>
      <c r="K324" s="92"/>
      <c r="L324" s="91"/>
      <c r="M324" s="91"/>
      <c r="N324" s="91"/>
      <c r="O324" s="93"/>
      <c r="P324" s="47"/>
      <c r="Q324" s="30"/>
      <c r="R324" s="30"/>
      <c r="S324" s="47"/>
      <c r="T324" s="47"/>
      <c r="U324" s="47"/>
      <c r="V324" s="93"/>
      <c r="W324" s="47"/>
      <c r="X324" s="47"/>
      <c r="Y324" s="47"/>
      <c r="Z324" s="47"/>
      <c r="AA324" s="47"/>
      <c r="AB324" s="47"/>
      <c r="AC324" s="47"/>
      <c r="AD324" s="47"/>
      <c r="AE324" s="47"/>
    </row>
    <row r="325" spans="2:31" x14ac:dyDescent="0.3">
      <c r="B325" s="14" t="s">
        <v>40</v>
      </c>
      <c r="C325" s="14" t="s">
        <v>6</v>
      </c>
      <c r="D325" s="43">
        <f>D323+1</f>
        <v>42283</v>
      </c>
      <c r="E325" s="29" t="s">
        <v>29</v>
      </c>
      <c r="F325" s="190"/>
      <c r="G325" s="194">
        <v>0.375</v>
      </c>
      <c r="H325" s="194">
        <v>3.125E-2</v>
      </c>
      <c r="I325" s="194">
        <v>0.70833333333333337</v>
      </c>
      <c r="J325" s="193">
        <f>IF(OR(E325="férié travaillé",E325="travail"),(I325-G325+IF(G325&gt;I325,1)-H325),INDEX('bases de donnée'!$E$20:'bases de donnée'!$E$32,MATCH(E325,gerald2,0)))</f>
        <v>0.30208333333333337</v>
      </c>
      <c r="K325" s="20">
        <f>IF(SUM(J325-'bases de donnée'!E$7)&lt;0,0,SUM(J325-'bases de donnée'!E$7))</f>
        <v>0</v>
      </c>
      <c r="L325" s="11">
        <f>IF(OR(E325="férié travaillé",E325="travail"),I325-G325+IF(G325&gt;I325,1),INDEX('bases de donnée'!$E$20:'bases de donnée'!$E$32,MATCH(E325,gerald2,0)))</f>
        <v>0.33333333333333337</v>
      </c>
      <c r="M325" s="21">
        <f>IF(SUM(L325-'bases de donnée'!E$4)&lt;0,0,SUM(L325-'bases de donnée'!E$4))</f>
        <v>0</v>
      </c>
      <c r="N325" s="155">
        <v>0</v>
      </c>
      <c r="O325" s="45">
        <f t="shared" ref="O325" si="337">J325</f>
        <v>0.30208333333333337</v>
      </c>
      <c r="P325" s="122">
        <f>SUM(Q325:Q331)</f>
        <v>5</v>
      </c>
      <c r="Q325" s="120">
        <f>IF(AND(G325&lt;&gt;"",I325&lt;&gt;""),1,0+OR(N(I324)&lt;N(G324),E325="récupération",E325="congé 1 jour",E325="congé 1/2 jour ",E325="congé 5h24",E325="arrêt maladie",E325="arrêt travail",E325="férié ",E325="congé parentale",E325="congé de naissance"))</f>
        <v>1</v>
      </c>
      <c r="R325" s="30"/>
      <c r="S325" s="77">
        <f>IF(SUM(MOD(I325-G325,1)-IF(I325&gt;G325,MAX(0,MIN(I325,'bases de donnée'!E$16/24)-MAX('planning '!G325,7/24)),MAX(0,'bases de donnée'!E$16/24-MAX('planning '!G325,7/24))+MAX(0,MIN('planning '!I325,'bases de donnée'!E$16/24)-7/24)))&lt;0,0,SUM(MOD('planning '!I325-'planning '!G325,1)-IF('planning '!I325&gt;'planning '!G325,MAX(0,MIN('planning '!I325,'bases de donnée'!E$16/24)-MAX('planning '!G325,7/24)),MAX(0,'bases de donnée'!E$16/24-MAX('planning '!G325,7/24))+MAX(0,MIN('planning '!I325,'bases de donnée'!E$16/24)-7/24))))</f>
        <v>0</v>
      </c>
      <c r="T325" s="81"/>
      <c r="U325" s="77" t="str">
        <f t="shared" ref="U325:U331" si="338">IF(E325&lt;&gt;"travail",IF(E325="férié travaillé",MOD(I325-G325,1)-H325,"00:00"),"00:00")</f>
        <v>00:00</v>
      </c>
      <c r="V325" s="78"/>
      <c r="W325" s="47"/>
      <c r="X325" s="48">
        <f t="shared" si="245"/>
        <v>0</v>
      </c>
      <c r="Y325" s="31"/>
      <c r="Z325" s="49">
        <f t="shared" ref="Z325:Z330" si="339">IF(SUM(U325-X325)&lt;0,0,SUM(U325-X325))</f>
        <v>0</v>
      </c>
      <c r="AA325" s="48">
        <f t="shared" ref="AA325:AA330" si="340">IF(SUM(V325-X325-Z325)&lt;0,0,SUM(V325-X325-Z325))</f>
        <v>0</v>
      </c>
      <c r="AB325" s="47"/>
      <c r="AC325" s="115"/>
      <c r="AD325" s="33">
        <f t="shared" si="248"/>
        <v>0</v>
      </c>
      <c r="AE325" s="33">
        <f t="shared" si="302"/>
        <v>0</v>
      </c>
    </row>
    <row r="326" spans="2:31" x14ac:dyDescent="0.3">
      <c r="B326" s="51">
        <f t="shared" ref="B326" si="341">B318+1</f>
        <v>40</v>
      </c>
      <c r="C326" s="14" t="s">
        <v>7</v>
      </c>
      <c r="D326" s="43">
        <f t="shared" si="313"/>
        <v>42284</v>
      </c>
      <c r="E326" s="29" t="s">
        <v>29</v>
      </c>
      <c r="F326" s="191"/>
      <c r="G326" s="194">
        <v>0.375</v>
      </c>
      <c r="H326" s="194">
        <v>3.125E-2</v>
      </c>
      <c r="I326" s="194">
        <v>0.70833333333333337</v>
      </c>
      <c r="J326" s="193">
        <f>IF(OR(E326="férié travaillé",E326="travail"),(I326-G326+IF(G326&gt;I326,1)-H326),INDEX('bases de donnée'!$E$20:'bases de donnée'!$E$32,MATCH(E326,gerald2,0)))</f>
        <v>0.30208333333333337</v>
      </c>
      <c r="K326" s="20">
        <f>IF(SUM(J326-'bases de donnée'!E$7)&lt;0,0,SUM(J326-'bases de donnée'!E$7))</f>
        <v>0</v>
      </c>
      <c r="L326" s="11">
        <f>IF(OR(E326="férié travaillé",E326="travail"),I326-G326+IF(G326&gt;I326,1),INDEX('bases de donnée'!$E$20:'bases de donnée'!$E$32,MATCH(E326,gerald2,0)))</f>
        <v>0.33333333333333337</v>
      </c>
      <c r="M326" s="21">
        <f>IF(SUM(L326-'bases de donnée'!E$4)&lt;0,0,SUM(L326-'bases de donnée'!E$4))</f>
        <v>0</v>
      </c>
      <c r="N326" s="155">
        <v>0</v>
      </c>
      <c r="O326" s="73">
        <f t="shared" ref="O326:O331" si="342">O325+J326</f>
        <v>0.60416666666666674</v>
      </c>
      <c r="P326" s="121">
        <f>IF(SUM(P325-'bases de donnée'!E$6)&lt;0,0,SUM(P325-'bases de donnée'!E$6))</f>
        <v>0</v>
      </c>
      <c r="Q326" s="120">
        <f t="shared" ref="Q326:Q331" si="343">IF(AND(G326&lt;&gt;"",I326&lt;&gt;""),1,0+OR(N(I325)&lt;N(G325),E326="récupération",E326="congé 1 jour",E326="congé 1/2 jour ",E326="congé 5h24",E326="arrêt maladie",E326="arrêt travail",E326="férié ",E326="congé parentale",E326="congé de naissance"))</f>
        <v>1</v>
      </c>
      <c r="R326" s="30"/>
      <c r="S326" s="77">
        <f>IF(SUM(MOD(I326-G326,1)-IF(I326&gt;G326,MAX(0,MIN(I326,'bases de donnée'!E$16/24)-MAX('planning '!G326,7/24)),MAX(0,'bases de donnée'!E$16/24-MAX('planning '!G326,7/24))+MAX(0,MIN('planning '!I326,'bases de donnée'!E$16/24)-7/24)))&lt;0,0,SUM(MOD('planning '!I326-'planning '!G326,1)-IF('planning '!I326&gt;'planning '!G326,MAX(0,MIN('planning '!I326,'bases de donnée'!E$16/24)-MAX('planning '!G326,7/24)),MAX(0,'bases de donnée'!E$16/24-MAX('planning '!G326,7/24))+MAX(0,MIN('planning '!I326,'bases de donnée'!E$16/24)-7/24))))</f>
        <v>0</v>
      </c>
      <c r="T326" s="82"/>
      <c r="U326" s="77" t="str">
        <f t="shared" si="338"/>
        <v>00:00</v>
      </c>
      <c r="V326" s="78">
        <f>IF(SUM(IF(O326&gt;('bases de donnée'!E$9*1),O326-('bases de donnée'!E$9*1),0)-V325)&lt;0,0,SUM(IF(O326&gt;('bases de donnée'!E$9*1),O326-('bases de donnée'!E$9*1),0)-V325))</f>
        <v>0</v>
      </c>
      <c r="W326" s="47"/>
      <c r="X326" s="48">
        <f t="shared" ref="X326:X398" si="344">S326</f>
        <v>0</v>
      </c>
      <c r="Y326" s="42"/>
      <c r="Z326" s="49">
        <f t="shared" si="339"/>
        <v>0</v>
      </c>
      <c r="AA326" s="48">
        <f t="shared" si="340"/>
        <v>0</v>
      </c>
      <c r="AB326" s="47"/>
      <c r="AC326" s="54"/>
      <c r="AD326" s="33">
        <f t="shared" ref="AD326:AD398" si="345">IF(SUM(U326-Z326)&lt;0,0,SUM(U326-Z326))</f>
        <v>0</v>
      </c>
      <c r="AE326" s="33">
        <f t="shared" si="302"/>
        <v>0</v>
      </c>
    </row>
    <row r="327" spans="2:31" x14ac:dyDescent="0.3">
      <c r="B327"/>
      <c r="C327" s="14" t="s">
        <v>8</v>
      </c>
      <c r="D327" s="43">
        <f t="shared" si="313"/>
        <v>42285</v>
      </c>
      <c r="E327" s="29" t="s">
        <v>29</v>
      </c>
      <c r="F327" s="191"/>
      <c r="G327" s="194">
        <v>0.375</v>
      </c>
      <c r="H327" s="194">
        <v>3.125E-2</v>
      </c>
      <c r="I327" s="194">
        <v>0.70833333333333337</v>
      </c>
      <c r="J327" s="193">
        <f>IF(OR(E327="férié travaillé",E327="travail"),(I327-G327+IF(G327&gt;I327,1)-H327),INDEX('bases de donnée'!$E$20:'bases de donnée'!$E$32,MATCH(E327,gerald2,0)))</f>
        <v>0.30208333333333337</v>
      </c>
      <c r="K327" s="20">
        <f>IF(SUM(J327-'bases de donnée'!E$7)&lt;0,0,SUM(J327-'bases de donnée'!E$7))</f>
        <v>0</v>
      </c>
      <c r="L327" s="11">
        <f>IF(OR(E327="férié travaillé",E327="travail"),I327-G327+IF(G327&gt;I327,1),INDEX('bases de donnée'!$E$20:'bases de donnée'!$E$32,MATCH(E327,gerald2,0)))</f>
        <v>0.33333333333333337</v>
      </c>
      <c r="M327" s="21">
        <f>IF(SUM(L327-'bases de donnée'!E$4)&lt;0,0,SUM(L327-'bases de donnée'!E$4))</f>
        <v>0</v>
      </c>
      <c r="N327" s="155">
        <v>0</v>
      </c>
      <c r="O327" s="73">
        <f t="shared" si="342"/>
        <v>0.90625000000000011</v>
      </c>
      <c r="P327" s="34" t="s">
        <v>46</v>
      </c>
      <c r="Q327" s="120">
        <f t="shared" si="343"/>
        <v>1</v>
      </c>
      <c r="R327" s="30"/>
      <c r="S327" s="77">
        <f>IF(SUM(MOD(I327-G327,1)-IF(I327&gt;G327,MAX(0,MIN(I327,'bases de donnée'!E$16/24)-MAX('planning '!G327,7/24)),MAX(0,'bases de donnée'!E$16/24-MAX('planning '!G327,7/24))+MAX(0,MIN('planning '!I327,'bases de donnée'!E$16/24)-7/24)))&lt;0,0,SUM(MOD('planning '!I327-'planning '!G327,1)-IF('planning '!I327&gt;'planning '!G327,MAX(0,MIN('planning '!I327,'bases de donnée'!E$16/24)-MAX('planning '!G327,7/24)),MAX(0,'bases de donnée'!E$16/24-MAX('planning '!G327,7/24))+MAX(0,MIN('planning '!I327,'bases de donnée'!E$16/24)-7/24))))</f>
        <v>0</v>
      </c>
      <c r="T327" s="82"/>
      <c r="U327" s="77" t="str">
        <f t="shared" si="338"/>
        <v>00:00</v>
      </c>
      <c r="V327" s="78">
        <f>IF(SUM(IF(O327&gt;("36:00"*1),O327-("36:00"*1),0)-V325-V326)&lt;0,0,SUM(IF(O327&gt;("36:00"*1),O327-("36:00"*1),0)-V325-V326))</f>
        <v>0</v>
      </c>
      <c r="W327" s="47"/>
      <c r="X327" s="48">
        <f t="shared" si="344"/>
        <v>0</v>
      </c>
      <c r="Y327" s="42"/>
      <c r="Z327" s="49">
        <f t="shared" si="339"/>
        <v>0</v>
      </c>
      <c r="AA327" s="48">
        <f t="shared" si="340"/>
        <v>0</v>
      </c>
      <c r="AB327" s="47"/>
      <c r="AC327" s="54"/>
      <c r="AD327" s="33">
        <f t="shared" si="345"/>
        <v>0</v>
      </c>
      <c r="AE327" s="33">
        <f t="shared" si="302"/>
        <v>0</v>
      </c>
    </row>
    <row r="328" spans="2:31" x14ac:dyDescent="0.3">
      <c r="B328"/>
      <c r="C328" s="14" t="s">
        <v>9</v>
      </c>
      <c r="D328" s="43">
        <f t="shared" si="313"/>
        <v>42286</v>
      </c>
      <c r="E328" s="29" t="s">
        <v>29</v>
      </c>
      <c r="F328" s="191"/>
      <c r="G328" s="194">
        <v>0.375</v>
      </c>
      <c r="H328" s="194">
        <v>3.125E-2</v>
      </c>
      <c r="I328" s="194">
        <v>0.70833333333333337</v>
      </c>
      <c r="J328" s="193">
        <f>IF(OR(E328="férié travaillé",E328="travail"),(I328-G328+IF(G328&gt;I328,1)-H328),INDEX('bases de donnée'!$E$20:'bases de donnée'!$E$32,MATCH(E328,gerald2,0)))</f>
        <v>0.30208333333333337</v>
      </c>
      <c r="K328" s="20">
        <f>IF(SUM(J328-'bases de donnée'!E$7)&lt;0,0,SUM(J328-'bases de donnée'!E$7))</f>
        <v>0</v>
      </c>
      <c r="L328" s="11">
        <f>IF(OR(E328="férié travaillé",E328="travail"),I328-G328+IF(G328&gt;I328,1),INDEX('bases de donnée'!$E$20:'bases de donnée'!$E$32,MATCH(E328,gerald2,0)))</f>
        <v>0.33333333333333337</v>
      </c>
      <c r="M328" s="21">
        <f>IF(SUM(L328-'bases de donnée'!E$4)&lt;0,0,SUM(L328-'bases de donnée'!E$4))</f>
        <v>0</v>
      </c>
      <c r="N328" s="155">
        <v>0</v>
      </c>
      <c r="O328" s="73">
        <f t="shared" si="342"/>
        <v>1.2083333333333335</v>
      </c>
      <c r="P328" s="86">
        <f>O331</f>
        <v>1.5</v>
      </c>
      <c r="Q328" s="120">
        <f t="shared" si="343"/>
        <v>1</v>
      </c>
      <c r="R328" s="30"/>
      <c r="S328" s="77">
        <f>IF(SUM(MOD(I328-G328,1)-IF(I328&gt;G328,MAX(0,MIN(I328,'bases de donnée'!E$16/24)-MAX('planning '!G328,7/24)),MAX(0,'bases de donnée'!E$16/24-MAX('planning '!G328,7/24))+MAX(0,MIN('planning '!I328,'bases de donnée'!E$16/24)-7/24)))&lt;0,0,SUM(MOD('planning '!I328-'planning '!G328,1)-IF('planning '!I328&gt;'planning '!G328,MAX(0,MIN('planning '!I328,'bases de donnée'!E$16/24)-MAX('planning '!G328,7/24)),MAX(0,'bases de donnée'!E$16/24-MAX('planning '!G328,7/24))+MAX(0,MIN('planning '!I328,'bases de donnée'!E$16/24)-7/24))))</f>
        <v>0</v>
      </c>
      <c r="T328" s="82"/>
      <c r="U328" s="77" t="str">
        <f t="shared" si="338"/>
        <v>00:00</v>
      </c>
      <c r="V328" s="78">
        <f>IF(SUM(IF(O328&gt;("36:00"*1),O328-("36:00"*1),0)-V326-V327)&lt;0,0,SUM(IF(O328&gt;("36:00"*1),O328-("36:00"*1),0)-V325-V326-V327))</f>
        <v>0</v>
      </c>
      <c r="W328" s="47"/>
      <c r="X328" s="48">
        <f t="shared" si="344"/>
        <v>0</v>
      </c>
      <c r="Y328" s="42"/>
      <c r="Z328" s="49">
        <f t="shared" si="339"/>
        <v>0</v>
      </c>
      <c r="AA328" s="48">
        <f t="shared" si="340"/>
        <v>0</v>
      </c>
      <c r="AB328" s="47"/>
      <c r="AC328" s="54"/>
      <c r="AD328" s="33">
        <f t="shared" si="345"/>
        <v>0</v>
      </c>
      <c r="AE328" s="33">
        <f t="shared" si="302"/>
        <v>0</v>
      </c>
    </row>
    <row r="329" spans="2:31" x14ac:dyDescent="0.3">
      <c r="B329"/>
      <c r="C329" s="14" t="s">
        <v>3</v>
      </c>
      <c r="D329" s="43">
        <f t="shared" si="313"/>
        <v>42287</v>
      </c>
      <c r="E329" s="29" t="s">
        <v>29</v>
      </c>
      <c r="F329" s="191"/>
      <c r="G329" s="194">
        <v>0.375</v>
      </c>
      <c r="H329" s="194">
        <v>3.125E-2</v>
      </c>
      <c r="I329" s="194">
        <v>0.69791666666666663</v>
      </c>
      <c r="J329" s="193">
        <f>IF(OR(E329="férié travaillé",E329="travail"),(I329-G329+IF(G329&gt;I329,1)-H329),INDEX('bases de donnée'!$E$20:'bases de donnée'!$E$32,MATCH(E329,gerald2,0)))</f>
        <v>0.29166666666666663</v>
      </c>
      <c r="K329" s="20">
        <f>IF(SUM(J329-'bases de donnée'!E$7)&lt;0,0,SUM(J329-'bases de donnée'!E$7))</f>
        <v>0</v>
      </c>
      <c r="L329" s="11">
        <f>IF(OR(E329="férié travaillé",E329="travail"),I329-G329+IF(G329&gt;I329,1),INDEX('bases de donnée'!$E$20:'bases de donnée'!$E$32,MATCH(E329,gerald2,0)))</f>
        <v>0.32291666666666663</v>
      </c>
      <c r="M329" s="21">
        <f>IF(SUM(L329-'bases de donnée'!E$4)&lt;0,0,SUM(L329-'bases de donnée'!E$4))</f>
        <v>0</v>
      </c>
      <c r="N329" s="155">
        <v>0</v>
      </c>
      <c r="O329" s="73">
        <f t="shared" si="342"/>
        <v>1.5</v>
      </c>
      <c r="P329" s="12" t="s">
        <v>48</v>
      </c>
      <c r="Q329" s="120">
        <f t="shared" si="343"/>
        <v>1</v>
      </c>
      <c r="R329" s="30"/>
      <c r="S329" s="77">
        <f>IF(SUM(MOD(I329-G329,1)-IF(I329&gt;G329,MAX(0,MIN(I329,'bases de donnée'!E$16/24)-MAX('planning '!G329,7/24)),MAX(0,'bases de donnée'!E$16/24-MAX('planning '!G329,7/24))+MAX(0,MIN('planning '!I329,'bases de donnée'!E$16/24)-7/24)))&lt;0,0,SUM(MOD('planning '!I329-'planning '!G329,1)-IF('planning '!I329&gt;'planning '!G329,MAX(0,MIN('planning '!I329,'bases de donnée'!E$16/24)-MAX('planning '!G329,7/24)),MAX(0,'bases de donnée'!E$16/24-MAX('planning '!G329,7/24))+MAX(0,MIN('planning '!I329,'bases de donnée'!E$16/24)-7/24))))</f>
        <v>0</v>
      </c>
      <c r="T329" s="82"/>
      <c r="U329" s="77" t="str">
        <f t="shared" si="338"/>
        <v>00:00</v>
      </c>
      <c r="V329" s="78">
        <f>IF(SUM(IF(O329&gt;("36:00"*1),O329-("36:00"*1),0)-V327-V328)&lt;0,0,SUM(IF(O329&gt;("36:00"*1),O329-("36:00"*1),0)-V325-V326-V327-V328))</f>
        <v>0</v>
      </c>
      <c r="W329" s="47"/>
      <c r="X329" s="48">
        <f t="shared" si="344"/>
        <v>0</v>
      </c>
      <c r="Y329" s="42"/>
      <c r="Z329" s="49">
        <f t="shared" si="339"/>
        <v>0</v>
      </c>
      <c r="AA329" s="48">
        <f t="shared" si="340"/>
        <v>0</v>
      </c>
      <c r="AB329" s="47"/>
      <c r="AC329" s="54"/>
      <c r="AD329" s="33">
        <f t="shared" si="345"/>
        <v>0</v>
      </c>
      <c r="AE329" s="33">
        <f t="shared" si="302"/>
        <v>0</v>
      </c>
    </row>
    <row r="330" spans="2:31" x14ac:dyDescent="0.3">
      <c r="B330"/>
      <c r="C330" s="14" t="s">
        <v>4</v>
      </c>
      <c r="D330" s="43">
        <f t="shared" si="313"/>
        <v>42288</v>
      </c>
      <c r="E330" s="29" t="s">
        <v>28</v>
      </c>
      <c r="F330" s="191"/>
      <c r="G330" s="194"/>
      <c r="H330" s="194"/>
      <c r="I330" s="194"/>
      <c r="J330" s="193">
        <f>IF(OR(E330="férié travaillé",E330="travail"),(I330-G330+IF(G330&gt;I330,1)-H330),INDEX('bases de donnée'!$E$20:'bases de donnée'!$E$32,MATCH(E330,gerald2,0)))</f>
        <v>0</v>
      </c>
      <c r="K330" s="20">
        <f>IF(SUM(J330-'bases de donnée'!E$7)&lt;0,0,SUM(J330-'bases de donnée'!E$7))</f>
        <v>0</v>
      </c>
      <c r="L330" s="11">
        <f>IF(OR(E330="férié travaillé",E330="travail"),I330-G330+IF(G330&gt;I330,1),INDEX('bases de donnée'!$E$20:'bases de donnée'!$E$32,MATCH(E330,gerald2,0)))</f>
        <v>0</v>
      </c>
      <c r="M330" s="21">
        <f>IF(SUM(L330-'bases de donnée'!E$4)&lt;0,0,SUM(L330-'bases de donnée'!E$4))</f>
        <v>0</v>
      </c>
      <c r="N330" s="155">
        <v>0</v>
      </c>
      <c r="O330" s="73">
        <f t="shared" si="342"/>
        <v>1.5</v>
      </c>
      <c r="P330" s="53">
        <f>'bases de donnée'!E$10</f>
        <v>2</v>
      </c>
      <c r="Q330" s="120">
        <f t="shared" si="343"/>
        <v>0</v>
      </c>
      <c r="R330" s="30"/>
      <c r="S330" s="77">
        <f>IF(SUM(MOD(I330-G330,1)-IF(I330&gt;G330,MAX(0,MIN(I330,'bases de donnée'!E$16/24)-MAX('planning '!G330,7/24)),MAX(0,'bases de donnée'!E$16/24-MAX('planning '!G330,7/24))+MAX(0,MIN('planning '!I330,'bases de donnée'!E$16/24)-7/24)))&lt;0,0,SUM(MOD('planning '!I330-'planning '!G330,1)-IF('planning '!I330&gt;'planning '!G330,MAX(0,MIN('planning '!I330,'bases de donnée'!E$16/24)-MAX('planning '!G330,7/24)),MAX(0,'bases de donnée'!E$16/24-MAX('planning '!G330,7/24))+MAX(0,MIN('planning '!I330,'bases de donnée'!E$16/24)-7/24))))</f>
        <v>0</v>
      </c>
      <c r="T330" s="82"/>
      <c r="U330" s="77" t="str">
        <f t="shared" si="338"/>
        <v>00:00</v>
      </c>
      <c r="V330" s="78">
        <f>IF(SUM(IF(O330&gt;("36:00"*1),O330-("36:00"*1),0)-V328-V329)&lt;0,0,SUM(IF(O330&gt;("36:00"*1),O330-("36:00"*1),0)-V325-V326-V327-V328-V329))</f>
        <v>0</v>
      </c>
      <c r="W330" s="47"/>
      <c r="X330" s="48">
        <f t="shared" si="344"/>
        <v>0</v>
      </c>
      <c r="Y330" s="32"/>
      <c r="Z330" s="49">
        <f t="shared" si="339"/>
        <v>0</v>
      </c>
      <c r="AA330" s="48">
        <f t="shared" si="340"/>
        <v>0</v>
      </c>
      <c r="AB330" s="47"/>
      <c r="AC330" s="82"/>
      <c r="AD330" s="33">
        <f t="shared" si="345"/>
        <v>0</v>
      </c>
      <c r="AE330" s="33">
        <f t="shared" si="302"/>
        <v>0</v>
      </c>
    </row>
    <row r="331" spans="2:31" x14ac:dyDescent="0.3">
      <c r="B331"/>
      <c r="C331" s="14" t="s">
        <v>5</v>
      </c>
      <c r="D331" s="43">
        <f t="shared" si="313"/>
        <v>42289</v>
      </c>
      <c r="E331" s="29" t="s">
        <v>28</v>
      </c>
      <c r="F331" s="192"/>
      <c r="G331" s="194"/>
      <c r="H331" s="194"/>
      <c r="I331" s="194"/>
      <c r="J331" s="193">
        <f>IF(OR(E331="férié travaillé",E331="travail"),(I331-G331+IF(G331&gt;I331,1)-H331),INDEX('bases de donnée'!$E$20:'bases de donnée'!$E$32,MATCH(E331,gerald2,0)))</f>
        <v>0</v>
      </c>
      <c r="K331" s="20">
        <f>IF(SUM(J331-'bases de donnée'!E$7)&lt;0,0,SUM(J331-'bases de donnée'!E$7))</f>
        <v>0</v>
      </c>
      <c r="L331" s="11">
        <f>IF(OR(E331="férié travaillé",E331="travail"),I331-G331+IF(G331&gt;I331,1),INDEX('bases de donnée'!$E$20:'bases de donnée'!$E$32,MATCH(E331,gerald2,0)))</f>
        <v>0</v>
      </c>
      <c r="M331" s="21">
        <f>IF(SUM(L331-'bases de donnée'!E$4)&lt;0,0,SUM(L331-'bases de donnée'!E$4))</f>
        <v>0</v>
      </c>
      <c r="N331" s="155">
        <v>0</v>
      </c>
      <c r="O331" s="73">
        <f t="shared" si="342"/>
        <v>1.5</v>
      </c>
      <c r="P331" s="33">
        <f>IF(SUM(O331-'bases de donnée'!E$10)&lt;0,0,SUM(O331-'bases de donnée'!E$10))</f>
        <v>0</v>
      </c>
      <c r="Q331" s="120">
        <f t="shared" si="343"/>
        <v>0</v>
      </c>
      <c r="R331" s="30"/>
      <c r="S331" s="77">
        <f>IF(SUM(MOD(I331-G331,1)-IF(I331&gt;G331,MAX(0,MIN(I331,'bases de donnée'!E$16/24)-MAX('planning '!G331,7/24)),MAX(0,'bases de donnée'!E$16/24-MAX('planning '!G331,7/24))+MAX(0,MIN('planning '!I331,'bases de donnée'!E$16/24)-7/24)))&lt;0,0,SUM(MOD('planning '!I331-'planning '!G331,1)-IF('planning '!I331&gt;'planning '!G331,MAX(0,MIN('planning '!I331,'bases de donnée'!E$16/24)-MAX('planning '!G331,7/24)),MAX(0,'bases de donnée'!E$16/24-MAX('planning '!G331,7/24))+MAX(0,MIN('planning '!I331,'bases de donnée'!E$16/24)-7/24))))</f>
        <v>0</v>
      </c>
      <c r="T331" s="77">
        <f>J331</f>
        <v>0</v>
      </c>
      <c r="U331" s="77" t="str">
        <f t="shared" si="338"/>
        <v>00:00</v>
      </c>
      <c r="V331" s="78">
        <f>IF(SUM(IF(O331&gt;("36:00"*1),O331-("36:00"*1),0)-V329-V330)&lt;0,0,SUM(IF(O331&gt;("36:00"*1),O331-("36:00"*1),0)-V325-V326-V327-V328-V329-V330))</f>
        <v>0</v>
      </c>
      <c r="W331" s="47"/>
      <c r="X331" s="48">
        <f t="shared" si="344"/>
        <v>0</v>
      </c>
      <c r="Y331" s="48">
        <f t="shared" ref="Y331" si="346">IF(SUM(T331-S331)&lt;0,0,SUM(T331-S331))</f>
        <v>0</v>
      </c>
      <c r="Z331" s="56">
        <f t="shared" ref="Z331" si="347">IF(SUM(U331-T331-S331)&lt;0,0,SUM(U331-T331-S331))</f>
        <v>0</v>
      </c>
      <c r="AA331" s="48">
        <f>IF(SUM(V331-S331-T331-U331)&lt;0,0,SUM(V331-S331-T331-U331))</f>
        <v>0</v>
      </c>
      <c r="AB331" s="47"/>
      <c r="AC331" s="33">
        <f t="shared" ref="AC331" si="348">IF(SUM(T331-Y331)&lt;0,0,SUM(T331-Y331))</f>
        <v>0</v>
      </c>
      <c r="AD331" s="33">
        <f t="shared" si="345"/>
        <v>0</v>
      </c>
      <c r="AE331" s="33">
        <f t="shared" si="302"/>
        <v>0</v>
      </c>
    </row>
    <row r="332" spans="2:31" x14ac:dyDescent="0.3">
      <c r="B332"/>
      <c r="C332" s="25"/>
      <c r="D332" s="90"/>
      <c r="E332" s="90"/>
      <c r="F332" s="25"/>
      <c r="G332" s="185"/>
      <c r="H332" s="185"/>
      <c r="I332" s="185"/>
      <c r="J332" s="47"/>
      <c r="K332" s="92"/>
      <c r="L332" s="91"/>
      <c r="M332" s="91"/>
      <c r="N332" s="91"/>
      <c r="O332" s="93"/>
      <c r="P332" s="47"/>
      <c r="Q332" s="30"/>
      <c r="R332" s="30"/>
      <c r="S332" s="47"/>
      <c r="T332" s="47"/>
      <c r="U332" s="47"/>
      <c r="V332" s="93"/>
      <c r="W332" s="47"/>
      <c r="X332" s="47"/>
      <c r="Y332" s="47"/>
      <c r="Z332" s="47"/>
      <c r="AA332" s="47"/>
      <c r="AB332" s="47"/>
      <c r="AC332" s="47"/>
      <c r="AD332" s="47"/>
      <c r="AE332" s="47"/>
    </row>
    <row r="333" spans="2:31" x14ac:dyDescent="0.3">
      <c r="B333" s="9" t="s">
        <v>40</v>
      </c>
      <c r="C333" s="9" t="s">
        <v>6</v>
      </c>
      <c r="D333" s="58">
        <f>D331+1</f>
        <v>42290</v>
      </c>
      <c r="E333" s="29" t="s">
        <v>29</v>
      </c>
      <c r="F333" s="190"/>
      <c r="G333" s="194">
        <v>0.375</v>
      </c>
      <c r="H333" s="194">
        <v>3.125E-2</v>
      </c>
      <c r="I333" s="194">
        <v>0.70833333333333337</v>
      </c>
      <c r="J333" s="193">
        <f>IF(OR(E333="férié travaillé",E333="travail"),(I333-G333+IF(G333&gt;I333,1)-H333),INDEX('bases de donnée'!$E$20:'bases de donnée'!$E$32,MATCH(E333,gerald2,0)))</f>
        <v>0.30208333333333337</v>
      </c>
      <c r="K333" s="20">
        <f>IF(SUM(J333-'bases de donnée'!E$7)&lt;0,0,SUM(J333-'bases de donnée'!E$7))</f>
        <v>0</v>
      </c>
      <c r="L333" s="11">
        <f>IF(OR(E333="férié travaillé",E333="travail"),I333-G333+IF(G333&gt;I333,1),INDEX('bases de donnée'!$E$20:'bases de donnée'!$E$32,MATCH(E333,gerald2,0)))</f>
        <v>0.33333333333333337</v>
      </c>
      <c r="M333" s="21">
        <f>IF(SUM(L333-'bases de donnée'!E$4)&lt;0,0,SUM(L333-'bases de donnée'!E$4))</f>
        <v>0</v>
      </c>
      <c r="N333" s="155">
        <v>0</v>
      </c>
      <c r="O333" s="59">
        <f t="shared" ref="O333" si="349">J333</f>
        <v>0.30208333333333337</v>
      </c>
      <c r="P333" s="122">
        <f>SUM(Q333:Q339)</f>
        <v>5</v>
      </c>
      <c r="Q333" s="120">
        <f>IF(AND(G333&lt;&gt;"",I333&lt;&gt;""),1,0+OR(N(I332)&lt;N(G332),E333="récupération",E333="congé 1 jour",E333="congé 1/2 jour ",E333="congé 5h24",E333="arrêt maladie",E333="arrêt travail",E333="férié ",E333="congé parentale",E333="congé de naissance"))</f>
        <v>1</v>
      </c>
      <c r="R333" s="30"/>
      <c r="S333" s="77">
        <f>IF(SUM(MOD(I333-G333,1)-IF(I333&gt;G333,MAX(0,MIN(I333,'bases de donnée'!E$16/24)-MAX('planning '!G333,7/24)),MAX(0,'bases de donnée'!E$16/24-MAX('planning '!G333,7/24))+MAX(0,MIN('planning '!I333,'bases de donnée'!E$16/24)-7/24)))&lt;0,0,SUM(MOD('planning '!I333-'planning '!G333,1)-IF('planning '!I333&gt;'planning '!G333,MAX(0,MIN('planning '!I333,'bases de donnée'!E$16/24)-MAX('planning '!G333,7/24)),MAX(0,'bases de donnée'!E$16/24-MAX('planning '!G333,7/24))+MAX(0,MIN('planning '!I333,'bases de donnée'!E$16/24)-7/24))))</f>
        <v>0</v>
      </c>
      <c r="T333" s="81"/>
      <c r="U333" s="77" t="str">
        <f t="shared" ref="U333:U339" si="350">IF(E333&lt;&gt;"travail",IF(E333="férié travaillé",MOD(I333-G333,1)-H333,"00:00"),"00:00")</f>
        <v>00:00</v>
      </c>
      <c r="V333" s="78"/>
      <c r="W333" s="47"/>
      <c r="X333" s="48">
        <f t="shared" si="344"/>
        <v>0</v>
      </c>
      <c r="Y333" s="31"/>
      <c r="Z333" s="49">
        <f t="shared" ref="Z333:Z338" si="351">IF(SUM(U333-X333)&lt;0,0,SUM(U333-X333))</f>
        <v>0</v>
      </c>
      <c r="AA333" s="48">
        <f t="shared" ref="AA333:AA338" si="352">IF(SUM(V333-X333-Z333)&lt;0,0,SUM(V333-X333-Z333))</f>
        <v>0</v>
      </c>
      <c r="AB333" s="47"/>
      <c r="AC333" s="50"/>
      <c r="AD333" s="33">
        <f t="shared" si="345"/>
        <v>0</v>
      </c>
      <c r="AE333" s="33">
        <f t="shared" si="302"/>
        <v>0</v>
      </c>
    </row>
    <row r="334" spans="2:31" x14ac:dyDescent="0.3">
      <c r="B334" s="60">
        <f t="shared" ref="B334" si="353">B326+1</f>
        <v>41</v>
      </c>
      <c r="C334" s="9" t="s">
        <v>7</v>
      </c>
      <c r="D334" s="58">
        <f t="shared" si="313"/>
        <v>42291</v>
      </c>
      <c r="E334" s="29" t="s">
        <v>29</v>
      </c>
      <c r="F334" s="191"/>
      <c r="G334" s="194">
        <v>0.375</v>
      </c>
      <c r="H334" s="194">
        <v>3.125E-2</v>
      </c>
      <c r="I334" s="194">
        <v>0.70833333333333337</v>
      </c>
      <c r="J334" s="193">
        <f>IF(OR(E334="férié travaillé",E334="travail"),(I334-G334+IF(G334&gt;I334,1)-H334),INDEX('bases de donnée'!$E$20:'bases de donnée'!$E$32,MATCH(E334,gerald2,0)))</f>
        <v>0.30208333333333337</v>
      </c>
      <c r="K334" s="20">
        <f>IF(SUM(J334-'bases de donnée'!E$7)&lt;0,0,SUM(J334-'bases de donnée'!E$7))</f>
        <v>0</v>
      </c>
      <c r="L334" s="11">
        <f>IF(OR(E334="férié travaillé",E334="travail"),I334-G334+IF(G334&gt;I334,1),INDEX('bases de donnée'!$E$20:'bases de donnée'!$E$32,MATCH(E334,gerald2,0)))</f>
        <v>0.33333333333333337</v>
      </c>
      <c r="M334" s="21">
        <f>IF(SUM(L334-'bases de donnée'!E$4)&lt;0,0,SUM(L334-'bases de donnée'!E$4))</f>
        <v>0</v>
      </c>
      <c r="N334" s="155">
        <v>0</v>
      </c>
      <c r="O334" s="74">
        <f t="shared" ref="O334:O339" si="354">O333+J334</f>
        <v>0.60416666666666674</v>
      </c>
      <c r="P334" s="121">
        <f>IF(SUM(P333-'bases de donnée'!E$6)&lt;0,0,SUM(P333-'bases de donnée'!E$6))</f>
        <v>0</v>
      </c>
      <c r="Q334" s="120">
        <f t="shared" ref="Q334:Q339" si="355">IF(AND(G334&lt;&gt;"",I334&lt;&gt;""),1,0+OR(N(I333)&lt;N(G333),E334="récupération",E334="congé 1 jour",E334="congé 1/2 jour ",E334="congé 5h24",E334="arrêt maladie",E334="arrêt travail",E334="férié ",E334="congé parentale",E334="congé de naissance"))</f>
        <v>1</v>
      </c>
      <c r="R334" s="30"/>
      <c r="S334" s="77">
        <f>IF(SUM(MOD(I334-G334,1)-IF(I334&gt;G334,MAX(0,MIN(I334,'bases de donnée'!E$16/24)-MAX('planning '!G334,7/24)),MAX(0,'bases de donnée'!E$16/24-MAX('planning '!G334,7/24))+MAX(0,MIN('planning '!I334,'bases de donnée'!E$16/24)-7/24)))&lt;0,0,SUM(MOD('planning '!I334-'planning '!G334,1)-IF('planning '!I334&gt;'planning '!G334,MAX(0,MIN('planning '!I334,'bases de donnée'!E$16/24)-MAX('planning '!G334,7/24)),MAX(0,'bases de donnée'!E$16/24-MAX('planning '!G334,7/24))+MAX(0,MIN('planning '!I334,'bases de donnée'!E$16/24)-7/24))))</f>
        <v>0</v>
      </c>
      <c r="T334" s="82"/>
      <c r="U334" s="77" t="str">
        <f t="shared" si="350"/>
        <v>00:00</v>
      </c>
      <c r="V334" s="78">
        <f>IF(SUM(IF(O334&gt;('bases de donnée'!E$9*1),O334-('bases de donnée'!E$9*1),0)-V333)&lt;0,0,SUM(IF(O334&gt;('bases de donnée'!E$9*1),O334-('bases de donnée'!E$9*1),0)-V333))</f>
        <v>0</v>
      </c>
      <c r="W334" s="47"/>
      <c r="X334" s="48">
        <f t="shared" si="344"/>
        <v>0</v>
      </c>
      <c r="Y334" s="42"/>
      <c r="Z334" s="49">
        <f t="shared" si="351"/>
        <v>0</v>
      </c>
      <c r="AA334" s="48">
        <f t="shared" si="352"/>
        <v>0</v>
      </c>
      <c r="AB334" s="47"/>
      <c r="AC334" s="54"/>
      <c r="AD334" s="33">
        <f t="shared" si="345"/>
        <v>0</v>
      </c>
      <c r="AE334" s="33">
        <f t="shared" si="302"/>
        <v>0</v>
      </c>
    </row>
    <row r="335" spans="2:31" x14ac:dyDescent="0.3">
      <c r="B335"/>
      <c r="C335" s="9" t="s">
        <v>8</v>
      </c>
      <c r="D335" s="58">
        <f t="shared" si="313"/>
        <v>42292</v>
      </c>
      <c r="E335" s="29" t="s">
        <v>29</v>
      </c>
      <c r="F335" s="191"/>
      <c r="G335" s="194">
        <v>0.375</v>
      </c>
      <c r="H335" s="194">
        <v>3.125E-2</v>
      </c>
      <c r="I335" s="194">
        <v>0.70833333333333337</v>
      </c>
      <c r="J335" s="193">
        <f>IF(OR(E335="férié travaillé",E335="travail"),(I335-G335+IF(G335&gt;I335,1)-H335),INDEX('bases de donnée'!$E$20:'bases de donnée'!$E$32,MATCH(E335,gerald2,0)))</f>
        <v>0.30208333333333337</v>
      </c>
      <c r="K335" s="20">
        <f>IF(SUM(J335-'bases de donnée'!E$7)&lt;0,0,SUM(J335-'bases de donnée'!E$7))</f>
        <v>0</v>
      </c>
      <c r="L335" s="11">
        <f>IF(OR(E335="férié travaillé",E335="travail"),I335-G335+IF(G335&gt;I335,1),INDEX('bases de donnée'!$E$20:'bases de donnée'!$E$32,MATCH(E335,gerald2,0)))</f>
        <v>0.33333333333333337</v>
      </c>
      <c r="M335" s="21">
        <f>IF(SUM(L335-'bases de donnée'!E$4)&lt;0,0,SUM(L335-'bases de donnée'!E$4))</f>
        <v>0</v>
      </c>
      <c r="N335" s="155">
        <v>0</v>
      </c>
      <c r="O335" s="74">
        <f t="shared" si="354"/>
        <v>0.90625000000000011</v>
      </c>
      <c r="P335" s="34" t="s">
        <v>46</v>
      </c>
      <c r="Q335" s="120">
        <f t="shared" si="355"/>
        <v>1</v>
      </c>
      <c r="R335" s="30"/>
      <c r="S335" s="77">
        <f>IF(SUM(MOD(I335-G335,1)-IF(I335&gt;G335,MAX(0,MIN(I335,'bases de donnée'!E$16/24)-MAX('planning '!G335,7/24)),MAX(0,'bases de donnée'!E$16/24-MAX('planning '!G335,7/24))+MAX(0,MIN('planning '!I335,'bases de donnée'!E$16/24)-7/24)))&lt;0,0,SUM(MOD('planning '!I335-'planning '!G335,1)-IF('planning '!I335&gt;'planning '!G335,MAX(0,MIN('planning '!I335,'bases de donnée'!E$16/24)-MAX('planning '!G335,7/24)),MAX(0,'bases de donnée'!E$16/24-MAX('planning '!G335,7/24))+MAX(0,MIN('planning '!I335,'bases de donnée'!E$16/24)-7/24))))</f>
        <v>0</v>
      </c>
      <c r="T335" s="82"/>
      <c r="U335" s="77" t="str">
        <f t="shared" si="350"/>
        <v>00:00</v>
      </c>
      <c r="V335" s="78">
        <f>IF(SUM(IF(O335&gt;("36:00"*1),O335-("36:00"*1),0)-V333-V334)&lt;0,0,SUM(IF(O335&gt;("36:00"*1),O335-("36:00"*1),0)-V333-V334))</f>
        <v>0</v>
      </c>
      <c r="W335" s="47"/>
      <c r="X335" s="48">
        <f t="shared" si="344"/>
        <v>0</v>
      </c>
      <c r="Y335" s="42"/>
      <c r="Z335" s="49">
        <f t="shared" si="351"/>
        <v>0</v>
      </c>
      <c r="AA335" s="48">
        <f t="shared" si="352"/>
        <v>0</v>
      </c>
      <c r="AB335" s="47"/>
      <c r="AC335" s="54"/>
      <c r="AD335" s="33">
        <f t="shared" si="345"/>
        <v>0</v>
      </c>
      <c r="AE335" s="33">
        <f t="shared" si="302"/>
        <v>0</v>
      </c>
    </row>
    <row r="336" spans="2:31" x14ac:dyDescent="0.3">
      <c r="B336"/>
      <c r="C336" s="9" t="s">
        <v>9</v>
      </c>
      <c r="D336" s="58">
        <f t="shared" si="313"/>
        <v>42293</v>
      </c>
      <c r="E336" s="29" t="s">
        <v>29</v>
      </c>
      <c r="F336" s="191"/>
      <c r="G336" s="194">
        <v>0.375</v>
      </c>
      <c r="H336" s="194">
        <v>3.125E-2</v>
      </c>
      <c r="I336" s="194">
        <v>0.70833333333333337</v>
      </c>
      <c r="J336" s="193">
        <f>IF(OR(E336="férié travaillé",E336="travail"),(I336-G336+IF(G336&gt;I336,1)-H336),INDEX('bases de donnée'!$E$20:'bases de donnée'!$E$32,MATCH(E336,gerald2,0)))</f>
        <v>0.30208333333333337</v>
      </c>
      <c r="K336" s="20">
        <f>IF(SUM(J336-'bases de donnée'!E$7)&lt;0,0,SUM(J336-'bases de donnée'!E$7))</f>
        <v>0</v>
      </c>
      <c r="L336" s="11">
        <f>IF(OR(E336="férié travaillé",E336="travail"),I336-G336+IF(G336&gt;I336,1),INDEX('bases de donnée'!$E$20:'bases de donnée'!$E$32,MATCH(E336,gerald2,0)))</f>
        <v>0.33333333333333337</v>
      </c>
      <c r="M336" s="21">
        <f>IF(SUM(L336-'bases de donnée'!E$4)&lt;0,0,SUM(L336-'bases de donnée'!E$4))</f>
        <v>0</v>
      </c>
      <c r="N336" s="155">
        <v>0</v>
      </c>
      <c r="O336" s="74">
        <f t="shared" si="354"/>
        <v>1.2083333333333335</v>
      </c>
      <c r="P336" s="86">
        <f>O339</f>
        <v>1.5</v>
      </c>
      <c r="Q336" s="120">
        <f t="shared" si="355"/>
        <v>1</v>
      </c>
      <c r="R336" s="30"/>
      <c r="S336" s="77">
        <f>IF(SUM(MOD(I336-G336,1)-IF(I336&gt;G336,MAX(0,MIN(I336,'bases de donnée'!E$16/24)-MAX('planning '!G336,7/24)),MAX(0,'bases de donnée'!E$16/24-MAX('planning '!G336,7/24))+MAX(0,MIN('planning '!I336,'bases de donnée'!E$16/24)-7/24)))&lt;0,0,SUM(MOD('planning '!I336-'planning '!G336,1)-IF('planning '!I336&gt;'planning '!G336,MAX(0,MIN('planning '!I336,'bases de donnée'!E$16/24)-MAX('planning '!G336,7/24)),MAX(0,'bases de donnée'!E$16/24-MAX('planning '!G336,7/24))+MAX(0,MIN('planning '!I336,'bases de donnée'!E$16/24)-7/24))))</f>
        <v>0</v>
      </c>
      <c r="T336" s="82"/>
      <c r="U336" s="77" t="str">
        <f t="shared" si="350"/>
        <v>00:00</v>
      </c>
      <c r="V336" s="78">
        <f>IF(SUM(IF(O336&gt;("36:00"*1),O336-("36:00"*1),0)-V334-V335)&lt;0,0,SUM(IF(O336&gt;("36:00"*1),O336-("36:00"*1),0)-V333-V334-V335))</f>
        <v>0</v>
      </c>
      <c r="W336" s="47"/>
      <c r="X336" s="48">
        <f t="shared" si="344"/>
        <v>0</v>
      </c>
      <c r="Y336" s="42"/>
      <c r="Z336" s="49">
        <f t="shared" si="351"/>
        <v>0</v>
      </c>
      <c r="AA336" s="48">
        <f t="shared" si="352"/>
        <v>0</v>
      </c>
      <c r="AB336" s="47"/>
      <c r="AC336" s="54"/>
      <c r="AD336" s="33">
        <f t="shared" si="345"/>
        <v>0</v>
      </c>
      <c r="AE336" s="33">
        <f t="shared" si="302"/>
        <v>0</v>
      </c>
    </row>
    <row r="337" spans="2:31" x14ac:dyDescent="0.3">
      <c r="B337"/>
      <c r="C337" s="9" t="s">
        <v>3</v>
      </c>
      <c r="D337" s="58">
        <f t="shared" si="313"/>
        <v>42294</v>
      </c>
      <c r="E337" s="29" t="s">
        <v>29</v>
      </c>
      <c r="F337" s="191"/>
      <c r="G337" s="194">
        <v>0.375</v>
      </c>
      <c r="H337" s="194">
        <v>3.125E-2</v>
      </c>
      <c r="I337" s="194">
        <v>0.69791666666666663</v>
      </c>
      <c r="J337" s="193">
        <f>IF(OR(E337="férié travaillé",E337="travail"),(I337-G337+IF(G337&gt;I337,1)-H337),INDEX('bases de donnée'!$E$20:'bases de donnée'!$E$32,MATCH(E337,gerald2,0)))</f>
        <v>0.29166666666666663</v>
      </c>
      <c r="K337" s="20">
        <f>IF(SUM(J337-'bases de donnée'!E$7)&lt;0,0,SUM(J337-'bases de donnée'!E$7))</f>
        <v>0</v>
      </c>
      <c r="L337" s="11">
        <f>IF(OR(E337="férié travaillé",E337="travail"),I337-G337+IF(G337&gt;I337,1),INDEX('bases de donnée'!$E$20:'bases de donnée'!$E$32,MATCH(E337,gerald2,0)))</f>
        <v>0.32291666666666663</v>
      </c>
      <c r="M337" s="21">
        <f>IF(SUM(L337-'bases de donnée'!E$4)&lt;0,0,SUM(L337-'bases de donnée'!E$4))</f>
        <v>0</v>
      </c>
      <c r="N337" s="155">
        <v>0</v>
      </c>
      <c r="O337" s="74">
        <f t="shared" si="354"/>
        <v>1.5</v>
      </c>
      <c r="P337" s="8" t="s">
        <v>48</v>
      </c>
      <c r="Q337" s="120">
        <f t="shared" si="355"/>
        <v>1</v>
      </c>
      <c r="R337" s="30"/>
      <c r="S337" s="77">
        <f>IF(SUM(MOD(I337-G337,1)-IF(I337&gt;G337,MAX(0,MIN(I337,'bases de donnée'!E$16/24)-MAX('planning '!G337,7/24)),MAX(0,'bases de donnée'!E$16/24-MAX('planning '!G337,7/24))+MAX(0,MIN('planning '!I337,'bases de donnée'!E$16/24)-7/24)))&lt;0,0,SUM(MOD('planning '!I337-'planning '!G337,1)-IF('planning '!I337&gt;'planning '!G337,MAX(0,MIN('planning '!I337,'bases de donnée'!E$16/24)-MAX('planning '!G337,7/24)),MAX(0,'bases de donnée'!E$16/24-MAX('planning '!G337,7/24))+MAX(0,MIN('planning '!I337,'bases de donnée'!E$16/24)-7/24))))</f>
        <v>0</v>
      </c>
      <c r="T337" s="82"/>
      <c r="U337" s="77" t="str">
        <f t="shared" si="350"/>
        <v>00:00</v>
      </c>
      <c r="V337" s="78">
        <f>IF(SUM(IF(O337&gt;("36:00"*1),O337-("36:00"*1),0)-V335-V336)&lt;0,0,SUM(IF(O337&gt;("36:00"*1),O337-("36:00"*1),0)-V333-V334-V335-V336))</f>
        <v>0</v>
      </c>
      <c r="W337" s="47"/>
      <c r="X337" s="48">
        <f t="shared" si="344"/>
        <v>0</v>
      </c>
      <c r="Y337" s="42"/>
      <c r="Z337" s="49">
        <f t="shared" si="351"/>
        <v>0</v>
      </c>
      <c r="AA337" s="48">
        <f t="shared" si="352"/>
        <v>0</v>
      </c>
      <c r="AB337" s="47"/>
      <c r="AC337" s="54"/>
      <c r="AD337" s="33">
        <f t="shared" si="345"/>
        <v>0</v>
      </c>
      <c r="AE337" s="33">
        <f t="shared" si="302"/>
        <v>0</v>
      </c>
    </row>
    <row r="338" spans="2:31" x14ac:dyDescent="0.3">
      <c r="B338"/>
      <c r="C338" s="9" t="s">
        <v>4</v>
      </c>
      <c r="D338" s="58">
        <f t="shared" si="313"/>
        <v>42295</v>
      </c>
      <c r="E338" s="29" t="s">
        <v>28</v>
      </c>
      <c r="F338" s="191"/>
      <c r="G338" s="194"/>
      <c r="H338" s="194"/>
      <c r="I338" s="194"/>
      <c r="J338" s="193">
        <f>IF(OR(E338="férié travaillé",E338="travail"),(I338-G338+IF(G338&gt;I338,1)-H338),INDEX('bases de donnée'!$E$20:'bases de donnée'!$E$32,MATCH(E338,gerald2,0)))</f>
        <v>0</v>
      </c>
      <c r="K338" s="20">
        <f>IF(SUM(J338-'bases de donnée'!E$7)&lt;0,0,SUM(J338-'bases de donnée'!E$7))</f>
        <v>0</v>
      </c>
      <c r="L338" s="11">
        <f>IF(OR(E338="férié travaillé",E338="travail"),I338-G338+IF(G338&gt;I338,1),INDEX('bases de donnée'!$E$20:'bases de donnée'!$E$32,MATCH(E338,gerald2,0)))</f>
        <v>0</v>
      </c>
      <c r="M338" s="21">
        <f>IF(SUM(L338-'bases de donnée'!E$4)&lt;0,0,SUM(L338-'bases de donnée'!E$4))</f>
        <v>0</v>
      </c>
      <c r="N338" s="155">
        <v>0</v>
      </c>
      <c r="O338" s="74">
        <f t="shared" si="354"/>
        <v>1.5</v>
      </c>
      <c r="P338" s="61">
        <f>'bases de donnée'!E$10</f>
        <v>2</v>
      </c>
      <c r="Q338" s="120">
        <f t="shared" si="355"/>
        <v>0</v>
      </c>
      <c r="R338" s="30"/>
      <c r="S338" s="77">
        <f>IF(SUM(MOD(I338-G338,1)-IF(I338&gt;G338,MAX(0,MIN(I338,'bases de donnée'!E$16/24)-MAX('planning '!G338,7/24)),MAX(0,'bases de donnée'!E$16/24-MAX('planning '!G338,7/24))+MAX(0,MIN('planning '!I338,'bases de donnée'!E$16/24)-7/24)))&lt;0,0,SUM(MOD('planning '!I338-'planning '!G338,1)-IF('planning '!I338&gt;'planning '!G338,MAX(0,MIN('planning '!I338,'bases de donnée'!E$16/24)-MAX('planning '!G338,7/24)),MAX(0,'bases de donnée'!E$16/24-MAX('planning '!G338,7/24))+MAX(0,MIN('planning '!I338,'bases de donnée'!E$16/24)-7/24))))</f>
        <v>0</v>
      </c>
      <c r="T338" s="82"/>
      <c r="U338" s="77" t="str">
        <f t="shared" si="350"/>
        <v>00:00</v>
      </c>
      <c r="V338" s="78">
        <f>IF(SUM(IF(O338&gt;("36:00"*1),O338-("36:00"*1),0)-V336-V337)&lt;0,0,SUM(IF(O338&gt;("36:00"*1),O338-("36:00"*1),0)-V333-V334-V335-V336-V337))</f>
        <v>0</v>
      </c>
      <c r="W338" s="47"/>
      <c r="X338" s="48">
        <f t="shared" si="344"/>
        <v>0</v>
      </c>
      <c r="Y338" s="32"/>
      <c r="Z338" s="56">
        <f t="shared" si="351"/>
        <v>0</v>
      </c>
      <c r="AA338" s="48">
        <f t="shared" si="352"/>
        <v>0</v>
      </c>
      <c r="AB338" s="47"/>
      <c r="AC338" s="55"/>
      <c r="AD338" s="33">
        <f t="shared" si="345"/>
        <v>0</v>
      </c>
      <c r="AE338" s="33">
        <f t="shared" si="302"/>
        <v>0</v>
      </c>
    </row>
    <row r="339" spans="2:31" x14ac:dyDescent="0.3">
      <c r="B339"/>
      <c r="C339" s="9" t="s">
        <v>5</v>
      </c>
      <c r="D339" s="58">
        <f t="shared" si="313"/>
        <v>42296</v>
      </c>
      <c r="E339" s="29" t="s">
        <v>28</v>
      </c>
      <c r="F339" s="192"/>
      <c r="G339" s="194"/>
      <c r="H339" s="194"/>
      <c r="I339" s="194"/>
      <c r="J339" s="193">
        <f>IF(OR(E339="férié travaillé",E339="travail"),(I339-G339+IF(G339&gt;I339,1)-H339),INDEX('bases de donnée'!$E$20:'bases de donnée'!$E$32,MATCH(E339,gerald2,0)))</f>
        <v>0</v>
      </c>
      <c r="K339" s="20">
        <f>IF(SUM(J339-'bases de donnée'!E$7)&lt;0,0,SUM(J339-'bases de donnée'!E$7))</f>
        <v>0</v>
      </c>
      <c r="L339" s="11">
        <f>IF(OR(E339="férié travaillé",E339="travail"),I339-G339+IF(G339&gt;I339,1),INDEX('bases de donnée'!$E$20:'bases de donnée'!$E$32,MATCH(E339,gerald2,0)))</f>
        <v>0</v>
      </c>
      <c r="M339" s="21">
        <f>IF(SUM(L339-'bases de donnée'!E$4)&lt;0,0,SUM(L339-'bases de donnée'!E$4))</f>
        <v>0</v>
      </c>
      <c r="N339" s="155">
        <v>0</v>
      </c>
      <c r="O339" s="74">
        <f t="shared" si="354"/>
        <v>1.5</v>
      </c>
      <c r="P339" s="33">
        <f>IF(SUM(O339-'bases de donnée'!E$10)&lt;0,0,SUM(O339-'bases de donnée'!E$10))</f>
        <v>0</v>
      </c>
      <c r="Q339" s="120">
        <f t="shared" si="355"/>
        <v>0</v>
      </c>
      <c r="R339" s="30"/>
      <c r="S339" s="77">
        <f>IF(SUM(MOD(I339-G339,1)-IF(I339&gt;G339,MAX(0,MIN(I339,'bases de donnée'!E$16/24)-MAX('planning '!G339,7/24)),MAX(0,'bases de donnée'!E$16/24-MAX('planning '!G339,7/24))+MAX(0,MIN('planning '!I339,'bases de donnée'!E$16/24)-7/24)))&lt;0,0,SUM(MOD('planning '!I339-'planning '!G339,1)-IF('planning '!I339&gt;'planning '!G339,MAX(0,MIN('planning '!I339,'bases de donnée'!E$16/24)-MAX('planning '!G339,7/24)),MAX(0,'bases de donnée'!E$16/24-MAX('planning '!G339,7/24))+MAX(0,MIN('planning '!I339,'bases de donnée'!E$16/24)-7/24))))</f>
        <v>0</v>
      </c>
      <c r="T339" s="77">
        <f>J339</f>
        <v>0</v>
      </c>
      <c r="U339" s="77" t="str">
        <f t="shared" si="350"/>
        <v>00:00</v>
      </c>
      <c r="V339" s="78">
        <f>IF(SUM(IF(O339&gt;("36:00"*1),O339-("36:00"*1),0)-V337-V338)&lt;0,0,SUM(IF(O339&gt;("36:00"*1),O339-("36:00"*1),0)-V333-V334-V335-V336-V337-V338))</f>
        <v>0</v>
      </c>
      <c r="W339" s="47"/>
      <c r="X339" s="48">
        <f t="shared" si="344"/>
        <v>0</v>
      </c>
      <c r="Y339" s="48">
        <f t="shared" ref="Y339" si="356">IF(SUM(T339-S339)&lt;0,0,SUM(T339-S339))</f>
        <v>0</v>
      </c>
      <c r="Z339" s="56">
        <f t="shared" ref="Z339" si="357">IF(SUM(U339-T339-S339)&lt;0,0,SUM(U339-T339-S339))</f>
        <v>0</v>
      </c>
      <c r="AA339" s="48">
        <f>IF(SUM(V339-S339-T339-U339)&lt;0,0,SUM(V339-S339-T339-U339))</f>
        <v>0</v>
      </c>
      <c r="AB339" s="47"/>
      <c r="AC339" s="57">
        <f t="shared" ref="AC339" si="358">IF(SUM(T339-Y339)&lt;0,0,SUM(T339-Y339))</f>
        <v>0</v>
      </c>
      <c r="AD339" s="33">
        <f t="shared" si="345"/>
        <v>0</v>
      </c>
      <c r="AE339" s="33">
        <f t="shared" si="302"/>
        <v>0</v>
      </c>
    </row>
    <row r="340" spans="2:31" x14ac:dyDescent="0.3">
      <c r="B340"/>
      <c r="C340" s="25"/>
      <c r="D340" s="90"/>
      <c r="E340" s="90"/>
      <c r="F340" s="25"/>
      <c r="G340" s="185"/>
      <c r="H340" s="185"/>
      <c r="I340" s="185"/>
      <c r="J340" s="47"/>
      <c r="K340" s="92"/>
      <c r="L340" s="91"/>
      <c r="M340" s="91"/>
      <c r="N340" s="91"/>
      <c r="O340" s="93"/>
      <c r="P340" s="47"/>
      <c r="Q340" s="30"/>
      <c r="R340" s="30"/>
      <c r="S340" s="47"/>
      <c r="T340" s="47"/>
      <c r="U340" s="47"/>
      <c r="V340" s="93"/>
      <c r="W340" s="47"/>
      <c r="X340" s="47"/>
      <c r="Y340" s="47"/>
      <c r="Z340" s="47"/>
      <c r="AA340" s="47"/>
      <c r="AB340" s="47"/>
      <c r="AC340" s="47"/>
      <c r="AD340" s="47"/>
      <c r="AE340" s="47"/>
    </row>
    <row r="341" spans="2:31" x14ac:dyDescent="0.3">
      <c r="B341" s="14" t="s">
        <v>40</v>
      </c>
      <c r="C341" s="14" t="s">
        <v>6</v>
      </c>
      <c r="D341" s="43">
        <f>D339+1</f>
        <v>42297</v>
      </c>
      <c r="E341" s="29" t="s">
        <v>29</v>
      </c>
      <c r="F341" s="190"/>
      <c r="G341" s="194">
        <v>0.375</v>
      </c>
      <c r="H341" s="194">
        <v>3.125E-2</v>
      </c>
      <c r="I341" s="194">
        <v>0.70833333333333337</v>
      </c>
      <c r="J341" s="193">
        <f>IF(OR(E341="férié travaillé",E341="travail"),(I341-G341+IF(G341&gt;I341,1)-H341),INDEX('bases de donnée'!$E$20:'bases de donnée'!$E$32,MATCH(E341,gerald2,0)))</f>
        <v>0.30208333333333337</v>
      </c>
      <c r="K341" s="20">
        <f>IF(SUM(J341-'bases de donnée'!E$7)&lt;0,0,SUM(J341-'bases de donnée'!E$7))</f>
        <v>0</v>
      </c>
      <c r="L341" s="11">
        <f>IF(OR(E341="férié travaillé",E341="travail"),I341-G341+IF(G341&gt;I341,1),INDEX('bases de donnée'!$E$20:'bases de donnée'!$E$32,MATCH(E341,gerald2,0)))</f>
        <v>0.33333333333333337</v>
      </c>
      <c r="M341" s="21">
        <f>IF(SUM(L341-'bases de donnée'!E$4)&lt;0,0,SUM(L341-'bases de donnée'!E$4))</f>
        <v>0</v>
      </c>
      <c r="N341" s="155">
        <v>0</v>
      </c>
      <c r="O341" s="45">
        <f t="shared" ref="O341" si="359">J341</f>
        <v>0.30208333333333337</v>
      </c>
      <c r="P341" s="122">
        <f>SUM(Q341:Q347)</f>
        <v>5</v>
      </c>
      <c r="Q341" s="120">
        <f>IF(AND(G341&lt;&gt;"",I341&lt;&gt;""),1,0+OR(N(I340)&lt;N(G340),E341="récupération",E341="congé 1 jour",E341="congé 1/2 jour ",E341="congé 5h24",E341="arrêt maladie",E341="arrêt travail",E341="férié ",E341="congé parentale",E341="congé de naissance"))</f>
        <v>1</v>
      </c>
      <c r="R341" s="30"/>
      <c r="S341" s="77">
        <f>IF(SUM(MOD(I341-G341,1)-IF(I341&gt;G341,MAX(0,MIN(I341,'bases de donnée'!E$16/24)-MAX('planning '!G341,7/24)),MAX(0,'bases de donnée'!E$16/24-MAX('planning '!G341,7/24))+MAX(0,MIN('planning '!I341,'bases de donnée'!E$16/24)-7/24)))&lt;0,0,SUM(MOD('planning '!I341-'planning '!G341,1)-IF('planning '!I341&gt;'planning '!G341,MAX(0,MIN('planning '!I341,'bases de donnée'!E$16/24)-MAX('planning '!G341,7/24)),MAX(0,'bases de donnée'!E$16/24-MAX('planning '!G341,7/24))+MAX(0,MIN('planning '!I341,'bases de donnée'!E$16/24)-7/24))))</f>
        <v>0</v>
      </c>
      <c r="T341" s="81"/>
      <c r="U341" s="77" t="str">
        <f t="shared" ref="U341:U347" si="360">IF(E341&lt;&gt;"travail",IF(E341="férié travaillé",MOD(I341-G341,1)-H341,"00:00"),"00:00")</f>
        <v>00:00</v>
      </c>
      <c r="V341" s="78"/>
      <c r="W341" s="47"/>
      <c r="X341" s="48">
        <f t="shared" si="344"/>
        <v>0</v>
      </c>
      <c r="Y341" s="31"/>
      <c r="Z341" s="49">
        <f t="shared" ref="Z341:Z346" si="361">IF(SUM(U341-X341)&lt;0,0,SUM(U341-X341))</f>
        <v>0</v>
      </c>
      <c r="AA341" s="48">
        <f t="shared" ref="AA341:AA346" si="362">IF(SUM(V341-X341-Z341)&lt;0,0,SUM(V341-X341-Z341))</f>
        <v>0</v>
      </c>
      <c r="AB341" s="47"/>
      <c r="AC341" s="50"/>
      <c r="AD341" s="33">
        <f t="shared" si="345"/>
        <v>0</v>
      </c>
      <c r="AE341" s="33">
        <f t="shared" si="302"/>
        <v>0</v>
      </c>
    </row>
    <row r="342" spans="2:31" x14ac:dyDescent="0.3">
      <c r="B342" s="51">
        <f t="shared" ref="B342" si="363">B334+1</f>
        <v>42</v>
      </c>
      <c r="C342" s="14" t="s">
        <v>7</v>
      </c>
      <c r="D342" s="43">
        <f t="shared" si="313"/>
        <v>42298</v>
      </c>
      <c r="E342" s="29" t="s">
        <v>29</v>
      </c>
      <c r="F342" s="191"/>
      <c r="G342" s="194">
        <v>0.375</v>
      </c>
      <c r="H342" s="194">
        <v>3.125E-2</v>
      </c>
      <c r="I342" s="194">
        <v>0.70833333333333337</v>
      </c>
      <c r="J342" s="193">
        <f>IF(OR(E342="férié travaillé",E342="travail"),(I342-G342+IF(G342&gt;I342,1)-H342),INDEX('bases de donnée'!$E$20:'bases de donnée'!$E$32,MATCH(E342,gerald2,0)))</f>
        <v>0.30208333333333337</v>
      </c>
      <c r="K342" s="20">
        <f>IF(SUM(J342-'bases de donnée'!E$7)&lt;0,0,SUM(J342-'bases de donnée'!E$7))</f>
        <v>0</v>
      </c>
      <c r="L342" s="11">
        <f>IF(OR(E342="férié travaillé",E342="travail"),I342-G342+IF(G342&gt;I342,1),INDEX('bases de donnée'!$E$20:'bases de donnée'!$E$32,MATCH(E342,gerald2,0)))</f>
        <v>0.33333333333333337</v>
      </c>
      <c r="M342" s="21">
        <f>IF(SUM(L342-'bases de donnée'!E$4)&lt;0,0,SUM(L342-'bases de donnée'!E$4))</f>
        <v>0</v>
      </c>
      <c r="N342" s="155">
        <v>0</v>
      </c>
      <c r="O342" s="73">
        <f t="shared" ref="O342:O347" si="364">O341+J342</f>
        <v>0.60416666666666674</v>
      </c>
      <c r="P342" s="121">
        <f>IF(SUM(P341-'bases de donnée'!E$6)&lt;0,0,SUM(P341-'bases de donnée'!E$6))</f>
        <v>0</v>
      </c>
      <c r="Q342" s="120">
        <f t="shared" ref="Q342:Q347" si="365">IF(AND(G342&lt;&gt;"",I342&lt;&gt;""),1,0+OR(N(I341)&lt;N(G341),E342="récupération",E342="congé 1 jour",E342="congé 1/2 jour ",E342="congé 5h24",E342="arrêt maladie",E342="arrêt travail",E342="férié ",E342="congé parentale",E342="congé de naissance"))</f>
        <v>1</v>
      </c>
      <c r="R342" s="30"/>
      <c r="S342" s="77">
        <f>IF(SUM(MOD(I342-G342,1)-IF(I342&gt;G342,MAX(0,MIN(I342,'bases de donnée'!E$16/24)-MAX('planning '!G342,7/24)),MAX(0,'bases de donnée'!E$16/24-MAX('planning '!G342,7/24))+MAX(0,MIN('planning '!I342,'bases de donnée'!E$16/24)-7/24)))&lt;0,0,SUM(MOD('planning '!I342-'planning '!G342,1)-IF('planning '!I342&gt;'planning '!G342,MAX(0,MIN('planning '!I342,'bases de donnée'!E$16/24)-MAX('planning '!G342,7/24)),MAX(0,'bases de donnée'!E$16/24-MAX('planning '!G342,7/24))+MAX(0,MIN('planning '!I342,'bases de donnée'!E$16/24)-7/24))))</f>
        <v>0</v>
      </c>
      <c r="T342" s="82"/>
      <c r="U342" s="77" t="str">
        <f t="shared" si="360"/>
        <v>00:00</v>
      </c>
      <c r="V342" s="78">
        <f>IF(SUM(IF(O342&gt;('bases de donnée'!E$9*1),O342-('bases de donnée'!E$9*1),0)-V341)&lt;0,0,SUM(IF(O342&gt;('bases de donnée'!E$9*1),O342-('bases de donnée'!E$9*1),0)-V341))</f>
        <v>0</v>
      </c>
      <c r="W342" s="47"/>
      <c r="X342" s="48">
        <f t="shared" si="344"/>
        <v>0</v>
      </c>
      <c r="Y342" s="42"/>
      <c r="Z342" s="49">
        <f t="shared" si="361"/>
        <v>0</v>
      </c>
      <c r="AA342" s="48">
        <f t="shared" si="362"/>
        <v>0</v>
      </c>
      <c r="AB342" s="47"/>
      <c r="AC342" s="54"/>
      <c r="AD342" s="33">
        <f t="shared" si="345"/>
        <v>0</v>
      </c>
      <c r="AE342" s="33">
        <f t="shared" si="302"/>
        <v>0</v>
      </c>
    </row>
    <row r="343" spans="2:31" x14ac:dyDescent="0.3">
      <c r="B343"/>
      <c r="C343" s="14" t="s">
        <v>8</v>
      </c>
      <c r="D343" s="43">
        <f t="shared" si="313"/>
        <v>42299</v>
      </c>
      <c r="E343" s="29" t="s">
        <v>29</v>
      </c>
      <c r="F343" s="191"/>
      <c r="G343" s="194">
        <v>0.375</v>
      </c>
      <c r="H343" s="194">
        <v>3.125E-2</v>
      </c>
      <c r="I343" s="194">
        <v>0.70833333333333337</v>
      </c>
      <c r="J343" s="193">
        <f>IF(OR(E343="férié travaillé",E343="travail"),(I343-G343+IF(G343&gt;I343,1)-H343),INDEX('bases de donnée'!$E$20:'bases de donnée'!$E$32,MATCH(E343,gerald2,0)))</f>
        <v>0.30208333333333337</v>
      </c>
      <c r="K343" s="20">
        <f>IF(SUM(J343-'bases de donnée'!E$7)&lt;0,0,SUM(J343-'bases de donnée'!E$7))</f>
        <v>0</v>
      </c>
      <c r="L343" s="11">
        <f>IF(OR(E343="férié travaillé",E343="travail"),I343-G343+IF(G343&gt;I343,1),INDEX('bases de donnée'!$E$20:'bases de donnée'!$E$32,MATCH(E343,gerald2,0)))</f>
        <v>0.33333333333333337</v>
      </c>
      <c r="M343" s="21">
        <f>IF(SUM(L343-'bases de donnée'!E$4)&lt;0,0,SUM(L343-'bases de donnée'!E$4))</f>
        <v>0</v>
      </c>
      <c r="N343" s="155">
        <v>0</v>
      </c>
      <c r="O343" s="73">
        <f t="shared" si="364"/>
        <v>0.90625000000000011</v>
      </c>
      <c r="P343" s="34" t="s">
        <v>46</v>
      </c>
      <c r="Q343" s="120">
        <f t="shared" si="365"/>
        <v>1</v>
      </c>
      <c r="R343" s="30"/>
      <c r="S343" s="77">
        <f>IF(SUM(MOD(I343-G343,1)-IF(I343&gt;G343,MAX(0,MIN(I343,'bases de donnée'!E$16/24)-MAX('planning '!G343,7/24)),MAX(0,'bases de donnée'!E$16/24-MAX('planning '!G343,7/24))+MAX(0,MIN('planning '!I343,'bases de donnée'!E$16/24)-7/24)))&lt;0,0,SUM(MOD('planning '!I343-'planning '!G343,1)-IF('planning '!I343&gt;'planning '!G343,MAX(0,MIN('planning '!I343,'bases de donnée'!E$16/24)-MAX('planning '!G343,7/24)),MAX(0,'bases de donnée'!E$16/24-MAX('planning '!G343,7/24))+MAX(0,MIN('planning '!I343,'bases de donnée'!E$16/24)-7/24))))</f>
        <v>0</v>
      </c>
      <c r="T343" s="82"/>
      <c r="U343" s="77" t="str">
        <f t="shared" si="360"/>
        <v>00:00</v>
      </c>
      <c r="V343" s="78">
        <f>IF(SUM(IF(O343&gt;("36:00"*1),O343-("36:00"*1),0)-V341-V342)&lt;0,0,SUM(IF(O343&gt;("36:00"*1),O343-("36:00"*1),0)-V341-V342))</f>
        <v>0</v>
      </c>
      <c r="W343" s="47"/>
      <c r="X343" s="48">
        <f t="shared" si="344"/>
        <v>0</v>
      </c>
      <c r="Y343" s="42"/>
      <c r="Z343" s="49">
        <f t="shared" si="361"/>
        <v>0</v>
      </c>
      <c r="AA343" s="48">
        <f t="shared" si="362"/>
        <v>0</v>
      </c>
      <c r="AB343" s="47"/>
      <c r="AC343" s="54"/>
      <c r="AD343" s="33">
        <f t="shared" si="345"/>
        <v>0</v>
      </c>
      <c r="AE343" s="33">
        <f t="shared" si="302"/>
        <v>0</v>
      </c>
    </row>
    <row r="344" spans="2:31" x14ac:dyDescent="0.3">
      <c r="B344"/>
      <c r="C344" s="14" t="s">
        <v>9</v>
      </c>
      <c r="D344" s="43">
        <f t="shared" si="313"/>
        <v>42300</v>
      </c>
      <c r="E344" s="29" t="s">
        <v>29</v>
      </c>
      <c r="F344" s="191"/>
      <c r="G344" s="194">
        <v>0.375</v>
      </c>
      <c r="H344" s="194">
        <v>3.125E-2</v>
      </c>
      <c r="I344" s="194">
        <v>0.70833333333333337</v>
      </c>
      <c r="J344" s="193">
        <f>IF(OR(E344="férié travaillé",E344="travail"),(I344-G344+IF(G344&gt;I344,1)-H344),INDEX('bases de donnée'!$E$20:'bases de donnée'!$E$32,MATCH(E344,gerald2,0)))</f>
        <v>0.30208333333333337</v>
      </c>
      <c r="K344" s="20">
        <f>IF(SUM(J344-'bases de donnée'!E$7)&lt;0,0,SUM(J344-'bases de donnée'!E$7))</f>
        <v>0</v>
      </c>
      <c r="L344" s="11">
        <f>IF(OR(E344="férié travaillé",E344="travail"),I344-G344+IF(G344&gt;I344,1),INDEX('bases de donnée'!$E$20:'bases de donnée'!$E$32,MATCH(E344,gerald2,0)))</f>
        <v>0.33333333333333337</v>
      </c>
      <c r="M344" s="21">
        <f>IF(SUM(L344-'bases de donnée'!E$4)&lt;0,0,SUM(L344-'bases de donnée'!E$4))</f>
        <v>0</v>
      </c>
      <c r="N344" s="155">
        <v>0</v>
      </c>
      <c r="O344" s="73">
        <f t="shared" si="364"/>
        <v>1.2083333333333335</v>
      </c>
      <c r="P344" s="86">
        <f>O347</f>
        <v>1.5</v>
      </c>
      <c r="Q344" s="120">
        <f t="shared" si="365"/>
        <v>1</v>
      </c>
      <c r="R344" s="30"/>
      <c r="S344" s="77">
        <f>IF(SUM(MOD(I344-G344,1)-IF(I344&gt;G344,MAX(0,MIN(I344,'bases de donnée'!E$16/24)-MAX('planning '!G344,7/24)),MAX(0,'bases de donnée'!E$16/24-MAX('planning '!G344,7/24))+MAX(0,MIN('planning '!I344,'bases de donnée'!E$16/24)-7/24)))&lt;0,0,SUM(MOD('planning '!I344-'planning '!G344,1)-IF('planning '!I344&gt;'planning '!G344,MAX(0,MIN('planning '!I344,'bases de donnée'!E$16/24)-MAX('planning '!G344,7/24)),MAX(0,'bases de donnée'!E$16/24-MAX('planning '!G344,7/24))+MAX(0,MIN('planning '!I344,'bases de donnée'!E$16/24)-7/24))))</f>
        <v>0</v>
      </c>
      <c r="T344" s="82"/>
      <c r="U344" s="77" t="str">
        <f t="shared" si="360"/>
        <v>00:00</v>
      </c>
      <c r="V344" s="78">
        <f>IF(SUM(IF(O344&gt;("36:00"*1),O344-("36:00"*1),0)-V342-V343)&lt;0,0,SUM(IF(O344&gt;("36:00"*1),O344-("36:00"*1),0)-V341-V342-V343))</f>
        <v>0</v>
      </c>
      <c r="W344" s="47"/>
      <c r="X344" s="48">
        <f t="shared" si="344"/>
        <v>0</v>
      </c>
      <c r="Y344" s="42"/>
      <c r="Z344" s="49">
        <f t="shared" si="361"/>
        <v>0</v>
      </c>
      <c r="AA344" s="48">
        <f t="shared" si="362"/>
        <v>0</v>
      </c>
      <c r="AB344" s="47"/>
      <c r="AC344" s="54"/>
      <c r="AD344" s="33">
        <f t="shared" si="345"/>
        <v>0</v>
      </c>
      <c r="AE344" s="33">
        <f t="shared" si="302"/>
        <v>0</v>
      </c>
    </row>
    <row r="345" spans="2:31" x14ac:dyDescent="0.3">
      <c r="B345"/>
      <c r="C345" s="14" t="s">
        <v>3</v>
      </c>
      <c r="D345" s="43">
        <f t="shared" si="313"/>
        <v>42301</v>
      </c>
      <c r="E345" s="29" t="s">
        <v>29</v>
      </c>
      <c r="F345" s="191"/>
      <c r="G345" s="194">
        <v>0.375</v>
      </c>
      <c r="H345" s="194">
        <v>3.125E-2</v>
      </c>
      <c r="I345" s="194">
        <v>0.69791666666666663</v>
      </c>
      <c r="J345" s="193">
        <f>IF(OR(E345="férié travaillé",E345="travail"),(I345-G345+IF(G345&gt;I345,1)-H345),INDEX('bases de donnée'!$E$20:'bases de donnée'!$E$32,MATCH(E345,gerald2,0)))</f>
        <v>0.29166666666666663</v>
      </c>
      <c r="K345" s="20">
        <f>IF(SUM(J345-'bases de donnée'!E$7)&lt;0,0,SUM(J345-'bases de donnée'!E$7))</f>
        <v>0</v>
      </c>
      <c r="L345" s="11">
        <f>IF(OR(E345="férié travaillé",E345="travail"),I345-G345+IF(G345&gt;I345,1),INDEX('bases de donnée'!$E$20:'bases de donnée'!$E$32,MATCH(E345,gerald2,0)))</f>
        <v>0.32291666666666663</v>
      </c>
      <c r="M345" s="21">
        <f>IF(SUM(L345-'bases de donnée'!E$4)&lt;0,0,SUM(L345-'bases de donnée'!E$4))</f>
        <v>0</v>
      </c>
      <c r="N345" s="155">
        <v>0</v>
      </c>
      <c r="O345" s="73">
        <f t="shared" si="364"/>
        <v>1.5</v>
      </c>
      <c r="P345" s="12" t="s">
        <v>48</v>
      </c>
      <c r="Q345" s="120">
        <f t="shared" si="365"/>
        <v>1</v>
      </c>
      <c r="R345" s="30"/>
      <c r="S345" s="77">
        <f>IF(SUM(MOD(I345-G345,1)-IF(I345&gt;G345,MAX(0,MIN(I345,'bases de donnée'!E$16/24)-MAX('planning '!G345,7/24)),MAX(0,'bases de donnée'!E$16/24-MAX('planning '!G345,7/24))+MAX(0,MIN('planning '!I345,'bases de donnée'!E$16/24)-7/24)))&lt;0,0,SUM(MOD('planning '!I345-'planning '!G345,1)-IF('planning '!I345&gt;'planning '!G345,MAX(0,MIN('planning '!I345,'bases de donnée'!E$16/24)-MAX('planning '!G345,7/24)),MAX(0,'bases de donnée'!E$16/24-MAX('planning '!G345,7/24))+MAX(0,MIN('planning '!I345,'bases de donnée'!E$16/24)-7/24))))</f>
        <v>0</v>
      </c>
      <c r="T345" s="82"/>
      <c r="U345" s="77" t="str">
        <f t="shared" si="360"/>
        <v>00:00</v>
      </c>
      <c r="V345" s="78">
        <f>IF(SUM(IF(O345&gt;("36:00"*1),O345-("36:00"*1),0)-V343-V344)&lt;0,0,SUM(IF(O345&gt;("36:00"*1),O345-("36:00"*1),0)-V341-V342-V343-V344))</f>
        <v>0</v>
      </c>
      <c r="W345" s="47"/>
      <c r="X345" s="48">
        <f t="shared" si="344"/>
        <v>0</v>
      </c>
      <c r="Y345" s="42"/>
      <c r="Z345" s="49">
        <f t="shared" si="361"/>
        <v>0</v>
      </c>
      <c r="AA345" s="48">
        <f t="shared" si="362"/>
        <v>0</v>
      </c>
      <c r="AB345" s="47"/>
      <c r="AC345" s="54"/>
      <c r="AD345" s="33">
        <f t="shared" si="345"/>
        <v>0</v>
      </c>
      <c r="AE345" s="33">
        <f t="shared" si="302"/>
        <v>0</v>
      </c>
    </row>
    <row r="346" spans="2:31" x14ac:dyDescent="0.3">
      <c r="B346"/>
      <c r="C346" s="14" t="s">
        <v>4</v>
      </c>
      <c r="D346" s="43">
        <f t="shared" si="313"/>
        <v>42302</v>
      </c>
      <c r="E346" s="29" t="s">
        <v>28</v>
      </c>
      <c r="F346" s="191"/>
      <c r="G346" s="194"/>
      <c r="H346" s="194"/>
      <c r="I346" s="194"/>
      <c r="J346" s="193">
        <f>IF(OR(E346="férié travaillé",E346="travail"),(I346-G346+IF(G346&gt;I346,1)-H346),INDEX('bases de donnée'!$E$20:'bases de donnée'!$E$32,MATCH(E346,gerald2,0)))</f>
        <v>0</v>
      </c>
      <c r="K346" s="20">
        <f>IF(SUM(J346-'bases de donnée'!E$7)&lt;0,0,SUM(J346-'bases de donnée'!E$7))</f>
        <v>0</v>
      </c>
      <c r="L346" s="11">
        <f>IF(OR(E346="férié travaillé",E346="travail"),I346-G346+IF(G346&gt;I346,1),INDEX('bases de donnée'!$E$20:'bases de donnée'!$E$32,MATCH(E346,gerald2,0)))</f>
        <v>0</v>
      </c>
      <c r="M346" s="21">
        <f>IF(SUM(L346-'bases de donnée'!E$4)&lt;0,0,SUM(L346-'bases de donnée'!E$4))</f>
        <v>0</v>
      </c>
      <c r="N346" s="155">
        <v>0</v>
      </c>
      <c r="O346" s="73">
        <f t="shared" si="364"/>
        <v>1.5</v>
      </c>
      <c r="P346" s="53">
        <f>'bases de donnée'!E$10</f>
        <v>2</v>
      </c>
      <c r="Q346" s="120">
        <f t="shared" si="365"/>
        <v>0</v>
      </c>
      <c r="R346" s="30"/>
      <c r="S346" s="77">
        <f>IF(SUM(MOD(I346-G346,1)-IF(I346&gt;G346,MAX(0,MIN(I346,'bases de donnée'!E$16/24)-MAX('planning '!G346,7/24)),MAX(0,'bases de donnée'!E$16/24-MAX('planning '!G346,7/24))+MAX(0,MIN('planning '!I346,'bases de donnée'!E$16/24)-7/24)))&lt;0,0,SUM(MOD('planning '!I346-'planning '!G346,1)-IF('planning '!I346&gt;'planning '!G346,MAX(0,MIN('planning '!I346,'bases de donnée'!E$16/24)-MAX('planning '!G346,7/24)),MAX(0,'bases de donnée'!E$16/24-MAX('planning '!G346,7/24))+MAX(0,MIN('planning '!I346,'bases de donnée'!E$16/24)-7/24))))</f>
        <v>0</v>
      </c>
      <c r="T346" s="82"/>
      <c r="U346" s="77" t="str">
        <f t="shared" si="360"/>
        <v>00:00</v>
      </c>
      <c r="V346" s="78">
        <f>IF(SUM(IF(O346&gt;("36:00"*1),O346-("36:00"*1),0)-V344-V345)&lt;0,0,SUM(IF(O346&gt;("36:00"*1),O346-("36:00"*1),0)-V341-V342-V343-V344-V345))</f>
        <v>0</v>
      </c>
      <c r="W346" s="47"/>
      <c r="X346" s="48">
        <f t="shared" si="344"/>
        <v>0</v>
      </c>
      <c r="Y346" s="32"/>
      <c r="Z346" s="49">
        <f t="shared" si="361"/>
        <v>0</v>
      </c>
      <c r="AA346" s="48">
        <f t="shared" si="362"/>
        <v>0</v>
      </c>
      <c r="AB346" s="47"/>
      <c r="AC346" s="55"/>
      <c r="AD346" s="33">
        <f t="shared" si="345"/>
        <v>0</v>
      </c>
      <c r="AE346" s="33">
        <f t="shared" si="302"/>
        <v>0</v>
      </c>
    </row>
    <row r="347" spans="2:31" x14ac:dyDescent="0.3">
      <c r="B347"/>
      <c r="C347" s="14" t="s">
        <v>5</v>
      </c>
      <c r="D347" s="43">
        <f t="shared" si="313"/>
        <v>42303</v>
      </c>
      <c r="E347" s="29" t="s">
        <v>28</v>
      </c>
      <c r="F347" s="192"/>
      <c r="G347" s="194"/>
      <c r="H347" s="194"/>
      <c r="I347" s="194"/>
      <c r="J347" s="193">
        <f>IF(OR(E347="férié travaillé",E347="travail"),(I347-G347+IF(G347&gt;I347,1)-H347),INDEX('bases de donnée'!$E$20:'bases de donnée'!$E$32,MATCH(E347,gerald2,0)))</f>
        <v>0</v>
      </c>
      <c r="K347" s="20">
        <f>IF(SUM(J347-'bases de donnée'!E$7)&lt;0,0,SUM(J347-'bases de donnée'!E$7))</f>
        <v>0</v>
      </c>
      <c r="L347" s="11">
        <f>IF(OR(E347="férié travaillé",E347="travail"),I347-G347+IF(G347&gt;I347,1),INDEX('bases de donnée'!$E$20:'bases de donnée'!$E$32,MATCH(E347,gerald2,0)))</f>
        <v>0</v>
      </c>
      <c r="M347" s="21">
        <f>IF(SUM(L347-'bases de donnée'!E$4)&lt;0,0,SUM(L347-'bases de donnée'!E$4))</f>
        <v>0</v>
      </c>
      <c r="N347" s="155">
        <v>0</v>
      </c>
      <c r="O347" s="73">
        <f t="shared" si="364"/>
        <v>1.5</v>
      </c>
      <c r="P347" s="33">
        <f>IF(SUM(O347-'bases de donnée'!E$10)&lt;0,0,SUM(O347-'bases de donnée'!E$10))</f>
        <v>0</v>
      </c>
      <c r="Q347" s="120">
        <f t="shared" si="365"/>
        <v>0</v>
      </c>
      <c r="R347" s="30"/>
      <c r="S347" s="77">
        <f>IF(SUM(MOD(I347-G347,1)-IF(I347&gt;G347,MAX(0,MIN(I347,'bases de donnée'!E$16/24)-MAX('planning '!G347,7/24)),MAX(0,'bases de donnée'!E$16/24-MAX('planning '!G347,7/24))+MAX(0,MIN('planning '!I347,'bases de donnée'!E$16/24)-7/24)))&lt;0,0,SUM(MOD('planning '!I347-'planning '!G347,1)-IF('planning '!I347&gt;'planning '!G347,MAX(0,MIN('planning '!I347,'bases de donnée'!E$16/24)-MAX('planning '!G347,7/24)),MAX(0,'bases de donnée'!E$16/24-MAX('planning '!G347,7/24))+MAX(0,MIN('planning '!I347,'bases de donnée'!E$16/24)-7/24))))</f>
        <v>0</v>
      </c>
      <c r="T347" s="77">
        <f>J347</f>
        <v>0</v>
      </c>
      <c r="U347" s="77" t="str">
        <f t="shared" si="360"/>
        <v>00:00</v>
      </c>
      <c r="V347" s="78">
        <f>IF(SUM(IF(O347&gt;("36:00"*1),O347-("36:00"*1),0)-V345-V346)&lt;0,0,SUM(IF(O347&gt;("36:00"*1),O347-("36:00"*1),0)-V341-V342-V343-V344-V345-V346))</f>
        <v>0</v>
      </c>
      <c r="W347" s="47"/>
      <c r="X347" s="48">
        <f t="shared" si="344"/>
        <v>0</v>
      </c>
      <c r="Y347" s="48">
        <f t="shared" ref="Y347" si="366">IF(SUM(T347-S347)&lt;0,0,SUM(T347-S347))</f>
        <v>0</v>
      </c>
      <c r="Z347" s="56">
        <f t="shared" ref="Z347" si="367">IF(SUM(U347-T347-S347)&lt;0,0,SUM(U347-T347-S347))</f>
        <v>0</v>
      </c>
      <c r="AA347" s="48">
        <f>IF(SUM(V347-S347-T347-U347)&lt;0,0,SUM(V347-S347-T347-U347))</f>
        <v>0</v>
      </c>
      <c r="AB347" s="47"/>
      <c r="AC347" s="57">
        <f t="shared" ref="AC347" si="368">IF(SUM(T347-Y347)&lt;0,0,SUM(T347-Y347))</f>
        <v>0</v>
      </c>
      <c r="AD347" s="33">
        <f t="shared" si="345"/>
        <v>0</v>
      </c>
      <c r="AE347" s="33">
        <f t="shared" si="302"/>
        <v>0</v>
      </c>
    </row>
    <row r="348" spans="2:31" x14ac:dyDescent="0.3">
      <c r="B348"/>
      <c r="C348" s="25"/>
      <c r="D348" s="90"/>
      <c r="E348" s="90"/>
      <c r="F348" s="25"/>
      <c r="G348" s="185"/>
      <c r="H348" s="185"/>
      <c r="I348" s="185"/>
      <c r="J348" s="47"/>
      <c r="K348" s="92"/>
      <c r="L348" s="91"/>
      <c r="M348" s="91"/>
      <c r="N348" s="91"/>
      <c r="O348" s="93"/>
      <c r="P348" s="47"/>
      <c r="Q348" s="30"/>
      <c r="R348" s="30"/>
      <c r="S348" s="47"/>
      <c r="T348" s="47"/>
      <c r="U348" s="47"/>
      <c r="V348" s="93"/>
      <c r="W348" s="47"/>
      <c r="X348" s="47"/>
      <c r="Y348" s="47"/>
      <c r="Z348" s="47"/>
      <c r="AA348" s="47"/>
      <c r="AB348" s="47"/>
      <c r="AC348" s="47"/>
      <c r="AD348" s="47"/>
      <c r="AE348" s="47"/>
    </row>
    <row r="349" spans="2:31" x14ac:dyDescent="0.3">
      <c r="B349" s="9" t="s">
        <v>40</v>
      </c>
      <c r="C349" s="9" t="s">
        <v>6</v>
      </c>
      <c r="D349" s="58">
        <f>D347+1</f>
        <v>42304</v>
      </c>
      <c r="E349" s="29" t="s">
        <v>29</v>
      </c>
      <c r="F349" s="190"/>
      <c r="G349" s="194">
        <v>0.375</v>
      </c>
      <c r="H349" s="194">
        <v>3.125E-2</v>
      </c>
      <c r="I349" s="194">
        <v>0.70833333333333337</v>
      </c>
      <c r="J349" s="193">
        <f>IF(OR(E349="férié travaillé",E349="travail"),(I349-G349+IF(G349&gt;I349,1)-H349),INDEX('bases de donnée'!$E$20:'bases de donnée'!$E$32,MATCH(E349,gerald2,0)))</f>
        <v>0.30208333333333337</v>
      </c>
      <c r="K349" s="20">
        <f>IF(SUM(J349-'bases de donnée'!E$7)&lt;0,0,SUM(J349-'bases de donnée'!E$7))</f>
        <v>0</v>
      </c>
      <c r="L349" s="11">
        <f>IF(OR(E349="férié travaillé",E349="travail"),I349-G349+IF(G349&gt;I349,1),INDEX('bases de donnée'!$E$20:'bases de donnée'!$E$32,MATCH(E349,gerald2,0)))</f>
        <v>0.33333333333333337</v>
      </c>
      <c r="M349" s="21">
        <f>IF(SUM(L349-'bases de donnée'!E$4)&lt;0,0,SUM(L349-'bases de donnée'!E$4))</f>
        <v>0</v>
      </c>
      <c r="N349" s="155">
        <v>0</v>
      </c>
      <c r="O349" s="59">
        <f t="shared" ref="O349" si="369">J349</f>
        <v>0.30208333333333337</v>
      </c>
      <c r="P349" s="122">
        <f>SUM(Q349:Q355)</f>
        <v>5</v>
      </c>
      <c r="Q349" s="120">
        <f>IF(AND(G349&lt;&gt;"",I349&lt;&gt;""),1,0+OR(N(I348)&lt;N(G348),E349="récupération",E349="congé 1 jour",E349="congé 1/2 jour ",E349="congé 5h24",E349="arrêt maladie",E349="arrêt travail",E349="férié ",E349="congé parentale",E349="congé de naissance"))</f>
        <v>1</v>
      </c>
      <c r="R349" s="30"/>
      <c r="S349" s="77">
        <f>IF(SUM(MOD(I349-G349,1)-IF(I349&gt;G349,MAX(0,MIN(I349,'bases de donnée'!E$16/24)-MAX('planning '!G349,7/24)),MAX(0,'bases de donnée'!E$16/24-MAX('planning '!G349,7/24))+MAX(0,MIN('planning '!I349,'bases de donnée'!E$16/24)-7/24)))&lt;0,0,SUM(MOD('planning '!I349-'planning '!G349,1)-IF('planning '!I349&gt;'planning '!G349,MAX(0,MIN('planning '!I349,'bases de donnée'!E$16/24)-MAX('planning '!G349,7/24)),MAX(0,'bases de donnée'!E$16/24-MAX('planning '!G349,7/24))+MAX(0,MIN('planning '!I349,'bases de donnée'!E$16/24)-7/24))))</f>
        <v>0</v>
      </c>
      <c r="T349" s="50"/>
      <c r="U349" s="77" t="str">
        <f t="shared" ref="U349:U355" si="370">IF(E349&lt;&gt;"travail",IF(E349="férié travaillé",MOD(I349-G349,1)-H349,"00:00"),"00:00")</f>
        <v>00:00</v>
      </c>
      <c r="V349" s="78"/>
      <c r="W349" s="47"/>
      <c r="X349" s="48">
        <f t="shared" si="344"/>
        <v>0</v>
      </c>
      <c r="Y349" s="31"/>
      <c r="Z349" s="88">
        <f t="shared" ref="Z349:Z354" si="371">IF(SUM(U349-X349)&lt;0,0,SUM(U349-X349))</f>
        <v>0</v>
      </c>
      <c r="AA349" s="67">
        <f t="shared" ref="AA349:AA354" si="372">IF(SUM(V349-X349-Z349)&lt;0,0,SUM(V349-X349-Z349))</f>
        <v>0</v>
      </c>
      <c r="AB349" s="47"/>
      <c r="AC349" s="50"/>
      <c r="AD349" s="33">
        <f t="shared" si="345"/>
        <v>0</v>
      </c>
      <c r="AE349" s="33">
        <f t="shared" si="302"/>
        <v>0</v>
      </c>
    </row>
    <row r="350" spans="2:31" x14ac:dyDescent="0.3">
      <c r="B350" s="60">
        <f t="shared" ref="B350" si="373">B342+1</f>
        <v>43</v>
      </c>
      <c r="C350" s="9" t="s">
        <v>7</v>
      </c>
      <c r="D350" s="58">
        <f t="shared" si="313"/>
        <v>42305</v>
      </c>
      <c r="E350" s="29" t="s">
        <v>29</v>
      </c>
      <c r="F350" s="191"/>
      <c r="G350" s="194">
        <v>0.375</v>
      </c>
      <c r="H350" s="194">
        <v>3.125E-2</v>
      </c>
      <c r="I350" s="194">
        <v>0.70833333333333337</v>
      </c>
      <c r="J350" s="193">
        <f>IF(OR(E350="férié travaillé",E350="travail"),(I350-G350+IF(G350&gt;I350,1)-H350),INDEX('bases de donnée'!$E$20:'bases de donnée'!$E$32,MATCH(E350,gerald2,0)))</f>
        <v>0.30208333333333337</v>
      </c>
      <c r="K350" s="20">
        <f>IF(SUM(J350-'bases de donnée'!E$7)&lt;0,0,SUM(J350-'bases de donnée'!E$7))</f>
        <v>0</v>
      </c>
      <c r="L350" s="11">
        <f>IF(OR(E350="férié travaillé",E350="travail"),I350-G350+IF(G350&gt;I350,1),INDEX('bases de donnée'!$E$20:'bases de donnée'!$E$32,MATCH(E350,gerald2,0)))</f>
        <v>0.33333333333333337</v>
      </c>
      <c r="M350" s="21">
        <f>IF(SUM(L350-'bases de donnée'!E$4)&lt;0,0,SUM(L350-'bases de donnée'!E$4))</f>
        <v>0</v>
      </c>
      <c r="N350" s="155">
        <v>0</v>
      </c>
      <c r="O350" s="74">
        <f t="shared" ref="O350:O355" si="374">O349+J350</f>
        <v>0.60416666666666674</v>
      </c>
      <c r="P350" s="121">
        <f>IF(SUM(P349-'bases de donnée'!E$6)&lt;0,0,SUM(P349-'bases de donnée'!E$6))</f>
        <v>0</v>
      </c>
      <c r="Q350" s="120">
        <f t="shared" ref="Q350:Q355" si="375">IF(AND(G350&lt;&gt;"",I350&lt;&gt;""),1,0+OR(N(I349)&lt;N(G349),E350="récupération",E350="congé 1 jour",E350="congé 1/2 jour ",E350="congé 5h24",E350="arrêt maladie",E350="arrêt travail",E350="férié ",E350="congé parentale",E350="congé de naissance"))</f>
        <v>1</v>
      </c>
      <c r="R350" s="30"/>
      <c r="S350" s="77">
        <f>IF(SUM(MOD(I350-G350,1)-IF(I350&gt;G350,MAX(0,MIN(I350,'bases de donnée'!E$16/24)-MAX('planning '!G350,7/24)),MAX(0,'bases de donnée'!E$16/24-MAX('planning '!G350,7/24))+MAX(0,MIN('planning '!I350,'bases de donnée'!E$16/24)-7/24)))&lt;0,0,SUM(MOD('planning '!I350-'planning '!G350,1)-IF('planning '!I350&gt;'planning '!G350,MAX(0,MIN('planning '!I350,'bases de donnée'!E$16/24)-MAX('planning '!G350,7/24)),MAX(0,'bases de donnée'!E$16/24-MAX('planning '!G350,7/24))+MAX(0,MIN('planning '!I350,'bases de donnée'!E$16/24)-7/24))))</f>
        <v>0</v>
      </c>
      <c r="T350" s="54"/>
      <c r="U350" s="77" t="str">
        <f t="shared" si="370"/>
        <v>00:00</v>
      </c>
      <c r="V350" s="78">
        <f>IF(SUM(IF(O350&gt;('bases de donnée'!E$9*1),O350-('bases de donnée'!E$9*1),0)-V349)&lt;0,0,SUM(IF(O350&gt;('bases de donnée'!E$9*1),O350-('bases de donnée'!E$9*1),0)-V349))</f>
        <v>0</v>
      </c>
      <c r="W350" s="47"/>
      <c r="X350" s="48">
        <f t="shared" si="344"/>
        <v>0</v>
      </c>
      <c r="Y350" s="42"/>
      <c r="Z350" s="88">
        <f t="shared" si="371"/>
        <v>0</v>
      </c>
      <c r="AA350" s="48">
        <f t="shared" si="372"/>
        <v>0</v>
      </c>
      <c r="AB350" s="47"/>
      <c r="AC350" s="54"/>
      <c r="AD350" s="33">
        <f t="shared" si="345"/>
        <v>0</v>
      </c>
      <c r="AE350" s="33">
        <f t="shared" si="302"/>
        <v>0</v>
      </c>
    </row>
    <row r="351" spans="2:31" x14ac:dyDescent="0.3">
      <c r="B351"/>
      <c r="C351" s="9" t="s">
        <v>8</v>
      </c>
      <c r="D351" s="58">
        <f t="shared" si="313"/>
        <v>42306</v>
      </c>
      <c r="E351" s="29" t="s">
        <v>29</v>
      </c>
      <c r="F351" s="191"/>
      <c r="G351" s="194">
        <v>0.375</v>
      </c>
      <c r="H351" s="194">
        <v>3.125E-2</v>
      </c>
      <c r="I351" s="194">
        <v>0.70833333333333337</v>
      </c>
      <c r="J351" s="193">
        <f>IF(OR(E351="férié travaillé",E351="travail"),(I351-G351+IF(G351&gt;I351,1)-H351),INDEX('bases de donnée'!$E$20:'bases de donnée'!$E$32,MATCH(E351,gerald2,0)))</f>
        <v>0.30208333333333337</v>
      </c>
      <c r="K351" s="20">
        <f>IF(SUM(J351-'bases de donnée'!E$7)&lt;0,0,SUM(J351-'bases de donnée'!E$7))</f>
        <v>0</v>
      </c>
      <c r="L351" s="11">
        <f>IF(OR(E351="férié travaillé",E351="travail"),I351-G351+IF(G351&gt;I351,1),INDEX('bases de donnée'!$E$20:'bases de donnée'!$E$32,MATCH(E351,gerald2,0)))</f>
        <v>0.33333333333333337</v>
      </c>
      <c r="M351" s="21">
        <f>IF(SUM(L351-'bases de donnée'!E$4)&lt;0,0,SUM(L351-'bases de donnée'!E$4))</f>
        <v>0</v>
      </c>
      <c r="N351" s="155">
        <v>0</v>
      </c>
      <c r="O351" s="74">
        <f t="shared" si="374"/>
        <v>0.90625000000000011</v>
      </c>
      <c r="P351" s="34" t="s">
        <v>46</v>
      </c>
      <c r="Q351" s="120">
        <f t="shared" si="375"/>
        <v>1</v>
      </c>
      <c r="R351" s="30"/>
      <c r="S351" s="77">
        <f>IF(SUM(MOD(I351-G351,1)-IF(I351&gt;G351,MAX(0,MIN(I351,'bases de donnée'!E$16/24)-MAX('planning '!G351,7/24)),MAX(0,'bases de donnée'!E$16/24-MAX('planning '!G351,7/24))+MAX(0,MIN('planning '!I351,'bases de donnée'!E$16/24)-7/24)))&lt;0,0,SUM(MOD('planning '!I351-'planning '!G351,1)-IF('planning '!I351&gt;'planning '!G351,MAX(0,MIN('planning '!I351,'bases de donnée'!E$16/24)-MAX('planning '!G351,7/24)),MAX(0,'bases de donnée'!E$16/24-MAX('planning '!G351,7/24))+MAX(0,MIN('planning '!I351,'bases de donnée'!E$16/24)-7/24))))</f>
        <v>0</v>
      </c>
      <c r="T351" s="54"/>
      <c r="U351" s="77" t="str">
        <f t="shared" si="370"/>
        <v>00:00</v>
      </c>
      <c r="V351" s="78">
        <f>IF(SUM(IF(O351&gt;("36:00"*1),O351-("36:00"*1),0)-V349-V350)&lt;0,0,SUM(IF(O351&gt;("36:00"*1),O351-("36:00"*1),0)-V349-V350))</f>
        <v>0</v>
      </c>
      <c r="W351" s="47"/>
      <c r="X351" s="48">
        <f t="shared" si="344"/>
        <v>0</v>
      </c>
      <c r="Y351" s="42"/>
      <c r="Z351" s="88">
        <f t="shared" si="371"/>
        <v>0</v>
      </c>
      <c r="AA351" s="48">
        <f t="shared" si="372"/>
        <v>0</v>
      </c>
      <c r="AB351" s="47"/>
      <c r="AC351" s="54"/>
      <c r="AD351" s="33">
        <f t="shared" si="345"/>
        <v>0</v>
      </c>
      <c r="AE351" s="33">
        <f t="shared" si="302"/>
        <v>0</v>
      </c>
    </row>
    <row r="352" spans="2:31" x14ac:dyDescent="0.3">
      <c r="B352"/>
      <c r="C352" s="9" t="s">
        <v>9</v>
      </c>
      <c r="D352" s="58">
        <f t="shared" si="313"/>
        <v>42307</v>
      </c>
      <c r="E352" s="29" t="s">
        <v>29</v>
      </c>
      <c r="F352" s="191"/>
      <c r="G352" s="194">
        <v>0.375</v>
      </c>
      <c r="H352" s="194">
        <v>3.125E-2</v>
      </c>
      <c r="I352" s="194">
        <v>0.70000000000000007</v>
      </c>
      <c r="J352" s="193">
        <f>IF(OR(E352="férié travaillé",E352="travail"),(I352-G352+IF(G352&gt;I352,1)-H352),INDEX('bases de donnée'!$E$20:'bases de donnée'!$E$32,MATCH(E352,gerald2,0)))</f>
        <v>0.29375000000000007</v>
      </c>
      <c r="K352" s="20">
        <f>IF(SUM(J352-'bases de donnée'!E$7)&lt;0,0,SUM(J352-'bases de donnée'!E$7))</f>
        <v>0</v>
      </c>
      <c r="L352" s="11">
        <f>IF(OR(E352="férié travaillé",E352="travail"),I352-G352+IF(G352&gt;I352,1),INDEX('bases de donnée'!$E$20:'bases de donnée'!$E$32,MATCH(E352,gerald2,0)))</f>
        <v>0.32500000000000007</v>
      </c>
      <c r="M352" s="21">
        <f>IF(SUM(L352-'bases de donnée'!E$4)&lt;0,0,SUM(L352-'bases de donnée'!E$4))</f>
        <v>0</v>
      </c>
      <c r="N352" s="155">
        <v>0</v>
      </c>
      <c r="O352" s="74">
        <f t="shared" si="374"/>
        <v>1.2000000000000002</v>
      </c>
      <c r="P352" s="86">
        <f>O355</f>
        <v>1.5000000000000002</v>
      </c>
      <c r="Q352" s="120">
        <f t="shared" si="375"/>
        <v>1</v>
      </c>
      <c r="R352" s="30"/>
      <c r="S352" s="77">
        <f>IF(SUM(MOD(I352-G352,1)-IF(I352&gt;G352,MAX(0,MIN(I352,'bases de donnée'!E$16/24)-MAX('planning '!G352,7/24)),MAX(0,'bases de donnée'!E$16/24-MAX('planning '!G352,7/24))+MAX(0,MIN('planning '!I352,'bases de donnée'!E$16/24)-7/24)))&lt;0,0,SUM(MOD('planning '!I352-'planning '!G352,1)-IF('planning '!I352&gt;'planning '!G352,MAX(0,MIN('planning '!I352,'bases de donnée'!E$16/24)-MAX('planning '!G352,7/24)),MAX(0,'bases de donnée'!E$16/24-MAX('planning '!G352,7/24))+MAX(0,MIN('planning '!I352,'bases de donnée'!E$16/24)-7/24))))</f>
        <v>0</v>
      </c>
      <c r="T352" s="54"/>
      <c r="U352" s="77" t="str">
        <f t="shared" si="370"/>
        <v>00:00</v>
      </c>
      <c r="V352" s="78">
        <f>IF(SUM(IF(O352&gt;("36:00"*1),O352-("36:00"*1),0)-V350-V351)&lt;0,0,SUM(IF(O352&gt;("36:00"*1),O352-("36:00"*1),0)-V349-V350-V351))</f>
        <v>0</v>
      </c>
      <c r="W352" s="47"/>
      <c r="X352" s="48">
        <f t="shared" si="344"/>
        <v>0</v>
      </c>
      <c r="Y352" s="42"/>
      <c r="Z352" s="88">
        <f t="shared" si="371"/>
        <v>0</v>
      </c>
      <c r="AA352" s="48">
        <f t="shared" si="372"/>
        <v>0</v>
      </c>
      <c r="AB352" s="47"/>
      <c r="AC352" s="54"/>
      <c r="AD352" s="33">
        <f t="shared" si="345"/>
        <v>0</v>
      </c>
      <c r="AE352" s="33">
        <f t="shared" si="302"/>
        <v>0</v>
      </c>
    </row>
    <row r="353" spans="2:31" x14ac:dyDescent="0.3">
      <c r="B353"/>
      <c r="C353" s="9" t="s">
        <v>3</v>
      </c>
      <c r="D353" s="58">
        <f t="shared" si="313"/>
        <v>42308</v>
      </c>
      <c r="E353" s="29" t="s">
        <v>36</v>
      </c>
      <c r="F353" s="191"/>
      <c r="G353" s="194"/>
      <c r="H353" s="194"/>
      <c r="I353" s="194"/>
      <c r="J353" s="193">
        <f>IF(OR(E353="férié travaillé",E353="travail"),(I353-G353+IF(G353&gt;I353,1)-H353),INDEX('bases de donnée'!$E$20:'bases de donnée'!$E$32,MATCH(E353,gerald2,0)))</f>
        <v>0.3</v>
      </c>
      <c r="K353" s="20">
        <f>IF(SUM(J353-'bases de donnée'!E$7)&lt;0,0,SUM(J353-'bases de donnée'!E$7))</f>
        <v>0</v>
      </c>
      <c r="L353" s="11">
        <f>IF(OR(E353="férié travaillé",E353="travail"),I353-G353+IF(G353&gt;I353,1),INDEX('bases de donnée'!$E$20:'bases de donnée'!$E$32,MATCH(E353,gerald2,0)))</f>
        <v>0.3</v>
      </c>
      <c r="M353" s="21">
        <f>IF(SUM(L353-'bases de donnée'!E$4)&lt;0,0,SUM(L353-'bases de donnée'!E$4))</f>
        <v>0</v>
      </c>
      <c r="N353" s="155">
        <v>0</v>
      </c>
      <c r="O353" s="74">
        <f t="shared" si="374"/>
        <v>1.5000000000000002</v>
      </c>
      <c r="P353" s="8" t="s">
        <v>48</v>
      </c>
      <c r="Q353" s="120">
        <f t="shared" si="375"/>
        <v>1</v>
      </c>
      <c r="R353" s="30"/>
      <c r="S353" s="77">
        <f>IF(SUM(MOD(I353-G353,1)-IF(I353&gt;G353,MAX(0,MIN(I353,'bases de donnée'!E$16/24)-MAX('planning '!G353,7/24)),MAX(0,'bases de donnée'!E$16/24-MAX('planning '!G353,7/24))+MAX(0,MIN('planning '!I353,'bases de donnée'!E$16/24)-7/24)))&lt;0,0,SUM(MOD('planning '!I353-'planning '!G353,1)-IF('planning '!I353&gt;'planning '!G353,MAX(0,MIN('planning '!I353,'bases de donnée'!E$16/24)-MAX('planning '!G353,7/24)),MAX(0,'bases de donnée'!E$16/24-MAX('planning '!G353,7/24))+MAX(0,MIN('planning '!I353,'bases de donnée'!E$16/24)-7/24))))</f>
        <v>0</v>
      </c>
      <c r="T353" s="54"/>
      <c r="U353" s="77" t="str">
        <f t="shared" si="370"/>
        <v>00:00</v>
      </c>
      <c r="V353" s="78">
        <f>IF(SUM(IF(O353&gt;("36:00"*1),O353-("36:00"*1),0)-V351-V352)&lt;0,0,SUM(IF(O353&gt;("36:00"*1),O353-("36:00"*1),0)-V349-V350-V351-V352))</f>
        <v>0</v>
      </c>
      <c r="W353" s="47"/>
      <c r="X353" s="48">
        <f t="shared" si="344"/>
        <v>0</v>
      </c>
      <c r="Y353" s="42"/>
      <c r="Z353" s="88">
        <f t="shared" si="371"/>
        <v>0</v>
      </c>
      <c r="AA353" s="48">
        <f t="shared" si="372"/>
        <v>0</v>
      </c>
      <c r="AB353" s="47"/>
      <c r="AC353" s="54"/>
      <c r="AD353" s="33">
        <f t="shared" si="345"/>
        <v>0</v>
      </c>
      <c r="AE353" s="33">
        <f t="shared" si="302"/>
        <v>0</v>
      </c>
    </row>
    <row r="354" spans="2:31" x14ac:dyDescent="0.3">
      <c r="B354"/>
      <c r="C354" s="9" t="s">
        <v>4</v>
      </c>
      <c r="D354" s="58">
        <f t="shared" si="313"/>
        <v>42309</v>
      </c>
      <c r="E354" s="29" t="s">
        <v>28</v>
      </c>
      <c r="F354" s="191"/>
      <c r="G354" s="194"/>
      <c r="H354" s="194"/>
      <c r="I354" s="194"/>
      <c r="J354" s="193">
        <f>IF(OR(E354="férié travaillé",E354="travail"),(I354-G354+IF(G354&gt;I354,1)-H354),INDEX('bases de donnée'!$E$20:'bases de donnée'!$E$32,MATCH(E354,gerald2,0)))</f>
        <v>0</v>
      </c>
      <c r="K354" s="20">
        <f>IF(SUM(J354-'bases de donnée'!E$7)&lt;0,0,SUM(J354-'bases de donnée'!E$7))</f>
        <v>0</v>
      </c>
      <c r="L354" s="11">
        <f>IF(OR(E354="férié travaillé",E354="travail"),I354-G354+IF(G354&gt;I354,1),INDEX('bases de donnée'!$E$20:'bases de donnée'!$E$32,MATCH(E354,gerald2,0)))</f>
        <v>0</v>
      </c>
      <c r="M354" s="21">
        <f>IF(SUM(L354-'bases de donnée'!E$4)&lt;0,0,SUM(L354-'bases de donnée'!E$4))</f>
        <v>0</v>
      </c>
      <c r="N354" s="155">
        <v>0</v>
      </c>
      <c r="O354" s="74">
        <f t="shared" si="374"/>
        <v>1.5000000000000002</v>
      </c>
      <c r="P354" s="61">
        <f>'bases de donnée'!E$10</f>
        <v>2</v>
      </c>
      <c r="Q354" s="120">
        <f t="shared" si="375"/>
        <v>0</v>
      </c>
      <c r="R354" s="30"/>
      <c r="S354" s="77">
        <f>IF(SUM(MOD(I354-G354,1)-IF(I354&gt;G354,MAX(0,MIN(I354,'bases de donnée'!E$16/24)-MAX('planning '!G354,7/24)),MAX(0,'bases de donnée'!E$16/24-MAX('planning '!G354,7/24))+MAX(0,MIN('planning '!I354,'bases de donnée'!E$16/24)-7/24)))&lt;0,0,SUM(MOD('planning '!I354-'planning '!G354,1)-IF('planning '!I354&gt;'planning '!G354,MAX(0,MIN('planning '!I354,'bases de donnée'!E$16/24)-MAX('planning '!G354,7/24)),MAX(0,'bases de donnée'!E$16/24-MAX('planning '!G354,7/24))+MAX(0,MIN('planning '!I354,'bases de donnée'!E$16/24)-7/24))))</f>
        <v>0</v>
      </c>
      <c r="T354" s="55"/>
      <c r="U354" s="77" t="str">
        <f t="shared" si="370"/>
        <v>00:00</v>
      </c>
      <c r="V354" s="78">
        <f>IF(SUM(IF(O354&gt;("36:00"*1),O354-("36:00"*1),0)-V352-V353)&lt;0,0,SUM(IF(O354&gt;("36:00"*1),O354-("36:00"*1),0)-V349-V350-V351-V352-V353))</f>
        <v>0</v>
      </c>
      <c r="W354" s="47"/>
      <c r="X354" s="48">
        <f t="shared" si="344"/>
        <v>0</v>
      </c>
      <c r="Y354" s="32"/>
      <c r="Z354" s="88">
        <f t="shared" si="371"/>
        <v>0</v>
      </c>
      <c r="AA354" s="48">
        <f t="shared" si="372"/>
        <v>0</v>
      </c>
      <c r="AB354" s="47"/>
      <c r="AC354" s="55"/>
      <c r="AD354" s="33">
        <f t="shared" si="345"/>
        <v>0</v>
      </c>
      <c r="AE354" s="33">
        <f t="shared" si="302"/>
        <v>0</v>
      </c>
    </row>
    <row r="355" spans="2:31" x14ac:dyDescent="0.3">
      <c r="B355"/>
      <c r="C355" s="9" t="s">
        <v>5</v>
      </c>
      <c r="D355" s="58">
        <f t="shared" si="313"/>
        <v>42310</v>
      </c>
      <c r="E355" s="29" t="s">
        <v>28</v>
      </c>
      <c r="F355" s="192"/>
      <c r="G355" s="194"/>
      <c r="H355" s="194"/>
      <c r="I355" s="194"/>
      <c r="J355" s="193">
        <f>IF(OR(E355="férié travaillé",E355="travail"),(I355-G355+IF(G355&gt;I355,1)-H355),INDEX('bases de donnée'!$E$20:'bases de donnée'!$E$32,MATCH(E355,gerald2,0)))</f>
        <v>0</v>
      </c>
      <c r="K355" s="20">
        <f>IF(SUM(J355-'bases de donnée'!E$7)&lt;0,0,SUM(J355-'bases de donnée'!E$7))</f>
        <v>0</v>
      </c>
      <c r="L355" s="11">
        <f>IF(OR(E355="férié travaillé",E355="travail"),I355-G355+IF(G355&gt;I355,1),INDEX('bases de donnée'!$E$20:'bases de donnée'!$E$32,MATCH(E355,gerald2,0)))</f>
        <v>0</v>
      </c>
      <c r="M355" s="21">
        <f>IF(SUM(L355-'bases de donnée'!E$4)&lt;0,0,SUM(L355-'bases de donnée'!E$4))</f>
        <v>0</v>
      </c>
      <c r="N355" s="155">
        <v>0</v>
      </c>
      <c r="O355" s="74">
        <f t="shared" si="374"/>
        <v>1.5000000000000002</v>
      </c>
      <c r="P355" s="33">
        <f>IF(SUM(O355-'bases de donnée'!E$10)&lt;0,0,SUM(O355-'bases de donnée'!E$10))</f>
        <v>0</v>
      </c>
      <c r="Q355" s="120">
        <f t="shared" si="375"/>
        <v>0</v>
      </c>
      <c r="R355" s="30"/>
      <c r="S355" s="77">
        <f>IF(SUM(MOD(I355-G355,1)-IF(I355&gt;G355,MAX(0,MIN(I355,'bases de donnée'!E$16/24)-MAX('planning '!G355,7/24)),MAX(0,'bases de donnée'!E$16/24-MAX('planning '!G355,7/24))+MAX(0,MIN('planning '!I355,'bases de donnée'!E$16/24)-7/24)))&lt;0,0,SUM(MOD('planning '!I355-'planning '!G355,1)-IF('planning '!I355&gt;'planning '!G355,MAX(0,MIN('planning '!I355,'bases de donnée'!E$16/24)-MAX('planning '!G355,7/24)),MAX(0,'bases de donnée'!E$16/24-MAX('planning '!G355,7/24))+MAX(0,MIN('planning '!I355,'bases de donnée'!E$16/24)-7/24))))</f>
        <v>0</v>
      </c>
      <c r="T355" s="77">
        <f>J355</f>
        <v>0</v>
      </c>
      <c r="U355" s="77" t="str">
        <f t="shared" si="370"/>
        <v>00:00</v>
      </c>
      <c r="V355" s="78">
        <f>IF(SUM(IF(O355&gt;("36:00"*1),O355-("36:00"*1),0)-V353-V354)&lt;0,0,SUM(IF(O355&gt;("36:00"*1),O355-("36:00"*1),0)-V349-V350-V351-V352-V353-V354))</f>
        <v>0</v>
      </c>
      <c r="W355" s="47"/>
      <c r="X355" s="48">
        <f t="shared" si="344"/>
        <v>0</v>
      </c>
      <c r="Y355" s="48">
        <f t="shared" ref="Y355" si="376">IF(SUM(T355-S355)&lt;0,0,SUM(T355-S355))</f>
        <v>0</v>
      </c>
      <c r="Z355" s="48">
        <f t="shared" ref="Z355" si="377">IF(SUM(U355-T355-S355)&lt;0,0,SUM(U355-T355-S355))</f>
        <v>0</v>
      </c>
      <c r="AA355" s="88">
        <f>IF(SUM(V355-S355-T355-U355)&lt;0,0,SUM(V355-S355-T355-U355))</f>
        <v>0</v>
      </c>
      <c r="AB355" s="47"/>
      <c r="AC355" s="57">
        <f t="shared" ref="AC355" si="378">IF(SUM(T355-Y355)&lt;0,0,SUM(T355-Y355))</f>
        <v>0</v>
      </c>
      <c r="AD355" s="33">
        <f t="shared" si="345"/>
        <v>0</v>
      </c>
      <c r="AE355" s="33">
        <f t="shared" si="302"/>
        <v>0</v>
      </c>
    </row>
    <row r="356" spans="2:31" x14ac:dyDescent="0.3">
      <c r="B356"/>
      <c r="C356" s="25"/>
      <c r="D356" s="90"/>
      <c r="E356" s="90"/>
      <c r="F356" s="25"/>
      <c r="G356" s="185"/>
      <c r="H356" s="185"/>
      <c r="I356" s="185"/>
      <c r="J356" s="47"/>
      <c r="K356" s="92"/>
      <c r="L356" s="91"/>
      <c r="M356" s="91"/>
      <c r="N356" s="91"/>
      <c r="O356" s="93"/>
      <c r="P356" s="47"/>
      <c r="Q356" s="30"/>
      <c r="R356" s="30"/>
      <c r="S356" s="47"/>
      <c r="T356" s="47"/>
      <c r="U356" s="47"/>
      <c r="V356" s="93"/>
      <c r="W356" s="47"/>
      <c r="X356" s="47"/>
      <c r="Y356" s="47"/>
      <c r="Z356" s="47"/>
      <c r="AA356" s="47"/>
      <c r="AB356" s="47"/>
      <c r="AC356" s="47"/>
      <c r="AD356" s="47"/>
      <c r="AE356" s="47"/>
    </row>
    <row r="357" spans="2:31" x14ac:dyDescent="0.3">
      <c r="B357" s="14" t="s">
        <v>40</v>
      </c>
      <c r="C357" s="69" t="s">
        <v>6</v>
      </c>
      <c r="D357" s="70">
        <f>D355+1</f>
        <v>42311</v>
      </c>
      <c r="E357" s="29" t="s">
        <v>29</v>
      </c>
      <c r="F357" s="190"/>
      <c r="G357" s="194">
        <v>0.375</v>
      </c>
      <c r="H357" s="194">
        <v>3.125E-2</v>
      </c>
      <c r="I357" s="194">
        <v>0.70833333333333337</v>
      </c>
      <c r="J357" s="193">
        <f>IF(OR(E357="férié travaillé",E357="travail"),(I357-G357+IF(G357&gt;I357,1)-H357),INDEX('bases de donnée'!$E$20:'bases de donnée'!$E$32,MATCH(E357,gerald2,0)))</f>
        <v>0.30208333333333337</v>
      </c>
      <c r="K357" s="20">
        <f>IF(SUM(J357-'bases de donnée'!E$7)&lt;0,0,SUM(J357-'bases de donnée'!E$7))</f>
        <v>0</v>
      </c>
      <c r="L357" s="11">
        <f>IF(OR(E357="férié travaillé",E357="travail"),I357-G357+IF(G357&gt;I357,1),INDEX('bases de donnée'!$E$20:'bases de donnée'!$E$32,MATCH(E357,gerald2,0)))</f>
        <v>0.33333333333333337</v>
      </c>
      <c r="M357" s="21">
        <f>IF(SUM(L357-'bases de donnée'!E$4)&lt;0,0,SUM(L357-'bases de donnée'!E$4))</f>
        <v>0</v>
      </c>
      <c r="N357" s="155">
        <v>0</v>
      </c>
      <c r="O357" s="62">
        <f t="shared" ref="O357" si="379">J357</f>
        <v>0.30208333333333337</v>
      </c>
      <c r="P357" s="122">
        <f>SUM(Q357:Q363)</f>
        <v>5</v>
      </c>
      <c r="Q357" s="120">
        <f>IF(AND(G357&lt;&gt;"",I357&lt;&gt;""),1,0+OR(N(I356)&lt;N(G356),E357="récupération",E357="congé 1 jour",E357="congé 1/2 jour ",E357="congé 5h24",E357="arrêt maladie",E357="arrêt travail",E357="férié ",E357="congé parentale",E357="congé de naissance"))</f>
        <v>1</v>
      </c>
      <c r="R357" s="30"/>
      <c r="S357" s="77">
        <f>IF(SUM(MOD(I357-G357,1)-IF(I357&gt;G357,MAX(0,MIN(I357,'bases de donnée'!E$16/24)-MAX('planning '!G357,7/24)),MAX(0,'bases de donnée'!E$16/24-MAX('planning '!G357,7/24))+MAX(0,MIN('planning '!I357,'bases de donnée'!E$16/24)-7/24)))&lt;0,0,SUM(MOD('planning '!I357-'planning '!G357,1)-IF('planning '!I357&gt;'planning '!G357,MAX(0,MIN('planning '!I357,'bases de donnée'!E$16/24)-MAX('planning '!G357,7/24)),MAX(0,'bases de donnée'!E$16/24-MAX('planning '!G357,7/24))+MAX(0,MIN('planning '!I357,'bases de donnée'!E$16/24)-7/24))))</f>
        <v>0</v>
      </c>
      <c r="T357" s="81"/>
      <c r="U357" s="77" t="str">
        <f t="shared" ref="U357:U363" si="380">IF(E357&lt;&gt;"travail",IF(E357="férié travaillé",MOD(I357-G357,1)-H357,"00:00"),"00:00")</f>
        <v>00:00</v>
      </c>
      <c r="V357" s="78"/>
      <c r="W357" s="47"/>
      <c r="X357" s="48">
        <f t="shared" si="344"/>
        <v>0</v>
      </c>
      <c r="Y357" s="31"/>
      <c r="Z357" s="49">
        <f t="shared" ref="Z357:Z362" si="381">IF(SUM(U357-X357)&lt;0,0,SUM(U357-X357))</f>
        <v>0</v>
      </c>
      <c r="AA357" s="48">
        <f t="shared" ref="AA357:AA362" si="382">IF(SUM(V357-X357-Z357)&lt;0,0,SUM(V357-X357-Z357))</f>
        <v>0</v>
      </c>
      <c r="AB357" s="47"/>
      <c r="AC357" s="50"/>
      <c r="AD357" s="33">
        <f t="shared" si="345"/>
        <v>0</v>
      </c>
      <c r="AE357" s="33">
        <f t="shared" si="302"/>
        <v>0</v>
      </c>
    </row>
    <row r="358" spans="2:31" x14ac:dyDescent="0.3">
      <c r="B358" s="51">
        <f t="shared" ref="B358" si="383">B350+1</f>
        <v>44</v>
      </c>
      <c r="C358" s="14" t="s">
        <v>7</v>
      </c>
      <c r="D358" s="43">
        <f t="shared" si="313"/>
        <v>42312</v>
      </c>
      <c r="E358" s="29" t="s">
        <v>29</v>
      </c>
      <c r="F358" s="191"/>
      <c r="G358" s="194">
        <v>0.375</v>
      </c>
      <c r="H358" s="194">
        <v>3.125E-2</v>
      </c>
      <c r="I358" s="194">
        <v>0.70833333333333337</v>
      </c>
      <c r="J358" s="193">
        <f>IF(OR(E358="férié travaillé",E358="travail"),(I358-G358+IF(G358&gt;I358,1)-H358),INDEX('bases de donnée'!$E$20:'bases de donnée'!$E$32,MATCH(E358,gerald2,0)))</f>
        <v>0.30208333333333337</v>
      </c>
      <c r="K358" s="20">
        <f>IF(SUM(J358-'bases de donnée'!E$7)&lt;0,0,SUM(J358-'bases de donnée'!E$7))</f>
        <v>0</v>
      </c>
      <c r="L358" s="11">
        <f>IF(OR(E358="férié travaillé",E358="travail"),I358-G358+IF(G358&gt;I358,1),INDEX('bases de donnée'!$E$20:'bases de donnée'!$E$32,MATCH(E358,gerald2,0)))</f>
        <v>0.33333333333333337</v>
      </c>
      <c r="M358" s="21">
        <f>IF(SUM(L358-'bases de donnée'!E$4)&lt;0,0,SUM(L358-'bases de donnée'!E$4))</f>
        <v>0</v>
      </c>
      <c r="N358" s="155">
        <v>0</v>
      </c>
      <c r="O358" s="73">
        <f t="shared" ref="O358:O363" si="384">O357+J358</f>
        <v>0.60416666666666674</v>
      </c>
      <c r="P358" s="121">
        <f>IF(SUM(P357-'bases de donnée'!E$6)&lt;0,0,SUM(P357-'bases de donnée'!E$6))</f>
        <v>0</v>
      </c>
      <c r="Q358" s="120">
        <f t="shared" ref="Q358:Q363" si="385">IF(AND(G358&lt;&gt;"",I358&lt;&gt;""),1,0+OR(N(I357)&lt;N(G357),E358="récupération",E358="congé 1 jour",E358="congé 1/2 jour ",E358="congé 5h24",E358="arrêt maladie",E358="arrêt travail",E358="férié ",E358="congé parentale",E358="congé de naissance"))</f>
        <v>1</v>
      </c>
      <c r="R358" s="30"/>
      <c r="S358" s="77">
        <f>IF(SUM(MOD(I358-G358,1)-IF(I358&gt;G358,MAX(0,MIN(I358,'bases de donnée'!E$16/24)-MAX('planning '!G358,7/24)),MAX(0,'bases de donnée'!E$16/24-MAX('planning '!G358,7/24))+MAX(0,MIN('planning '!I358,'bases de donnée'!E$16/24)-7/24)))&lt;0,0,SUM(MOD('planning '!I358-'planning '!G358,1)-IF('planning '!I358&gt;'planning '!G358,MAX(0,MIN('planning '!I358,'bases de donnée'!E$16/24)-MAX('planning '!G358,7/24)),MAX(0,'bases de donnée'!E$16/24-MAX('planning '!G358,7/24))+MAX(0,MIN('planning '!I358,'bases de donnée'!E$16/24)-7/24))))</f>
        <v>0</v>
      </c>
      <c r="T358" s="82"/>
      <c r="U358" s="77" t="str">
        <f t="shared" si="380"/>
        <v>00:00</v>
      </c>
      <c r="V358" s="78">
        <f>IF(SUM(IF(O358&gt;('bases de donnée'!E$9*1),O358-('bases de donnée'!E$9*1),0)-V357)&lt;0,0,SUM(IF(O358&gt;('bases de donnée'!E$9*1),O358-('bases de donnée'!E$9*1),0)-V357))</f>
        <v>0</v>
      </c>
      <c r="W358" s="47"/>
      <c r="X358" s="48">
        <f t="shared" si="344"/>
        <v>0</v>
      </c>
      <c r="Y358" s="42"/>
      <c r="Z358" s="49">
        <f t="shared" si="381"/>
        <v>0</v>
      </c>
      <c r="AA358" s="48">
        <f t="shared" si="382"/>
        <v>0</v>
      </c>
      <c r="AB358" s="47"/>
      <c r="AC358" s="54"/>
      <c r="AD358" s="33">
        <f t="shared" si="345"/>
        <v>0</v>
      </c>
      <c r="AE358" s="33">
        <f t="shared" si="302"/>
        <v>0</v>
      </c>
    </row>
    <row r="359" spans="2:31" x14ac:dyDescent="0.3">
      <c r="B359"/>
      <c r="C359" s="14" t="s">
        <v>8</v>
      </c>
      <c r="D359" s="43">
        <f t="shared" si="313"/>
        <v>42313</v>
      </c>
      <c r="E359" s="29" t="s">
        <v>29</v>
      </c>
      <c r="F359" s="191"/>
      <c r="G359" s="194">
        <v>0.375</v>
      </c>
      <c r="H359" s="194">
        <v>3.125E-2</v>
      </c>
      <c r="I359" s="194">
        <v>0.70833333333333337</v>
      </c>
      <c r="J359" s="193">
        <f>IF(OR(E359="férié travaillé",E359="travail"),(I359-G359+IF(G359&gt;I359,1)-H359),INDEX('bases de donnée'!$E$20:'bases de donnée'!$E$32,MATCH(E359,gerald2,0)))</f>
        <v>0.30208333333333337</v>
      </c>
      <c r="K359" s="20">
        <f>IF(SUM(J359-'bases de donnée'!E$7)&lt;0,0,SUM(J359-'bases de donnée'!E$7))</f>
        <v>0</v>
      </c>
      <c r="L359" s="11">
        <f>IF(OR(E359="férié travaillé",E359="travail"),I359-G359+IF(G359&gt;I359,1),INDEX('bases de donnée'!$E$20:'bases de donnée'!$E$32,MATCH(E359,gerald2,0)))</f>
        <v>0.33333333333333337</v>
      </c>
      <c r="M359" s="21">
        <f>IF(SUM(L359-'bases de donnée'!E$4)&lt;0,0,SUM(L359-'bases de donnée'!E$4))</f>
        <v>0</v>
      </c>
      <c r="N359" s="155">
        <v>0</v>
      </c>
      <c r="O359" s="73">
        <f t="shared" si="384"/>
        <v>0.90625000000000011</v>
      </c>
      <c r="P359" s="34" t="s">
        <v>46</v>
      </c>
      <c r="Q359" s="120">
        <f t="shared" si="385"/>
        <v>1</v>
      </c>
      <c r="R359" s="30"/>
      <c r="S359" s="77">
        <f>IF(SUM(MOD(I359-G359,1)-IF(I359&gt;G359,MAX(0,MIN(I359,'bases de donnée'!E$16/24)-MAX('planning '!G359,7/24)),MAX(0,'bases de donnée'!E$16/24-MAX('planning '!G359,7/24))+MAX(0,MIN('planning '!I359,'bases de donnée'!E$16/24)-7/24)))&lt;0,0,SUM(MOD('planning '!I359-'planning '!G359,1)-IF('planning '!I359&gt;'planning '!G359,MAX(0,MIN('planning '!I359,'bases de donnée'!E$16/24)-MAX('planning '!G359,7/24)),MAX(0,'bases de donnée'!E$16/24-MAX('planning '!G359,7/24))+MAX(0,MIN('planning '!I359,'bases de donnée'!E$16/24)-7/24))))</f>
        <v>0</v>
      </c>
      <c r="T359" s="82"/>
      <c r="U359" s="77" t="str">
        <f t="shared" si="380"/>
        <v>00:00</v>
      </c>
      <c r="V359" s="78">
        <f>IF(SUM(IF(O359&gt;("36:00"*1),O359-("36:00"*1),0)-V357-V358)&lt;0,0,SUM(IF(O359&gt;("36:00"*1),O359-("36:00"*1),0)-V357-V358))</f>
        <v>0</v>
      </c>
      <c r="W359" s="47"/>
      <c r="X359" s="48">
        <f t="shared" si="344"/>
        <v>0</v>
      </c>
      <c r="Y359" s="42"/>
      <c r="Z359" s="49">
        <f t="shared" si="381"/>
        <v>0</v>
      </c>
      <c r="AA359" s="48">
        <f t="shared" si="382"/>
        <v>0</v>
      </c>
      <c r="AB359" s="47"/>
      <c r="AC359" s="54"/>
      <c r="AD359" s="33">
        <f t="shared" si="345"/>
        <v>0</v>
      </c>
      <c r="AE359" s="33">
        <f t="shared" si="302"/>
        <v>0</v>
      </c>
    </row>
    <row r="360" spans="2:31" x14ac:dyDescent="0.3">
      <c r="B360"/>
      <c r="C360" s="14" t="s">
        <v>9</v>
      </c>
      <c r="D360" s="43">
        <f t="shared" si="313"/>
        <v>42314</v>
      </c>
      <c r="E360" s="29" t="s">
        <v>29</v>
      </c>
      <c r="F360" s="191"/>
      <c r="G360" s="194">
        <v>0.375</v>
      </c>
      <c r="H360" s="194">
        <v>3.125E-2</v>
      </c>
      <c r="I360" s="194">
        <v>0.70000000000000007</v>
      </c>
      <c r="J360" s="193">
        <f>IF(OR(E360="férié travaillé",E360="travail"),(I360-G360+IF(G360&gt;I360,1)-H360),INDEX('bases de donnée'!$E$20:'bases de donnée'!$E$32,MATCH(E360,gerald2,0)))</f>
        <v>0.29375000000000007</v>
      </c>
      <c r="K360" s="20">
        <f>IF(SUM(J360-'bases de donnée'!E$7)&lt;0,0,SUM(J360-'bases de donnée'!E$7))</f>
        <v>0</v>
      </c>
      <c r="L360" s="11">
        <f>IF(OR(E360="férié travaillé",E360="travail"),I360-G360+IF(G360&gt;I360,1),INDEX('bases de donnée'!$E$20:'bases de donnée'!$E$32,MATCH(E360,gerald2,0)))</f>
        <v>0.32500000000000007</v>
      </c>
      <c r="M360" s="21">
        <f>IF(SUM(L360-'bases de donnée'!E$4)&lt;0,0,SUM(L360-'bases de donnée'!E$4))</f>
        <v>0</v>
      </c>
      <c r="N360" s="155">
        <v>0</v>
      </c>
      <c r="O360" s="73">
        <f t="shared" si="384"/>
        <v>1.2000000000000002</v>
      </c>
      <c r="P360" s="86">
        <f>O363</f>
        <v>1.5000000000000002</v>
      </c>
      <c r="Q360" s="120">
        <f t="shared" si="385"/>
        <v>1</v>
      </c>
      <c r="R360" s="30"/>
      <c r="S360" s="77">
        <f>IF(SUM(MOD(I360-G360,1)-IF(I360&gt;G360,MAX(0,MIN(I360,'bases de donnée'!E$16/24)-MAX('planning '!G360,7/24)),MAX(0,'bases de donnée'!E$16/24-MAX('planning '!G360,7/24))+MAX(0,MIN('planning '!I360,'bases de donnée'!E$16/24)-7/24)))&lt;0,0,SUM(MOD('planning '!I360-'planning '!G360,1)-IF('planning '!I360&gt;'planning '!G360,MAX(0,MIN('planning '!I360,'bases de donnée'!E$16/24)-MAX('planning '!G360,7/24)),MAX(0,'bases de donnée'!E$16/24-MAX('planning '!G360,7/24))+MAX(0,MIN('planning '!I360,'bases de donnée'!E$16/24)-7/24))))</f>
        <v>0</v>
      </c>
      <c r="T360" s="82"/>
      <c r="U360" s="77" t="str">
        <f t="shared" si="380"/>
        <v>00:00</v>
      </c>
      <c r="V360" s="78">
        <f>IF(SUM(IF(O360&gt;("36:00"*1),O360-("36:00"*1),0)-V358-V359)&lt;0,0,SUM(IF(O360&gt;("36:00"*1),O360-("36:00"*1),0)-V357-V358-V359))</f>
        <v>0</v>
      </c>
      <c r="W360" s="47"/>
      <c r="X360" s="48">
        <f t="shared" si="344"/>
        <v>0</v>
      </c>
      <c r="Y360" s="42"/>
      <c r="Z360" s="49">
        <f t="shared" si="381"/>
        <v>0</v>
      </c>
      <c r="AA360" s="48">
        <f t="shared" si="382"/>
        <v>0</v>
      </c>
      <c r="AB360" s="47"/>
      <c r="AC360" s="54"/>
      <c r="AD360" s="33">
        <f t="shared" si="345"/>
        <v>0</v>
      </c>
      <c r="AE360" s="33">
        <f t="shared" si="302"/>
        <v>0</v>
      </c>
    </row>
    <row r="361" spans="2:31" x14ac:dyDescent="0.3">
      <c r="B361"/>
      <c r="C361" s="14" t="s">
        <v>3</v>
      </c>
      <c r="D361" s="43">
        <f t="shared" si="313"/>
        <v>42315</v>
      </c>
      <c r="E361" s="29" t="s">
        <v>36</v>
      </c>
      <c r="F361" s="191"/>
      <c r="G361" s="194"/>
      <c r="H361" s="194"/>
      <c r="I361" s="194"/>
      <c r="J361" s="193">
        <f>IF(OR(E361="férié travaillé",E361="travail"),(I361-G361+IF(G361&gt;I361,1)-H361),INDEX('bases de donnée'!$E$20:'bases de donnée'!$E$32,MATCH(E361,gerald2,0)))</f>
        <v>0.3</v>
      </c>
      <c r="K361" s="20">
        <f>IF(SUM(J361-'bases de donnée'!E$7)&lt;0,0,SUM(J361-'bases de donnée'!E$7))</f>
        <v>0</v>
      </c>
      <c r="L361" s="11">
        <f>IF(OR(E361="férié travaillé",E361="travail"),I361-G361+IF(G361&gt;I361,1),INDEX('bases de donnée'!$E$20:'bases de donnée'!$E$32,MATCH(E361,gerald2,0)))</f>
        <v>0.3</v>
      </c>
      <c r="M361" s="21">
        <f>IF(SUM(L361-'bases de donnée'!E$4)&lt;0,0,SUM(L361-'bases de donnée'!E$4))</f>
        <v>0</v>
      </c>
      <c r="N361" s="155">
        <v>0</v>
      </c>
      <c r="O361" s="73">
        <f t="shared" si="384"/>
        <v>1.5000000000000002</v>
      </c>
      <c r="P361" s="12" t="s">
        <v>48</v>
      </c>
      <c r="Q361" s="120">
        <f t="shared" si="385"/>
        <v>1</v>
      </c>
      <c r="R361" s="30"/>
      <c r="S361" s="77">
        <f>IF(SUM(MOD(I361-G361,1)-IF(I361&gt;G361,MAX(0,MIN(I361,'bases de donnée'!E$16/24)-MAX('planning '!G361,7/24)),MAX(0,'bases de donnée'!E$16/24-MAX('planning '!G361,7/24))+MAX(0,MIN('planning '!I361,'bases de donnée'!E$16/24)-7/24)))&lt;0,0,SUM(MOD('planning '!I361-'planning '!G361,1)-IF('planning '!I361&gt;'planning '!G361,MAX(0,MIN('planning '!I361,'bases de donnée'!E$16/24)-MAX('planning '!G361,7/24)),MAX(0,'bases de donnée'!E$16/24-MAX('planning '!G361,7/24))+MAX(0,MIN('planning '!I361,'bases de donnée'!E$16/24)-7/24))))</f>
        <v>0</v>
      </c>
      <c r="T361" s="82"/>
      <c r="U361" s="77" t="str">
        <f t="shared" si="380"/>
        <v>00:00</v>
      </c>
      <c r="V361" s="78">
        <f>IF(SUM(IF(O361&gt;("36:00"*1),O361-("36:00"*1),0)-V359-V360)&lt;0,0,SUM(IF(O361&gt;("36:00"*1),O361-("36:00"*1),0)-V357-V358-V359-V360))</f>
        <v>0</v>
      </c>
      <c r="W361" s="47"/>
      <c r="X361" s="48">
        <f t="shared" si="344"/>
        <v>0</v>
      </c>
      <c r="Y361" s="42"/>
      <c r="Z361" s="49">
        <f t="shared" si="381"/>
        <v>0</v>
      </c>
      <c r="AA361" s="48">
        <f t="shared" si="382"/>
        <v>0</v>
      </c>
      <c r="AB361" s="47"/>
      <c r="AC361" s="54"/>
      <c r="AD361" s="33">
        <f t="shared" si="345"/>
        <v>0</v>
      </c>
      <c r="AE361" s="33">
        <f t="shared" si="302"/>
        <v>0</v>
      </c>
    </row>
    <row r="362" spans="2:31" x14ac:dyDescent="0.3">
      <c r="B362"/>
      <c r="C362" s="14" t="s">
        <v>4</v>
      </c>
      <c r="D362" s="43">
        <f t="shared" si="313"/>
        <v>42316</v>
      </c>
      <c r="E362" s="29" t="s">
        <v>28</v>
      </c>
      <c r="F362" s="191"/>
      <c r="G362" s="194"/>
      <c r="H362" s="194"/>
      <c r="I362" s="194"/>
      <c r="J362" s="193">
        <f>IF(OR(E362="férié travaillé",E362="travail"),(I362-G362+IF(G362&gt;I362,1)-H362),INDEX('bases de donnée'!$E$20:'bases de donnée'!$E$32,MATCH(E362,gerald2,0)))</f>
        <v>0</v>
      </c>
      <c r="K362" s="20">
        <f>IF(SUM(J362-'bases de donnée'!E$7)&lt;0,0,SUM(J362-'bases de donnée'!E$7))</f>
        <v>0</v>
      </c>
      <c r="L362" s="11">
        <f>IF(OR(E362="férié travaillé",E362="travail"),I362-G362+IF(G362&gt;I362,1),INDEX('bases de donnée'!$E$20:'bases de donnée'!$E$32,MATCH(E362,gerald2,0)))</f>
        <v>0</v>
      </c>
      <c r="M362" s="21">
        <f>IF(SUM(L362-'bases de donnée'!E$4)&lt;0,0,SUM(L362-'bases de donnée'!E$4))</f>
        <v>0</v>
      </c>
      <c r="N362" s="155">
        <v>0</v>
      </c>
      <c r="O362" s="73">
        <f t="shared" si="384"/>
        <v>1.5000000000000002</v>
      </c>
      <c r="P362" s="53">
        <f>'bases de donnée'!E$10</f>
        <v>2</v>
      </c>
      <c r="Q362" s="120">
        <f t="shared" si="385"/>
        <v>0</v>
      </c>
      <c r="R362" s="30"/>
      <c r="S362" s="77">
        <f>IF(SUM(MOD(I362-G362,1)-IF(I362&gt;G362,MAX(0,MIN(I362,'bases de donnée'!E$16/24)-MAX('planning '!G362,7/24)),MAX(0,'bases de donnée'!E$16/24-MAX('planning '!G362,7/24))+MAX(0,MIN('planning '!I362,'bases de donnée'!E$16/24)-7/24)))&lt;0,0,SUM(MOD('planning '!I362-'planning '!G362,1)-IF('planning '!I362&gt;'planning '!G362,MAX(0,MIN('planning '!I362,'bases de donnée'!E$16/24)-MAX('planning '!G362,7/24)),MAX(0,'bases de donnée'!E$16/24-MAX('planning '!G362,7/24))+MAX(0,MIN('planning '!I362,'bases de donnée'!E$16/24)-7/24))))</f>
        <v>0</v>
      </c>
      <c r="T362" s="82"/>
      <c r="U362" s="77" t="str">
        <f t="shared" si="380"/>
        <v>00:00</v>
      </c>
      <c r="V362" s="78">
        <f>IF(SUM(IF(O362&gt;("36:00"*1),O362-("36:00"*1),0)-V360-V361)&lt;0,0,SUM(IF(O362&gt;("36:00"*1),O362-("36:00"*1),0)-V357-V358-V359-V360-V361))</f>
        <v>0</v>
      </c>
      <c r="W362" s="47"/>
      <c r="X362" s="48">
        <f t="shared" si="344"/>
        <v>0</v>
      </c>
      <c r="Y362" s="32"/>
      <c r="Z362" s="49">
        <f t="shared" si="381"/>
        <v>0</v>
      </c>
      <c r="AA362" s="48">
        <f t="shared" si="382"/>
        <v>0</v>
      </c>
      <c r="AB362" s="47"/>
      <c r="AC362" s="55"/>
      <c r="AD362" s="33">
        <f t="shared" si="345"/>
        <v>0</v>
      </c>
      <c r="AE362" s="33">
        <f t="shared" si="302"/>
        <v>0</v>
      </c>
    </row>
    <row r="363" spans="2:31" x14ac:dyDescent="0.3">
      <c r="B363"/>
      <c r="C363" s="14" t="s">
        <v>5</v>
      </c>
      <c r="D363" s="43">
        <f t="shared" si="313"/>
        <v>42317</v>
      </c>
      <c r="E363" s="29" t="s">
        <v>28</v>
      </c>
      <c r="F363" s="192"/>
      <c r="G363" s="194"/>
      <c r="H363" s="194"/>
      <c r="I363" s="194"/>
      <c r="J363" s="193">
        <f>IF(OR(E363="férié travaillé",E363="travail"),(I363-G363+IF(G363&gt;I363,1)-H363),INDEX('bases de donnée'!$E$20:'bases de donnée'!$E$32,MATCH(E363,gerald2,0)))</f>
        <v>0</v>
      </c>
      <c r="K363" s="20">
        <f>IF(SUM(J363-'bases de donnée'!E$7)&lt;0,0,SUM(J363-'bases de donnée'!E$7))</f>
        <v>0</v>
      </c>
      <c r="L363" s="11">
        <f>IF(OR(E363="férié travaillé",E363="travail"),I363-G363+IF(G363&gt;I363,1),INDEX('bases de donnée'!$E$20:'bases de donnée'!$E$32,MATCH(E363,gerald2,0)))</f>
        <v>0</v>
      </c>
      <c r="M363" s="21">
        <f>IF(SUM(L363-'bases de donnée'!E$4)&lt;0,0,SUM(L363-'bases de donnée'!E$4))</f>
        <v>0</v>
      </c>
      <c r="N363" s="155">
        <v>0</v>
      </c>
      <c r="O363" s="73">
        <f t="shared" si="384"/>
        <v>1.5000000000000002</v>
      </c>
      <c r="P363" s="33">
        <f>IF(SUM(O363-'bases de donnée'!E$10)&lt;0,0,SUM(O363-'bases de donnée'!E$10))</f>
        <v>0</v>
      </c>
      <c r="Q363" s="120">
        <f t="shared" si="385"/>
        <v>0</v>
      </c>
      <c r="R363" s="30"/>
      <c r="S363" s="77">
        <f>IF(SUM(MOD(I363-G363,1)-IF(I363&gt;G363,MAX(0,MIN(I363,'bases de donnée'!E$16/24)-MAX('planning '!G363,7/24)),MAX(0,'bases de donnée'!E$16/24-MAX('planning '!G363,7/24))+MAX(0,MIN('planning '!I363,'bases de donnée'!E$16/24)-7/24)))&lt;0,0,SUM(MOD('planning '!I363-'planning '!G363,1)-IF('planning '!I363&gt;'planning '!G363,MAX(0,MIN('planning '!I363,'bases de donnée'!E$16/24)-MAX('planning '!G363,7/24)),MAX(0,'bases de donnée'!E$16/24-MAX('planning '!G363,7/24))+MAX(0,MIN('planning '!I363,'bases de donnée'!E$16/24)-7/24))))</f>
        <v>0</v>
      </c>
      <c r="T363" s="77">
        <f>J363</f>
        <v>0</v>
      </c>
      <c r="U363" s="77" t="str">
        <f t="shared" si="380"/>
        <v>00:00</v>
      </c>
      <c r="V363" s="78">
        <f>IF(SUM(IF(O363&gt;("36:00"*1),O363-("36:00"*1),0)-V361-V362)&lt;0,0,SUM(IF(O363&gt;("36:00"*1),O363-("36:00"*1),0)-V357-V358-V359-V360-V361-V362))</f>
        <v>0</v>
      </c>
      <c r="W363" s="47"/>
      <c r="X363" s="48">
        <f t="shared" si="344"/>
        <v>0</v>
      </c>
      <c r="Y363" s="48">
        <f t="shared" ref="Y363" si="386">IF(SUM(T363-S363)&lt;0,0,SUM(T363-S363))</f>
        <v>0</v>
      </c>
      <c r="Z363" s="56">
        <f t="shared" ref="Z363" si="387">IF(SUM(U363-T363-S363)&lt;0,0,SUM(U363-T363-S363))</f>
        <v>0</v>
      </c>
      <c r="AA363" s="48">
        <f>IF(SUM(V363-S363-T363-U363)&lt;0,0,SUM(V363-S363-T363-U363))</f>
        <v>0</v>
      </c>
      <c r="AB363" s="47"/>
      <c r="AC363" s="57">
        <f t="shared" ref="AC363" si="388">IF(SUM(T363-Y363)&lt;0,0,SUM(T363-Y363))</f>
        <v>0</v>
      </c>
      <c r="AD363" s="33">
        <f t="shared" si="345"/>
        <v>0</v>
      </c>
      <c r="AE363" s="33">
        <f t="shared" si="302"/>
        <v>0</v>
      </c>
    </row>
    <row r="364" spans="2:31" x14ac:dyDescent="0.3">
      <c r="B364"/>
      <c r="C364" s="25"/>
      <c r="D364" s="90"/>
      <c r="E364" s="90"/>
      <c r="F364" s="25"/>
      <c r="G364" s="185"/>
      <c r="H364" s="185"/>
      <c r="I364" s="185"/>
      <c r="J364" s="47"/>
      <c r="K364" s="92"/>
      <c r="L364" s="91"/>
      <c r="M364" s="91"/>
      <c r="N364" s="91"/>
      <c r="O364" s="93"/>
      <c r="P364" s="47"/>
      <c r="Q364" s="30"/>
      <c r="R364" s="30"/>
      <c r="S364" s="47"/>
      <c r="T364" s="47"/>
      <c r="U364" s="47"/>
      <c r="V364" s="93"/>
      <c r="W364" s="47"/>
      <c r="X364" s="47"/>
      <c r="Y364" s="47"/>
      <c r="Z364" s="47"/>
      <c r="AA364" s="47"/>
      <c r="AB364" s="47"/>
      <c r="AC364" s="47"/>
      <c r="AD364" s="47"/>
      <c r="AE364" s="47"/>
    </row>
    <row r="365" spans="2:31" x14ac:dyDescent="0.3">
      <c r="B365" s="9" t="s">
        <v>40</v>
      </c>
      <c r="C365" s="9" t="s">
        <v>6</v>
      </c>
      <c r="D365" s="58">
        <f>D363+1</f>
        <v>42318</v>
      </c>
      <c r="E365" s="29" t="s">
        <v>36</v>
      </c>
      <c r="F365" s="190"/>
      <c r="G365" s="194"/>
      <c r="H365" s="194"/>
      <c r="I365" s="194"/>
      <c r="J365" s="193">
        <f>IF(OR(E365="férié travaillé",E365="travail"),(I365-G365+IF(G365&gt;I365,1)-H365),INDEX('bases de donnée'!$E$20:'bases de donnée'!$E$32,MATCH(E365,gerald2,0)))</f>
        <v>0.3</v>
      </c>
      <c r="K365" s="20">
        <f>IF(SUM(J365-'bases de donnée'!E$7)&lt;0,0,SUM(J365-'bases de donnée'!E$7))</f>
        <v>0</v>
      </c>
      <c r="L365" s="11">
        <f>IF(OR(E365="férié travaillé",E365="travail"),I365-G365+IF(G365&gt;I365,1),INDEX('bases de donnée'!$E$20:'bases de donnée'!$E$32,MATCH(E365,gerald2,0)))</f>
        <v>0.3</v>
      </c>
      <c r="M365" s="21">
        <f>IF(SUM(L365-'bases de donnée'!E$4)&lt;0,0,SUM(L365-'bases de donnée'!E$4))</f>
        <v>0</v>
      </c>
      <c r="N365" s="155">
        <v>0</v>
      </c>
      <c r="O365" s="59">
        <f t="shared" ref="O365" si="389">J365</f>
        <v>0.3</v>
      </c>
      <c r="P365" s="122">
        <f>SUM(Q365:Q371)</f>
        <v>5</v>
      </c>
      <c r="Q365" s="120">
        <f>IF(AND(G365&lt;&gt;"",I365&lt;&gt;""),1,0+OR(N(I364)&lt;N(G364),E365="récupération",E365="congé 1 jour",E365="congé 1/2 jour ",E365="congé 5h24",E365="arrêt maladie",E365="arrêt travail",E365="férié ",E365="congé parentale",E365="congé de naissance"))</f>
        <v>1</v>
      </c>
      <c r="R365" s="30"/>
      <c r="S365" s="77">
        <f>IF(SUM(MOD(I365-G365,1)-IF(I365&gt;G365,MAX(0,MIN(I365,'bases de donnée'!E$16/24)-MAX('planning '!G365,7/24)),MAX(0,'bases de donnée'!E$16/24-MAX('planning '!G365,7/24))+MAX(0,MIN('planning '!I365,'bases de donnée'!E$16/24)-7/24)))&lt;0,0,SUM(MOD('planning '!I365-'planning '!G365,1)-IF('planning '!I365&gt;'planning '!G365,MAX(0,MIN('planning '!I365,'bases de donnée'!E$16/24)-MAX('planning '!G365,7/24)),MAX(0,'bases de donnée'!E$16/24-MAX('planning '!G365,7/24))+MAX(0,MIN('planning '!I365,'bases de donnée'!E$16/24)-7/24))))</f>
        <v>0</v>
      </c>
      <c r="T365" s="81"/>
      <c r="U365" s="77" t="str">
        <f t="shared" ref="U365:U371" si="390">IF(E365&lt;&gt;"travail",IF(E365="férié travaillé",MOD(I365-G365,1)-H365,"00:00"),"00:00")</f>
        <v>00:00</v>
      </c>
      <c r="V365" s="78"/>
      <c r="W365" s="47"/>
      <c r="X365" s="48">
        <f t="shared" si="344"/>
        <v>0</v>
      </c>
      <c r="Y365" s="31"/>
      <c r="Z365" s="49">
        <f t="shared" ref="Z365:Z370" si="391">IF(SUM(U365-X365)&lt;0,0,SUM(U365-X365))</f>
        <v>0</v>
      </c>
      <c r="AA365" s="48">
        <f t="shared" ref="AA365:AA370" si="392">IF(SUM(V365-X365-Z365)&lt;0,0,SUM(V365-X365-Z365))</f>
        <v>0</v>
      </c>
      <c r="AB365" s="47"/>
      <c r="AC365" s="50"/>
      <c r="AD365" s="33">
        <f t="shared" si="345"/>
        <v>0</v>
      </c>
      <c r="AE365" s="33">
        <f t="shared" si="302"/>
        <v>0</v>
      </c>
    </row>
    <row r="366" spans="2:31" x14ac:dyDescent="0.3">
      <c r="B366" s="60">
        <f t="shared" ref="B366" si="393">B358+1</f>
        <v>45</v>
      </c>
      <c r="C366" s="9" t="s">
        <v>7</v>
      </c>
      <c r="D366" s="58">
        <f t="shared" si="313"/>
        <v>42319</v>
      </c>
      <c r="E366" s="29" t="s">
        <v>29</v>
      </c>
      <c r="F366" s="191"/>
      <c r="G366" s="194">
        <v>0.375</v>
      </c>
      <c r="H366" s="194">
        <v>3.125E-2</v>
      </c>
      <c r="I366" s="194">
        <v>0.70833333333333337</v>
      </c>
      <c r="J366" s="193">
        <f>IF(OR(E366="férié travaillé",E366="travail"),(I366-G366+IF(G366&gt;I366,1)-H366),INDEX('bases de donnée'!$E$20:'bases de donnée'!$E$32,MATCH(E366,gerald2,0)))</f>
        <v>0.30208333333333337</v>
      </c>
      <c r="K366" s="20">
        <f>IF(SUM(J366-'bases de donnée'!E$7)&lt;0,0,SUM(J366-'bases de donnée'!E$7))</f>
        <v>0</v>
      </c>
      <c r="L366" s="11">
        <f>IF(OR(E366="férié travaillé",E366="travail"),I366-G366+IF(G366&gt;I366,1),INDEX('bases de donnée'!$E$20:'bases de donnée'!$E$32,MATCH(E366,gerald2,0)))</f>
        <v>0.33333333333333337</v>
      </c>
      <c r="M366" s="21">
        <f>IF(SUM(L366-'bases de donnée'!E$4)&lt;0,0,SUM(L366-'bases de donnée'!E$4))</f>
        <v>0</v>
      </c>
      <c r="N366" s="155">
        <v>0</v>
      </c>
      <c r="O366" s="74">
        <f t="shared" ref="O366:O371" si="394">O365+J366</f>
        <v>0.6020833333333333</v>
      </c>
      <c r="P366" s="121">
        <f>IF(SUM(P365-'bases de donnée'!E$6)&lt;0,0,SUM(P365-'bases de donnée'!E$6))</f>
        <v>0</v>
      </c>
      <c r="Q366" s="120">
        <f t="shared" ref="Q366:Q371" si="395">IF(AND(G366&lt;&gt;"",I366&lt;&gt;""),1,0+OR(N(I365)&lt;N(G365),E366="récupération",E366="congé 1 jour",E366="congé 1/2 jour ",E366="congé 5h24",E366="arrêt maladie",E366="arrêt travail",E366="férié ",E366="congé parentale",E366="congé de naissance"))</f>
        <v>1</v>
      </c>
      <c r="R366" s="30"/>
      <c r="S366" s="77">
        <f>IF(SUM(MOD(I366-G366,1)-IF(I366&gt;G366,MAX(0,MIN(I366,'bases de donnée'!E$16/24)-MAX('planning '!G366,7/24)),MAX(0,'bases de donnée'!E$16/24-MAX('planning '!G366,7/24))+MAX(0,MIN('planning '!I366,'bases de donnée'!E$16/24)-7/24)))&lt;0,0,SUM(MOD('planning '!I366-'planning '!G366,1)-IF('planning '!I366&gt;'planning '!G366,MAX(0,MIN('planning '!I366,'bases de donnée'!E$16/24)-MAX('planning '!G366,7/24)),MAX(0,'bases de donnée'!E$16/24-MAX('planning '!G366,7/24))+MAX(0,MIN('planning '!I366,'bases de donnée'!E$16/24)-7/24))))</f>
        <v>0</v>
      </c>
      <c r="T366" s="82"/>
      <c r="U366" s="77" t="str">
        <f t="shared" si="390"/>
        <v>00:00</v>
      </c>
      <c r="V366" s="78">
        <f>IF(SUM(IF(O366&gt;('bases de donnée'!E$9*1),O366-('bases de donnée'!E$9*1),0)-V365)&lt;0,0,SUM(IF(O366&gt;('bases de donnée'!E$9*1),O366-('bases de donnée'!E$9*1),0)-V365))</f>
        <v>0</v>
      </c>
      <c r="W366" s="47"/>
      <c r="X366" s="48">
        <f t="shared" si="344"/>
        <v>0</v>
      </c>
      <c r="Y366" s="42"/>
      <c r="Z366" s="49">
        <f t="shared" si="391"/>
        <v>0</v>
      </c>
      <c r="AA366" s="48">
        <f t="shared" si="392"/>
        <v>0</v>
      </c>
      <c r="AB366" s="47"/>
      <c r="AC366" s="54"/>
      <c r="AD366" s="33">
        <f t="shared" si="345"/>
        <v>0</v>
      </c>
      <c r="AE366" s="33">
        <f t="shared" si="302"/>
        <v>0</v>
      </c>
    </row>
    <row r="367" spans="2:31" x14ac:dyDescent="0.3">
      <c r="B367"/>
      <c r="C367" s="9" t="s">
        <v>8</v>
      </c>
      <c r="D367" s="58">
        <f t="shared" si="313"/>
        <v>42320</v>
      </c>
      <c r="E367" s="29" t="s">
        <v>29</v>
      </c>
      <c r="F367" s="191"/>
      <c r="G367" s="194">
        <v>0.375</v>
      </c>
      <c r="H367" s="194">
        <v>3.125E-2</v>
      </c>
      <c r="I367" s="194">
        <v>0.70833333333333337</v>
      </c>
      <c r="J367" s="193">
        <f>IF(OR(E367="férié travaillé",E367="travail"),(I367-G367+IF(G367&gt;I367,1)-H367),INDEX('bases de donnée'!$E$20:'bases de donnée'!$E$32,MATCH(E367,gerald2,0)))</f>
        <v>0.30208333333333337</v>
      </c>
      <c r="K367" s="20">
        <f>IF(SUM(J367-'bases de donnée'!E$7)&lt;0,0,SUM(J367-'bases de donnée'!E$7))</f>
        <v>0</v>
      </c>
      <c r="L367" s="11">
        <f>IF(OR(E367="férié travaillé",E367="travail"),I367-G367+IF(G367&gt;I367,1),INDEX('bases de donnée'!$E$20:'bases de donnée'!$E$32,MATCH(E367,gerald2,0)))</f>
        <v>0.33333333333333337</v>
      </c>
      <c r="M367" s="21">
        <f>IF(SUM(L367-'bases de donnée'!E$4)&lt;0,0,SUM(L367-'bases de donnée'!E$4))</f>
        <v>0</v>
      </c>
      <c r="N367" s="155">
        <v>0</v>
      </c>
      <c r="O367" s="74">
        <f t="shared" si="394"/>
        <v>0.90416666666666667</v>
      </c>
      <c r="P367" s="34" t="s">
        <v>46</v>
      </c>
      <c r="Q367" s="120">
        <f t="shared" si="395"/>
        <v>1</v>
      </c>
      <c r="R367" s="30"/>
      <c r="S367" s="77">
        <f>IF(SUM(MOD(I367-G367,1)-IF(I367&gt;G367,MAX(0,MIN(I367,'bases de donnée'!E$16/24)-MAX('planning '!G367,7/24)),MAX(0,'bases de donnée'!E$16/24-MAX('planning '!G367,7/24))+MAX(0,MIN('planning '!I367,'bases de donnée'!E$16/24)-7/24)))&lt;0,0,SUM(MOD('planning '!I367-'planning '!G367,1)-IF('planning '!I367&gt;'planning '!G367,MAX(0,MIN('planning '!I367,'bases de donnée'!E$16/24)-MAX('planning '!G367,7/24)),MAX(0,'bases de donnée'!E$16/24-MAX('planning '!G367,7/24))+MAX(0,MIN('planning '!I367,'bases de donnée'!E$16/24)-7/24))))</f>
        <v>0</v>
      </c>
      <c r="T367" s="82"/>
      <c r="U367" s="77" t="str">
        <f t="shared" si="390"/>
        <v>00:00</v>
      </c>
      <c r="V367" s="78">
        <f>IF(SUM(IF(O367&gt;("36:00"*1),O367-("36:00"*1),0)-V365-V366)&lt;0,0,SUM(IF(O367&gt;("36:00"*1),O367-("36:00"*1),0)-V365-V366))</f>
        <v>0</v>
      </c>
      <c r="W367" s="47"/>
      <c r="X367" s="48">
        <f t="shared" si="344"/>
        <v>0</v>
      </c>
      <c r="Y367" s="42"/>
      <c r="Z367" s="49">
        <f t="shared" si="391"/>
        <v>0</v>
      </c>
      <c r="AA367" s="48">
        <f t="shared" si="392"/>
        <v>0</v>
      </c>
      <c r="AB367" s="47"/>
      <c r="AC367" s="54"/>
      <c r="AD367" s="33">
        <f t="shared" si="345"/>
        <v>0</v>
      </c>
      <c r="AE367" s="33">
        <f t="shared" si="302"/>
        <v>0</v>
      </c>
    </row>
    <row r="368" spans="2:31" x14ac:dyDescent="0.3">
      <c r="B368"/>
      <c r="C368" s="9" t="s">
        <v>9</v>
      </c>
      <c r="D368" s="58">
        <f t="shared" si="313"/>
        <v>42321</v>
      </c>
      <c r="E368" s="29" t="s">
        <v>29</v>
      </c>
      <c r="F368" s="191"/>
      <c r="G368" s="194">
        <v>0.375</v>
      </c>
      <c r="H368" s="194">
        <v>3.125E-2</v>
      </c>
      <c r="I368" s="194">
        <v>0.70833333333333337</v>
      </c>
      <c r="J368" s="193">
        <f>IF(OR(E368="férié travaillé",E368="travail"),(I368-G368+IF(G368&gt;I368,1)-H368),INDEX('bases de donnée'!$E$20:'bases de donnée'!$E$32,MATCH(E368,gerald2,0)))</f>
        <v>0.30208333333333337</v>
      </c>
      <c r="K368" s="20">
        <f>IF(SUM(J368-'bases de donnée'!E$7)&lt;0,0,SUM(J368-'bases de donnée'!E$7))</f>
        <v>0</v>
      </c>
      <c r="L368" s="11">
        <f>IF(OR(E368="férié travaillé",E368="travail"),I368-G368+IF(G368&gt;I368,1),INDEX('bases de donnée'!$E$20:'bases de donnée'!$E$32,MATCH(E368,gerald2,0)))</f>
        <v>0.33333333333333337</v>
      </c>
      <c r="M368" s="21">
        <f>IF(SUM(L368-'bases de donnée'!E$4)&lt;0,0,SUM(L368-'bases de donnée'!E$4))</f>
        <v>0</v>
      </c>
      <c r="N368" s="155">
        <v>0</v>
      </c>
      <c r="O368" s="74">
        <f t="shared" si="394"/>
        <v>1.20625</v>
      </c>
      <c r="P368" s="86">
        <f>O371</f>
        <v>1.5</v>
      </c>
      <c r="Q368" s="120">
        <f t="shared" si="395"/>
        <v>1</v>
      </c>
      <c r="R368" s="30"/>
      <c r="S368" s="77">
        <f>IF(SUM(MOD(I368-G368,1)-IF(I368&gt;G368,MAX(0,MIN(I368,'bases de donnée'!E$16/24)-MAX('planning '!G368,7/24)),MAX(0,'bases de donnée'!E$16/24-MAX('planning '!G368,7/24))+MAX(0,MIN('planning '!I368,'bases de donnée'!E$16/24)-7/24)))&lt;0,0,SUM(MOD('planning '!I368-'planning '!G368,1)-IF('planning '!I368&gt;'planning '!G368,MAX(0,MIN('planning '!I368,'bases de donnée'!E$16/24)-MAX('planning '!G368,7/24)),MAX(0,'bases de donnée'!E$16/24-MAX('planning '!G368,7/24))+MAX(0,MIN('planning '!I368,'bases de donnée'!E$16/24)-7/24))))</f>
        <v>0</v>
      </c>
      <c r="T368" s="82"/>
      <c r="U368" s="77" t="str">
        <f t="shared" si="390"/>
        <v>00:00</v>
      </c>
      <c r="V368" s="78">
        <f>IF(SUM(IF(O368&gt;("36:00"*1),O368-("36:00"*1),0)-V366-V367)&lt;0,0,SUM(IF(O368&gt;("36:00"*1),O368-("36:00"*1),0)-V365-V366-V367))</f>
        <v>0</v>
      </c>
      <c r="W368" s="47"/>
      <c r="X368" s="48">
        <f t="shared" si="344"/>
        <v>0</v>
      </c>
      <c r="Y368" s="42"/>
      <c r="Z368" s="49">
        <f t="shared" si="391"/>
        <v>0</v>
      </c>
      <c r="AA368" s="48">
        <f t="shared" si="392"/>
        <v>0</v>
      </c>
      <c r="AB368" s="47"/>
      <c r="AC368" s="54"/>
      <c r="AD368" s="33">
        <f t="shared" si="345"/>
        <v>0</v>
      </c>
      <c r="AE368" s="33">
        <f t="shared" si="302"/>
        <v>0</v>
      </c>
    </row>
    <row r="369" spans="2:31" x14ac:dyDescent="0.3">
      <c r="B369"/>
      <c r="C369" s="9" t="s">
        <v>3</v>
      </c>
      <c r="D369" s="58">
        <f t="shared" si="313"/>
        <v>42322</v>
      </c>
      <c r="E369" s="29" t="s">
        <v>29</v>
      </c>
      <c r="F369" s="191"/>
      <c r="G369" s="194">
        <v>0.375</v>
      </c>
      <c r="H369" s="194">
        <v>3.125E-2</v>
      </c>
      <c r="I369" s="194">
        <v>0.70000000000000007</v>
      </c>
      <c r="J369" s="193">
        <f>IF(OR(E369="férié travaillé",E369="travail"),(I369-G369+IF(G369&gt;I369,1)-H369),INDEX('bases de donnée'!$E$20:'bases de donnée'!$E$32,MATCH(E369,gerald2,0)))</f>
        <v>0.29375000000000007</v>
      </c>
      <c r="K369" s="20">
        <f>IF(SUM(J369-'bases de donnée'!E$7)&lt;0,0,SUM(J369-'bases de donnée'!E$7))</f>
        <v>0</v>
      </c>
      <c r="L369" s="11">
        <f>IF(OR(E369="férié travaillé",E369="travail"),I369-G369+IF(G369&gt;I369,1),INDEX('bases de donnée'!$E$20:'bases de donnée'!$E$32,MATCH(E369,gerald2,0)))</f>
        <v>0.32500000000000007</v>
      </c>
      <c r="M369" s="21">
        <f>IF(SUM(L369-'bases de donnée'!E$4)&lt;0,0,SUM(L369-'bases de donnée'!E$4))</f>
        <v>0</v>
      </c>
      <c r="N369" s="155">
        <v>0</v>
      </c>
      <c r="O369" s="74">
        <f t="shared" si="394"/>
        <v>1.5</v>
      </c>
      <c r="P369" s="8" t="s">
        <v>48</v>
      </c>
      <c r="Q369" s="120">
        <f t="shared" si="395"/>
        <v>1</v>
      </c>
      <c r="R369" s="30"/>
      <c r="S369" s="77">
        <f>IF(SUM(MOD(I369-G369,1)-IF(I369&gt;G369,MAX(0,MIN(I369,'bases de donnée'!E$16/24)-MAX('planning '!G369,7/24)),MAX(0,'bases de donnée'!E$16/24-MAX('planning '!G369,7/24))+MAX(0,MIN('planning '!I369,'bases de donnée'!E$16/24)-7/24)))&lt;0,0,SUM(MOD('planning '!I369-'planning '!G369,1)-IF('planning '!I369&gt;'planning '!G369,MAX(0,MIN('planning '!I369,'bases de donnée'!E$16/24)-MAX('planning '!G369,7/24)),MAX(0,'bases de donnée'!E$16/24-MAX('planning '!G369,7/24))+MAX(0,MIN('planning '!I369,'bases de donnée'!E$16/24)-7/24))))</f>
        <v>0</v>
      </c>
      <c r="T369" s="82"/>
      <c r="U369" s="77" t="str">
        <f t="shared" si="390"/>
        <v>00:00</v>
      </c>
      <c r="V369" s="78">
        <f>IF(SUM(IF(O369&gt;("36:00"*1),O369-("36:00"*1),0)-V367-V368)&lt;0,0,SUM(IF(O369&gt;("36:00"*1),O369-("36:00"*1),0)-V365-V366-V367-V368))</f>
        <v>0</v>
      </c>
      <c r="W369" s="47"/>
      <c r="X369" s="48">
        <f t="shared" si="344"/>
        <v>0</v>
      </c>
      <c r="Y369" s="42"/>
      <c r="Z369" s="49">
        <f t="shared" si="391"/>
        <v>0</v>
      </c>
      <c r="AA369" s="48">
        <f t="shared" si="392"/>
        <v>0</v>
      </c>
      <c r="AB369" s="47"/>
      <c r="AC369" s="54"/>
      <c r="AD369" s="33">
        <f t="shared" si="345"/>
        <v>0</v>
      </c>
      <c r="AE369" s="33">
        <f t="shared" si="302"/>
        <v>0</v>
      </c>
    </row>
    <row r="370" spans="2:31" x14ac:dyDescent="0.3">
      <c r="B370"/>
      <c r="C370" s="9" t="s">
        <v>4</v>
      </c>
      <c r="D370" s="58">
        <f t="shared" si="313"/>
        <v>42323</v>
      </c>
      <c r="E370" s="29" t="s">
        <v>28</v>
      </c>
      <c r="F370" s="191"/>
      <c r="G370" s="194"/>
      <c r="H370" s="194"/>
      <c r="I370" s="194"/>
      <c r="J370" s="193">
        <f>IF(OR(E370="férié travaillé",E370="travail"),(I370-G370+IF(G370&gt;I370,1)-H370),INDEX('bases de donnée'!$E$20:'bases de donnée'!$E$32,MATCH(E370,gerald2,0)))</f>
        <v>0</v>
      </c>
      <c r="K370" s="20">
        <f>IF(SUM(J370-'bases de donnée'!E$7)&lt;0,0,SUM(J370-'bases de donnée'!E$7))</f>
        <v>0</v>
      </c>
      <c r="L370" s="11">
        <f>IF(OR(E370="férié travaillé",E370="travail"),I370-G370+IF(G370&gt;I370,1),INDEX('bases de donnée'!$E$20:'bases de donnée'!$E$32,MATCH(E370,gerald2,0)))</f>
        <v>0</v>
      </c>
      <c r="M370" s="21">
        <f>IF(SUM(L370-'bases de donnée'!E$4)&lt;0,0,SUM(L370-'bases de donnée'!E$4))</f>
        <v>0</v>
      </c>
      <c r="N370" s="155">
        <v>0</v>
      </c>
      <c r="O370" s="74">
        <f t="shared" si="394"/>
        <v>1.5</v>
      </c>
      <c r="P370" s="61">
        <f>'bases de donnée'!E$10</f>
        <v>2</v>
      </c>
      <c r="Q370" s="120">
        <f t="shared" si="395"/>
        <v>0</v>
      </c>
      <c r="R370" s="30"/>
      <c r="S370" s="77">
        <f>IF(SUM(MOD(I370-G370,1)-IF(I370&gt;G370,MAX(0,MIN(I370,'bases de donnée'!E$16/24)-MAX('planning '!G370,7/24)),MAX(0,'bases de donnée'!E$16/24-MAX('planning '!G370,7/24))+MAX(0,MIN('planning '!I370,'bases de donnée'!E$16/24)-7/24)))&lt;0,0,SUM(MOD('planning '!I370-'planning '!G370,1)-IF('planning '!I370&gt;'planning '!G370,MAX(0,MIN('planning '!I370,'bases de donnée'!E$16/24)-MAX('planning '!G370,7/24)),MAX(0,'bases de donnée'!E$16/24-MAX('planning '!G370,7/24))+MAX(0,MIN('planning '!I370,'bases de donnée'!E$16/24)-7/24))))</f>
        <v>0</v>
      </c>
      <c r="T370" s="82"/>
      <c r="U370" s="77" t="str">
        <f t="shared" si="390"/>
        <v>00:00</v>
      </c>
      <c r="V370" s="78">
        <f>IF(SUM(IF(O370&gt;("36:00"*1),O370-("36:00"*1),0)-V368-V369)&lt;0,0,SUM(IF(O370&gt;("36:00"*1),O370-("36:00"*1),0)-V365-V366-V367-V368-V369))</f>
        <v>0</v>
      </c>
      <c r="W370" s="47"/>
      <c r="X370" s="48">
        <f t="shared" si="344"/>
        <v>0</v>
      </c>
      <c r="Y370" s="32"/>
      <c r="Z370" s="49">
        <f t="shared" si="391"/>
        <v>0</v>
      </c>
      <c r="AA370" s="48">
        <f t="shared" si="392"/>
        <v>0</v>
      </c>
      <c r="AB370" s="47"/>
      <c r="AC370" s="55"/>
      <c r="AD370" s="33">
        <f t="shared" si="345"/>
        <v>0</v>
      </c>
      <c r="AE370" s="33">
        <f t="shared" ref="AE370:AE427" si="396">IF(SUM(V370-AA370)&lt;0,0,SUM(V370-AA370))</f>
        <v>0</v>
      </c>
    </row>
    <row r="371" spans="2:31" x14ac:dyDescent="0.3">
      <c r="B371"/>
      <c r="C371" s="9" t="s">
        <v>5</v>
      </c>
      <c r="D371" s="58">
        <f t="shared" si="313"/>
        <v>42324</v>
      </c>
      <c r="E371" s="29" t="s">
        <v>28</v>
      </c>
      <c r="F371" s="192"/>
      <c r="G371" s="194"/>
      <c r="H371" s="194"/>
      <c r="I371" s="194"/>
      <c r="J371" s="193">
        <f>IF(OR(E371="férié travaillé",E371="travail"),(I371-G371+IF(G371&gt;I371,1)-H371),INDEX('bases de donnée'!$E$20:'bases de donnée'!$E$32,MATCH(E371,gerald2,0)))</f>
        <v>0</v>
      </c>
      <c r="K371" s="20">
        <f>IF(SUM(J371-'bases de donnée'!E$7)&lt;0,0,SUM(J371-'bases de donnée'!E$7))</f>
        <v>0</v>
      </c>
      <c r="L371" s="11">
        <f>IF(OR(E371="férié travaillé",E371="travail"),I371-G371+IF(G371&gt;I371,1),INDEX('bases de donnée'!$E$20:'bases de donnée'!$E$32,MATCH(E371,gerald2,0)))</f>
        <v>0</v>
      </c>
      <c r="M371" s="21">
        <f>IF(SUM(L371-'bases de donnée'!E$4)&lt;0,0,SUM(L371-'bases de donnée'!E$4))</f>
        <v>0</v>
      </c>
      <c r="N371" s="155">
        <v>0</v>
      </c>
      <c r="O371" s="74">
        <f t="shared" si="394"/>
        <v>1.5</v>
      </c>
      <c r="P371" s="33">
        <f>IF(SUM(O371-'bases de donnée'!E$10)&lt;0,0,SUM(O371-'bases de donnée'!E$10))</f>
        <v>0</v>
      </c>
      <c r="Q371" s="120">
        <f t="shared" si="395"/>
        <v>0</v>
      </c>
      <c r="R371" s="30"/>
      <c r="S371" s="77">
        <f>IF(SUM(MOD(I371-G371,1)-IF(I371&gt;G371,MAX(0,MIN(I371,'bases de donnée'!E$16/24)-MAX('planning '!G371,7/24)),MAX(0,'bases de donnée'!E$16/24-MAX('planning '!G371,7/24))+MAX(0,MIN('planning '!I371,'bases de donnée'!E$16/24)-7/24)))&lt;0,0,SUM(MOD('planning '!I371-'planning '!G371,1)-IF('planning '!I371&gt;'planning '!G371,MAX(0,MIN('planning '!I371,'bases de donnée'!E$16/24)-MAX('planning '!G371,7/24)),MAX(0,'bases de donnée'!E$16/24-MAX('planning '!G371,7/24))+MAX(0,MIN('planning '!I371,'bases de donnée'!E$16/24)-7/24))))</f>
        <v>0</v>
      </c>
      <c r="T371" s="77">
        <f>J371</f>
        <v>0</v>
      </c>
      <c r="U371" s="77" t="str">
        <f t="shared" si="390"/>
        <v>00:00</v>
      </c>
      <c r="V371" s="78">
        <f>IF(SUM(IF(O371&gt;("36:00"*1),O371-("36:00"*1),0)-V369-V370)&lt;0,0,SUM(IF(O371&gt;("36:00"*1),O371-("36:00"*1),0)-V365-V366-V367-V368-V369-V370))</f>
        <v>0</v>
      </c>
      <c r="W371" s="47"/>
      <c r="X371" s="48">
        <f t="shared" si="344"/>
        <v>0</v>
      </c>
      <c r="Y371" s="48">
        <f t="shared" ref="Y371" si="397">IF(SUM(T371-S371)&lt;0,0,SUM(T371-S371))</f>
        <v>0</v>
      </c>
      <c r="Z371" s="56">
        <f t="shared" ref="Z371" si="398">IF(SUM(U371-T371-S371)&lt;0,0,SUM(U371-T371-S371))</f>
        <v>0</v>
      </c>
      <c r="AA371" s="48">
        <f>IF(SUM(V371-S371-T371-U371)&lt;0,0,SUM(V371-S371-T371-U371))</f>
        <v>0</v>
      </c>
      <c r="AB371" s="47"/>
      <c r="AC371" s="57">
        <f t="shared" ref="AC371" si="399">IF(SUM(T371-Y371)&lt;0,0,SUM(T371-Y371))</f>
        <v>0</v>
      </c>
      <c r="AD371" s="33">
        <f t="shared" si="345"/>
        <v>0</v>
      </c>
      <c r="AE371" s="33">
        <f t="shared" si="396"/>
        <v>0</v>
      </c>
    </row>
    <row r="372" spans="2:31" x14ac:dyDescent="0.3">
      <c r="B372"/>
      <c r="C372" s="25"/>
      <c r="D372" s="90"/>
      <c r="E372" s="90"/>
      <c r="F372" s="25"/>
      <c r="G372" s="185"/>
      <c r="H372" s="185"/>
      <c r="I372" s="185"/>
      <c r="J372" s="47"/>
      <c r="K372" s="92"/>
      <c r="L372" s="91"/>
      <c r="M372" s="91"/>
      <c r="N372" s="91"/>
      <c r="O372" s="93"/>
      <c r="P372" s="47"/>
      <c r="Q372" s="30"/>
      <c r="R372" s="30"/>
      <c r="S372" s="47"/>
      <c r="T372" s="47"/>
      <c r="U372" s="47"/>
      <c r="V372" s="93"/>
      <c r="W372" s="47"/>
      <c r="X372" s="47"/>
      <c r="Y372" s="47"/>
      <c r="Z372" s="47"/>
      <c r="AA372" s="47"/>
      <c r="AB372" s="47"/>
      <c r="AC372" s="47"/>
      <c r="AD372" s="47"/>
      <c r="AE372" s="47"/>
    </row>
    <row r="373" spans="2:31" x14ac:dyDescent="0.3">
      <c r="B373" s="14" t="s">
        <v>40</v>
      </c>
      <c r="C373" s="14" t="s">
        <v>6</v>
      </c>
      <c r="D373" s="43">
        <f>D371+1</f>
        <v>42325</v>
      </c>
      <c r="E373" s="29" t="s">
        <v>29</v>
      </c>
      <c r="F373" s="190"/>
      <c r="G373" s="194">
        <v>0.375</v>
      </c>
      <c r="H373" s="194">
        <v>3.125E-2</v>
      </c>
      <c r="I373" s="194">
        <v>0.70833333333333337</v>
      </c>
      <c r="J373" s="193">
        <f>IF(OR(E373="férié travaillé",E373="travail"),(I373-G373+IF(G373&gt;I373,1)-H373),INDEX('bases de donnée'!$E$20:'bases de donnée'!$E$32,MATCH(E373,gerald2,0)))</f>
        <v>0.30208333333333337</v>
      </c>
      <c r="K373" s="20">
        <f>IF(SUM(J373-'bases de donnée'!E$7)&lt;0,0,SUM(J373-'bases de donnée'!E$7))</f>
        <v>0</v>
      </c>
      <c r="L373" s="11">
        <f>IF(OR(E373="férié travaillé",E373="travail"),I373-G373+IF(G373&gt;I373,1),INDEX('bases de donnée'!$E$20:'bases de donnée'!$E$32,MATCH(E373,gerald2,0)))</f>
        <v>0.33333333333333337</v>
      </c>
      <c r="M373" s="21">
        <f>IF(SUM(L373-'bases de donnée'!E$4)&lt;0,0,SUM(L373-'bases de donnée'!E$4))</f>
        <v>0</v>
      </c>
      <c r="N373" s="155">
        <v>0</v>
      </c>
      <c r="O373" s="45">
        <f t="shared" ref="O373" si="400">J373</f>
        <v>0.30208333333333337</v>
      </c>
      <c r="P373" s="122">
        <f>SUM(Q373:Q379)</f>
        <v>5</v>
      </c>
      <c r="Q373" s="120">
        <f>IF(AND(G373&lt;&gt;"",I373&lt;&gt;""),1,0+OR(N(I372)&lt;N(G372),E373="récupération",E373="congé 1 jour",E373="congé 1/2 jour ",E373="congé 5h24",E373="arrêt maladie",E373="arrêt travail",E373="férié ",E373="congé parentale",E373="congé de naissance"))</f>
        <v>1</v>
      </c>
      <c r="R373" s="30"/>
      <c r="S373" s="77">
        <f>IF(SUM(MOD(I373-G373,1)-IF(I373&gt;G373,MAX(0,MIN(I373,'bases de donnée'!E$16/24)-MAX('planning '!G373,7/24)),MAX(0,'bases de donnée'!E$16/24-MAX('planning '!G373,7/24))+MAX(0,MIN('planning '!I373,'bases de donnée'!E$16/24)-7/24)))&lt;0,0,SUM(MOD('planning '!I373-'planning '!G373,1)-IF('planning '!I373&gt;'planning '!G373,MAX(0,MIN('planning '!I373,'bases de donnée'!E$16/24)-MAX('planning '!G373,7/24)),MAX(0,'bases de donnée'!E$16/24-MAX('planning '!G373,7/24))+MAX(0,MIN('planning '!I373,'bases de donnée'!E$16/24)-7/24))))</f>
        <v>0</v>
      </c>
      <c r="T373" s="81"/>
      <c r="U373" s="77" t="str">
        <f t="shared" ref="U373:U379" si="401">IF(E373&lt;&gt;"travail",IF(E373="férié travaillé",MOD(I373-G373,1)-H373,"00:00"),"00:00")</f>
        <v>00:00</v>
      </c>
      <c r="V373" s="78"/>
      <c r="W373" s="47"/>
      <c r="X373" s="48">
        <f t="shared" si="344"/>
        <v>0</v>
      </c>
      <c r="Y373" s="31"/>
      <c r="Z373" s="49">
        <f t="shared" ref="Z373:Z378" si="402">IF(SUM(U373-X373)&lt;0,0,SUM(U373-X373))</f>
        <v>0</v>
      </c>
      <c r="AA373" s="48">
        <f t="shared" ref="AA373:AA378" si="403">IF(SUM(V373-X373-Z373)&lt;0,0,SUM(V373-X373-Z373))</f>
        <v>0</v>
      </c>
      <c r="AB373" s="47"/>
      <c r="AC373" s="50"/>
      <c r="AD373" s="33">
        <f t="shared" si="345"/>
        <v>0</v>
      </c>
      <c r="AE373" s="33">
        <f t="shared" si="396"/>
        <v>0</v>
      </c>
    </row>
    <row r="374" spans="2:31" x14ac:dyDescent="0.3">
      <c r="B374" s="51">
        <f t="shared" ref="B374" si="404">B366+1</f>
        <v>46</v>
      </c>
      <c r="C374" s="14" t="s">
        <v>7</v>
      </c>
      <c r="D374" s="43">
        <f t="shared" si="313"/>
        <v>42326</v>
      </c>
      <c r="E374" s="29" t="s">
        <v>29</v>
      </c>
      <c r="F374" s="191"/>
      <c r="G374" s="194">
        <v>0.375</v>
      </c>
      <c r="H374" s="194">
        <v>3.125E-2</v>
      </c>
      <c r="I374" s="194">
        <v>0.70833333333333337</v>
      </c>
      <c r="J374" s="193">
        <f>IF(OR(E374="férié travaillé",E374="travail"),(I374-G374+IF(G374&gt;I374,1)-H374),INDEX('bases de donnée'!$E$20:'bases de donnée'!$E$32,MATCH(E374,gerald2,0)))</f>
        <v>0.30208333333333337</v>
      </c>
      <c r="K374" s="20">
        <f>IF(SUM(J374-'bases de donnée'!E$7)&lt;0,0,SUM(J374-'bases de donnée'!E$7))</f>
        <v>0</v>
      </c>
      <c r="L374" s="11">
        <f>IF(OR(E374="férié travaillé",E374="travail"),I374-G374+IF(G374&gt;I374,1),INDEX('bases de donnée'!$E$20:'bases de donnée'!$E$32,MATCH(E374,gerald2,0)))</f>
        <v>0.33333333333333337</v>
      </c>
      <c r="M374" s="21">
        <f>IF(SUM(L374-'bases de donnée'!E$4)&lt;0,0,SUM(L374-'bases de donnée'!E$4))</f>
        <v>0</v>
      </c>
      <c r="N374" s="155">
        <v>0</v>
      </c>
      <c r="O374" s="73">
        <f t="shared" ref="O374:O379" si="405">O373+J374</f>
        <v>0.60416666666666674</v>
      </c>
      <c r="P374" s="121">
        <f>IF(SUM(P373-'bases de donnée'!E$6)&lt;0,0,SUM(P373-'bases de donnée'!E$6))</f>
        <v>0</v>
      </c>
      <c r="Q374" s="120">
        <f t="shared" ref="Q374:Q379" si="406">IF(AND(G374&lt;&gt;"",I374&lt;&gt;""),1,0+OR(N(I373)&lt;N(G373),E374="récupération",E374="congé 1 jour",E374="congé 1/2 jour ",E374="congé 5h24",E374="arrêt maladie",E374="arrêt travail",E374="férié ",E374="congé parentale",E374="congé de naissance"))</f>
        <v>1</v>
      </c>
      <c r="R374" s="30"/>
      <c r="S374" s="77">
        <f>IF(SUM(MOD(I374-G374,1)-IF(I374&gt;G374,MAX(0,MIN(I374,'bases de donnée'!E$16/24)-MAX('planning '!G374,7/24)),MAX(0,'bases de donnée'!E$16/24-MAX('planning '!G374,7/24))+MAX(0,MIN('planning '!I374,'bases de donnée'!E$16/24)-7/24)))&lt;0,0,SUM(MOD('planning '!I374-'planning '!G374,1)-IF('planning '!I374&gt;'planning '!G374,MAX(0,MIN('planning '!I374,'bases de donnée'!E$16/24)-MAX('planning '!G374,7/24)),MAX(0,'bases de donnée'!E$16/24-MAX('planning '!G374,7/24))+MAX(0,MIN('planning '!I374,'bases de donnée'!E$16/24)-7/24))))</f>
        <v>0</v>
      </c>
      <c r="T374" s="82"/>
      <c r="U374" s="77" t="str">
        <f t="shared" si="401"/>
        <v>00:00</v>
      </c>
      <c r="V374" s="78">
        <f>IF(SUM(IF(O374&gt;('bases de donnée'!E$9*1),O374-('bases de donnée'!E$9*1),0)-V373)&lt;0,0,SUM(IF(O374&gt;('bases de donnée'!E$9*1),O374-('bases de donnée'!E$9*1),0)-V373))</f>
        <v>0</v>
      </c>
      <c r="W374" s="47"/>
      <c r="X374" s="48">
        <f t="shared" si="344"/>
        <v>0</v>
      </c>
      <c r="Y374" s="42"/>
      <c r="Z374" s="49">
        <f t="shared" si="402"/>
        <v>0</v>
      </c>
      <c r="AA374" s="48">
        <f t="shared" si="403"/>
        <v>0</v>
      </c>
      <c r="AB374" s="47"/>
      <c r="AC374" s="54"/>
      <c r="AD374" s="33">
        <f t="shared" si="345"/>
        <v>0</v>
      </c>
      <c r="AE374" s="33">
        <f t="shared" si="396"/>
        <v>0</v>
      </c>
    </row>
    <row r="375" spans="2:31" x14ac:dyDescent="0.3">
      <c r="B375"/>
      <c r="C375" s="14" t="s">
        <v>8</v>
      </c>
      <c r="D375" s="43">
        <f t="shared" si="313"/>
        <v>42327</v>
      </c>
      <c r="E375" s="29" t="s">
        <v>29</v>
      </c>
      <c r="F375" s="191"/>
      <c r="G375" s="194">
        <v>0.375</v>
      </c>
      <c r="H375" s="194">
        <v>3.125E-2</v>
      </c>
      <c r="I375" s="194">
        <v>0.70833333333333337</v>
      </c>
      <c r="J375" s="193">
        <f>IF(OR(E375="férié travaillé",E375="travail"),(I375-G375+IF(G375&gt;I375,1)-H375),INDEX('bases de donnée'!$E$20:'bases de donnée'!$E$32,MATCH(E375,gerald2,0)))</f>
        <v>0.30208333333333337</v>
      </c>
      <c r="K375" s="20">
        <f>IF(SUM(J375-'bases de donnée'!E$7)&lt;0,0,SUM(J375-'bases de donnée'!E$7))</f>
        <v>0</v>
      </c>
      <c r="L375" s="11">
        <f>IF(OR(E375="férié travaillé",E375="travail"),I375-G375+IF(G375&gt;I375,1),INDEX('bases de donnée'!$E$20:'bases de donnée'!$E$32,MATCH(E375,gerald2,0)))</f>
        <v>0.33333333333333337</v>
      </c>
      <c r="M375" s="21">
        <f>IF(SUM(L375-'bases de donnée'!E$4)&lt;0,0,SUM(L375-'bases de donnée'!E$4))</f>
        <v>0</v>
      </c>
      <c r="N375" s="155">
        <v>0</v>
      </c>
      <c r="O375" s="73">
        <f t="shared" si="405"/>
        <v>0.90625000000000011</v>
      </c>
      <c r="P375" s="34" t="s">
        <v>46</v>
      </c>
      <c r="Q375" s="120">
        <f t="shared" si="406"/>
        <v>1</v>
      </c>
      <c r="R375" s="30"/>
      <c r="S375" s="77">
        <f>IF(SUM(MOD(I375-G375,1)-IF(I375&gt;G375,MAX(0,MIN(I375,'bases de donnée'!E$16/24)-MAX('planning '!G375,7/24)),MAX(0,'bases de donnée'!E$16/24-MAX('planning '!G375,7/24))+MAX(0,MIN('planning '!I375,'bases de donnée'!E$16/24)-7/24)))&lt;0,0,SUM(MOD('planning '!I375-'planning '!G375,1)-IF('planning '!I375&gt;'planning '!G375,MAX(0,MIN('planning '!I375,'bases de donnée'!E$16/24)-MAX('planning '!G375,7/24)),MAX(0,'bases de donnée'!E$16/24-MAX('planning '!G375,7/24))+MAX(0,MIN('planning '!I375,'bases de donnée'!E$16/24)-7/24))))</f>
        <v>0</v>
      </c>
      <c r="T375" s="82"/>
      <c r="U375" s="77" t="str">
        <f t="shared" si="401"/>
        <v>00:00</v>
      </c>
      <c r="V375" s="78">
        <f>IF(SUM(IF(O375&gt;("36:00"*1),O375-("36:00"*1),0)-V373-V374)&lt;0,0,SUM(IF(O375&gt;("36:00"*1),O375-("36:00"*1),0)-V373-V374))</f>
        <v>0</v>
      </c>
      <c r="W375" s="47"/>
      <c r="X375" s="48">
        <f t="shared" si="344"/>
        <v>0</v>
      </c>
      <c r="Y375" s="42"/>
      <c r="Z375" s="49">
        <f t="shared" si="402"/>
        <v>0</v>
      </c>
      <c r="AA375" s="48">
        <f t="shared" si="403"/>
        <v>0</v>
      </c>
      <c r="AB375" s="47"/>
      <c r="AC375" s="54"/>
      <c r="AD375" s="33">
        <f t="shared" si="345"/>
        <v>0</v>
      </c>
      <c r="AE375" s="33">
        <f t="shared" si="396"/>
        <v>0</v>
      </c>
    </row>
    <row r="376" spans="2:31" x14ac:dyDescent="0.3">
      <c r="B376"/>
      <c r="C376" s="14" t="s">
        <v>9</v>
      </c>
      <c r="D376" s="43">
        <f t="shared" si="313"/>
        <v>42328</v>
      </c>
      <c r="E376" s="29" t="s">
        <v>29</v>
      </c>
      <c r="F376" s="191"/>
      <c r="G376" s="194">
        <v>0.375</v>
      </c>
      <c r="H376" s="194">
        <v>3.125E-2</v>
      </c>
      <c r="I376" s="194">
        <v>0.70833333333333337</v>
      </c>
      <c r="J376" s="193">
        <f>IF(OR(E376="férié travaillé",E376="travail"),(I376-G376+IF(G376&gt;I376,1)-H376),INDEX('bases de donnée'!$E$20:'bases de donnée'!$E$32,MATCH(E376,gerald2,0)))</f>
        <v>0.30208333333333337</v>
      </c>
      <c r="K376" s="20">
        <f>IF(SUM(J376-'bases de donnée'!E$7)&lt;0,0,SUM(J376-'bases de donnée'!E$7))</f>
        <v>0</v>
      </c>
      <c r="L376" s="11">
        <f>IF(OR(E376="férié travaillé",E376="travail"),I376-G376+IF(G376&gt;I376,1),INDEX('bases de donnée'!$E$20:'bases de donnée'!$E$32,MATCH(E376,gerald2,0)))</f>
        <v>0.33333333333333337</v>
      </c>
      <c r="M376" s="21">
        <f>IF(SUM(L376-'bases de donnée'!E$4)&lt;0,0,SUM(L376-'bases de donnée'!E$4))</f>
        <v>0</v>
      </c>
      <c r="N376" s="155">
        <v>0</v>
      </c>
      <c r="O376" s="73">
        <f t="shared" si="405"/>
        <v>1.2083333333333335</v>
      </c>
      <c r="P376" s="86">
        <f>O379</f>
        <v>1.5</v>
      </c>
      <c r="Q376" s="120">
        <f t="shared" si="406"/>
        <v>1</v>
      </c>
      <c r="R376" s="30"/>
      <c r="S376" s="77">
        <f>IF(SUM(MOD(I376-G376,1)-IF(I376&gt;G376,MAX(0,MIN(I376,'bases de donnée'!E$16/24)-MAX('planning '!G376,7/24)),MAX(0,'bases de donnée'!E$16/24-MAX('planning '!G376,7/24))+MAX(0,MIN('planning '!I376,'bases de donnée'!E$16/24)-7/24)))&lt;0,0,SUM(MOD('planning '!I376-'planning '!G376,1)-IF('planning '!I376&gt;'planning '!G376,MAX(0,MIN('planning '!I376,'bases de donnée'!E$16/24)-MAX('planning '!G376,7/24)),MAX(0,'bases de donnée'!E$16/24-MAX('planning '!G376,7/24))+MAX(0,MIN('planning '!I376,'bases de donnée'!E$16/24)-7/24))))</f>
        <v>0</v>
      </c>
      <c r="T376" s="82"/>
      <c r="U376" s="77" t="str">
        <f t="shared" si="401"/>
        <v>00:00</v>
      </c>
      <c r="V376" s="78">
        <f>IF(SUM(IF(O376&gt;("36:00"*1),O376-("36:00"*1),0)-V374-V375)&lt;0,0,SUM(IF(O376&gt;("36:00"*1),O376-("36:00"*1),0)-V373-V374-V375))</f>
        <v>0</v>
      </c>
      <c r="W376" s="47"/>
      <c r="X376" s="48">
        <f t="shared" si="344"/>
        <v>0</v>
      </c>
      <c r="Y376" s="42"/>
      <c r="Z376" s="49">
        <f t="shared" si="402"/>
        <v>0</v>
      </c>
      <c r="AA376" s="48">
        <f t="shared" si="403"/>
        <v>0</v>
      </c>
      <c r="AB376" s="47"/>
      <c r="AC376" s="54"/>
      <c r="AD376" s="33">
        <f t="shared" si="345"/>
        <v>0</v>
      </c>
      <c r="AE376" s="33">
        <f t="shared" si="396"/>
        <v>0</v>
      </c>
    </row>
    <row r="377" spans="2:31" x14ac:dyDescent="0.3">
      <c r="B377"/>
      <c r="C377" s="14" t="s">
        <v>3</v>
      </c>
      <c r="D377" s="43">
        <f t="shared" ref="D377:D427" si="407">D376+1</f>
        <v>42329</v>
      </c>
      <c r="E377" s="29" t="s">
        <v>29</v>
      </c>
      <c r="F377" s="191"/>
      <c r="G377" s="194">
        <v>0.375</v>
      </c>
      <c r="H377" s="194">
        <v>3.125E-2</v>
      </c>
      <c r="I377" s="194">
        <v>0.69791666666666663</v>
      </c>
      <c r="J377" s="193">
        <f>IF(OR(E377="férié travaillé",E377="travail"),(I377-G377+IF(G377&gt;I377,1)-H377),INDEX('bases de donnée'!$E$20:'bases de donnée'!$E$32,MATCH(E377,gerald2,0)))</f>
        <v>0.29166666666666663</v>
      </c>
      <c r="K377" s="20">
        <f>IF(SUM(J377-'bases de donnée'!E$7)&lt;0,0,SUM(J377-'bases de donnée'!E$7))</f>
        <v>0</v>
      </c>
      <c r="L377" s="11">
        <f>IF(OR(E377="férié travaillé",E377="travail"),I377-G377+IF(G377&gt;I377,1),INDEX('bases de donnée'!$E$20:'bases de donnée'!$E$32,MATCH(E377,gerald2,0)))</f>
        <v>0.32291666666666663</v>
      </c>
      <c r="M377" s="21">
        <f>IF(SUM(L377-'bases de donnée'!E$4)&lt;0,0,SUM(L377-'bases de donnée'!E$4))</f>
        <v>0</v>
      </c>
      <c r="N377" s="155">
        <v>0</v>
      </c>
      <c r="O377" s="73">
        <f t="shared" si="405"/>
        <v>1.5</v>
      </c>
      <c r="P377" s="12" t="s">
        <v>48</v>
      </c>
      <c r="Q377" s="120">
        <f t="shared" si="406"/>
        <v>1</v>
      </c>
      <c r="R377" s="30"/>
      <c r="S377" s="77">
        <f>IF(SUM(MOD(I377-G377,1)-IF(I377&gt;G377,MAX(0,MIN(I377,'bases de donnée'!E$16/24)-MAX('planning '!G377,7/24)),MAX(0,'bases de donnée'!E$16/24-MAX('planning '!G377,7/24))+MAX(0,MIN('planning '!I377,'bases de donnée'!E$16/24)-7/24)))&lt;0,0,SUM(MOD('planning '!I377-'planning '!G377,1)-IF('planning '!I377&gt;'planning '!G377,MAX(0,MIN('planning '!I377,'bases de donnée'!E$16/24)-MAX('planning '!G377,7/24)),MAX(0,'bases de donnée'!E$16/24-MAX('planning '!G377,7/24))+MAX(0,MIN('planning '!I377,'bases de donnée'!E$16/24)-7/24))))</f>
        <v>0</v>
      </c>
      <c r="T377" s="82"/>
      <c r="U377" s="77" t="str">
        <f t="shared" si="401"/>
        <v>00:00</v>
      </c>
      <c r="V377" s="78">
        <f>IF(SUM(IF(O377&gt;("36:00"*1),O377-("36:00"*1),0)-V375-V376)&lt;0,0,SUM(IF(O377&gt;("36:00"*1),O377-("36:00"*1),0)-V373-V374-V375-V376))</f>
        <v>0</v>
      </c>
      <c r="W377" s="47"/>
      <c r="X377" s="48">
        <f t="shared" si="344"/>
        <v>0</v>
      </c>
      <c r="Y377" s="42"/>
      <c r="Z377" s="49">
        <f t="shared" si="402"/>
        <v>0</v>
      </c>
      <c r="AA377" s="48">
        <f t="shared" si="403"/>
        <v>0</v>
      </c>
      <c r="AB377" s="47"/>
      <c r="AC377" s="54"/>
      <c r="AD377" s="33">
        <f t="shared" si="345"/>
        <v>0</v>
      </c>
      <c r="AE377" s="33">
        <f t="shared" si="396"/>
        <v>0</v>
      </c>
    </row>
    <row r="378" spans="2:31" x14ac:dyDescent="0.3">
      <c r="B378"/>
      <c r="C378" s="14" t="s">
        <v>4</v>
      </c>
      <c r="D378" s="43">
        <f t="shared" si="407"/>
        <v>42330</v>
      </c>
      <c r="E378" s="29" t="s">
        <v>28</v>
      </c>
      <c r="F378" s="191"/>
      <c r="G378" s="194"/>
      <c r="H378" s="194"/>
      <c r="I378" s="194"/>
      <c r="J378" s="193">
        <f>IF(OR(E378="férié travaillé",E378="travail"),(I378-G378+IF(G378&gt;I378,1)-H378),INDEX('bases de donnée'!$E$20:'bases de donnée'!$E$32,MATCH(E378,gerald2,0)))</f>
        <v>0</v>
      </c>
      <c r="K378" s="20">
        <f>IF(SUM(J378-'bases de donnée'!E$7)&lt;0,0,SUM(J378-'bases de donnée'!E$7))</f>
        <v>0</v>
      </c>
      <c r="L378" s="11">
        <f>IF(OR(E378="férié travaillé",E378="travail"),I378-G378+IF(G378&gt;I378,1),INDEX('bases de donnée'!$E$20:'bases de donnée'!$E$32,MATCH(E378,gerald2,0)))</f>
        <v>0</v>
      </c>
      <c r="M378" s="21">
        <f>IF(SUM(L378-'bases de donnée'!E$4)&lt;0,0,SUM(L378-'bases de donnée'!E$4))</f>
        <v>0</v>
      </c>
      <c r="N378" s="155">
        <v>0</v>
      </c>
      <c r="O378" s="73">
        <f t="shared" si="405"/>
        <v>1.5</v>
      </c>
      <c r="P378" s="53">
        <f>'bases de donnée'!E$10</f>
        <v>2</v>
      </c>
      <c r="Q378" s="120">
        <f t="shared" si="406"/>
        <v>0</v>
      </c>
      <c r="R378" s="30"/>
      <c r="S378" s="77">
        <f>IF(SUM(MOD(I378-G378,1)-IF(I378&gt;G378,MAX(0,MIN(I378,'bases de donnée'!E$16/24)-MAX('planning '!G378,7/24)),MAX(0,'bases de donnée'!E$16/24-MAX('planning '!G378,7/24))+MAX(0,MIN('planning '!I378,'bases de donnée'!E$16/24)-7/24)))&lt;0,0,SUM(MOD('planning '!I378-'planning '!G378,1)-IF('planning '!I378&gt;'planning '!G378,MAX(0,MIN('planning '!I378,'bases de donnée'!E$16/24)-MAX('planning '!G378,7/24)),MAX(0,'bases de donnée'!E$16/24-MAX('planning '!G378,7/24))+MAX(0,MIN('planning '!I378,'bases de donnée'!E$16/24)-7/24))))</f>
        <v>0</v>
      </c>
      <c r="T378" s="82"/>
      <c r="U378" s="77" t="str">
        <f t="shared" si="401"/>
        <v>00:00</v>
      </c>
      <c r="V378" s="78">
        <f>IF(SUM(IF(O378&gt;("36:00"*1),O378-("36:00"*1),0)-V376-V377)&lt;0,0,SUM(IF(O378&gt;("36:00"*1),O378-("36:00"*1),0)-V373-V374-V375-V376-V377))</f>
        <v>0</v>
      </c>
      <c r="W378" s="47"/>
      <c r="X378" s="48">
        <f t="shared" si="344"/>
        <v>0</v>
      </c>
      <c r="Y378" s="32"/>
      <c r="Z378" s="49">
        <f t="shared" si="402"/>
        <v>0</v>
      </c>
      <c r="AA378" s="48">
        <f t="shared" si="403"/>
        <v>0</v>
      </c>
      <c r="AB378" s="47"/>
      <c r="AC378" s="55"/>
      <c r="AD378" s="33">
        <f t="shared" si="345"/>
        <v>0</v>
      </c>
      <c r="AE378" s="33">
        <f t="shared" si="396"/>
        <v>0</v>
      </c>
    </row>
    <row r="379" spans="2:31" x14ac:dyDescent="0.3">
      <c r="B379"/>
      <c r="C379" s="14" t="s">
        <v>5</v>
      </c>
      <c r="D379" s="43">
        <f t="shared" si="407"/>
        <v>42331</v>
      </c>
      <c r="E379" s="29" t="s">
        <v>28</v>
      </c>
      <c r="F379" s="192"/>
      <c r="G379" s="194"/>
      <c r="H379" s="194"/>
      <c r="I379" s="194"/>
      <c r="J379" s="193">
        <f>IF(OR(E379="férié travaillé",E379="travail"),(I379-G379+IF(G379&gt;I379,1)-H379),INDEX('bases de donnée'!$E$20:'bases de donnée'!$E$32,MATCH(E379,gerald2,0)))</f>
        <v>0</v>
      </c>
      <c r="K379" s="20">
        <f>IF(SUM(J379-'bases de donnée'!E$7)&lt;0,0,SUM(J379-'bases de donnée'!E$7))</f>
        <v>0</v>
      </c>
      <c r="L379" s="11">
        <f>IF(OR(E379="férié travaillé",E379="travail"),I379-G379+IF(G379&gt;I379,1),INDEX('bases de donnée'!$E$20:'bases de donnée'!$E$32,MATCH(E379,gerald2,0)))</f>
        <v>0</v>
      </c>
      <c r="M379" s="21">
        <f>IF(SUM(L379-'bases de donnée'!E$4)&lt;0,0,SUM(L379-'bases de donnée'!E$4))</f>
        <v>0</v>
      </c>
      <c r="N379" s="155">
        <v>0</v>
      </c>
      <c r="O379" s="73">
        <f t="shared" si="405"/>
        <v>1.5</v>
      </c>
      <c r="P379" s="33">
        <f>IF(SUM(O379-'bases de donnée'!E$10)&lt;0,0,SUM(O379-'bases de donnée'!E$10))</f>
        <v>0</v>
      </c>
      <c r="Q379" s="120">
        <f t="shared" si="406"/>
        <v>0</v>
      </c>
      <c r="R379" s="30"/>
      <c r="S379" s="77">
        <f>IF(SUM(MOD(I379-G379,1)-IF(I379&gt;G379,MAX(0,MIN(I379,'bases de donnée'!E$16/24)-MAX('planning '!G379,7/24)),MAX(0,'bases de donnée'!E$16/24-MAX('planning '!G379,7/24))+MAX(0,MIN('planning '!I379,'bases de donnée'!E$16/24)-7/24)))&lt;0,0,SUM(MOD('planning '!I379-'planning '!G379,1)-IF('planning '!I379&gt;'planning '!G379,MAX(0,MIN('planning '!I379,'bases de donnée'!E$16/24)-MAX('planning '!G379,7/24)),MAX(0,'bases de donnée'!E$16/24-MAX('planning '!G379,7/24))+MAX(0,MIN('planning '!I379,'bases de donnée'!E$16/24)-7/24))))</f>
        <v>0</v>
      </c>
      <c r="T379" s="77">
        <f>J379</f>
        <v>0</v>
      </c>
      <c r="U379" s="77" t="str">
        <f t="shared" si="401"/>
        <v>00:00</v>
      </c>
      <c r="V379" s="78">
        <f>IF(SUM(IF(O379&gt;("36:00"*1),O379-("36:00"*1),0)-V377-V378)&lt;0,0,SUM(IF(O379&gt;("36:00"*1),O379-("36:00"*1),0)-V373-V374-V375-V376-V377-V378))</f>
        <v>0</v>
      </c>
      <c r="W379" s="47"/>
      <c r="X379" s="48">
        <f t="shared" si="344"/>
        <v>0</v>
      </c>
      <c r="Y379" s="48">
        <f t="shared" ref="Y379" si="408">IF(SUM(T379-S379)&lt;0,0,SUM(T379-S379))</f>
        <v>0</v>
      </c>
      <c r="Z379" s="56">
        <f t="shared" ref="Z379" si="409">IF(SUM(U379-T379-S379)&lt;0,0,SUM(U379-T379-S379))</f>
        <v>0</v>
      </c>
      <c r="AA379" s="48">
        <f>IF(SUM(V379-S379-T379-U379)&lt;0,0,SUM(V379-S379-T379-U379))</f>
        <v>0</v>
      </c>
      <c r="AB379" s="47"/>
      <c r="AC379" s="57">
        <f t="shared" ref="AC379" si="410">IF(SUM(T379-Y379)&lt;0,0,SUM(T379-Y379))</f>
        <v>0</v>
      </c>
      <c r="AD379" s="33">
        <f t="shared" si="345"/>
        <v>0</v>
      </c>
      <c r="AE379" s="33">
        <f t="shared" si="396"/>
        <v>0</v>
      </c>
    </row>
    <row r="380" spans="2:31" x14ac:dyDescent="0.3">
      <c r="B380"/>
      <c r="C380" s="25"/>
      <c r="D380" s="90"/>
      <c r="E380" s="90"/>
      <c r="F380" s="25"/>
      <c r="G380" s="185"/>
      <c r="H380" s="185"/>
      <c r="I380" s="185"/>
      <c r="J380" s="47"/>
      <c r="K380" s="92"/>
      <c r="L380" s="91"/>
      <c r="M380" s="91"/>
      <c r="N380" s="91"/>
      <c r="O380" s="93"/>
      <c r="P380" s="47"/>
      <c r="Q380" s="30"/>
      <c r="R380" s="30"/>
      <c r="S380" s="47"/>
      <c r="T380" s="47"/>
      <c r="U380" s="47"/>
      <c r="V380" s="93"/>
      <c r="W380" s="47"/>
      <c r="X380" s="47"/>
      <c r="Y380" s="47"/>
      <c r="Z380" s="47"/>
      <c r="AA380" s="47"/>
      <c r="AB380" s="47"/>
      <c r="AC380" s="47"/>
      <c r="AD380" s="47"/>
      <c r="AE380" s="47"/>
    </row>
    <row r="381" spans="2:31" x14ac:dyDescent="0.3">
      <c r="B381" s="9" t="s">
        <v>40</v>
      </c>
      <c r="C381" s="9" t="s">
        <v>6</v>
      </c>
      <c r="D381" s="58">
        <f>D379+1</f>
        <v>42332</v>
      </c>
      <c r="E381" s="29" t="s">
        <v>29</v>
      </c>
      <c r="F381" s="190"/>
      <c r="G381" s="194">
        <v>0.375</v>
      </c>
      <c r="H381" s="194">
        <v>3.125E-2</v>
      </c>
      <c r="I381" s="194">
        <v>0.70833333333333337</v>
      </c>
      <c r="J381" s="193">
        <f>IF(OR(E381="férié travaillé",E381="travail"),(I381-G381+IF(G381&gt;I381,1)-H381),INDEX('bases de donnée'!$E$20:'bases de donnée'!$E$32,MATCH(E381,gerald2,0)))</f>
        <v>0.30208333333333337</v>
      </c>
      <c r="K381" s="20">
        <f>IF(SUM(J381-'bases de donnée'!E$7)&lt;0,0,SUM(J381-'bases de donnée'!E$7))</f>
        <v>0</v>
      </c>
      <c r="L381" s="11">
        <f>IF(OR(E381="férié travaillé",E381="travail"),I381-G381+IF(G381&gt;I381,1),INDEX('bases de donnée'!$E$20:'bases de donnée'!$E$32,MATCH(E381,gerald2,0)))</f>
        <v>0.33333333333333337</v>
      </c>
      <c r="M381" s="21">
        <f>IF(SUM(L381-'bases de donnée'!E$4)&lt;0,0,SUM(L381-'bases de donnée'!E$4))</f>
        <v>0</v>
      </c>
      <c r="N381" s="155">
        <v>0</v>
      </c>
      <c r="O381" s="59">
        <f t="shared" ref="O381" si="411">J381</f>
        <v>0.30208333333333337</v>
      </c>
      <c r="P381" s="50"/>
      <c r="Q381" s="120">
        <f>IF(AND(G381&lt;&gt;"",I381&lt;&gt;""),1,0+OR(N(I380)&lt;N(G380),E381="récupération",E381="congé 1 jour",E381="congé 1/2 jour ",E381="congé 5h24",E381="arrêt maladie",E381="arrêt travail",E381="férié ",E381="congé parentale",E381="congé de naissance"))</f>
        <v>1</v>
      </c>
      <c r="R381" s="30"/>
      <c r="S381" s="77">
        <f>IF(SUM(MOD(I381-G381,1)-IF(I381&gt;G381,MAX(0,MIN(I381,'bases de donnée'!E$16/24)-MAX('planning '!G381,7/24)),MAX(0,'bases de donnée'!E$16/24-MAX('planning '!G381,7/24))+MAX(0,MIN('planning '!I381,'bases de donnée'!E$16/24)-7/24)))&lt;0,0,SUM(MOD('planning '!I381-'planning '!G381,1)-IF('planning '!I381&gt;'planning '!G381,MAX(0,MIN('planning '!I381,'bases de donnée'!E$16/24)-MAX('planning '!G381,7/24)),MAX(0,'bases de donnée'!E$16/24-MAX('planning '!G381,7/24))+MAX(0,MIN('planning '!I381,'bases de donnée'!E$16/24)-7/24))))</f>
        <v>0</v>
      </c>
      <c r="T381" s="81"/>
      <c r="U381" s="77" t="str">
        <f t="shared" ref="U381:U387" si="412">IF(E381&lt;&gt;"travail",IF(E381="férié travaillé",MOD(I381-G381,1)-H381,"00:00"),"00:00")</f>
        <v>00:00</v>
      </c>
      <c r="V381" s="78"/>
      <c r="W381" s="47"/>
      <c r="X381" s="48">
        <f t="shared" si="344"/>
        <v>0</v>
      </c>
      <c r="Y381" s="31"/>
      <c r="Z381" s="49">
        <f t="shared" ref="Z381:Z386" si="413">IF(SUM(U381-X381)&lt;0,0,SUM(U381-X381))</f>
        <v>0</v>
      </c>
      <c r="AA381" s="48">
        <f t="shared" ref="AA381:AA386" si="414">IF(SUM(V381-X381-Z381)&lt;0,0,SUM(V381-X381-Z381))</f>
        <v>0</v>
      </c>
      <c r="AB381" s="47"/>
      <c r="AC381" s="50"/>
      <c r="AD381" s="33">
        <f t="shared" si="345"/>
        <v>0</v>
      </c>
      <c r="AE381" s="33">
        <f t="shared" si="396"/>
        <v>0</v>
      </c>
    </row>
    <row r="382" spans="2:31" x14ac:dyDescent="0.3">
      <c r="B382" s="60">
        <f t="shared" ref="B382" si="415">B374+1</f>
        <v>47</v>
      </c>
      <c r="C382" s="9" t="s">
        <v>7</v>
      </c>
      <c r="D382" s="58">
        <f t="shared" si="407"/>
        <v>42333</v>
      </c>
      <c r="E382" s="29" t="s">
        <v>29</v>
      </c>
      <c r="F382" s="191"/>
      <c r="G382" s="194">
        <v>0.375</v>
      </c>
      <c r="H382" s="194">
        <v>3.125E-2</v>
      </c>
      <c r="I382" s="194">
        <v>0.70833333333333337</v>
      </c>
      <c r="J382" s="193">
        <f>IF(OR(E382="férié travaillé",E382="travail"),(I382-G382+IF(G382&gt;I382,1)-H382),INDEX('bases de donnée'!$E$20:'bases de donnée'!$E$32,MATCH(E382,gerald2,0)))</f>
        <v>0.30208333333333337</v>
      </c>
      <c r="K382" s="20">
        <f>IF(SUM(J382-'bases de donnée'!E$7)&lt;0,0,SUM(J382-'bases de donnée'!E$7))</f>
        <v>0</v>
      </c>
      <c r="L382" s="11">
        <f>IF(OR(E382="férié travaillé",E382="travail"),I382-G382+IF(G382&gt;I382,1),INDEX('bases de donnée'!$E$20:'bases de donnée'!$E$32,MATCH(E382,gerald2,0)))</f>
        <v>0.33333333333333337</v>
      </c>
      <c r="M382" s="21">
        <f>IF(SUM(L382-'bases de donnée'!E$4)&lt;0,0,SUM(L382-'bases de donnée'!E$4))</f>
        <v>0</v>
      </c>
      <c r="N382" s="155">
        <v>0</v>
      </c>
      <c r="O382" s="74">
        <f t="shared" ref="O382:O387" si="416">O381+J382</f>
        <v>0.60416666666666674</v>
      </c>
      <c r="P382" s="54"/>
      <c r="Q382" s="120">
        <f t="shared" ref="Q382:Q387" si="417">IF(AND(G382&lt;&gt;"",I382&lt;&gt;""),1,0+OR(N(I381)&lt;N(G381),E382="récupération",E382="congé 1 jour",E382="congé 1/2 jour ",E382="congé 5h24",E382="arrêt maladie",E382="arrêt travail",E382="férié ",E382="congé parentale",E382="congé de naissance"))</f>
        <v>1</v>
      </c>
      <c r="R382" s="30"/>
      <c r="S382" s="77">
        <f>IF(SUM(MOD(I382-G382,1)-IF(I382&gt;G382,MAX(0,MIN(I382,'bases de donnée'!E$16/24)-MAX('planning '!G382,7/24)),MAX(0,'bases de donnée'!E$16/24-MAX('planning '!G382,7/24))+MAX(0,MIN('planning '!I382,'bases de donnée'!E$16/24)-7/24)))&lt;0,0,SUM(MOD('planning '!I382-'planning '!G382,1)-IF('planning '!I382&gt;'planning '!G382,MAX(0,MIN('planning '!I382,'bases de donnée'!E$16/24)-MAX('planning '!G382,7/24)),MAX(0,'bases de donnée'!E$16/24-MAX('planning '!G382,7/24))+MAX(0,MIN('planning '!I382,'bases de donnée'!E$16/24)-7/24))))</f>
        <v>0</v>
      </c>
      <c r="T382" s="82"/>
      <c r="U382" s="77" t="str">
        <f t="shared" si="412"/>
        <v>00:00</v>
      </c>
      <c r="V382" s="78">
        <f>IF(SUM(IF(O382&gt;('bases de donnée'!E$9*1),O382-('bases de donnée'!E$9*1),0)-V381)&lt;0,0,SUM(IF(O382&gt;('bases de donnée'!E$9*1),O382-('bases de donnée'!E$9*1),0)-V381))</f>
        <v>0</v>
      </c>
      <c r="W382" s="47"/>
      <c r="X382" s="48">
        <f t="shared" si="344"/>
        <v>0</v>
      </c>
      <c r="Y382" s="42"/>
      <c r="Z382" s="49">
        <f t="shared" si="413"/>
        <v>0</v>
      </c>
      <c r="AA382" s="48">
        <f t="shared" si="414"/>
        <v>0</v>
      </c>
      <c r="AB382" s="47"/>
      <c r="AC382" s="54"/>
      <c r="AD382" s="33">
        <f t="shared" si="345"/>
        <v>0</v>
      </c>
      <c r="AE382" s="33">
        <f t="shared" si="396"/>
        <v>0</v>
      </c>
    </row>
    <row r="383" spans="2:31" x14ac:dyDescent="0.3">
      <c r="B383"/>
      <c r="C383" s="9" t="s">
        <v>8</v>
      </c>
      <c r="D383" s="58">
        <f t="shared" si="407"/>
        <v>42334</v>
      </c>
      <c r="E383" s="29" t="s">
        <v>29</v>
      </c>
      <c r="F383" s="191"/>
      <c r="G383" s="194">
        <v>0.375</v>
      </c>
      <c r="H383" s="194">
        <v>3.125E-2</v>
      </c>
      <c r="I383" s="194">
        <v>0.70833333333333337</v>
      </c>
      <c r="J383" s="193">
        <f>IF(OR(E383="férié travaillé",E383="travail"),(I383-G383+IF(G383&gt;I383,1)-H383),INDEX('bases de donnée'!$E$20:'bases de donnée'!$E$32,MATCH(E383,gerald2,0)))</f>
        <v>0.30208333333333337</v>
      </c>
      <c r="K383" s="20">
        <f>IF(SUM(J383-'bases de donnée'!E$7)&lt;0,0,SUM(J383-'bases de donnée'!E$7))</f>
        <v>0</v>
      </c>
      <c r="L383" s="11">
        <f>IF(OR(E383="férié travaillé",E383="travail"),I383-G383+IF(G383&gt;I383,1),INDEX('bases de donnée'!$E$20:'bases de donnée'!$E$32,MATCH(E383,gerald2,0)))</f>
        <v>0.33333333333333337</v>
      </c>
      <c r="M383" s="21">
        <f>IF(SUM(L383-'bases de donnée'!E$4)&lt;0,0,SUM(L383-'bases de donnée'!E$4))</f>
        <v>0</v>
      </c>
      <c r="N383" s="155">
        <v>0</v>
      </c>
      <c r="O383" s="74">
        <f t="shared" si="416"/>
        <v>0.90625000000000011</v>
      </c>
      <c r="P383" s="34" t="s">
        <v>46</v>
      </c>
      <c r="Q383" s="120">
        <f t="shared" si="417"/>
        <v>1</v>
      </c>
      <c r="R383" s="30"/>
      <c r="S383" s="77">
        <f>IF(SUM(MOD(I383-G383,1)-IF(I383&gt;G383,MAX(0,MIN(I383,'bases de donnée'!E$16/24)-MAX('planning '!G383,7/24)),MAX(0,'bases de donnée'!E$16/24-MAX('planning '!G383,7/24))+MAX(0,MIN('planning '!I383,'bases de donnée'!E$16/24)-7/24)))&lt;0,0,SUM(MOD('planning '!I383-'planning '!G383,1)-IF('planning '!I383&gt;'planning '!G383,MAX(0,MIN('planning '!I383,'bases de donnée'!E$16/24)-MAX('planning '!G383,7/24)),MAX(0,'bases de donnée'!E$16/24-MAX('planning '!G383,7/24))+MAX(0,MIN('planning '!I383,'bases de donnée'!E$16/24)-7/24))))</f>
        <v>0</v>
      </c>
      <c r="T383" s="82"/>
      <c r="U383" s="77" t="str">
        <f t="shared" si="412"/>
        <v>00:00</v>
      </c>
      <c r="V383" s="78">
        <f>IF(SUM(IF(O383&gt;("36:00"*1),O383-("36:00"*1),0)-V381-V382)&lt;0,0,SUM(IF(O383&gt;("36:00"*1),O383-("36:00"*1),0)-V381-V382))</f>
        <v>0</v>
      </c>
      <c r="W383" s="47"/>
      <c r="X383" s="48">
        <f t="shared" si="344"/>
        <v>0</v>
      </c>
      <c r="Y383" s="42"/>
      <c r="Z383" s="49">
        <f t="shared" si="413"/>
        <v>0</v>
      </c>
      <c r="AA383" s="48">
        <f t="shared" si="414"/>
        <v>0</v>
      </c>
      <c r="AB383" s="47"/>
      <c r="AC383" s="54"/>
      <c r="AD383" s="33">
        <f t="shared" si="345"/>
        <v>0</v>
      </c>
      <c r="AE383" s="33">
        <f t="shared" si="396"/>
        <v>0</v>
      </c>
    </row>
    <row r="384" spans="2:31" x14ac:dyDescent="0.3">
      <c r="B384"/>
      <c r="C384" s="9" t="s">
        <v>9</v>
      </c>
      <c r="D384" s="58">
        <f t="shared" si="407"/>
        <v>42335</v>
      </c>
      <c r="E384" s="29" t="s">
        <v>29</v>
      </c>
      <c r="F384" s="191"/>
      <c r="G384" s="194">
        <v>0.375</v>
      </c>
      <c r="H384" s="194">
        <v>3.125E-2</v>
      </c>
      <c r="I384" s="194">
        <v>0.70833333333333337</v>
      </c>
      <c r="J384" s="193">
        <f>IF(OR(E384="férié travaillé",E384="travail"),(I384-G384+IF(G384&gt;I384,1)-H384),INDEX('bases de donnée'!$E$20:'bases de donnée'!$E$32,MATCH(E384,gerald2,0)))</f>
        <v>0.30208333333333337</v>
      </c>
      <c r="K384" s="20">
        <f>IF(SUM(J384-'bases de donnée'!E$7)&lt;0,0,SUM(J384-'bases de donnée'!E$7))</f>
        <v>0</v>
      </c>
      <c r="L384" s="11">
        <f>IF(OR(E384="férié travaillé",E384="travail"),I384-G384+IF(G384&gt;I384,1),INDEX('bases de donnée'!$E$20:'bases de donnée'!$E$32,MATCH(E384,gerald2,0)))</f>
        <v>0.33333333333333337</v>
      </c>
      <c r="M384" s="21">
        <f>IF(SUM(L384-'bases de donnée'!E$4)&lt;0,0,SUM(L384-'bases de donnée'!E$4))</f>
        <v>0</v>
      </c>
      <c r="N384" s="155">
        <v>0</v>
      </c>
      <c r="O384" s="74">
        <f t="shared" si="416"/>
        <v>1.2083333333333335</v>
      </c>
      <c r="P384" s="86">
        <f>O387</f>
        <v>1.5</v>
      </c>
      <c r="Q384" s="120">
        <f t="shared" si="417"/>
        <v>1</v>
      </c>
      <c r="R384" s="30"/>
      <c r="S384" s="77">
        <f>IF(SUM(MOD(I384-G384,1)-IF(I384&gt;G384,MAX(0,MIN(I384,'bases de donnée'!E$16/24)-MAX('planning '!G384,7/24)),MAX(0,'bases de donnée'!E$16/24-MAX('planning '!G384,7/24))+MAX(0,MIN('planning '!I384,'bases de donnée'!E$16/24)-7/24)))&lt;0,0,SUM(MOD('planning '!I384-'planning '!G384,1)-IF('planning '!I384&gt;'planning '!G384,MAX(0,MIN('planning '!I384,'bases de donnée'!E$16/24)-MAX('planning '!G384,7/24)),MAX(0,'bases de donnée'!E$16/24-MAX('planning '!G384,7/24))+MAX(0,MIN('planning '!I384,'bases de donnée'!E$16/24)-7/24))))</f>
        <v>0</v>
      </c>
      <c r="T384" s="82"/>
      <c r="U384" s="77" t="str">
        <f t="shared" si="412"/>
        <v>00:00</v>
      </c>
      <c r="V384" s="78">
        <f>IF(SUM(IF(O384&gt;("36:00"*1),O384-("36:00"*1),0)-V382-V383)&lt;0,0,SUM(IF(O384&gt;("36:00"*1),O384-("36:00"*1),0)-V381-V382-V383))</f>
        <v>0</v>
      </c>
      <c r="W384" s="47"/>
      <c r="X384" s="48">
        <f t="shared" si="344"/>
        <v>0</v>
      </c>
      <c r="Y384" s="42"/>
      <c r="Z384" s="49">
        <f t="shared" si="413"/>
        <v>0</v>
      </c>
      <c r="AA384" s="48">
        <f t="shared" si="414"/>
        <v>0</v>
      </c>
      <c r="AB384" s="47"/>
      <c r="AC384" s="54"/>
      <c r="AD384" s="33">
        <f t="shared" si="345"/>
        <v>0</v>
      </c>
      <c r="AE384" s="33">
        <f t="shared" si="396"/>
        <v>0</v>
      </c>
    </row>
    <row r="385" spans="2:31" x14ac:dyDescent="0.3">
      <c r="B385"/>
      <c r="C385" s="9" t="s">
        <v>3</v>
      </c>
      <c r="D385" s="58">
        <f t="shared" si="407"/>
        <v>42336</v>
      </c>
      <c r="E385" s="29" t="s">
        <v>29</v>
      </c>
      <c r="F385" s="191"/>
      <c r="G385" s="194">
        <v>0.375</v>
      </c>
      <c r="H385" s="194">
        <v>3.125E-2</v>
      </c>
      <c r="I385" s="194">
        <v>0.69791666666666663</v>
      </c>
      <c r="J385" s="193">
        <f>IF(OR(E385="férié travaillé",E385="travail"),(I385-G385+IF(G385&gt;I385,1)-H385),INDEX('bases de donnée'!$E$20:'bases de donnée'!$E$32,MATCH(E385,gerald2,0)))</f>
        <v>0.29166666666666663</v>
      </c>
      <c r="K385" s="20">
        <f>IF(SUM(J385-'bases de donnée'!E$7)&lt;0,0,SUM(J385-'bases de donnée'!E$7))</f>
        <v>0</v>
      </c>
      <c r="L385" s="11">
        <f>IF(OR(E385="férié travaillé",E385="travail"),I385-G385+IF(G385&gt;I385,1),INDEX('bases de donnée'!$E$20:'bases de donnée'!$E$32,MATCH(E385,gerald2,0)))</f>
        <v>0.32291666666666663</v>
      </c>
      <c r="M385" s="21">
        <f>IF(SUM(L385-'bases de donnée'!E$4)&lt;0,0,SUM(L385-'bases de donnée'!E$4))</f>
        <v>0</v>
      </c>
      <c r="N385" s="155">
        <v>0</v>
      </c>
      <c r="O385" s="74">
        <f t="shared" si="416"/>
        <v>1.5</v>
      </c>
      <c r="P385" s="8" t="s">
        <v>48</v>
      </c>
      <c r="Q385" s="120">
        <f t="shared" si="417"/>
        <v>1</v>
      </c>
      <c r="R385" s="30"/>
      <c r="S385" s="77">
        <f>IF(SUM(MOD(I385-G385,1)-IF(I385&gt;G385,MAX(0,MIN(I385,'bases de donnée'!E$16/24)-MAX('planning '!G385,7/24)),MAX(0,'bases de donnée'!E$16/24-MAX('planning '!G385,7/24))+MAX(0,MIN('planning '!I385,'bases de donnée'!E$16/24)-7/24)))&lt;0,0,SUM(MOD('planning '!I385-'planning '!G385,1)-IF('planning '!I385&gt;'planning '!G385,MAX(0,MIN('planning '!I385,'bases de donnée'!E$16/24)-MAX('planning '!G385,7/24)),MAX(0,'bases de donnée'!E$16/24-MAX('planning '!G385,7/24))+MAX(0,MIN('planning '!I385,'bases de donnée'!E$16/24)-7/24))))</f>
        <v>0</v>
      </c>
      <c r="T385" s="82"/>
      <c r="U385" s="77" t="str">
        <f t="shared" si="412"/>
        <v>00:00</v>
      </c>
      <c r="V385" s="78">
        <f>IF(SUM(IF(O385&gt;("36:00"*1),O385-("36:00"*1),0)-V383-V384)&lt;0,0,SUM(IF(O385&gt;("36:00"*1),O385-("36:00"*1),0)-V381-V382-V383-V384))</f>
        <v>0</v>
      </c>
      <c r="W385" s="47"/>
      <c r="X385" s="48">
        <f t="shared" si="344"/>
        <v>0</v>
      </c>
      <c r="Y385" s="42"/>
      <c r="Z385" s="49">
        <f t="shared" si="413"/>
        <v>0</v>
      </c>
      <c r="AA385" s="48">
        <f t="shared" si="414"/>
        <v>0</v>
      </c>
      <c r="AB385" s="47"/>
      <c r="AC385" s="54"/>
      <c r="AD385" s="33">
        <f t="shared" si="345"/>
        <v>0</v>
      </c>
      <c r="AE385" s="33">
        <f t="shared" si="396"/>
        <v>0</v>
      </c>
    </row>
    <row r="386" spans="2:31" x14ac:dyDescent="0.3">
      <c r="B386"/>
      <c r="C386" s="9" t="s">
        <v>4</v>
      </c>
      <c r="D386" s="58">
        <f t="shared" si="407"/>
        <v>42337</v>
      </c>
      <c r="E386" s="29" t="s">
        <v>28</v>
      </c>
      <c r="F386" s="191"/>
      <c r="G386" s="194"/>
      <c r="H386" s="194"/>
      <c r="I386" s="194"/>
      <c r="J386" s="193">
        <f>IF(OR(E386="férié travaillé",E386="travail"),(I386-G386+IF(G386&gt;I386,1)-H386),INDEX('bases de donnée'!$E$20:'bases de donnée'!$E$32,MATCH(E386,gerald2,0)))</f>
        <v>0</v>
      </c>
      <c r="K386" s="20">
        <f>IF(SUM(J386-'bases de donnée'!E$7)&lt;0,0,SUM(J386-'bases de donnée'!E$7))</f>
        <v>0</v>
      </c>
      <c r="L386" s="11">
        <f>IF(OR(E386="férié travaillé",E386="travail"),I386-G386+IF(G386&gt;I386,1),INDEX('bases de donnée'!$E$20:'bases de donnée'!$E$32,MATCH(E386,gerald2,0)))</f>
        <v>0</v>
      </c>
      <c r="M386" s="21">
        <f>IF(SUM(L386-'bases de donnée'!E$4)&lt;0,0,SUM(L386-'bases de donnée'!E$4))</f>
        <v>0</v>
      </c>
      <c r="N386" s="155">
        <v>0</v>
      </c>
      <c r="O386" s="74">
        <f t="shared" si="416"/>
        <v>1.5</v>
      </c>
      <c r="P386" s="61">
        <f>'bases de donnée'!E$10</f>
        <v>2</v>
      </c>
      <c r="Q386" s="120">
        <f t="shared" si="417"/>
        <v>0</v>
      </c>
      <c r="R386" s="30"/>
      <c r="S386" s="77">
        <f>IF(SUM(MOD(I386-G386,1)-IF(I386&gt;G386,MAX(0,MIN(I386,'bases de donnée'!E$16/24)-MAX('planning '!G386,7/24)),MAX(0,'bases de donnée'!E$16/24-MAX('planning '!G386,7/24))+MAX(0,MIN('planning '!I386,'bases de donnée'!E$16/24)-7/24)))&lt;0,0,SUM(MOD('planning '!I386-'planning '!G386,1)-IF('planning '!I386&gt;'planning '!G386,MAX(0,MIN('planning '!I386,'bases de donnée'!E$16/24)-MAX('planning '!G386,7/24)),MAX(0,'bases de donnée'!E$16/24-MAX('planning '!G386,7/24))+MAX(0,MIN('planning '!I386,'bases de donnée'!E$16/24)-7/24))))</f>
        <v>0</v>
      </c>
      <c r="T386" s="82"/>
      <c r="U386" s="77" t="str">
        <f t="shared" si="412"/>
        <v>00:00</v>
      </c>
      <c r="V386" s="78">
        <f>IF(SUM(IF(O386&gt;("36:00"*1),O386-("36:00"*1),0)-V384-V385)&lt;0,0,SUM(IF(O386&gt;("36:00"*1),O386-("36:00"*1),0)-V381-V382-V383-V384-V385))</f>
        <v>0</v>
      </c>
      <c r="W386" s="47"/>
      <c r="X386" s="48">
        <f t="shared" si="344"/>
        <v>0</v>
      </c>
      <c r="Y386" s="32"/>
      <c r="Z386" s="49">
        <f t="shared" si="413"/>
        <v>0</v>
      </c>
      <c r="AA386" s="48">
        <f t="shared" si="414"/>
        <v>0</v>
      </c>
      <c r="AB386" s="47"/>
      <c r="AC386" s="55"/>
      <c r="AD386" s="33">
        <f t="shared" si="345"/>
        <v>0</v>
      </c>
      <c r="AE386" s="33">
        <f t="shared" si="396"/>
        <v>0</v>
      </c>
    </row>
    <row r="387" spans="2:31" x14ac:dyDescent="0.3">
      <c r="B387"/>
      <c r="C387" s="9" t="s">
        <v>5</v>
      </c>
      <c r="D387" s="58">
        <f t="shared" si="407"/>
        <v>42338</v>
      </c>
      <c r="E387" s="29" t="s">
        <v>28</v>
      </c>
      <c r="F387" s="192"/>
      <c r="G387" s="194"/>
      <c r="H387" s="194"/>
      <c r="I387" s="194"/>
      <c r="J387" s="193">
        <f>IF(OR(E387="férié travaillé",E387="travail"),(I387-G387+IF(G387&gt;I387,1)-H387),INDEX('bases de donnée'!$E$20:'bases de donnée'!$E$32,MATCH(E387,gerald2,0)))</f>
        <v>0</v>
      </c>
      <c r="K387" s="20">
        <f>IF(SUM(J387-'bases de donnée'!E$7)&lt;0,0,SUM(J387-'bases de donnée'!E$7))</f>
        <v>0</v>
      </c>
      <c r="L387" s="11">
        <f>IF(OR(E387="férié travaillé",E387="travail"),I387-G387+IF(G387&gt;I387,1),INDEX('bases de donnée'!$E$20:'bases de donnée'!$E$32,MATCH(E387,gerald2,0)))</f>
        <v>0</v>
      </c>
      <c r="M387" s="21">
        <f>IF(SUM(L387-'bases de donnée'!E$4)&lt;0,0,SUM(L387-'bases de donnée'!E$4))</f>
        <v>0</v>
      </c>
      <c r="N387" s="155">
        <v>0</v>
      </c>
      <c r="O387" s="74">
        <f t="shared" si="416"/>
        <v>1.5</v>
      </c>
      <c r="P387" s="33">
        <f>IF(SUM(O387-'bases de donnée'!E$10)&lt;0,0,SUM(O387-'bases de donnée'!E$10))</f>
        <v>0</v>
      </c>
      <c r="Q387" s="120">
        <f t="shared" si="417"/>
        <v>0</v>
      </c>
      <c r="R387" s="30"/>
      <c r="S387" s="77">
        <f>IF(SUM(MOD(I387-G387,1)-IF(I387&gt;G387,MAX(0,MIN(I387,'bases de donnée'!E$16/24)-MAX('planning '!G387,7/24)),MAX(0,'bases de donnée'!E$16/24-MAX('planning '!G387,7/24))+MAX(0,MIN('planning '!I387,'bases de donnée'!E$16/24)-7/24)))&lt;0,0,SUM(MOD('planning '!I387-'planning '!G387,1)-IF('planning '!I387&gt;'planning '!G387,MAX(0,MIN('planning '!I387,'bases de donnée'!E$16/24)-MAX('planning '!G387,7/24)),MAX(0,'bases de donnée'!E$16/24-MAX('planning '!G387,7/24))+MAX(0,MIN('planning '!I387,'bases de donnée'!E$16/24)-7/24))))</f>
        <v>0</v>
      </c>
      <c r="T387" s="77">
        <f>J387</f>
        <v>0</v>
      </c>
      <c r="U387" s="77" t="str">
        <f t="shared" si="412"/>
        <v>00:00</v>
      </c>
      <c r="V387" s="78">
        <f>IF(SUM(IF(O387&gt;("36:00"*1),O387-("36:00"*1),0)-V385-V386)&lt;0,0,SUM(IF(O387&gt;("36:00"*1),O387-("36:00"*1),0)-V381-V382-V383-V384-V385-V386))</f>
        <v>0</v>
      </c>
      <c r="W387" s="47"/>
      <c r="X387" s="48">
        <f t="shared" si="344"/>
        <v>0</v>
      </c>
      <c r="Y387" s="48">
        <f t="shared" ref="Y387" si="418">IF(SUM(T387-S387)&lt;0,0,SUM(T387-S387))</f>
        <v>0</v>
      </c>
      <c r="Z387" s="56">
        <f t="shared" ref="Z387" si="419">IF(SUM(U387-T387-S387)&lt;0,0,SUM(U387-T387-S387))</f>
        <v>0</v>
      </c>
      <c r="AA387" s="48">
        <f>IF(SUM(V387-S387-T387-U387)&lt;0,0,SUM(V387-S387-T387-U387))</f>
        <v>0</v>
      </c>
      <c r="AB387" s="47"/>
      <c r="AC387" s="33">
        <f t="shared" ref="AC387" si="420">IF(SUM(T387-Y387)&lt;0,0,SUM(T387-Y387))</f>
        <v>0</v>
      </c>
      <c r="AD387" s="33">
        <f t="shared" si="345"/>
        <v>0</v>
      </c>
      <c r="AE387" s="33">
        <f t="shared" si="396"/>
        <v>0</v>
      </c>
    </row>
    <row r="388" spans="2:31" x14ac:dyDescent="0.3">
      <c r="B388"/>
      <c r="C388" s="25"/>
      <c r="D388" s="90"/>
      <c r="E388" s="90"/>
      <c r="F388" s="25"/>
      <c r="G388" s="185"/>
      <c r="H388" s="185"/>
      <c r="I388" s="185"/>
      <c r="J388" s="47"/>
      <c r="K388" s="92"/>
      <c r="L388" s="91"/>
      <c r="M388" s="91"/>
      <c r="N388" s="91"/>
      <c r="O388" s="93"/>
      <c r="P388" s="47"/>
      <c r="Q388" s="30"/>
      <c r="R388" s="30"/>
      <c r="S388" s="47"/>
      <c r="T388" s="47"/>
      <c r="U388" s="47"/>
      <c r="V388" s="93"/>
      <c r="W388" s="47"/>
      <c r="X388" s="47"/>
      <c r="Y388" s="47"/>
      <c r="Z388" s="47"/>
      <c r="AA388" s="47"/>
      <c r="AB388" s="47"/>
      <c r="AC388" s="47"/>
      <c r="AD388" s="47"/>
      <c r="AE388" s="47"/>
    </row>
    <row r="389" spans="2:31" x14ac:dyDescent="0.3">
      <c r="B389" s="14" t="s">
        <v>40</v>
      </c>
      <c r="C389" s="14" t="s">
        <v>6</v>
      </c>
      <c r="D389" s="43">
        <f>D387+1</f>
        <v>42339</v>
      </c>
      <c r="E389" s="29" t="s">
        <v>29</v>
      </c>
      <c r="F389" s="190"/>
      <c r="G389" s="194">
        <v>0.375</v>
      </c>
      <c r="H389" s="194">
        <v>3.125E-2</v>
      </c>
      <c r="I389" s="194">
        <v>0.70833333333333337</v>
      </c>
      <c r="J389" s="193">
        <f>IF(OR(E389="férié travaillé",E389="travail"),(I389-G389+IF(G389&gt;I389,1)-H389),INDEX('bases de donnée'!$E$20:'bases de donnée'!$E$32,MATCH(E389,gerald2,0)))</f>
        <v>0.30208333333333337</v>
      </c>
      <c r="K389" s="20">
        <f>IF(SUM(J389-'bases de donnée'!E$7)&lt;0,0,SUM(J389-'bases de donnée'!E$7))</f>
        <v>0</v>
      </c>
      <c r="L389" s="11">
        <f>IF(OR(E389="férié travaillé",E389="travail"),I389-G389+IF(G389&gt;I389,1),INDEX('bases de donnée'!$E$20:'bases de donnée'!$E$32,MATCH(E389,gerald2,0)))</f>
        <v>0.33333333333333337</v>
      </c>
      <c r="M389" s="21">
        <f>IF(SUM(L389-'bases de donnée'!E$4)&lt;0,0,SUM(L389-'bases de donnée'!E$4))</f>
        <v>0</v>
      </c>
      <c r="N389" s="155">
        <v>0</v>
      </c>
      <c r="O389" s="45">
        <f t="shared" ref="O389" si="421">J389</f>
        <v>0.30208333333333337</v>
      </c>
      <c r="P389" s="122">
        <f>SUM(Q389:Q395)</f>
        <v>5</v>
      </c>
      <c r="Q389" s="120">
        <f>IF(AND(G389&lt;&gt;"",I389&lt;&gt;""),1,0+OR(N(I388)&lt;N(G388),E389="récupération",E389="congé 1 jour",E389="congé 1/2 jour ",E389="congé 5h24",E389="arrêt maladie",E389="arrêt travail",E389="férié ",E389="congé parentale",E389="congé de naissance"))</f>
        <v>1</v>
      </c>
      <c r="R389" s="30"/>
      <c r="S389" s="77">
        <f>IF(SUM(MOD(I389-G389,1)-IF(I389&gt;G389,MAX(0,MIN(I389,'bases de donnée'!E$16/24)-MAX('planning '!G389,7/24)),MAX(0,'bases de donnée'!E$16/24-MAX('planning '!G389,7/24))+MAX(0,MIN('planning '!I389,'bases de donnée'!E$16/24)-7/24)))&lt;0,0,SUM(MOD('planning '!I389-'planning '!G389,1)-IF('planning '!I389&gt;'planning '!G389,MAX(0,MIN('planning '!I389,'bases de donnée'!E$16/24)-MAX('planning '!G389,7/24)),MAX(0,'bases de donnée'!E$16/24-MAX('planning '!G389,7/24))+MAX(0,MIN('planning '!I389,'bases de donnée'!E$16/24)-7/24))))</f>
        <v>0</v>
      </c>
      <c r="T389" s="81"/>
      <c r="U389" s="77" t="str">
        <f t="shared" ref="U389:U395" si="422">IF(E389&lt;&gt;"travail",IF(E389="férié travaillé",MOD(I389-G389,1)-H389,"00:00"),"00:00")</f>
        <v>00:00</v>
      </c>
      <c r="V389" s="78"/>
      <c r="W389" s="47"/>
      <c r="X389" s="48">
        <f t="shared" si="344"/>
        <v>0</v>
      </c>
      <c r="Y389" s="31"/>
      <c r="Z389" s="49">
        <f t="shared" ref="Z389:Z394" si="423">IF(SUM(U389-X389)&lt;0,0,SUM(U389-X389))</f>
        <v>0</v>
      </c>
      <c r="AA389" s="48">
        <f t="shared" ref="AA389:AA394" si="424">IF(SUM(V389-X389-Z389)&lt;0,0,SUM(V389-X389-Z389))</f>
        <v>0</v>
      </c>
      <c r="AB389" s="47"/>
      <c r="AC389" s="50"/>
      <c r="AD389" s="33">
        <f t="shared" si="345"/>
        <v>0</v>
      </c>
      <c r="AE389" s="33">
        <f t="shared" si="396"/>
        <v>0</v>
      </c>
    </row>
    <row r="390" spans="2:31" x14ac:dyDescent="0.3">
      <c r="B390" s="51">
        <f t="shared" ref="B390" si="425">B382+1</f>
        <v>48</v>
      </c>
      <c r="C390" s="14" t="s">
        <v>7</v>
      </c>
      <c r="D390" s="43">
        <f t="shared" si="407"/>
        <v>42340</v>
      </c>
      <c r="E390" s="29" t="s">
        <v>29</v>
      </c>
      <c r="F390" s="191"/>
      <c r="G390" s="194">
        <v>0.375</v>
      </c>
      <c r="H390" s="194">
        <v>3.125E-2</v>
      </c>
      <c r="I390" s="194">
        <v>0.70833333333333337</v>
      </c>
      <c r="J390" s="193">
        <f>IF(OR(E390="férié travaillé",E390="travail"),(I390-G390+IF(G390&gt;I390,1)-H390),INDEX('bases de donnée'!$E$20:'bases de donnée'!$E$32,MATCH(E390,gerald2,0)))</f>
        <v>0.30208333333333337</v>
      </c>
      <c r="K390" s="20">
        <f>IF(SUM(J390-'bases de donnée'!E$7)&lt;0,0,SUM(J390-'bases de donnée'!E$7))</f>
        <v>0</v>
      </c>
      <c r="L390" s="11">
        <f>IF(OR(E390="férié travaillé",E390="travail"),I390-G390+IF(G390&gt;I390,1),INDEX('bases de donnée'!$E$20:'bases de donnée'!$E$32,MATCH(E390,gerald2,0)))</f>
        <v>0.33333333333333337</v>
      </c>
      <c r="M390" s="21">
        <f>IF(SUM(L390-'bases de donnée'!E$4)&lt;0,0,SUM(L390-'bases de donnée'!E$4))</f>
        <v>0</v>
      </c>
      <c r="N390" s="155">
        <v>0</v>
      </c>
      <c r="O390" s="73">
        <f t="shared" ref="O390:O395" si="426">O389+J390</f>
        <v>0.60416666666666674</v>
      </c>
      <c r="P390" s="121">
        <f>IF(SUM(P389-'bases de donnée'!E$6)&lt;0,0,SUM(P389-'bases de donnée'!E$6))</f>
        <v>0</v>
      </c>
      <c r="Q390" s="120">
        <f t="shared" ref="Q390:Q395" si="427">IF(AND(G390&lt;&gt;"",I390&lt;&gt;""),1,0+OR(N(I389)&lt;N(G389),E390="récupération",E390="congé 1 jour",E390="congé 1/2 jour ",E390="congé 5h24",E390="arrêt maladie",E390="arrêt travail",E390="férié ",E390="congé parentale",E390="congé de naissance"))</f>
        <v>1</v>
      </c>
      <c r="R390" s="30"/>
      <c r="S390" s="77">
        <f>IF(SUM(MOD(I390-G390,1)-IF(I390&gt;G390,MAX(0,MIN(I390,'bases de donnée'!E$16/24)-MAX('planning '!G390,7/24)),MAX(0,'bases de donnée'!E$16/24-MAX('planning '!G390,7/24))+MAX(0,MIN('planning '!I390,'bases de donnée'!E$16/24)-7/24)))&lt;0,0,SUM(MOD('planning '!I390-'planning '!G390,1)-IF('planning '!I390&gt;'planning '!G390,MAX(0,MIN('planning '!I390,'bases de donnée'!E$16/24)-MAX('planning '!G390,7/24)),MAX(0,'bases de donnée'!E$16/24-MAX('planning '!G390,7/24))+MAX(0,MIN('planning '!I390,'bases de donnée'!E$16/24)-7/24))))</f>
        <v>0</v>
      </c>
      <c r="T390" s="82"/>
      <c r="U390" s="77" t="str">
        <f t="shared" si="422"/>
        <v>00:00</v>
      </c>
      <c r="V390" s="78">
        <f>IF(SUM(IF(O390&gt;('bases de donnée'!E$9*1),O390-('bases de donnée'!E$9*1),0)-V389)&lt;0,0,SUM(IF(O390&gt;('bases de donnée'!E$9*1),O390-('bases de donnée'!E$9*1),0)-V389))</f>
        <v>0</v>
      </c>
      <c r="W390" s="47"/>
      <c r="X390" s="48">
        <f t="shared" si="344"/>
        <v>0</v>
      </c>
      <c r="Y390" s="42"/>
      <c r="Z390" s="49">
        <f t="shared" si="423"/>
        <v>0</v>
      </c>
      <c r="AA390" s="48">
        <f t="shared" si="424"/>
        <v>0</v>
      </c>
      <c r="AB390" s="47"/>
      <c r="AC390" s="54"/>
      <c r="AD390" s="33">
        <f t="shared" si="345"/>
        <v>0</v>
      </c>
      <c r="AE390" s="33">
        <f t="shared" si="396"/>
        <v>0</v>
      </c>
    </row>
    <row r="391" spans="2:31" x14ac:dyDescent="0.3">
      <c r="B391"/>
      <c r="C391" s="14" t="s">
        <v>8</v>
      </c>
      <c r="D391" s="43">
        <f t="shared" si="407"/>
        <v>42341</v>
      </c>
      <c r="E391" s="29" t="s">
        <v>29</v>
      </c>
      <c r="F391" s="191"/>
      <c r="G391" s="194">
        <v>0.375</v>
      </c>
      <c r="H391" s="194">
        <v>3.125E-2</v>
      </c>
      <c r="I391" s="194">
        <v>0.70833333333333337</v>
      </c>
      <c r="J391" s="193">
        <f>IF(OR(E391="férié travaillé",E391="travail"),(I391-G391+IF(G391&gt;I391,1)-H391),INDEX('bases de donnée'!$E$20:'bases de donnée'!$E$32,MATCH(E391,gerald2,0)))</f>
        <v>0.30208333333333337</v>
      </c>
      <c r="K391" s="20">
        <f>IF(SUM(J391-'bases de donnée'!E$7)&lt;0,0,SUM(J391-'bases de donnée'!E$7))</f>
        <v>0</v>
      </c>
      <c r="L391" s="11">
        <f>IF(OR(E391="férié travaillé",E391="travail"),I391-G391+IF(G391&gt;I391,1),INDEX('bases de donnée'!$E$20:'bases de donnée'!$E$32,MATCH(E391,gerald2,0)))</f>
        <v>0.33333333333333337</v>
      </c>
      <c r="M391" s="21">
        <f>IF(SUM(L391-'bases de donnée'!E$4)&lt;0,0,SUM(L391-'bases de donnée'!E$4))</f>
        <v>0</v>
      </c>
      <c r="N391" s="155">
        <v>0</v>
      </c>
      <c r="O391" s="73">
        <f t="shared" si="426"/>
        <v>0.90625000000000011</v>
      </c>
      <c r="P391" s="34" t="s">
        <v>46</v>
      </c>
      <c r="Q391" s="120">
        <f t="shared" si="427"/>
        <v>1</v>
      </c>
      <c r="R391" s="30"/>
      <c r="S391" s="77">
        <f>IF(SUM(MOD(I391-G391,1)-IF(I391&gt;G391,MAX(0,MIN(I391,'bases de donnée'!E$16/24)-MAX('planning '!G391,7/24)),MAX(0,'bases de donnée'!E$16/24-MAX('planning '!G391,7/24))+MAX(0,MIN('planning '!I391,'bases de donnée'!E$16/24)-7/24)))&lt;0,0,SUM(MOD('planning '!I391-'planning '!G391,1)-IF('planning '!I391&gt;'planning '!G391,MAX(0,MIN('planning '!I391,'bases de donnée'!E$16/24)-MAX('planning '!G391,7/24)),MAX(0,'bases de donnée'!E$16/24-MAX('planning '!G391,7/24))+MAX(0,MIN('planning '!I391,'bases de donnée'!E$16/24)-7/24))))</f>
        <v>0</v>
      </c>
      <c r="T391" s="82"/>
      <c r="U391" s="77" t="str">
        <f t="shared" si="422"/>
        <v>00:00</v>
      </c>
      <c r="V391" s="78">
        <f>IF(SUM(IF(O391&gt;("36:00"*1),O391-("36:00"*1),0)-V389-V390)&lt;0,0,SUM(IF(O391&gt;("36:00"*1),O391-("36:00"*1),0)-V389-V390))</f>
        <v>0</v>
      </c>
      <c r="W391" s="47"/>
      <c r="X391" s="48">
        <f t="shared" si="344"/>
        <v>0</v>
      </c>
      <c r="Y391" s="42"/>
      <c r="Z391" s="49">
        <f t="shared" si="423"/>
        <v>0</v>
      </c>
      <c r="AA391" s="48">
        <f t="shared" si="424"/>
        <v>0</v>
      </c>
      <c r="AB391" s="47"/>
      <c r="AC391" s="54"/>
      <c r="AD391" s="33">
        <f t="shared" si="345"/>
        <v>0</v>
      </c>
      <c r="AE391" s="33">
        <f t="shared" si="396"/>
        <v>0</v>
      </c>
    </row>
    <row r="392" spans="2:31" x14ac:dyDescent="0.3">
      <c r="B392"/>
      <c r="C392" s="14" t="s">
        <v>9</v>
      </c>
      <c r="D392" s="43">
        <f t="shared" si="407"/>
        <v>42342</v>
      </c>
      <c r="E392" s="29" t="s">
        <v>29</v>
      </c>
      <c r="F392" s="191"/>
      <c r="G392" s="194">
        <v>0.375</v>
      </c>
      <c r="H392" s="194">
        <v>3.125E-2</v>
      </c>
      <c r="I392" s="194">
        <v>0.70833333333333337</v>
      </c>
      <c r="J392" s="193">
        <f>IF(OR(E392="férié travaillé",E392="travail"),(I392-G392+IF(G392&gt;I392,1)-H392),INDEX('bases de donnée'!$E$20:'bases de donnée'!$E$32,MATCH(E392,gerald2,0)))</f>
        <v>0.30208333333333337</v>
      </c>
      <c r="K392" s="20">
        <f>IF(SUM(J392-'bases de donnée'!E$7)&lt;0,0,SUM(J392-'bases de donnée'!E$7))</f>
        <v>0</v>
      </c>
      <c r="L392" s="11">
        <f>IF(OR(E392="férié travaillé",E392="travail"),I392-G392+IF(G392&gt;I392,1),INDEX('bases de donnée'!$E$20:'bases de donnée'!$E$32,MATCH(E392,gerald2,0)))</f>
        <v>0.33333333333333337</v>
      </c>
      <c r="M392" s="21">
        <f>IF(SUM(L392-'bases de donnée'!E$4)&lt;0,0,SUM(L392-'bases de donnée'!E$4))</f>
        <v>0</v>
      </c>
      <c r="N392" s="155">
        <v>0</v>
      </c>
      <c r="O392" s="73">
        <f t="shared" si="426"/>
        <v>1.2083333333333335</v>
      </c>
      <c r="P392" s="86">
        <f>O395</f>
        <v>1.5</v>
      </c>
      <c r="Q392" s="120">
        <f t="shared" si="427"/>
        <v>1</v>
      </c>
      <c r="R392" s="30"/>
      <c r="S392" s="77">
        <f>IF(SUM(MOD(I392-G392,1)-IF(I392&gt;G392,MAX(0,MIN(I392,'bases de donnée'!E$16/24)-MAX('planning '!G392,7/24)),MAX(0,'bases de donnée'!E$16/24-MAX('planning '!G392,7/24))+MAX(0,MIN('planning '!I392,'bases de donnée'!E$16/24)-7/24)))&lt;0,0,SUM(MOD('planning '!I392-'planning '!G392,1)-IF('planning '!I392&gt;'planning '!G392,MAX(0,MIN('planning '!I392,'bases de donnée'!E$16/24)-MAX('planning '!G392,7/24)),MAX(0,'bases de donnée'!E$16/24-MAX('planning '!G392,7/24))+MAX(0,MIN('planning '!I392,'bases de donnée'!E$16/24)-7/24))))</f>
        <v>0</v>
      </c>
      <c r="T392" s="82"/>
      <c r="U392" s="77" t="str">
        <f t="shared" si="422"/>
        <v>00:00</v>
      </c>
      <c r="V392" s="78">
        <f>IF(SUM(IF(O392&gt;("36:00"*1),O392-("36:00"*1),0)-V390-V391)&lt;0,0,SUM(IF(O392&gt;("36:00"*1),O392-("36:00"*1),0)-V389-V390-V391))</f>
        <v>0</v>
      </c>
      <c r="W392" s="47"/>
      <c r="X392" s="48">
        <f t="shared" si="344"/>
        <v>0</v>
      </c>
      <c r="Y392" s="42"/>
      <c r="Z392" s="49">
        <f t="shared" si="423"/>
        <v>0</v>
      </c>
      <c r="AA392" s="48">
        <f t="shared" si="424"/>
        <v>0</v>
      </c>
      <c r="AB392" s="47"/>
      <c r="AC392" s="54"/>
      <c r="AD392" s="33">
        <f t="shared" si="345"/>
        <v>0</v>
      </c>
      <c r="AE392" s="33">
        <f t="shared" si="396"/>
        <v>0</v>
      </c>
    </row>
    <row r="393" spans="2:31" x14ac:dyDescent="0.3">
      <c r="B393"/>
      <c r="C393" s="14" t="s">
        <v>3</v>
      </c>
      <c r="D393" s="43">
        <f t="shared" si="407"/>
        <v>42343</v>
      </c>
      <c r="E393" s="29" t="s">
        <v>29</v>
      </c>
      <c r="F393" s="191"/>
      <c r="G393" s="194">
        <v>0.375</v>
      </c>
      <c r="H393" s="194">
        <v>3.125E-2</v>
      </c>
      <c r="I393" s="194">
        <v>0.69791666666666663</v>
      </c>
      <c r="J393" s="193">
        <f>IF(OR(E393="férié travaillé",E393="travail"),(I393-G393+IF(G393&gt;I393,1)-H393),INDEX('bases de donnée'!$E$20:'bases de donnée'!$E$32,MATCH(E393,gerald2,0)))</f>
        <v>0.29166666666666663</v>
      </c>
      <c r="K393" s="20">
        <f>IF(SUM(J393-'bases de donnée'!E$7)&lt;0,0,SUM(J393-'bases de donnée'!E$7))</f>
        <v>0</v>
      </c>
      <c r="L393" s="11">
        <f>IF(OR(E393="férié travaillé",E393="travail"),I393-G393+IF(G393&gt;I393,1),INDEX('bases de donnée'!$E$20:'bases de donnée'!$E$32,MATCH(E393,gerald2,0)))</f>
        <v>0.32291666666666663</v>
      </c>
      <c r="M393" s="21">
        <f>IF(SUM(L393-'bases de donnée'!E$4)&lt;0,0,SUM(L393-'bases de donnée'!E$4))</f>
        <v>0</v>
      </c>
      <c r="N393" s="155">
        <v>0</v>
      </c>
      <c r="O393" s="73">
        <f t="shared" si="426"/>
        <v>1.5</v>
      </c>
      <c r="P393" s="12" t="s">
        <v>48</v>
      </c>
      <c r="Q393" s="120">
        <f t="shared" si="427"/>
        <v>1</v>
      </c>
      <c r="R393" s="30"/>
      <c r="S393" s="77">
        <f>IF(SUM(MOD(I393-G393,1)-IF(I393&gt;G393,MAX(0,MIN(I393,'bases de donnée'!E$16/24)-MAX('planning '!G393,7/24)),MAX(0,'bases de donnée'!E$16/24-MAX('planning '!G393,7/24))+MAX(0,MIN('planning '!I393,'bases de donnée'!E$16/24)-7/24)))&lt;0,0,SUM(MOD('planning '!I393-'planning '!G393,1)-IF('planning '!I393&gt;'planning '!G393,MAX(0,MIN('planning '!I393,'bases de donnée'!E$16/24)-MAX('planning '!G393,7/24)),MAX(0,'bases de donnée'!E$16/24-MAX('planning '!G393,7/24))+MAX(0,MIN('planning '!I393,'bases de donnée'!E$16/24)-7/24))))</f>
        <v>0</v>
      </c>
      <c r="T393" s="82"/>
      <c r="U393" s="77" t="str">
        <f t="shared" si="422"/>
        <v>00:00</v>
      </c>
      <c r="V393" s="78">
        <f>IF(SUM(IF(O393&gt;("36:00"*1),O393-("36:00"*1),0)-V391-V392)&lt;0,0,SUM(IF(O393&gt;("36:00"*1),O393-("36:00"*1),0)-V389-V390-V391-V392))</f>
        <v>0</v>
      </c>
      <c r="W393" s="47"/>
      <c r="X393" s="48">
        <f t="shared" si="344"/>
        <v>0</v>
      </c>
      <c r="Y393" s="42"/>
      <c r="Z393" s="49">
        <f t="shared" si="423"/>
        <v>0</v>
      </c>
      <c r="AA393" s="48">
        <f t="shared" si="424"/>
        <v>0</v>
      </c>
      <c r="AB393" s="47"/>
      <c r="AC393" s="54"/>
      <c r="AD393" s="33">
        <f t="shared" si="345"/>
        <v>0</v>
      </c>
      <c r="AE393" s="33">
        <f t="shared" si="396"/>
        <v>0</v>
      </c>
    </row>
    <row r="394" spans="2:31" x14ac:dyDescent="0.3">
      <c r="B394"/>
      <c r="C394" s="14" t="s">
        <v>4</v>
      </c>
      <c r="D394" s="43">
        <f t="shared" si="407"/>
        <v>42344</v>
      </c>
      <c r="E394" s="29" t="s">
        <v>28</v>
      </c>
      <c r="F394" s="191"/>
      <c r="G394" s="194"/>
      <c r="H394" s="194"/>
      <c r="I394" s="194"/>
      <c r="J394" s="193">
        <f>IF(OR(E394="férié travaillé",E394="travail"),(I394-G394+IF(G394&gt;I394,1)-H394),INDEX('bases de donnée'!$E$20:'bases de donnée'!$E$32,MATCH(E394,gerald2,0)))</f>
        <v>0</v>
      </c>
      <c r="K394" s="20">
        <f>IF(SUM(J394-'bases de donnée'!E$7)&lt;0,0,SUM(J394-'bases de donnée'!E$7))</f>
        <v>0</v>
      </c>
      <c r="L394" s="11">
        <f>IF(OR(E394="férié travaillé",E394="travail"),I394-G394+IF(G394&gt;I394,1),INDEX('bases de donnée'!$E$20:'bases de donnée'!$E$32,MATCH(E394,gerald2,0)))</f>
        <v>0</v>
      </c>
      <c r="M394" s="21">
        <f>IF(SUM(L394-'bases de donnée'!E$4)&lt;0,0,SUM(L394-'bases de donnée'!E$4))</f>
        <v>0</v>
      </c>
      <c r="N394" s="155">
        <v>0</v>
      </c>
      <c r="O394" s="73">
        <f t="shared" si="426"/>
        <v>1.5</v>
      </c>
      <c r="P394" s="53">
        <f>'bases de donnée'!E$10</f>
        <v>2</v>
      </c>
      <c r="Q394" s="120">
        <f t="shared" si="427"/>
        <v>0</v>
      </c>
      <c r="R394" s="30"/>
      <c r="S394" s="77">
        <f>IF(SUM(MOD(I394-G394,1)-IF(I394&gt;G394,MAX(0,MIN(I394,'bases de donnée'!E$16/24)-MAX('planning '!G394,7/24)),MAX(0,'bases de donnée'!E$16/24-MAX('planning '!G394,7/24))+MAX(0,MIN('planning '!I394,'bases de donnée'!E$16/24)-7/24)))&lt;0,0,SUM(MOD('planning '!I394-'planning '!G394,1)-IF('planning '!I394&gt;'planning '!G394,MAX(0,MIN('planning '!I394,'bases de donnée'!E$16/24)-MAX('planning '!G394,7/24)),MAX(0,'bases de donnée'!E$16/24-MAX('planning '!G394,7/24))+MAX(0,MIN('planning '!I394,'bases de donnée'!E$16/24)-7/24))))</f>
        <v>0</v>
      </c>
      <c r="T394" s="82"/>
      <c r="U394" s="77" t="str">
        <f t="shared" si="422"/>
        <v>00:00</v>
      </c>
      <c r="V394" s="78">
        <f>IF(SUM(IF(O394&gt;("36:00"*1),O394-("36:00"*1),0)-V392-V393)&lt;0,0,SUM(IF(O394&gt;("36:00"*1),O394-("36:00"*1),0)-V389-V390-V391-V392-V393))</f>
        <v>0</v>
      </c>
      <c r="W394" s="47"/>
      <c r="X394" s="48">
        <f t="shared" si="344"/>
        <v>0</v>
      </c>
      <c r="Y394" s="32"/>
      <c r="Z394" s="49">
        <f t="shared" si="423"/>
        <v>0</v>
      </c>
      <c r="AA394" s="48">
        <f t="shared" si="424"/>
        <v>0</v>
      </c>
      <c r="AB394" s="47"/>
      <c r="AC394" s="55"/>
      <c r="AD394" s="33">
        <f t="shared" si="345"/>
        <v>0</v>
      </c>
      <c r="AE394" s="33">
        <f t="shared" si="396"/>
        <v>0</v>
      </c>
    </row>
    <row r="395" spans="2:31" x14ac:dyDescent="0.3">
      <c r="B395"/>
      <c r="C395" s="14" t="s">
        <v>5</v>
      </c>
      <c r="D395" s="43">
        <f t="shared" si="407"/>
        <v>42345</v>
      </c>
      <c r="E395" s="29" t="s">
        <v>28</v>
      </c>
      <c r="F395" s="192"/>
      <c r="G395" s="194"/>
      <c r="H395" s="194"/>
      <c r="I395" s="194"/>
      <c r="J395" s="193">
        <f>IF(OR(E395="férié travaillé",E395="travail"),(I395-G395+IF(G395&gt;I395,1)-H395),INDEX('bases de donnée'!$E$20:'bases de donnée'!$E$32,MATCH(E395,gerald2,0)))</f>
        <v>0</v>
      </c>
      <c r="K395" s="20">
        <f>IF(SUM(J395-'bases de donnée'!E$7)&lt;0,0,SUM(J395-'bases de donnée'!E$7))</f>
        <v>0</v>
      </c>
      <c r="L395" s="11">
        <f>IF(OR(E395="férié travaillé",E395="travail"),I395-G395+IF(G395&gt;I395,1),INDEX('bases de donnée'!$E$20:'bases de donnée'!$E$32,MATCH(E395,gerald2,0)))</f>
        <v>0</v>
      </c>
      <c r="M395" s="21">
        <f>IF(SUM(L395-'bases de donnée'!E$4)&lt;0,0,SUM(L395-'bases de donnée'!E$4))</f>
        <v>0</v>
      </c>
      <c r="N395" s="155">
        <v>0</v>
      </c>
      <c r="O395" s="73">
        <f t="shared" si="426"/>
        <v>1.5</v>
      </c>
      <c r="P395" s="33">
        <f>IF(SUM(O395-'bases de donnée'!E$10)&lt;0,0,SUM(O395-'bases de donnée'!E$10))</f>
        <v>0</v>
      </c>
      <c r="Q395" s="120">
        <f t="shared" si="427"/>
        <v>0</v>
      </c>
      <c r="R395" s="30"/>
      <c r="S395" s="77">
        <f>IF(SUM(MOD(I395-G395,1)-IF(I395&gt;G395,MAX(0,MIN(I395,'bases de donnée'!E$16/24)-MAX('planning '!G395,7/24)),MAX(0,'bases de donnée'!E$16/24-MAX('planning '!G395,7/24))+MAX(0,MIN('planning '!I395,'bases de donnée'!E$16/24)-7/24)))&lt;0,0,SUM(MOD('planning '!I395-'planning '!G395,1)-IF('planning '!I395&gt;'planning '!G395,MAX(0,MIN('planning '!I395,'bases de donnée'!E$16/24)-MAX('planning '!G395,7/24)),MAX(0,'bases de donnée'!E$16/24-MAX('planning '!G395,7/24))+MAX(0,MIN('planning '!I395,'bases de donnée'!E$16/24)-7/24))))</f>
        <v>0</v>
      </c>
      <c r="T395" s="77">
        <f>J395</f>
        <v>0</v>
      </c>
      <c r="U395" s="77" t="str">
        <f t="shared" si="422"/>
        <v>00:00</v>
      </c>
      <c r="V395" s="78">
        <f>IF(SUM(IF(O395&gt;("36:00"*1),O395-("36:00"*1),0)-V393-V394)&lt;0,0,SUM(IF(O395&gt;("36:00"*1),O395-("36:00"*1),0)-V389-V390-V391-V392-V393-V394))</f>
        <v>0</v>
      </c>
      <c r="W395" s="47"/>
      <c r="X395" s="48">
        <f t="shared" si="344"/>
        <v>0</v>
      </c>
      <c r="Y395" s="48">
        <f t="shared" ref="Y395" si="428">IF(SUM(T395-S395)&lt;0,0,SUM(T395-S395))</f>
        <v>0</v>
      </c>
      <c r="Z395" s="56">
        <f t="shared" ref="Z395" si="429">IF(SUM(U395-T395-S395)&lt;0,0,SUM(U395-T395-S395))</f>
        <v>0</v>
      </c>
      <c r="AA395" s="48">
        <f>IF(SUM(V395-S395-T395-U395)&lt;0,0,SUM(V395-S395-T395-U395))</f>
        <v>0</v>
      </c>
      <c r="AB395" s="47"/>
      <c r="AC395" s="57">
        <f t="shared" ref="AC395" si="430">IF(SUM(T395-Y395)&lt;0,0,SUM(T395-Y395))</f>
        <v>0</v>
      </c>
      <c r="AD395" s="33">
        <f t="shared" si="345"/>
        <v>0</v>
      </c>
      <c r="AE395" s="33">
        <f t="shared" si="396"/>
        <v>0</v>
      </c>
    </row>
    <row r="396" spans="2:31" x14ac:dyDescent="0.3">
      <c r="B396"/>
      <c r="C396" s="25"/>
      <c r="D396" s="90"/>
      <c r="E396" s="90"/>
      <c r="F396" s="25"/>
      <c r="G396" s="185"/>
      <c r="H396" s="185"/>
      <c r="I396" s="185"/>
      <c r="J396" s="47"/>
      <c r="K396" s="92"/>
      <c r="L396" s="91"/>
      <c r="M396" s="91"/>
      <c r="N396" s="91"/>
      <c r="O396" s="93"/>
      <c r="P396" s="47"/>
      <c r="Q396" s="30"/>
      <c r="R396" s="30"/>
      <c r="S396" s="47"/>
      <c r="T396" s="47"/>
      <c r="U396" s="47"/>
      <c r="V396" s="93"/>
      <c r="W396" s="47"/>
      <c r="X396" s="47"/>
      <c r="Y396" s="47"/>
      <c r="Z396" s="47"/>
      <c r="AA396" s="47"/>
      <c r="AB396" s="47"/>
      <c r="AC396" s="47"/>
      <c r="AD396" s="47"/>
      <c r="AE396" s="47"/>
    </row>
    <row r="397" spans="2:31" x14ac:dyDescent="0.3">
      <c r="B397" s="9" t="s">
        <v>40</v>
      </c>
      <c r="C397" s="9" t="s">
        <v>6</v>
      </c>
      <c r="D397" s="58">
        <f>D395+1</f>
        <v>42346</v>
      </c>
      <c r="E397" s="29" t="s">
        <v>29</v>
      </c>
      <c r="F397" s="190"/>
      <c r="G397" s="194">
        <v>0.375</v>
      </c>
      <c r="H397" s="194">
        <v>3.125E-2</v>
      </c>
      <c r="I397" s="194">
        <v>0.70833333333333337</v>
      </c>
      <c r="J397" s="193">
        <f>IF(OR(E397="férié travaillé",E397="travail"),(I397-G397+IF(G397&gt;I397,1)-H397),INDEX('bases de donnée'!$E$20:'bases de donnée'!$E$32,MATCH(E397,gerald2,0)))</f>
        <v>0.30208333333333337</v>
      </c>
      <c r="K397" s="20">
        <f>IF(SUM(J397-'bases de donnée'!E$7)&lt;0,0,SUM(J397-'bases de donnée'!E$7))</f>
        <v>0</v>
      </c>
      <c r="L397" s="11">
        <f>IF(OR(E397="férié travaillé",E397="travail"),I397-G397+IF(G397&gt;I397,1),INDEX('bases de donnée'!$E$20:'bases de donnée'!$E$32,MATCH(E397,gerald2,0)))</f>
        <v>0.33333333333333337</v>
      </c>
      <c r="M397" s="21">
        <f>IF(SUM(L397-'bases de donnée'!E$4)&lt;0,0,SUM(L397-'bases de donnée'!E$4))</f>
        <v>0</v>
      </c>
      <c r="N397" s="155">
        <v>0</v>
      </c>
      <c r="O397" s="59">
        <f t="shared" ref="O397" si="431">J397</f>
        <v>0.30208333333333337</v>
      </c>
      <c r="P397" s="122">
        <f>SUM(Q397:Q403)</f>
        <v>5</v>
      </c>
      <c r="Q397" s="120">
        <f>IF(AND(G397&lt;&gt;"",I397&lt;&gt;""),1,0+OR(N(I396)&lt;N(G396),E397="récupération",E397="congé 1 jour",E397="congé 1/2 jour ",E397="congé 5h24",E397="arrêt maladie",E397="arrêt travail",E397="férié ",E397="congé parentale",E397="congé de naissance"))</f>
        <v>1</v>
      </c>
      <c r="R397" s="30"/>
      <c r="S397" s="77">
        <f>IF(SUM(MOD(I397-G397,1)-IF(I397&gt;G397,MAX(0,MIN(I397,'bases de donnée'!E$16/24)-MAX('planning '!G397,7/24)),MAX(0,'bases de donnée'!E$16/24-MAX('planning '!G397,7/24))+MAX(0,MIN('planning '!I397,'bases de donnée'!E$16/24)-7/24)))&lt;0,0,SUM(MOD('planning '!I397-'planning '!G397,1)-IF('planning '!I397&gt;'planning '!G397,MAX(0,MIN('planning '!I397,'bases de donnée'!E$16/24)-MAX('planning '!G397,7/24)),MAX(0,'bases de donnée'!E$16/24-MAX('planning '!G397,7/24))+MAX(0,MIN('planning '!I397,'bases de donnée'!E$16/24)-7/24))))</f>
        <v>0</v>
      </c>
      <c r="T397" s="81"/>
      <c r="U397" s="77" t="str">
        <f t="shared" ref="U397:U403" si="432">IF(E397&lt;&gt;"travail",IF(E397="férié travaillé",MOD(I397-G397,1)-H397,"00:00"),"00:00")</f>
        <v>00:00</v>
      </c>
      <c r="V397" s="78"/>
      <c r="W397" s="47"/>
      <c r="X397" s="48">
        <f t="shared" si="344"/>
        <v>0</v>
      </c>
      <c r="Y397" s="31"/>
      <c r="Z397" s="49">
        <f t="shared" ref="Z397:Z402" si="433">IF(SUM(U397-X397)&lt;0,0,SUM(U397-X397))</f>
        <v>0</v>
      </c>
      <c r="AA397" s="48">
        <f t="shared" ref="AA397:AA402" si="434">IF(SUM(V397-X397-Z397)&lt;0,0,SUM(V397-X397-Z397))</f>
        <v>0</v>
      </c>
      <c r="AB397" s="47"/>
      <c r="AC397" s="50"/>
      <c r="AD397" s="33">
        <f t="shared" si="345"/>
        <v>0</v>
      </c>
      <c r="AE397" s="33">
        <f t="shared" si="396"/>
        <v>0</v>
      </c>
    </row>
    <row r="398" spans="2:31" x14ac:dyDescent="0.3">
      <c r="B398" s="60">
        <f t="shared" ref="B398" si="435">B390+1</f>
        <v>49</v>
      </c>
      <c r="C398" s="9" t="s">
        <v>7</v>
      </c>
      <c r="D398" s="58">
        <f t="shared" si="407"/>
        <v>42347</v>
      </c>
      <c r="E398" s="29" t="s">
        <v>29</v>
      </c>
      <c r="F398" s="191"/>
      <c r="G398" s="194">
        <v>0.375</v>
      </c>
      <c r="H398" s="194">
        <v>3.125E-2</v>
      </c>
      <c r="I398" s="194">
        <v>0.70833333333333337</v>
      </c>
      <c r="J398" s="193">
        <f>IF(OR(E398="férié travaillé",E398="travail"),(I398-G398+IF(G398&gt;I398,1)-H398),INDEX('bases de donnée'!$E$20:'bases de donnée'!$E$32,MATCH(E398,gerald2,0)))</f>
        <v>0.30208333333333337</v>
      </c>
      <c r="K398" s="20">
        <f>IF(SUM(J398-'bases de donnée'!E$7)&lt;0,0,SUM(J398-'bases de donnée'!E$7))</f>
        <v>0</v>
      </c>
      <c r="L398" s="11">
        <f>IF(OR(E398="férié travaillé",E398="travail"),I398-G398+IF(G398&gt;I398,1),INDEX('bases de donnée'!$E$20:'bases de donnée'!$E$32,MATCH(E398,gerald2,0)))</f>
        <v>0.33333333333333337</v>
      </c>
      <c r="M398" s="21">
        <f>IF(SUM(L398-'bases de donnée'!E$4)&lt;0,0,SUM(L398-'bases de donnée'!E$4))</f>
        <v>0</v>
      </c>
      <c r="N398" s="155">
        <v>0</v>
      </c>
      <c r="O398" s="74">
        <f t="shared" ref="O398:O403" si="436">O397+J398</f>
        <v>0.60416666666666674</v>
      </c>
      <c r="P398" s="121">
        <f>IF(SUM(P397-'bases de donnée'!E$6)&lt;0,0,SUM(P397-'bases de donnée'!E$6))</f>
        <v>0</v>
      </c>
      <c r="Q398" s="120">
        <f t="shared" ref="Q398:Q403" si="437">IF(AND(G398&lt;&gt;"",I398&lt;&gt;""),1,0+OR(N(I397)&lt;N(G397),E398="récupération",E398="congé 1 jour",E398="congé 1/2 jour ",E398="congé 5h24",E398="arrêt maladie",E398="arrêt travail",E398="férié ",E398="congé parentale",E398="congé de naissance"))</f>
        <v>1</v>
      </c>
      <c r="R398" s="30"/>
      <c r="S398" s="77">
        <f>IF(SUM(MOD(I398-G398,1)-IF(I398&gt;G398,MAX(0,MIN(I398,'bases de donnée'!E$16/24)-MAX('planning '!G398,7/24)),MAX(0,'bases de donnée'!E$16/24-MAX('planning '!G398,7/24))+MAX(0,MIN('planning '!I398,'bases de donnée'!E$16/24)-7/24)))&lt;0,0,SUM(MOD('planning '!I398-'planning '!G398,1)-IF('planning '!I398&gt;'planning '!G398,MAX(0,MIN('planning '!I398,'bases de donnée'!E$16/24)-MAX('planning '!G398,7/24)),MAX(0,'bases de donnée'!E$16/24-MAX('planning '!G398,7/24))+MAX(0,MIN('planning '!I398,'bases de donnée'!E$16/24)-7/24))))</f>
        <v>0</v>
      </c>
      <c r="T398" s="82"/>
      <c r="U398" s="77" t="str">
        <f t="shared" si="432"/>
        <v>00:00</v>
      </c>
      <c r="V398" s="78">
        <f>IF(SUM(IF(O398&gt;('bases de donnée'!E$9*1),O398-('bases de donnée'!E$9*1),0)-V397)&lt;0,0,SUM(IF(O398&gt;('bases de donnée'!E$9*1),O398-('bases de donnée'!E$9*1),0)-V397))</f>
        <v>0</v>
      </c>
      <c r="W398" s="47"/>
      <c r="X398" s="48">
        <f t="shared" si="344"/>
        <v>0</v>
      </c>
      <c r="Y398" s="42"/>
      <c r="Z398" s="49">
        <f t="shared" si="433"/>
        <v>0</v>
      </c>
      <c r="AA398" s="48">
        <f t="shared" si="434"/>
        <v>0</v>
      </c>
      <c r="AB398" s="47"/>
      <c r="AC398" s="54"/>
      <c r="AD398" s="33">
        <f t="shared" si="345"/>
        <v>0</v>
      </c>
      <c r="AE398" s="33">
        <f t="shared" si="396"/>
        <v>0</v>
      </c>
    </row>
    <row r="399" spans="2:31" x14ac:dyDescent="0.3">
      <c r="B399"/>
      <c r="C399" s="9" t="s">
        <v>8</v>
      </c>
      <c r="D399" s="58">
        <f t="shared" si="407"/>
        <v>42348</v>
      </c>
      <c r="E399" s="29" t="s">
        <v>29</v>
      </c>
      <c r="F399" s="191"/>
      <c r="G399" s="194">
        <v>0.375</v>
      </c>
      <c r="H399" s="194">
        <v>3.125E-2</v>
      </c>
      <c r="I399" s="194">
        <v>0.70833333333333337</v>
      </c>
      <c r="J399" s="193">
        <f>IF(OR(E399="férié travaillé",E399="travail"),(I399-G399+IF(G399&gt;I399,1)-H399),INDEX('bases de donnée'!$E$20:'bases de donnée'!$E$32,MATCH(E399,gerald2,0)))</f>
        <v>0.30208333333333337</v>
      </c>
      <c r="K399" s="20">
        <f>IF(SUM(J399-'bases de donnée'!E$7)&lt;0,0,SUM(J399-'bases de donnée'!E$7))</f>
        <v>0</v>
      </c>
      <c r="L399" s="11">
        <f>IF(OR(E399="férié travaillé",E399="travail"),I399-G399+IF(G399&gt;I399,1),INDEX('bases de donnée'!$E$20:'bases de donnée'!$E$32,MATCH(E399,gerald2,0)))</f>
        <v>0.33333333333333337</v>
      </c>
      <c r="M399" s="21">
        <f>IF(SUM(L399-'bases de donnée'!E$4)&lt;0,0,SUM(L399-'bases de donnée'!E$4))</f>
        <v>0</v>
      </c>
      <c r="N399" s="155">
        <v>0</v>
      </c>
      <c r="O399" s="74">
        <f t="shared" si="436"/>
        <v>0.90625000000000011</v>
      </c>
      <c r="P399" s="34" t="s">
        <v>46</v>
      </c>
      <c r="Q399" s="120">
        <f t="shared" si="437"/>
        <v>1</v>
      </c>
      <c r="R399" s="30"/>
      <c r="S399" s="77">
        <f>IF(SUM(MOD(I399-G399,1)-IF(I399&gt;G399,MAX(0,MIN(I399,'bases de donnée'!E$16/24)-MAX('planning '!G399,7/24)),MAX(0,'bases de donnée'!E$16/24-MAX('planning '!G399,7/24))+MAX(0,MIN('planning '!I399,'bases de donnée'!E$16/24)-7/24)))&lt;0,0,SUM(MOD('planning '!I399-'planning '!G399,1)-IF('planning '!I399&gt;'planning '!G399,MAX(0,MIN('planning '!I399,'bases de donnée'!E$16/24)-MAX('planning '!G399,7/24)),MAX(0,'bases de donnée'!E$16/24-MAX('planning '!G399,7/24))+MAX(0,MIN('planning '!I399,'bases de donnée'!E$16/24)-7/24))))</f>
        <v>0</v>
      </c>
      <c r="T399" s="82"/>
      <c r="U399" s="77" t="str">
        <f t="shared" si="432"/>
        <v>00:00</v>
      </c>
      <c r="V399" s="78">
        <f>IF(SUM(IF(O399&gt;("36:00"*1),O399-("36:00"*1),0)-V397-V398)&lt;0,0,SUM(IF(O399&gt;("36:00"*1),O399-("36:00"*1),0)-V397-V398))</f>
        <v>0</v>
      </c>
      <c r="W399" s="47"/>
      <c r="X399" s="48">
        <f t="shared" ref="X399:X427" si="438">S399</f>
        <v>0</v>
      </c>
      <c r="Y399" s="42"/>
      <c r="Z399" s="49">
        <f t="shared" si="433"/>
        <v>0</v>
      </c>
      <c r="AA399" s="48">
        <f t="shared" si="434"/>
        <v>0</v>
      </c>
      <c r="AB399" s="47"/>
      <c r="AC399" s="54"/>
      <c r="AD399" s="33">
        <f t="shared" ref="AD399:AD427" si="439">IF(SUM(U399-Z399)&lt;0,0,SUM(U399-Z399))</f>
        <v>0</v>
      </c>
      <c r="AE399" s="33">
        <f t="shared" si="396"/>
        <v>0</v>
      </c>
    </row>
    <row r="400" spans="2:31" x14ac:dyDescent="0.3">
      <c r="B400"/>
      <c r="C400" s="9" t="s">
        <v>9</v>
      </c>
      <c r="D400" s="58">
        <f t="shared" si="407"/>
        <v>42349</v>
      </c>
      <c r="E400" s="29" t="s">
        <v>29</v>
      </c>
      <c r="F400" s="191"/>
      <c r="G400" s="194">
        <v>0.375</v>
      </c>
      <c r="H400" s="194">
        <v>3.125E-2</v>
      </c>
      <c r="I400" s="194">
        <v>0.70833333333333337</v>
      </c>
      <c r="J400" s="193">
        <f>IF(OR(E400="férié travaillé",E400="travail"),(I400-G400+IF(G400&gt;I400,1)-H400),INDEX('bases de donnée'!$E$20:'bases de donnée'!$E$32,MATCH(E400,gerald2,0)))</f>
        <v>0.30208333333333337</v>
      </c>
      <c r="K400" s="20">
        <f>IF(SUM(J400-'bases de donnée'!E$7)&lt;0,0,SUM(J400-'bases de donnée'!E$7))</f>
        <v>0</v>
      </c>
      <c r="L400" s="11">
        <f>IF(OR(E400="férié travaillé",E400="travail"),I400-G400+IF(G400&gt;I400,1),INDEX('bases de donnée'!$E$20:'bases de donnée'!$E$32,MATCH(E400,gerald2,0)))</f>
        <v>0.33333333333333337</v>
      </c>
      <c r="M400" s="21">
        <f>IF(SUM(L400-'bases de donnée'!E$4)&lt;0,0,SUM(L400-'bases de donnée'!E$4))</f>
        <v>0</v>
      </c>
      <c r="N400" s="155">
        <v>0</v>
      </c>
      <c r="O400" s="74">
        <f t="shared" si="436"/>
        <v>1.2083333333333335</v>
      </c>
      <c r="P400" s="86">
        <f>O403</f>
        <v>1.5</v>
      </c>
      <c r="Q400" s="120">
        <f t="shared" si="437"/>
        <v>1</v>
      </c>
      <c r="R400" s="30"/>
      <c r="S400" s="77">
        <f>IF(SUM(MOD(I400-G400,1)-IF(I400&gt;G400,MAX(0,MIN(I400,'bases de donnée'!E$16/24)-MAX('planning '!G400,7/24)),MAX(0,'bases de donnée'!E$16/24-MAX('planning '!G400,7/24))+MAX(0,MIN('planning '!I400,'bases de donnée'!E$16/24)-7/24)))&lt;0,0,SUM(MOD('planning '!I400-'planning '!G400,1)-IF('planning '!I400&gt;'planning '!G400,MAX(0,MIN('planning '!I400,'bases de donnée'!E$16/24)-MAX('planning '!G400,7/24)),MAX(0,'bases de donnée'!E$16/24-MAX('planning '!G400,7/24))+MAX(0,MIN('planning '!I400,'bases de donnée'!E$16/24)-7/24))))</f>
        <v>0</v>
      </c>
      <c r="T400" s="82"/>
      <c r="U400" s="77" t="str">
        <f t="shared" si="432"/>
        <v>00:00</v>
      </c>
      <c r="V400" s="78">
        <f>IF(SUM(IF(O400&gt;("36:00"*1),O400-("36:00"*1),0)-V398-V399)&lt;0,0,SUM(IF(O400&gt;("36:00"*1),O400-("36:00"*1),0)-V397-V398-V399))</f>
        <v>0</v>
      </c>
      <c r="W400" s="47"/>
      <c r="X400" s="48">
        <f t="shared" si="438"/>
        <v>0</v>
      </c>
      <c r="Y400" s="42"/>
      <c r="Z400" s="49">
        <f t="shared" si="433"/>
        <v>0</v>
      </c>
      <c r="AA400" s="48">
        <f t="shared" si="434"/>
        <v>0</v>
      </c>
      <c r="AB400" s="47"/>
      <c r="AC400" s="54"/>
      <c r="AD400" s="33">
        <f t="shared" si="439"/>
        <v>0</v>
      </c>
      <c r="AE400" s="33">
        <f t="shared" si="396"/>
        <v>0</v>
      </c>
    </row>
    <row r="401" spans="2:31" x14ac:dyDescent="0.3">
      <c r="B401"/>
      <c r="C401" s="9" t="s">
        <v>3</v>
      </c>
      <c r="D401" s="58">
        <f t="shared" si="407"/>
        <v>42350</v>
      </c>
      <c r="E401" s="29" t="s">
        <v>29</v>
      </c>
      <c r="F401" s="191"/>
      <c r="G401" s="194">
        <v>0.375</v>
      </c>
      <c r="H401" s="194">
        <v>3.125E-2</v>
      </c>
      <c r="I401" s="194">
        <v>0.69791666666666663</v>
      </c>
      <c r="J401" s="193">
        <f>IF(OR(E401="férié travaillé",E401="travail"),(I401-G401+IF(G401&gt;I401,1)-H401),INDEX('bases de donnée'!$E$20:'bases de donnée'!$E$32,MATCH(E401,gerald2,0)))</f>
        <v>0.29166666666666663</v>
      </c>
      <c r="K401" s="20">
        <f>IF(SUM(J401-'bases de donnée'!E$7)&lt;0,0,SUM(J401-'bases de donnée'!E$7))</f>
        <v>0</v>
      </c>
      <c r="L401" s="11">
        <f>IF(OR(E401="férié travaillé",E401="travail"),I401-G401+IF(G401&gt;I401,1),INDEX('bases de donnée'!$E$20:'bases de donnée'!$E$32,MATCH(E401,gerald2,0)))</f>
        <v>0.32291666666666663</v>
      </c>
      <c r="M401" s="21">
        <f>IF(SUM(L401-'bases de donnée'!E$4)&lt;0,0,SUM(L401-'bases de donnée'!E$4))</f>
        <v>0</v>
      </c>
      <c r="N401" s="155">
        <v>0</v>
      </c>
      <c r="O401" s="74">
        <f t="shared" si="436"/>
        <v>1.5</v>
      </c>
      <c r="P401" s="8" t="s">
        <v>48</v>
      </c>
      <c r="Q401" s="120">
        <f t="shared" si="437"/>
        <v>1</v>
      </c>
      <c r="R401" s="30"/>
      <c r="S401" s="77">
        <f>IF(SUM(MOD(I401-G401,1)-IF(I401&gt;G401,MAX(0,MIN(I401,'bases de donnée'!E$16/24)-MAX('planning '!G401,7/24)),MAX(0,'bases de donnée'!E$16/24-MAX('planning '!G401,7/24))+MAX(0,MIN('planning '!I401,'bases de donnée'!E$16/24)-7/24)))&lt;0,0,SUM(MOD('planning '!I401-'planning '!G401,1)-IF('planning '!I401&gt;'planning '!G401,MAX(0,MIN('planning '!I401,'bases de donnée'!E$16/24)-MAX('planning '!G401,7/24)),MAX(0,'bases de donnée'!E$16/24-MAX('planning '!G401,7/24))+MAX(0,MIN('planning '!I401,'bases de donnée'!E$16/24)-7/24))))</f>
        <v>0</v>
      </c>
      <c r="T401" s="82"/>
      <c r="U401" s="77" t="str">
        <f t="shared" si="432"/>
        <v>00:00</v>
      </c>
      <c r="V401" s="78">
        <f>IF(SUM(IF(O401&gt;("36:00"*1),O401-("36:00"*1),0)-V399-V400)&lt;0,0,SUM(IF(O401&gt;("36:00"*1),O401-("36:00"*1),0)-V397-V398-V399-V400))</f>
        <v>0</v>
      </c>
      <c r="W401" s="47"/>
      <c r="X401" s="48">
        <f t="shared" si="438"/>
        <v>0</v>
      </c>
      <c r="Y401" s="42"/>
      <c r="Z401" s="49">
        <f t="shared" si="433"/>
        <v>0</v>
      </c>
      <c r="AA401" s="48">
        <f t="shared" si="434"/>
        <v>0</v>
      </c>
      <c r="AB401" s="47"/>
      <c r="AC401" s="54"/>
      <c r="AD401" s="33">
        <f t="shared" si="439"/>
        <v>0</v>
      </c>
      <c r="AE401" s="33">
        <f t="shared" si="396"/>
        <v>0</v>
      </c>
    </row>
    <row r="402" spans="2:31" x14ac:dyDescent="0.3">
      <c r="B402"/>
      <c r="C402" s="9" t="s">
        <v>4</v>
      </c>
      <c r="D402" s="58">
        <f t="shared" si="407"/>
        <v>42351</v>
      </c>
      <c r="E402" s="29" t="s">
        <v>28</v>
      </c>
      <c r="F402" s="191"/>
      <c r="G402" s="194"/>
      <c r="H402" s="194"/>
      <c r="I402" s="194"/>
      <c r="J402" s="193">
        <f>IF(OR(E402="férié travaillé",E402="travail"),(I402-G402+IF(G402&gt;I402,1)-H402),INDEX('bases de donnée'!$E$20:'bases de donnée'!$E$32,MATCH(E402,gerald2,0)))</f>
        <v>0</v>
      </c>
      <c r="K402" s="20">
        <f>IF(SUM(J402-'bases de donnée'!E$7)&lt;0,0,SUM(J402-'bases de donnée'!E$7))</f>
        <v>0</v>
      </c>
      <c r="L402" s="11">
        <f>IF(OR(E402="férié travaillé",E402="travail"),I402-G402+IF(G402&gt;I402,1),INDEX('bases de donnée'!$E$20:'bases de donnée'!$E$32,MATCH(E402,gerald2,0)))</f>
        <v>0</v>
      </c>
      <c r="M402" s="21">
        <f>IF(SUM(L402-'bases de donnée'!E$4)&lt;0,0,SUM(L402-'bases de donnée'!E$4))</f>
        <v>0</v>
      </c>
      <c r="N402" s="155">
        <v>0</v>
      </c>
      <c r="O402" s="74">
        <f t="shared" si="436"/>
        <v>1.5</v>
      </c>
      <c r="P402" s="61">
        <f>'bases de donnée'!E$10</f>
        <v>2</v>
      </c>
      <c r="Q402" s="120">
        <f t="shared" si="437"/>
        <v>0</v>
      </c>
      <c r="R402" s="30"/>
      <c r="S402" s="77">
        <f>IF(SUM(MOD(I402-G402,1)-IF(I402&gt;G402,MAX(0,MIN(I402,'bases de donnée'!E$16/24)-MAX('planning '!G402,7/24)),MAX(0,'bases de donnée'!E$16/24-MAX('planning '!G402,7/24))+MAX(0,MIN('planning '!I402,'bases de donnée'!E$16/24)-7/24)))&lt;0,0,SUM(MOD('planning '!I402-'planning '!G402,1)-IF('planning '!I402&gt;'planning '!G402,MAX(0,MIN('planning '!I402,'bases de donnée'!E$16/24)-MAX('planning '!G402,7/24)),MAX(0,'bases de donnée'!E$16/24-MAX('planning '!G402,7/24))+MAX(0,MIN('planning '!I402,'bases de donnée'!E$16/24)-7/24))))</f>
        <v>0</v>
      </c>
      <c r="T402" s="82"/>
      <c r="U402" s="77" t="str">
        <f t="shared" si="432"/>
        <v>00:00</v>
      </c>
      <c r="V402" s="78">
        <f>IF(SUM(IF(O402&gt;("36:00"*1),O402-("36:00"*1),0)-V400-V401)&lt;0,0,SUM(IF(O402&gt;("36:00"*1),O402-("36:00"*1),0)-V397-V398-V399-V400-V401))</f>
        <v>0</v>
      </c>
      <c r="W402" s="47"/>
      <c r="X402" s="48">
        <f t="shared" si="438"/>
        <v>0</v>
      </c>
      <c r="Y402" s="32"/>
      <c r="Z402" s="49">
        <f t="shared" si="433"/>
        <v>0</v>
      </c>
      <c r="AA402" s="48">
        <f t="shared" si="434"/>
        <v>0</v>
      </c>
      <c r="AB402" s="47"/>
      <c r="AC402" s="55"/>
      <c r="AD402" s="33">
        <f t="shared" si="439"/>
        <v>0</v>
      </c>
      <c r="AE402" s="33">
        <f t="shared" si="396"/>
        <v>0</v>
      </c>
    </row>
    <row r="403" spans="2:31" x14ac:dyDescent="0.3">
      <c r="B403"/>
      <c r="C403" s="9" t="s">
        <v>5</v>
      </c>
      <c r="D403" s="58">
        <f t="shared" si="407"/>
        <v>42352</v>
      </c>
      <c r="E403" s="29" t="s">
        <v>28</v>
      </c>
      <c r="F403" s="192"/>
      <c r="G403" s="194"/>
      <c r="H403" s="194"/>
      <c r="I403" s="194"/>
      <c r="J403" s="193">
        <f>IF(OR(E403="férié travaillé",E403="travail"),(I403-G403+IF(G403&gt;I403,1)-H403),INDEX('bases de donnée'!$E$20:'bases de donnée'!$E$32,MATCH(E403,gerald2,0)))</f>
        <v>0</v>
      </c>
      <c r="K403" s="20">
        <f>IF(SUM(J403-'bases de donnée'!E$7)&lt;0,0,SUM(J403-'bases de donnée'!E$7))</f>
        <v>0</v>
      </c>
      <c r="L403" s="11">
        <f>IF(OR(E403="férié travaillé",E403="travail"),I403-G403+IF(G403&gt;I403,1),INDEX('bases de donnée'!$E$20:'bases de donnée'!$E$32,MATCH(E403,gerald2,0)))</f>
        <v>0</v>
      </c>
      <c r="M403" s="21">
        <f>IF(SUM(L403-'bases de donnée'!E$4)&lt;0,0,SUM(L403-'bases de donnée'!E$4))</f>
        <v>0</v>
      </c>
      <c r="N403" s="155">
        <v>0</v>
      </c>
      <c r="O403" s="74">
        <f t="shared" si="436"/>
        <v>1.5</v>
      </c>
      <c r="P403" s="33">
        <f>IF(SUM(O403-'bases de donnée'!E$10)&lt;0,0,SUM(O403-'bases de donnée'!E$10))</f>
        <v>0</v>
      </c>
      <c r="Q403" s="120">
        <f t="shared" si="437"/>
        <v>0</v>
      </c>
      <c r="R403" s="30"/>
      <c r="S403" s="77">
        <f>IF(SUM(MOD(I403-G403,1)-IF(I403&gt;G403,MAX(0,MIN(I403,'bases de donnée'!E$16/24)-MAX('planning '!G403,7/24)),MAX(0,'bases de donnée'!E$16/24-MAX('planning '!G403,7/24))+MAX(0,MIN('planning '!I403,'bases de donnée'!E$16/24)-7/24)))&lt;0,0,SUM(MOD('planning '!I403-'planning '!G403,1)-IF('planning '!I403&gt;'planning '!G403,MAX(0,MIN('planning '!I403,'bases de donnée'!E$16/24)-MAX('planning '!G403,7/24)),MAX(0,'bases de donnée'!E$16/24-MAX('planning '!G403,7/24))+MAX(0,MIN('planning '!I403,'bases de donnée'!E$16/24)-7/24))))</f>
        <v>0</v>
      </c>
      <c r="T403" s="77">
        <f>J403</f>
        <v>0</v>
      </c>
      <c r="U403" s="77" t="str">
        <f t="shared" si="432"/>
        <v>00:00</v>
      </c>
      <c r="V403" s="78">
        <f>IF(SUM(IF(O403&gt;("36:00"*1),O403-("36:00"*1),0)-V401-V402)&lt;0,0,SUM(IF(O403&gt;("36:00"*1),O403-("36:00"*1),0)-V397-V398-V399-V400-V401-V402))</f>
        <v>0</v>
      </c>
      <c r="W403" s="47"/>
      <c r="X403" s="48">
        <f t="shared" si="438"/>
        <v>0</v>
      </c>
      <c r="Y403" s="48">
        <f t="shared" ref="Y403" si="440">IF(SUM(T403-S403)&lt;0,0,SUM(T403-S403))</f>
        <v>0</v>
      </c>
      <c r="Z403" s="56">
        <f t="shared" ref="Z403" si="441">IF(SUM(U403-T403-S403)&lt;0,0,SUM(U403-T403-S403))</f>
        <v>0</v>
      </c>
      <c r="AA403" s="48">
        <f>IF(SUM(V403-S403-T403-U403)&lt;0,0,SUM(V403-S403-T403-U403))</f>
        <v>0</v>
      </c>
      <c r="AB403" s="47"/>
      <c r="AC403" s="57">
        <f t="shared" ref="AC403" si="442">IF(SUM(T403-Y403)&lt;0,0,SUM(T403-Y403))</f>
        <v>0</v>
      </c>
      <c r="AD403" s="33">
        <f t="shared" si="439"/>
        <v>0</v>
      </c>
      <c r="AE403" s="33">
        <f t="shared" si="396"/>
        <v>0</v>
      </c>
    </row>
    <row r="404" spans="2:31" x14ac:dyDescent="0.3">
      <c r="B404"/>
      <c r="C404" s="25"/>
      <c r="D404" s="90"/>
      <c r="E404" s="90"/>
      <c r="F404" s="25"/>
      <c r="G404" s="185"/>
      <c r="H404" s="185"/>
      <c r="I404" s="185"/>
      <c r="J404" s="47"/>
      <c r="K404" s="92"/>
      <c r="L404" s="91"/>
      <c r="M404" s="91"/>
      <c r="N404" s="91"/>
      <c r="O404" s="93"/>
      <c r="P404" s="47"/>
      <c r="Q404" s="30"/>
      <c r="R404" s="30"/>
      <c r="S404" s="47"/>
      <c r="T404" s="47"/>
      <c r="U404" s="47"/>
      <c r="V404" s="93"/>
      <c r="W404" s="47"/>
      <c r="X404" s="47"/>
      <c r="Y404" s="47"/>
      <c r="Z404" s="47"/>
      <c r="AA404" s="47"/>
      <c r="AB404" s="47"/>
      <c r="AC404" s="47"/>
      <c r="AD404" s="47"/>
      <c r="AE404" s="47"/>
    </row>
    <row r="405" spans="2:31" x14ac:dyDescent="0.3">
      <c r="B405" s="14" t="s">
        <v>40</v>
      </c>
      <c r="C405" s="14" t="s">
        <v>6</v>
      </c>
      <c r="D405" s="43">
        <f>D403+1</f>
        <v>42353</v>
      </c>
      <c r="E405" s="29" t="s">
        <v>29</v>
      </c>
      <c r="F405" s="190"/>
      <c r="G405" s="194">
        <v>0.375</v>
      </c>
      <c r="H405" s="194">
        <v>3.125E-2</v>
      </c>
      <c r="I405" s="194">
        <v>0.70833333333333337</v>
      </c>
      <c r="J405" s="193">
        <f>IF(OR(E405="férié travaillé",E405="travail"),(I405-G405+IF(G405&gt;I405,1)-H405),INDEX('bases de donnée'!$E$20:'bases de donnée'!$E$32,MATCH(E405,gerald2,0)))</f>
        <v>0.30208333333333337</v>
      </c>
      <c r="K405" s="20">
        <f>IF(SUM(J405-'bases de donnée'!E$7)&lt;0,0,SUM(J405-'bases de donnée'!E$7))</f>
        <v>0</v>
      </c>
      <c r="L405" s="11">
        <f>IF(OR(E405="férié travaillé",E405="travail"),I405-G405+IF(G405&gt;I405,1),INDEX('bases de donnée'!$E$20:'bases de donnée'!$E$32,MATCH(E405,gerald2,0)))</f>
        <v>0.33333333333333337</v>
      </c>
      <c r="M405" s="21">
        <f>IF(SUM(L405-'bases de donnée'!E$4)&lt;0,0,SUM(L405-'bases de donnée'!E$4))</f>
        <v>0</v>
      </c>
      <c r="N405" s="155">
        <v>0</v>
      </c>
      <c r="O405" s="45">
        <f t="shared" ref="O405" si="443">J405</f>
        <v>0.30208333333333337</v>
      </c>
      <c r="P405" s="122">
        <f>SUM(Q405:Q411)</f>
        <v>5</v>
      </c>
      <c r="Q405" s="120">
        <f>IF(AND(G405&lt;&gt;"",I405&lt;&gt;""),1,0+OR(N(I404)&lt;N(G404),E405="récupération",E405="congé 1 jour",E405="congé 1/2 jour ",E405="congé 5h24",E405="arrêt maladie",E405="arrêt travail",E405="férié ",E405="congé parentale",E405="congé de naissance"))</f>
        <v>1</v>
      </c>
      <c r="R405" s="30"/>
      <c r="S405" s="77">
        <f>IF(SUM(MOD(I405-G405,1)-IF(I405&gt;G405,MAX(0,MIN(I405,'bases de donnée'!E$16/24)-MAX('planning '!G405,7/24)),MAX(0,'bases de donnée'!E$16/24-MAX('planning '!G405,7/24))+MAX(0,MIN('planning '!I405,'bases de donnée'!E$16/24)-7/24)))&lt;0,0,SUM(MOD('planning '!I405-'planning '!G405,1)-IF('planning '!I405&gt;'planning '!G405,MAX(0,MIN('planning '!I405,'bases de donnée'!E$16/24)-MAX('planning '!G405,7/24)),MAX(0,'bases de donnée'!E$16/24-MAX('planning '!G405,7/24))+MAX(0,MIN('planning '!I405,'bases de donnée'!E$16/24)-7/24))))</f>
        <v>0</v>
      </c>
      <c r="T405" s="81"/>
      <c r="U405" s="77" t="str">
        <f t="shared" ref="U405:U411" si="444">IF(E405&lt;&gt;"travail",IF(E405="férié travaillé",MOD(I405-G405,1)-H405,"00:00"),"00:00")</f>
        <v>00:00</v>
      </c>
      <c r="V405" s="78"/>
      <c r="W405" s="47"/>
      <c r="X405" s="48">
        <f t="shared" si="438"/>
        <v>0</v>
      </c>
      <c r="Y405" s="31"/>
      <c r="Z405" s="49">
        <f t="shared" ref="Z405:Z410" si="445">IF(SUM(U405-X405)&lt;0,0,SUM(U405-X405))</f>
        <v>0</v>
      </c>
      <c r="AA405" s="48">
        <f t="shared" ref="AA405:AA410" si="446">IF(SUM(V405-X405-Z405)&lt;0,0,SUM(V405-X405-Z405))</f>
        <v>0</v>
      </c>
      <c r="AB405" s="47"/>
      <c r="AC405" s="50"/>
      <c r="AD405" s="33">
        <f t="shared" si="439"/>
        <v>0</v>
      </c>
      <c r="AE405" s="33">
        <f t="shared" si="396"/>
        <v>0</v>
      </c>
    </row>
    <row r="406" spans="2:31" x14ac:dyDescent="0.3">
      <c r="B406" s="51">
        <f t="shared" ref="B406" si="447">B398+1</f>
        <v>50</v>
      </c>
      <c r="C406" s="14" t="s">
        <v>7</v>
      </c>
      <c r="D406" s="43">
        <f t="shared" si="407"/>
        <v>42354</v>
      </c>
      <c r="E406" s="29" t="s">
        <v>29</v>
      </c>
      <c r="F406" s="191"/>
      <c r="G406" s="194">
        <v>0.375</v>
      </c>
      <c r="H406" s="194">
        <v>3.125E-2</v>
      </c>
      <c r="I406" s="194">
        <v>0.70833333333333337</v>
      </c>
      <c r="J406" s="193">
        <f>IF(OR(E406="férié travaillé",E406="travail"),(I406-G406+IF(G406&gt;I406,1)-H406),INDEX('bases de donnée'!$E$20:'bases de donnée'!$E$32,MATCH(E406,gerald2,0)))</f>
        <v>0.30208333333333337</v>
      </c>
      <c r="K406" s="20">
        <f>IF(SUM(J406-'bases de donnée'!E$7)&lt;0,0,SUM(J406-'bases de donnée'!E$7))</f>
        <v>0</v>
      </c>
      <c r="L406" s="11">
        <f>IF(OR(E406="férié travaillé",E406="travail"),I406-G406+IF(G406&gt;I406,1),INDEX('bases de donnée'!$E$20:'bases de donnée'!$E$32,MATCH(E406,gerald2,0)))</f>
        <v>0.33333333333333337</v>
      </c>
      <c r="M406" s="21">
        <f>IF(SUM(L406-'bases de donnée'!E$4)&lt;0,0,SUM(L406-'bases de donnée'!E$4))</f>
        <v>0</v>
      </c>
      <c r="N406" s="155">
        <v>0</v>
      </c>
      <c r="O406" s="73">
        <f t="shared" ref="O406:O411" si="448">O405+J406</f>
        <v>0.60416666666666674</v>
      </c>
      <c r="P406" s="121">
        <f>IF(SUM(P405-'bases de donnée'!E$6)&lt;0,0,SUM(P405-'bases de donnée'!E$6))</f>
        <v>0</v>
      </c>
      <c r="Q406" s="120">
        <f t="shared" ref="Q406:Q411" si="449">IF(AND(G406&lt;&gt;"",I406&lt;&gt;""),1,0+OR(N(I405)&lt;N(G405),E406="récupération",E406="congé 1 jour",E406="congé 1/2 jour ",E406="congé 5h24",E406="arrêt maladie",E406="arrêt travail",E406="férié ",E406="congé parentale",E406="congé de naissance"))</f>
        <v>1</v>
      </c>
      <c r="R406" s="30"/>
      <c r="S406" s="77">
        <f>IF(SUM(MOD(I406-G406,1)-IF(I406&gt;G406,MAX(0,MIN(I406,'bases de donnée'!E$16/24)-MAX('planning '!G406,7/24)),MAX(0,'bases de donnée'!E$16/24-MAX('planning '!G406,7/24))+MAX(0,MIN('planning '!I406,'bases de donnée'!E$16/24)-7/24)))&lt;0,0,SUM(MOD('planning '!I406-'planning '!G406,1)-IF('planning '!I406&gt;'planning '!G406,MAX(0,MIN('planning '!I406,'bases de donnée'!E$16/24)-MAX('planning '!G406,7/24)),MAX(0,'bases de donnée'!E$16/24-MAX('planning '!G406,7/24))+MAX(0,MIN('planning '!I406,'bases de donnée'!E$16/24)-7/24))))</f>
        <v>0</v>
      </c>
      <c r="T406" s="82"/>
      <c r="U406" s="77" t="str">
        <f t="shared" si="444"/>
        <v>00:00</v>
      </c>
      <c r="V406" s="78">
        <f>IF(SUM(IF(O406&gt;('bases de donnée'!E$9*1),O406-('bases de donnée'!E$9*1),0)-V405)&lt;0,0,SUM(IF(O406&gt;('bases de donnée'!E$9*1),O406-('bases de donnée'!E$9*1),0)-V405))</f>
        <v>0</v>
      </c>
      <c r="W406" s="47"/>
      <c r="X406" s="48">
        <f t="shared" si="438"/>
        <v>0</v>
      </c>
      <c r="Y406" s="42"/>
      <c r="Z406" s="49">
        <f t="shared" si="445"/>
        <v>0</v>
      </c>
      <c r="AA406" s="48">
        <f t="shared" si="446"/>
        <v>0</v>
      </c>
      <c r="AB406" s="47"/>
      <c r="AC406" s="54"/>
      <c r="AD406" s="33">
        <f t="shared" si="439"/>
        <v>0</v>
      </c>
      <c r="AE406" s="33">
        <f t="shared" si="396"/>
        <v>0</v>
      </c>
    </row>
    <row r="407" spans="2:31" x14ac:dyDescent="0.3">
      <c r="B407"/>
      <c r="C407" s="14" t="s">
        <v>8</v>
      </c>
      <c r="D407" s="43">
        <f t="shared" si="407"/>
        <v>42355</v>
      </c>
      <c r="E407" s="29" t="s">
        <v>29</v>
      </c>
      <c r="F407" s="191"/>
      <c r="G407" s="194">
        <v>0.375</v>
      </c>
      <c r="H407" s="194">
        <v>3.125E-2</v>
      </c>
      <c r="I407" s="194">
        <v>0.70833333333333337</v>
      </c>
      <c r="J407" s="193">
        <f>IF(OR(E407="férié travaillé",E407="travail"),(I407-G407+IF(G407&gt;I407,1)-H407),INDEX('bases de donnée'!$E$20:'bases de donnée'!$E$32,MATCH(E407,gerald2,0)))</f>
        <v>0.30208333333333337</v>
      </c>
      <c r="K407" s="20">
        <f>IF(SUM(J407-'bases de donnée'!E$7)&lt;0,0,SUM(J407-'bases de donnée'!E$7))</f>
        <v>0</v>
      </c>
      <c r="L407" s="11">
        <f>IF(OR(E407="férié travaillé",E407="travail"),I407-G407+IF(G407&gt;I407,1),INDEX('bases de donnée'!$E$20:'bases de donnée'!$E$32,MATCH(E407,gerald2,0)))</f>
        <v>0.33333333333333337</v>
      </c>
      <c r="M407" s="21">
        <f>IF(SUM(L407-'bases de donnée'!E$4)&lt;0,0,SUM(L407-'bases de donnée'!E$4))</f>
        <v>0</v>
      </c>
      <c r="N407" s="155">
        <v>0</v>
      </c>
      <c r="O407" s="73">
        <f t="shared" si="448"/>
        <v>0.90625000000000011</v>
      </c>
      <c r="P407" s="34" t="s">
        <v>46</v>
      </c>
      <c r="Q407" s="120">
        <f t="shared" si="449"/>
        <v>1</v>
      </c>
      <c r="R407" s="30"/>
      <c r="S407" s="77">
        <f>IF(SUM(MOD(I407-G407,1)-IF(I407&gt;G407,MAX(0,MIN(I407,'bases de donnée'!E$16/24)-MAX('planning '!G407,7/24)),MAX(0,'bases de donnée'!E$16/24-MAX('planning '!G407,7/24))+MAX(0,MIN('planning '!I407,'bases de donnée'!E$16/24)-7/24)))&lt;0,0,SUM(MOD('planning '!I407-'planning '!G407,1)-IF('planning '!I407&gt;'planning '!G407,MAX(0,MIN('planning '!I407,'bases de donnée'!E$16/24)-MAX('planning '!G407,7/24)),MAX(0,'bases de donnée'!E$16/24-MAX('planning '!G407,7/24))+MAX(0,MIN('planning '!I407,'bases de donnée'!E$16/24)-7/24))))</f>
        <v>0</v>
      </c>
      <c r="T407" s="82"/>
      <c r="U407" s="77" t="str">
        <f t="shared" si="444"/>
        <v>00:00</v>
      </c>
      <c r="V407" s="78">
        <f>IF(SUM(IF(O407&gt;("36:00"*1),O407-("36:00"*1),0)-V405-V406)&lt;0,0,SUM(IF(O407&gt;("36:00"*1),O407-("36:00"*1),0)-V405-V406))</f>
        <v>0</v>
      </c>
      <c r="W407" s="47"/>
      <c r="X407" s="48">
        <f t="shared" si="438"/>
        <v>0</v>
      </c>
      <c r="Y407" s="42"/>
      <c r="Z407" s="49">
        <f t="shared" si="445"/>
        <v>0</v>
      </c>
      <c r="AA407" s="48">
        <f t="shared" si="446"/>
        <v>0</v>
      </c>
      <c r="AB407" s="47"/>
      <c r="AC407" s="54"/>
      <c r="AD407" s="33">
        <f t="shared" si="439"/>
        <v>0</v>
      </c>
      <c r="AE407" s="33">
        <f t="shared" si="396"/>
        <v>0</v>
      </c>
    </row>
    <row r="408" spans="2:31" x14ac:dyDescent="0.3">
      <c r="B408"/>
      <c r="C408" s="14" t="s">
        <v>9</v>
      </c>
      <c r="D408" s="43">
        <f t="shared" si="407"/>
        <v>42356</v>
      </c>
      <c r="E408" s="29" t="s">
        <v>29</v>
      </c>
      <c r="F408" s="191"/>
      <c r="G408" s="194">
        <v>0.375</v>
      </c>
      <c r="H408" s="194">
        <v>3.125E-2</v>
      </c>
      <c r="I408" s="194">
        <v>0.70833333333333337</v>
      </c>
      <c r="J408" s="193">
        <f>IF(OR(E408="férié travaillé",E408="travail"),(I408-G408+IF(G408&gt;I408,1)-H408),INDEX('bases de donnée'!$E$20:'bases de donnée'!$E$32,MATCH(E408,gerald2,0)))</f>
        <v>0.30208333333333337</v>
      </c>
      <c r="K408" s="20">
        <f>IF(SUM(J408-'bases de donnée'!E$7)&lt;0,0,SUM(J408-'bases de donnée'!E$7))</f>
        <v>0</v>
      </c>
      <c r="L408" s="11">
        <f>IF(OR(E408="férié travaillé",E408="travail"),I408-G408+IF(G408&gt;I408,1),INDEX('bases de donnée'!$E$20:'bases de donnée'!$E$32,MATCH(E408,gerald2,0)))</f>
        <v>0.33333333333333337</v>
      </c>
      <c r="M408" s="21">
        <f>IF(SUM(L408-'bases de donnée'!E$4)&lt;0,0,SUM(L408-'bases de donnée'!E$4))</f>
        <v>0</v>
      </c>
      <c r="N408" s="155">
        <v>0</v>
      </c>
      <c r="O408" s="73">
        <f t="shared" si="448"/>
        <v>1.2083333333333335</v>
      </c>
      <c r="P408" s="86">
        <f>O411</f>
        <v>1.5</v>
      </c>
      <c r="Q408" s="120">
        <f t="shared" si="449"/>
        <v>1</v>
      </c>
      <c r="R408" s="30"/>
      <c r="S408" s="77">
        <f>IF(SUM(MOD(I408-G408,1)-IF(I408&gt;G408,MAX(0,MIN(I408,'bases de donnée'!E$16/24)-MAX('planning '!G408,7/24)),MAX(0,'bases de donnée'!E$16/24-MAX('planning '!G408,7/24))+MAX(0,MIN('planning '!I408,'bases de donnée'!E$16/24)-7/24)))&lt;0,0,SUM(MOD('planning '!I408-'planning '!G408,1)-IF('planning '!I408&gt;'planning '!G408,MAX(0,MIN('planning '!I408,'bases de donnée'!E$16/24)-MAX('planning '!G408,7/24)),MAX(0,'bases de donnée'!E$16/24-MAX('planning '!G408,7/24))+MAX(0,MIN('planning '!I408,'bases de donnée'!E$16/24)-7/24))))</f>
        <v>0</v>
      </c>
      <c r="T408" s="82"/>
      <c r="U408" s="77" t="str">
        <f t="shared" si="444"/>
        <v>00:00</v>
      </c>
      <c r="V408" s="78">
        <f>IF(SUM(IF(O408&gt;("36:00"*1),O408-("36:00"*1),0)-V406-V407)&lt;0,0,SUM(IF(O408&gt;("36:00"*1),O408-("36:00"*1),0)-V405-V406-V407))</f>
        <v>0</v>
      </c>
      <c r="W408" s="47"/>
      <c r="X408" s="48">
        <f t="shared" si="438"/>
        <v>0</v>
      </c>
      <c r="Y408" s="42"/>
      <c r="Z408" s="49">
        <f t="shared" si="445"/>
        <v>0</v>
      </c>
      <c r="AA408" s="48">
        <f t="shared" si="446"/>
        <v>0</v>
      </c>
      <c r="AB408" s="47"/>
      <c r="AC408" s="54"/>
      <c r="AD408" s="33">
        <f t="shared" si="439"/>
        <v>0</v>
      </c>
      <c r="AE408" s="33">
        <f t="shared" si="396"/>
        <v>0</v>
      </c>
    </row>
    <row r="409" spans="2:31" x14ac:dyDescent="0.3">
      <c r="B409"/>
      <c r="C409" s="14" t="s">
        <v>3</v>
      </c>
      <c r="D409" s="43">
        <f t="shared" si="407"/>
        <v>42357</v>
      </c>
      <c r="E409" s="29" t="s">
        <v>29</v>
      </c>
      <c r="F409" s="191"/>
      <c r="G409" s="194">
        <v>0.375</v>
      </c>
      <c r="H409" s="194">
        <v>3.125E-2</v>
      </c>
      <c r="I409" s="194">
        <v>0.69791666666666663</v>
      </c>
      <c r="J409" s="193">
        <f>IF(OR(E409="férié travaillé",E409="travail"),(I409-G409+IF(G409&gt;I409,1)-H409),INDEX('bases de donnée'!$E$20:'bases de donnée'!$E$32,MATCH(E409,gerald2,0)))</f>
        <v>0.29166666666666663</v>
      </c>
      <c r="K409" s="20">
        <f>IF(SUM(J409-'bases de donnée'!E$7)&lt;0,0,SUM(J409-'bases de donnée'!E$7))</f>
        <v>0</v>
      </c>
      <c r="L409" s="11">
        <f>IF(OR(E409="férié travaillé",E409="travail"),I409-G409+IF(G409&gt;I409,1),INDEX('bases de donnée'!$E$20:'bases de donnée'!$E$32,MATCH(E409,gerald2,0)))</f>
        <v>0.32291666666666663</v>
      </c>
      <c r="M409" s="21">
        <f>IF(SUM(L409-'bases de donnée'!E$4)&lt;0,0,SUM(L409-'bases de donnée'!E$4))</f>
        <v>0</v>
      </c>
      <c r="N409" s="155">
        <v>0</v>
      </c>
      <c r="O409" s="73">
        <f t="shared" si="448"/>
        <v>1.5</v>
      </c>
      <c r="P409" s="12" t="s">
        <v>48</v>
      </c>
      <c r="Q409" s="120">
        <f t="shared" si="449"/>
        <v>1</v>
      </c>
      <c r="R409" s="30"/>
      <c r="S409" s="77">
        <f>IF(SUM(MOD(I409-G409,1)-IF(I409&gt;G409,MAX(0,MIN(I409,'bases de donnée'!E$16/24)-MAX('planning '!G409,7/24)),MAX(0,'bases de donnée'!E$16/24-MAX('planning '!G409,7/24))+MAX(0,MIN('planning '!I409,'bases de donnée'!E$16/24)-7/24)))&lt;0,0,SUM(MOD('planning '!I409-'planning '!G409,1)-IF('planning '!I409&gt;'planning '!G409,MAX(0,MIN('planning '!I409,'bases de donnée'!E$16/24)-MAX('planning '!G409,7/24)),MAX(0,'bases de donnée'!E$16/24-MAX('planning '!G409,7/24))+MAX(0,MIN('planning '!I409,'bases de donnée'!E$16/24)-7/24))))</f>
        <v>0</v>
      </c>
      <c r="T409" s="82"/>
      <c r="U409" s="77" t="str">
        <f t="shared" si="444"/>
        <v>00:00</v>
      </c>
      <c r="V409" s="78">
        <f>IF(SUM(IF(O409&gt;("36:00"*1),O409-("36:00"*1),0)-V407-V408)&lt;0,0,SUM(IF(O409&gt;("36:00"*1),O409-("36:00"*1),0)-V405-V406-V407-V408))</f>
        <v>0</v>
      </c>
      <c r="W409" s="47"/>
      <c r="X409" s="48">
        <f t="shared" si="438"/>
        <v>0</v>
      </c>
      <c r="Y409" s="42"/>
      <c r="Z409" s="49">
        <f t="shared" si="445"/>
        <v>0</v>
      </c>
      <c r="AA409" s="48">
        <f t="shared" si="446"/>
        <v>0</v>
      </c>
      <c r="AB409" s="47"/>
      <c r="AC409" s="54"/>
      <c r="AD409" s="33">
        <f t="shared" si="439"/>
        <v>0</v>
      </c>
      <c r="AE409" s="33">
        <f t="shared" si="396"/>
        <v>0</v>
      </c>
    </row>
    <row r="410" spans="2:31" x14ac:dyDescent="0.3">
      <c r="B410"/>
      <c r="C410" s="14" t="s">
        <v>4</v>
      </c>
      <c r="D410" s="43">
        <f t="shared" si="407"/>
        <v>42358</v>
      </c>
      <c r="E410" s="29" t="s">
        <v>28</v>
      </c>
      <c r="F410" s="191"/>
      <c r="G410" s="194"/>
      <c r="H410" s="194"/>
      <c r="I410" s="194"/>
      <c r="J410" s="193">
        <f>IF(OR(E410="férié travaillé",E410="travail"),(I410-G410+IF(G410&gt;I410,1)-H410),INDEX('bases de donnée'!$E$20:'bases de donnée'!$E$32,MATCH(E410,gerald2,0)))</f>
        <v>0</v>
      </c>
      <c r="K410" s="20">
        <f>IF(SUM(J410-'bases de donnée'!E$7)&lt;0,0,SUM(J410-'bases de donnée'!E$7))</f>
        <v>0</v>
      </c>
      <c r="L410" s="11">
        <f>IF(OR(E410="férié travaillé",E410="travail"),I410-G410+IF(G410&gt;I410,1),INDEX('bases de donnée'!$E$20:'bases de donnée'!$E$32,MATCH(E410,gerald2,0)))</f>
        <v>0</v>
      </c>
      <c r="M410" s="21">
        <f>IF(SUM(L410-'bases de donnée'!E$4)&lt;0,0,SUM(L410-'bases de donnée'!E$4))</f>
        <v>0</v>
      </c>
      <c r="N410" s="155">
        <v>0</v>
      </c>
      <c r="O410" s="73">
        <f t="shared" si="448"/>
        <v>1.5</v>
      </c>
      <c r="P410" s="53">
        <f>'bases de donnée'!E$10</f>
        <v>2</v>
      </c>
      <c r="Q410" s="120">
        <f t="shared" si="449"/>
        <v>0</v>
      </c>
      <c r="R410" s="30"/>
      <c r="S410" s="77">
        <f>IF(SUM(MOD(I410-G410,1)-IF(I410&gt;G410,MAX(0,MIN(I410,'bases de donnée'!E$16/24)-MAX('planning '!G410,7/24)),MAX(0,'bases de donnée'!E$16/24-MAX('planning '!G410,7/24))+MAX(0,MIN('planning '!I410,'bases de donnée'!E$16/24)-7/24)))&lt;0,0,SUM(MOD('planning '!I410-'planning '!G410,1)-IF('planning '!I410&gt;'planning '!G410,MAX(0,MIN('planning '!I410,'bases de donnée'!E$16/24)-MAX('planning '!G410,7/24)),MAX(0,'bases de donnée'!E$16/24-MAX('planning '!G410,7/24))+MAX(0,MIN('planning '!I410,'bases de donnée'!E$16/24)-7/24))))</f>
        <v>0</v>
      </c>
      <c r="T410" s="83"/>
      <c r="U410" s="77" t="str">
        <f t="shared" si="444"/>
        <v>00:00</v>
      </c>
      <c r="V410" s="78">
        <f>IF(SUM(IF(O410&gt;("36:00"*1),O410-("36:00"*1),0)-V408-V409)&lt;0,0,SUM(IF(O410&gt;("36:00"*1),O410-("36:00"*1),0)-V405-V406-V407-V408-V409))</f>
        <v>0</v>
      </c>
      <c r="W410" s="47"/>
      <c r="X410" s="48">
        <f t="shared" si="438"/>
        <v>0</v>
      </c>
      <c r="Y410" s="32"/>
      <c r="Z410" s="49">
        <f t="shared" si="445"/>
        <v>0</v>
      </c>
      <c r="AA410" s="48">
        <f t="shared" si="446"/>
        <v>0</v>
      </c>
      <c r="AB410" s="47"/>
      <c r="AC410" s="55"/>
      <c r="AD410" s="33">
        <f t="shared" si="439"/>
        <v>0</v>
      </c>
      <c r="AE410" s="33">
        <f t="shared" si="396"/>
        <v>0</v>
      </c>
    </row>
    <row r="411" spans="2:31" x14ac:dyDescent="0.3">
      <c r="B411"/>
      <c r="C411" s="14" t="s">
        <v>5</v>
      </c>
      <c r="D411" s="43">
        <f t="shared" si="407"/>
        <v>42359</v>
      </c>
      <c r="E411" s="29" t="s">
        <v>28</v>
      </c>
      <c r="F411" s="192"/>
      <c r="G411" s="194"/>
      <c r="H411" s="194"/>
      <c r="I411" s="194"/>
      <c r="J411" s="193">
        <f>IF(OR(E411="férié travaillé",E411="travail"),(I411-G411+IF(G411&gt;I411,1)-H411),INDEX('bases de donnée'!$E$20:'bases de donnée'!$E$32,MATCH(E411,gerald2,0)))</f>
        <v>0</v>
      </c>
      <c r="K411" s="20">
        <f>IF(SUM(J411-'bases de donnée'!E$7)&lt;0,0,SUM(J411-'bases de donnée'!E$7))</f>
        <v>0</v>
      </c>
      <c r="L411" s="11">
        <f>IF(OR(E411="férié travaillé",E411="travail"),I411-G411+IF(G411&gt;I411,1),INDEX('bases de donnée'!$E$20:'bases de donnée'!$E$32,MATCH(E411,gerald2,0)))</f>
        <v>0</v>
      </c>
      <c r="M411" s="21">
        <f>IF(SUM(L411-'bases de donnée'!E$4)&lt;0,0,SUM(L411-'bases de donnée'!E$4))</f>
        <v>0</v>
      </c>
      <c r="N411" s="155">
        <v>0</v>
      </c>
      <c r="O411" s="73">
        <f t="shared" si="448"/>
        <v>1.5</v>
      </c>
      <c r="P411" s="33">
        <f>IF(SUM(O411-'bases de donnée'!E$10)&lt;0,0,SUM(O411-'bases de donnée'!E$10))</f>
        <v>0</v>
      </c>
      <c r="Q411" s="120">
        <f t="shared" si="449"/>
        <v>0</v>
      </c>
      <c r="R411" s="30"/>
      <c r="S411" s="77">
        <f>IF(SUM(MOD(I411-G411,1)-IF(I411&gt;G411,MAX(0,MIN(I411,'bases de donnée'!E$16/24)-MAX('planning '!G411,7/24)),MAX(0,'bases de donnée'!E$16/24-MAX('planning '!G411,7/24))+MAX(0,MIN('planning '!I411,'bases de donnée'!E$16/24)-7/24)))&lt;0,0,SUM(MOD('planning '!I411-'planning '!G411,1)-IF('planning '!I411&gt;'planning '!G411,MAX(0,MIN('planning '!I411,'bases de donnée'!E$16/24)-MAX('planning '!G411,7/24)),MAX(0,'bases de donnée'!E$16/24-MAX('planning '!G411,7/24))+MAX(0,MIN('planning '!I411,'bases de donnée'!E$16/24)-7/24))))</f>
        <v>0</v>
      </c>
      <c r="T411" s="77">
        <f>J411</f>
        <v>0</v>
      </c>
      <c r="U411" s="77" t="str">
        <f t="shared" si="444"/>
        <v>00:00</v>
      </c>
      <c r="V411" s="78">
        <f>IF(SUM(IF(O411&gt;("36:00"*1),O411-("36:00"*1),0)-V409-V410)&lt;0,0,SUM(IF(O411&gt;("36:00"*1),O411-("36:00"*1),0)-V405-V406-V407-V408-V409-V410))</f>
        <v>0</v>
      </c>
      <c r="W411" s="47"/>
      <c r="X411" s="48">
        <f t="shared" si="438"/>
        <v>0</v>
      </c>
      <c r="Y411" s="48">
        <f t="shared" ref="Y411" si="450">IF(SUM(T411-S411)&lt;0,0,SUM(T411-S411))</f>
        <v>0</v>
      </c>
      <c r="Z411" s="56">
        <f t="shared" ref="Z411" si="451">IF(SUM(U411-T411-S411)&lt;0,0,SUM(U411-T411-S411))</f>
        <v>0</v>
      </c>
      <c r="AA411" s="48">
        <f>IF(SUM(V411-S411-T411-U411)&lt;0,0,SUM(V411-S411-T411-U411))</f>
        <v>0</v>
      </c>
      <c r="AB411" s="47"/>
      <c r="AC411" s="57">
        <f t="shared" ref="AC411" si="452">IF(SUM(T411-Y411)&lt;0,0,SUM(T411-Y411))</f>
        <v>0</v>
      </c>
      <c r="AD411" s="33">
        <f t="shared" si="439"/>
        <v>0</v>
      </c>
      <c r="AE411" s="33">
        <f t="shared" si="396"/>
        <v>0</v>
      </c>
    </row>
    <row r="412" spans="2:31" x14ac:dyDescent="0.3">
      <c r="B412"/>
      <c r="C412" s="25"/>
      <c r="D412" s="90"/>
      <c r="E412" s="90"/>
      <c r="F412" s="25"/>
      <c r="G412" s="185"/>
      <c r="H412" s="185"/>
      <c r="I412" s="185"/>
      <c r="J412" s="47"/>
      <c r="K412" s="92"/>
      <c r="L412" s="91"/>
      <c r="M412" s="91"/>
      <c r="N412" s="91"/>
      <c r="O412" s="93"/>
      <c r="P412" s="47"/>
      <c r="Q412" s="30"/>
      <c r="R412" s="30"/>
      <c r="S412" s="47"/>
      <c r="T412" s="47"/>
      <c r="U412" s="47"/>
      <c r="V412" s="93"/>
      <c r="W412" s="47"/>
      <c r="X412" s="47"/>
      <c r="Y412" s="47"/>
      <c r="Z412" s="47"/>
      <c r="AA412" s="47"/>
      <c r="AB412" s="47"/>
      <c r="AC412" s="47"/>
      <c r="AD412" s="47"/>
      <c r="AE412" s="47"/>
    </row>
    <row r="413" spans="2:31" x14ac:dyDescent="0.3">
      <c r="B413" s="9" t="s">
        <v>40</v>
      </c>
      <c r="C413" s="9" t="s">
        <v>6</v>
      </c>
      <c r="D413" s="58">
        <f>D411+1</f>
        <v>42360</v>
      </c>
      <c r="E413" s="29" t="s">
        <v>31</v>
      </c>
      <c r="F413" s="44"/>
      <c r="G413" s="187"/>
      <c r="H413" s="187"/>
      <c r="I413" s="187"/>
      <c r="J413" s="45">
        <f>IF(OR(E413="férié travaillé",E413="travail"),(I413-G413+IF(G413&gt;I413,1)-H413),INDEX('bases de donnée'!$E$20:'bases de donnée'!$E$32,MATCH(E413,gerald2,0)))</f>
        <v>0.3</v>
      </c>
      <c r="K413" s="20">
        <f>IF(SUM(J413-'bases de donnée'!E$7)&lt;0,0,SUM(J413-'bases de donnée'!E$7))</f>
        <v>0</v>
      </c>
      <c r="L413" s="11">
        <f>IF(OR(E413="férié travaillé",E413="travail"),I413-G413+IF(G413&gt;I413,1),INDEX('bases de donnée'!$E$20:'bases de donnée'!$E$32,MATCH(E413,gerald2,0)))</f>
        <v>0.3</v>
      </c>
      <c r="M413" s="21">
        <f>IF(SUM(L413-'bases de donnée'!E$4)&lt;0,0,SUM(L413-'bases de donnée'!E$4))</f>
        <v>0</v>
      </c>
      <c r="N413" s="155">
        <v>0</v>
      </c>
      <c r="O413" s="59">
        <f t="shared" ref="O413" si="453">J413</f>
        <v>0.3</v>
      </c>
      <c r="P413" s="122">
        <f>SUM(Q413:Q419)</f>
        <v>5</v>
      </c>
      <c r="Q413" s="120">
        <f>IF(AND(G413&lt;&gt;"",I413&lt;&gt;""),1,0+OR(N(I412)&lt;N(G412),E413="récupération",E413="congé 1 jour",E413="congé 1/2 jour ",E413="congé 5h24",E413="arrêt maladie",E413="arrêt travail",E413="férié ",E413="congé parentale",E413="congé de naissance"))</f>
        <v>1</v>
      </c>
      <c r="R413" s="30"/>
      <c r="S413" s="77">
        <f>IF(SUM(MOD(I413-G413,1)-IF(I413&gt;G413,MAX(0,MIN(I413,'bases de donnée'!E$16/24)-MAX('planning '!G413,7/24)),MAX(0,'bases de donnée'!E$16/24-MAX('planning '!G413,7/24))+MAX(0,MIN('planning '!I413,'bases de donnée'!E$16/24)-7/24)))&lt;0,0,SUM(MOD('planning '!I413-'planning '!G413,1)-IF('planning '!I413&gt;'planning '!G413,MAX(0,MIN('planning '!I413,'bases de donnée'!E$16/24)-MAX('planning '!G413,7/24)),MAX(0,'bases de donnée'!E$16/24-MAX('planning '!G413,7/24))+MAX(0,MIN('planning '!I413,'bases de donnée'!E$16/24)-7/24))))</f>
        <v>0</v>
      </c>
      <c r="T413" s="81"/>
      <c r="U413" s="77" t="str">
        <f t="shared" ref="U413:U419" si="454">IF(E413&lt;&gt;"travail",IF(E413="férié travaillé",MOD(I413-G413,1)-H413,"00:00"),"00:00")</f>
        <v>00:00</v>
      </c>
      <c r="V413" s="78"/>
      <c r="W413" s="47"/>
      <c r="X413" s="48">
        <f t="shared" si="438"/>
        <v>0</v>
      </c>
      <c r="Y413" s="31"/>
      <c r="Z413" s="49">
        <f t="shared" ref="Z413:Z418" si="455">IF(SUM(U413-X413)&lt;0,0,SUM(U413-X413))</f>
        <v>0</v>
      </c>
      <c r="AA413" s="48">
        <f t="shared" ref="AA413:AA418" si="456">IF(SUM(V413-X413-Z413)&lt;0,0,SUM(V413-X413-Z413))</f>
        <v>0</v>
      </c>
      <c r="AB413" s="47"/>
      <c r="AC413" s="50"/>
      <c r="AD413" s="33">
        <f t="shared" si="439"/>
        <v>0</v>
      </c>
      <c r="AE413" s="33">
        <f t="shared" si="396"/>
        <v>0</v>
      </c>
    </row>
    <row r="414" spans="2:31" x14ac:dyDescent="0.3">
      <c r="B414" s="60">
        <f t="shared" ref="B414" si="457">B406+1</f>
        <v>51</v>
      </c>
      <c r="C414" s="9" t="s">
        <v>7</v>
      </c>
      <c r="D414" s="58">
        <f t="shared" si="407"/>
        <v>42361</v>
      </c>
      <c r="E414" s="29" t="s">
        <v>31</v>
      </c>
      <c r="F414" s="52"/>
      <c r="G414" s="187"/>
      <c r="H414" s="187"/>
      <c r="I414" s="187"/>
      <c r="J414" s="45">
        <f>IF(OR(E414="férié travaillé",E414="travail"),(I414-G414+IF(G414&gt;I414,1)-H414),INDEX('bases de donnée'!$E$20:'bases de donnée'!$E$32,MATCH(E414,gerald2,0)))</f>
        <v>0.3</v>
      </c>
      <c r="K414" s="20">
        <f>IF(SUM(J414-'bases de donnée'!E$7)&lt;0,0,SUM(J414-'bases de donnée'!E$7))</f>
        <v>0</v>
      </c>
      <c r="L414" s="11">
        <f>IF(OR(E414="férié travaillé",E414="travail"),I414-G414+IF(G414&gt;I414,1),INDEX('bases de donnée'!$E$20:'bases de donnée'!$E$32,MATCH(E414,gerald2,0)))</f>
        <v>0.3</v>
      </c>
      <c r="M414" s="21">
        <f>IF(SUM(L414-'bases de donnée'!E$4)&lt;0,0,SUM(L414-'bases de donnée'!E$4))</f>
        <v>0</v>
      </c>
      <c r="N414" s="155">
        <v>0</v>
      </c>
      <c r="O414" s="74">
        <f t="shared" ref="O414:O419" si="458">O413+J414</f>
        <v>0.6</v>
      </c>
      <c r="P414" s="121">
        <f>IF(SUM(P413-'bases de donnée'!E$6)&lt;0,0,SUM(P413-'bases de donnée'!E$6))</f>
        <v>0</v>
      </c>
      <c r="Q414" s="120">
        <f t="shared" ref="Q414:Q419" si="459">IF(AND(G414&lt;&gt;"",I414&lt;&gt;""),1,0+OR(N(I413)&lt;N(G413),E414="récupération",E414="congé 1 jour",E414="congé 1/2 jour ",E414="congé 5h24",E414="arrêt maladie",E414="arrêt travail",E414="férié ",E414="congé parentale",E414="congé de naissance"))</f>
        <v>1</v>
      </c>
      <c r="R414" s="30"/>
      <c r="S414" s="77">
        <f>IF(SUM(MOD(I414-G414,1)-IF(I414&gt;G414,MAX(0,MIN(I414,'bases de donnée'!E$16/24)-MAX('planning '!G414,7/24)),MAX(0,'bases de donnée'!E$16/24-MAX('planning '!G414,7/24))+MAX(0,MIN('planning '!I414,'bases de donnée'!E$16/24)-7/24)))&lt;0,0,SUM(MOD('planning '!I414-'planning '!G414,1)-IF('planning '!I414&gt;'planning '!G414,MAX(0,MIN('planning '!I414,'bases de donnée'!E$16/24)-MAX('planning '!G414,7/24)),MAX(0,'bases de donnée'!E$16/24-MAX('planning '!G414,7/24))+MAX(0,MIN('planning '!I414,'bases de donnée'!E$16/24)-7/24))))</f>
        <v>0</v>
      </c>
      <c r="T414" s="82"/>
      <c r="U414" s="77" t="str">
        <f t="shared" si="454"/>
        <v>00:00</v>
      </c>
      <c r="V414" s="78">
        <f>IF(SUM(IF(O414&gt;('bases de donnée'!E$9*1),O414-('bases de donnée'!E$9*1),0)-V413)&lt;0,0,SUM(IF(O414&gt;('bases de donnée'!E$9*1),O414-('bases de donnée'!E$9*1),0)-V413))</f>
        <v>0</v>
      </c>
      <c r="W414" s="47"/>
      <c r="X414" s="48">
        <f t="shared" si="438"/>
        <v>0</v>
      </c>
      <c r="Y414" s="42"/>
      <c r="Z414" s="49">
        <f t="shared" si="455"/>
        <v>0</v>
      </c>
      <c r="AA414" s="48">
        <f t="shared" si="456"/>
        <v>0</v>
      </c>
      <c r="AB414" s="47"/>
      <c r="AC414" s="54"/>
      <c r="AD414" s="33">
        <f t="shared" si="439"/>
        <v>0</v>
      </c>
      <c r="AE414" s="33">
        <f t="shared" si="396"/>
        <v>0</v>
      </c>
    </row>
    <row r="415" spans="2:31" x14ac:dyDescent="0.3">
      <c r="B415"/>
      <c r="C415" s="9" t="s">
        <v>8</v>
      </c>
      <c r="D415" s="58">
        <f t="shared" si="407"/>
        <v>42362</v>
      </c>
      <c r="E415" s="29" t="s">
        <v>31</v>
      </c>
      <c r="F415" s="52"/>
      <c r="G415" s="187"/>
      <c r="H415" s="187"/>
      <c r="I415" s="187"/>
      <c r="J415" s="45">
        <f>IF(OR(E415="férié travaillé",E415="travail"),(I415-G415+IF(G415&gt;I415,1)-H415),INDEX('bases de donnée'!$E$20:'bases de donnée'!$E$32,MATCH(E415,gerald2,0)))</f>
        <v>0.3</v>
      </c>
      <c r="K415" s="20">
        <f>IF(SUM(J415-'bases de donnée'!E$7)&lt;0,0,SUM(J415-'bases de donnée'!E$7))</f>
        <v>0</v>
      </c>
      <c r="L415" s="11">
        <f>IF(OR(E415="férié travaillé",E415="travail"),I415-G415+IF(G415&gt;I415,1),INDEX('bases de donnée'!$E$20:'bases de donnée'!$E$32,MATCH(E415,gerald2,0)))</f>
        <v>0.3</v>
      </c>
      <c r="M415" s="21">
        <f>IF(SUM(L415-'bases de donnée'!E$4)&lt;0,0,SUM(L415-'bases de donnée'!E$4))</f>
        <v>0</v>
      </c>
      <c r="N415" s="155">
        <v>0</v>
      </c>
      <c r="O415" s="74">
        <f t="shared" si="458"/>
        <v>0.89999999999999991</v>
      </c>
      <c r="P415" s="34" t="s">
        <v>46</v>
      </c>
      <c r="Q415" s="120">
        <f t="shared" si="459"/>
        <v>1</v>
      </c>
      <c r="R415" s="30"/>
      <c r="S415" s="77">
        <f>IF(SUM(MOD(I415-G415,1)-IF(I415&gt;G415,MAX(0,MIN(I415,'bases de donnée'!E$16/24)-MAX('planning '!G415,7/24)),MAX(0,'bases de donnée'!E$16/24-MAX('planning '!G415,7/24))+MAX(0,MIN('planning '!I415,'bases de donnée'!E$16/24)-7/24)))&lt;0,0,SUM(MOD('planning '!I415-'planning '!G415,1)-IF('planning '!I415&gt;'planning '!G415,MAX(0,MIN('planning '!I415,'bases de donnée'!E$16/24)-MAX('planning '!G415,7/24)),MAX(0,'bases de donnée'!E$16/24-MAX('planning '!G415,7/24))+MAX(0,MIN('planning '!I415,'bases de donnée'!E$16/24)-7/24))))</f>
        <v>0</v>
      </c>
      <c r="T415" s="82"/>
      <c r="U415" s="77" t="str">
        <f t="shared" si="454"/>
        <v>00:00</v>
      </c>
      <c r="V415" s="78">
        <f>IF(SUM(IF(O415&gt;("36:00"*1),O415-("36:00"*1),0)-V413-V414)&lt;0,0,SUM(IF(O415&gt;("36:00"*1),O415-("36:00"*1),0)-V413-V414))</f>
        <v>0</v>
      </c>
      <c r="W415" s="47"/>
      <c r="X415" s="48">
        <f t="shared" si="438"/>
        <v>0</v>
      </c>
      <c r="Y415" s="42"/>
      <c r="Z415" s="49">
        <f t="shared" si="455"/>
        <v>0</v>
      </c>
      <c r="AA415" s="48">
        <f t="shared" si="456"/>
        <v>0</v>
      </c>
      <c r="AB415" s="47"/>
      <c r="AC415" s="54"/>
      <c r="AD415" s="33">
        <f t="shared" si="439"/>
        <v>0</v>
      </c>
      <c r="AE415" s="33">
        <f t="shared" si="396"/>
        <v>0</v>
      </c>
    </row>
    <row r="416" spans="2:31" x14ac:dyDescent="0.3">
      <c r="B416"/>
      <c r="C416" s="9" t="s">
        <v>9</v>
      </c>
      <c r="D416" s="58">
        <f t="shared" si="407"/>
        <v>42363</v>
      </c>
      <c r="E416" s="29" t="s">
        <v>31</v>
      </c>
      <c r="F416" s="52"/>
      <c r="G416" s="187"/>
      <c r="H416" s="187"/>
      <c r="I416" s="187"/>
      <c r="J416" s="45">
        <f>IF(OR(E416="férié travaillé",E416="travail"),(I416-G416+IF(G416&gt;I416,1)-H416),INDEX('bases de donnée'!$E$20:'bases de donnée'!$E$32,MATCH(E416,gerald2,0)))</f>
        <v>0.3</v>
      </c>
      <c r="K416" s="20">
        <f>IF(SUM(J416-'bases de donnée'!E$7)&lt;0,0,SUM(J416-'bases de donnée'!E$7))</f>
        <v>0</v>
      </c>
      <c r="L416" s="11">
        <f>IF(OR(E416="férié travaillé",E416="travail"),I416-G416+IF(G416&gt;I416,1),INDEX('bases de donnée'!$E$20:'bases de donnée'!$E$32,MATCH(E416,gerald2,0)))</f>
        <v>0.3</v>
      </c>
      <c r="M416" s="21">
        <f>IF(SUM(L416-'bases de donnée'!E$4)&lt;0,0,SUM(L416-'bases de donnée'!E$4))</f>
        <v>0</v>
      </c>
      <c r="N416" s="155">
        <v>0</v>
      </c>
      <c r="O416" s="74">
        <f t="shared" si="458"/>
        <v>1.2</v>
      </c>
      <c r="P416" s="86">
        <f>O419</f>
        <v>1.5</v>
      </c>
      <c r="Q416" s="120">
        <f t="shared" si="459"/>
        <v>1</v>
      </c>
      <c r="R416" s="30"/>
      <c r="S416" s="77">
        <f>IF(SUM(MOD(I416-G416,1)-IF(I416&gt;G416,MAX(0,MIN(I416,'bases de donnée'!E$16/24)-MAX('planning '!G416,7/24)),MAX(0,'bases de donnée'!E$16/24-MAX('planning '!G416,7/24))+MAX(0,MIN('planning '!I416,'bases de donnée'!E$16/24)-7/24)))&lt;0,0,SUM(MOD('planning '!I416-'planning '!G416,1)-IF('planning '!I416&gt;'planning '!G416,MAX(0,MIN('planning '!I416,'bases de donnée'!E$16/24)-MAX('planning '!G416,7/24)),MAX(0,'bases de donnée'!E$16/24-MAX('planning '!G416,7/24))+MAX(0,MIN('planning '!I416,'bases de donnée'!E$16/24)-7/24))))</f>
        <v>0</v>
      </c>
      <c r="T416" s="82"/>
      <c r="U416" s="77" t="str">
        <f t="shared" si="454"/>
        <v>00:00</v>
      </c>
      <c r="V416" s="78">
        <f>IF(SUM(IF(O416&gt;("36:00"*1),O416-("36:00"*1),0)-V414-V415)&lt;0,0,SUM(IF(O416&gt;("36:00"*1),O416-("36:00"*1),0)-V413-V414-V415))</f>
        <v>0</v>
      </c>
      <c r="W416" s="47"/>
      <c r="X416" s="48">
        <f t="shared" si="438"/>
        <v>0</v>
      </c>
      <c r="Y416" s="42"/>
      <c r="Z416" s="49">
        <f t="shared" si="455"/>
        <v>0</v>
      </c>
      <c r="AA416" s="48">
        <f t="shared" si="456"/>
        <v>0</v>
      </c>
      <c r="AB416" s="47"/>
      <c r="AC416" s="54"/>
      <c r="AD416" s="33">
        <f t="shared" si="439"/>
        <v>0</v>
      </c>
      <c r="AE416" s="33">
        <f t="shared" si="396"/>
        <v>0</v>
      </c>
    </row>
    <row r="417" spans="2:31" x14ac:dyDescent="0.3">
      <c r="B417"/>
      <c r="C417" s="9" t="s">
        <v>3</v>
      </c>
      <c r="D417" s="58">
        <f t="shared" si="407"/>
        <v>42364</v>
      </c>
      <c r="E417" s="29" t="s">
        <v>31</v>
      </c>
      <c r="F417" s="52"/>
      <c r="G417" s="187"/>
      <c r="H417" s="187"/>
      <c r="I417" s="187"/>
      <c r="J417" s="45">
        <f>IF(OR(E417="férié travaillé",E417="travail"),(I417-G417+IF(G417&gt;I417,1)-H417),INDEX('bases de donnée'!$E$20:'bases de donnée'!$E$32,MATCH(E417,gerald2,0)))</f>
        <v>0.3</v>
      </c>
      <c r="K417" s="20">
        <f>IF(SUM(J417-'bases de donnée'!E$7)&lt;0,0,SUM(J417-'bases de donnée'!E$7))</f>
        <v>0</v>
      </c>
      <c r="L417" s="11">
        <f>IF(OR(E417="férié travaillé",E417="travail"),I417-G417+IF(G417&gt;I417,1),INDEX('bases de donnée'!$E$20:'bases de donnée'!$E$32,MATCH(E417,gerald2,0)))</f>
        <v>0.3</v>
      </c>
      <c r="M417" s="21">
        <f>IF(SUM(L417-'bases de donnée'!E$4)&lt;0,0,SUM(L417-'bases de donnée'!E$4))</f>
        <v>0</v>
      </c>
      <c r="N417" s="155">
        <v>0</v>
      </c>
      <c r="O417" s="74">
        <f t="shared" si="458"/>
        <v>1.5</v>
      </c>
      <c r="P417" s="24" t="s">
        <v>48</v>
      </c>
      <c r="Q417" s="120">
        <f t="shared" si="459"/>
        <v>1</v>
      </c>
      <c r="R417" s="30"/>
      <c r="S417" s="77">
        <f>IF(SUM(MOD(I417-G417,1)-IF(I417&gt;G417,MAX(0,MIN(I417,'bases de donnée'!E$16/24)-MAX('planning '!G417,7/24)),MAX(0,'bases de donnée'!E$16/24-MAX('planning '!G417,7/24))+MAX(0,MIN('planning '!I417,'bases de donnée'!E$16/24)-7/24)))&lt;0,0,SUM(MOD('planning '!I417-'planning '!G417,1)-IF('planning '!I417&gt;'planning '!G417,MAX(0,MIN('planning '!I417,'bases de donnée'!E$16/24)-MAX('planning '!G417,7/24)),MAX(0,'bases de donnée'!E$16/24-MAX('planning '!G417,7/24))+MAX(0,MIN('planning '!I417,'bases de donnée'!E$16/24)-7/24))))</f>
        <v>0</v>
      </c>
      <c r="T417" s="82"/>
      <c r="U417" s="77" t="str">
        <f t="shared" si="454"/>
        <v>00:00</v>
      </c>
      <c r="V417" s="78">
        <f>IF(SUM(IF(O417&gt;("36:00"*1),O417-("36:00"*1),0)-V415-V416)&lt;0,0,SUM(IF(O417&gt;("36:00"*1),O417-("36:00"*1),0)-V413-V414-V415-V416))</f>
        <v>0</v>
      </c>
      <c r="W417" s="47"/>
      <c r="X417" s="48">
        <f t="shared" si="438"/>
        <v>0</v>
      </c>
      <c r="Y417" s="42"/>
      <c r="Z417" s="49">
        <f t="shared" si="455"/>
        <v>0</v>
      </c>
      <c r="AA417" s="48">
        <f t="shared" si="456"/>
        <v>0</v>
      </c>
      <c r="AB417" s="47"/>
      <c r="AC417" s="54"/>
      <c r="AD417" s="33">
        <f t="shared" si="439"/>
        <v>0</v>
      </c>
      <c r="AE417" s="33">
        <f t="shared" si="396"/>
        <v>0</v>
      </c>
    </row>
    <row r="418" spans="2:31" x14ac:dyDescent="0.3">
      <c r="B418"/>
      <c r="C418" s="9" t="s">
        <v>4</v>
      </c>
      <c r="D418" s="58">
        <f t="shared" si="407"/>
        <v>42365</v>
      </c>
      <c r="E418" s="29" t="s">
        <v>28</v>
      </c>
      <c r="F418" s="52"/>
      <c r="G418" s="187"/>
      <c r="H418" s="187"/>
      <c r="I418" s="187"/>
      <c r="J418" s="45">
        <f>IF(OR(E418="férié travaillé",E418="travail"),(I418-G418+IF(G418&gt;I418,1)-H418),INDEX('bases de donnée'!$E$20:'bases de donnée'!$E$32,MATCH(E418,gerald2,0)))</f>
        <v>0</v>
      </c>
      <c r="K418" s="20">
        <f>IF(SUM(J418-'bases de donnée'!E$7)&lt;0,0,SUM(J418-'bases de donnée'!E$7))</f>
        <v>0</v>
      </c>
      <c r="L418" s="11">
        <f>IF(OR(E418="férié travaillé",E418="travail"),I418-G418+IF(G418&gt;I418,1),INDEX('bases de donnée'!$E$20:'bases de donnée'!$E$32,MATCH(E418,gerald2,0)))</f>
        <v>0</v>
      </c>
      <c r="M418" s="21">
        <f>IF(SUM(L418-'bases de donnée'!E$4)&lt;0,0,SUM(L418-'bases de donnée'!E$4))</f>
        <v>0</v>
      </c>
      <c r="N418" s="155">
        <v>0</v>
      </c>
      <c r="O418" s="74">
        <f t="shared" si="458"/>
        <v>1.5</v>
      </c>
      <c r="P418" s="61">
        <f>'bases de donnée'!E$10</f>
        <v>2</v>
      </c>
      <c r="Q418" s="120">
        <f t="shared" si="459"/>
        <v>0</v>
      </c>
      <c r="R418" s="30"/>
      <c r="S418" s="77">
        <f>IF(SUM(MOD(I418-G418,1)-IF(I418&gt;G418,MAX(0,MIN(I418,'bases de donnée'!E$16/24)-MAX('planning '!G418,7/24)),MAX(0,'bases de donnée'!E$16/24-MAX('planning '!G418,7/24))+MAX(0,MIN('planning '!I418,'bases de donnée'!E$16/24)-7/24)))&lt;0,0,SUM(MOD('planning '!I418-'planning '!G418,1)-IF('planning '!I418&gt;'planning '!G418,MAX(0,MIN('planning '!I418,'bases de donnée'!E$16/24)-MAX('planning '!G418,7/24)),MAX(0,'bases de donnée'!E$16/24-MAX('planning '!G418,7/24))+MAX(0,MIN('planning '!I418,'bases de donnée'!E$16/24)-7/24))))</f>
        <v>0</v>
      </c>
      <c r="T418" s="82"/>
      <c r="U418" s="77" t="str">
        <f t="shared" si="454"/>
        <v>00:00</v>
      </c>
      <c r="V418" s="78">
        <f>IF(SUM(IF(O418&gt;("36:00"*1),O418-("36:00"*1),0)-V416-V417)&lt;0,0,SUM(IF(O418&gt;("36:00"*1),O418-("36:00"*1),0)-V413-V414-V415-V416-V417))</f>
        <v>0</v>
      </c>
      <c r="W418" s="47"/>
      <c r="X418" s="48">
        <f t="shared" si="438"/>
        <v>0</v>
      </c>
      <c r="Y418" s="32"/>
      <c r="Z418" s="56">
        <f t="shared" si="455"/>
        <v>0</v>
      </c>
      <c r="AA418" s="48">
        <f t="shared" si="456"/>
        <v>0</v>
      </c>
      <c r="AB418" s="47"/>
      <c r="AC418" s="55"/>
      <c r="AD418" s="33">
        <f t="shared" si="439"/>
        <v>0</v>
      </c>
      <c r="AE418" s="33">
        <f t="shared" si="396"/>
        <v>0</v>
      </c>
    </row>
    <row r="419" spans="2:31" x14ac:dyDescent="0.3">
      <c r="B419"/>
      <c r="C419" s="9" t="s">
        <v>5</v>
      </c>
      <c r="D419" s="58">
        <f t="shared" si="407"/>
        <v>42366</v>
      </c>
      <c r="E419" s="29" t="s">
        <v>28</v>
      </c>
      <c r="F419" s="71"/>
      <c r="G419" s="187"/>
      <c r="H419" s="187"/>
      <c r="I419" s="187"/>
      <c r="J419" s="45">
        <f>IF(OR(E419="férié travaillé",E419="travail"),(I419-G419+IF(G419&gt;I419,1)-H419),INDEX('bases de donnée'!$E$20:'bases de donnée'!$E$32,MATCH(E419,gerald2,0)))</f>
        <v>0</v>
      </c>
      <c r="K419" s="20">
        <f>IF(SUM(J419-'bases de donnée'!E$7)&lt;0,0,SUM(J419-'bases de donnée'!E$7))</f>
        <v>0</v>
      </c>
      <c r="L419" s="11">
        <f>IF(OR(E419="férié travaillé",E419="travail"),I419-G419+IF(G419&gt;I419,1),INDEX('bases de donnée'!$E$20:'bases de donnée'!$E$32,MATCH(E419,gerald2,0)))</f>
        <v>0</v>
      </c>
      <c r="M419" s="21">
        <f>IF(SUM(L419-'bases de donnée'!E$4)&lt;0,0,SUM(L419-'bases de donnée'!E$4))</f>
        <v>0</v>
      </c>
      <c r="N419" s="155">
        <v>0</v>
      </c>
      <c r="O419" s="74">
        <f t="shared" si="458"/>
        <v>1.5</v>
      </c>
      <c r="P419" s="33">
        <f>IF(SUM(O419-'bases de donnée'!E$10)&lt;0,0,SUM(O419-'bases de donnée'!E$10))</f>
        <v>0</v>
      </c>
      <c r="Q419" s="120">
        <f t="shared" si="459"/>
        <v>0</v>
      </c>
      <c r="R419" s="30"/>
      <c r="S419" s="77">
        <f>IF(SUM(MOD(I419-G419,1)-IF(I419&gt;G419,MAX(0,MIN(I419,'bases de donnée'!E$16/24)-MAX('planning '!G419,7/24)),MAX(0,'bases de donnée'!E$16/24-MAX('planning '!G419,7/24))+MAX(0,MIN('planning '!I419,'bases de donnée'!E$16/24)-7/24)))&lt;0,0,SUM(MOD('planning '!I419-'planning '!G419,1)-IF('planning '!I419&gt;'planning '!G419,MAX(0,MIN('planning '!I419,'bases de donnée'!E$16/24)-MAX('planning '!G419,7/24)),MAX(0,'bases de donnée'!E$16/24-MAX('planning '!G419,7/24))+MAX(0,MIN('planning '!I419,'bases de donnée'!E$16/24)-7/24))))</f>
        <v>0</v>
      </c>
      <c r="T419" s="77">
        <f>J419</f>
        <v>0</v>
      </c>
      <c r="U419" s="77" t="str">
        <f t="shared" si="454"/>
        <v>00:00</v>
      </c>
      <c r="V419" s="78">
        <f>IF(SUM(IF(O419&gt;("36:00"*1),O419-("36:00"*1),0)-V417-V418)&lt;0,0,SUM(IF(O419&gt;("36:00"*1),O419-("36:00"*1),0)-V413-V414-V415-V416-V417-V418))</f>
        <v>0</v>
      </c>
      <c r="W419" s="47"/>
      <c r="X419" s="48">
        <f t="shared" si="438"/>
        <v>0</v>
      </c>
      <c r="Y419" s="48">
        <f t="shared" ref="Y419" si="460">IF(SUM(T419-S419)&lt;0,0,SUM(T419-S419))</f>
        <v>0</v>
      </c>
      <c r="Z419" s="56">
        <f t="shared" ref="Z419" si="461">IF(SUM(U419-T419-S419)&lt;0,0,SUM(U419-T419-S419))</f>
        <v>0</v>
      </c>
      <c r="AA419" s="48">
        <f>IF(SUM(V419-S419-T419-U419)&lt;0,0,SUM(V419-S419-T419-U419))</f>
        <v>0</v>
      </c>
      <c r="AB419" s="47"/>
      <c r="AC419" s="57">
        <f t="shared" ref="AC419" si="462">IF(SUM(T419-Y419)&lt;0,0,SUM(T419-Y419))</f>
        <v>0</v>
      </c>
      <c r="AD419" s="33">
        <f t="shared" si="439"/>
        <v>0</v>
      </c>
      <c r="AE419" s="33">
        <f t="shared" si="396"/>
        <v>0</v>
      </c>
    </row>
    <row r="420" spans="2:31" x14ac:dyDescent="0.3">
      <c r="B420"/>
      <c r="C420" s="25"/>
      <c r="D420" s="90"/>
      <c r="E420" s="90"/>
      <c r="F420" s="25"/>
      <c r="G420" s="185"/>
      <c r="H420" s="185"/>
      <c r="I420" s="185"/>
      <c r="J420" s="47"/>
      <c r="K420" s="92"/>
      <c r="L420" s="91"/>
      <c r="M420" s="91"/>
      <c r="N420" s="91"/>
      <c r="O420" s="93"/>
      <c r="P420" s="47"/>
      <c r="Q420" s="30"/>
      <c r="R420" s="30"/>
      <c r="S420" s="47"/>
      <c r="T420" s="47"/>
      <c r="U420" s="47"/>
      <c r="V420" s="93"/>
      <c r="W420" s="47"/>
      <c r="X420" s="47"/>
      <c r="Y420" s="47"/>
      <c r="Z420" s="47"/>
      <c r="AA420" s="47"/>
      <c r="AB420" s="47"/>
      <c r="AC420" s="47"/>
      <c r="AD420" s="47"/>
      <c r="AE420" s="47"/>
    </row>
    <row r="421" spans="2:31" x14ac:dyDescent="0.3">
      <c r="B421" s="14" t="s">
        <v>40</v>
      </c>
      <c r="C421" s="14" t="s">
        <v>6</v>
      </c>
      <c r="D421" s="43">
        <f>D419+1</f>
        <v>42367</v>
      </c>
      <c r="E421" s="29" t="s">
        <v>31</v>
      </c>
      <c r="F421" s="44"/>
      <c r="G421" s="187"/>
      <c r="H421" s="187"/>
      <c r="I421" s="187"/>
      <c r="J421" s="45">
        <f>IF(OR(E421="férié travaillé",E421="travail"),(I421-G421+IF(G421&gt;I421,1)-H421),INDEX('bases de donnée'!$E$20:'bases de donnée'!$E$32,MATCH(E421,gerald2,0)))</f>
        <v>0.3</v>
      </c>
      <c r="K421" s="20">
        <f>IF(SUM(J421-'bases de donnée'!E$7)&lt;0,0,SUM(J421-'bases de donnée'!E$7))</f>
        <v>0</v>
      </c>
      <c r="L421" s="11">
        <f>IF(OR(E421="férié travaillé",E421="travail"),I421-G421+IF(G421&gt;I421,1),INDEX('bases de donnée'!$E$20:'bases de donnée'!$E$32,MATCH(E421,gerald2,0)))</f>
        <v>0.3</v>
      </c>
      <c r="M421" s="21">
        <f>IF(SUM(L421-'bases de donnée'!E$4)&lt;0,0,SUM(L421-'bases de donnée'!E$4))</f>
        <v>0</v>
      </c>
      <c r="N421" s="155">
        <v>0</v>
      </c>
      <c r="O421" s="45">
        <f t="shared" ref="O421" si="463">J421</f>
        <v>0.3</v>
      </c>
      <c r="P421" s="122">
        <f>SUM(Q421:Q427)</f>
        <v>2</v>
      </c>
      <c r="Q421" s="120">
        <f>IF(AND(G421&lt;&gt;"",I421&lt;&gt;""),1,0+OR(N(I420)&lt;N(G420),E421="récupération",E421="congé 1 jour",E421="congé 1/2 jour ",E421="congé 5h24",E421="arrêt maladie",E421="arrêt travail",E421="férié ",E421="congé parentale",E421="congé de naissance"))</f>
        <v>1</v>
      </c>
      <c r="R421" s="30"/>
      <c r="S421" s="77">
        <f>IF(SUM(MOD(I421-G421,1)-IF(I421&gt;G421,MAX(0,MIN(I421,'bases de donnée'!E$16/24)-MAX('planning '!G421,7/24)),MAX(0,'bases de donnée'!E$16/24-MAX('planning '!G421,7/24))+MAX(0,MIN('planning '!I421,'bases de donnée'!E$16/24)-7/24)))&lt;0,0,SUM(MOD('planning '!I421-'planning '!G421,1)-IF('planning '!I421&gt;'planning '!G421,MAX(0,MIN('planning '!I421,'bases de donnée'!E$16/24)-MAX('planning '!G421,7/24)),MAX(0,'bases de donnée'!E$16/24-MAX('planning '!G421,7/24))+MAX(0,MIN('planning '!I421,'bases de donnée'!E$16/24)-7/24))))</f>
        <v>0</v>
      </c>
      <c r="T421" s="81"/>
      <c r="U421" s="77" t="str">
        <f t="shared" ref="U421:U427" si="464">IF(E421&lt;&gt;"travail",IF(E421="férié travaillé",MOD(I421-G421,1)-H421,"00:00"),"00:00")</f>
        <v>00:00</v>
      </c>
      <c r="V421" s="78"/>
      <c r="W421" s="47"/>
      <c r="X421" s="48">
        <f t="shared" si="438"/>
        <v>0</v>
      </c>
      <c r="Y421" s="31"/>
      <c r="Z421" s="49">
        <f t="shared" ref="Z421:Z426" si="465">IF(SUM(U421-X421)&lt;0,0,SUM(U421-X421))</f>
        <v>0</v>
      </c>
      <c r="AA421" s="48">
        <f t="shared" ref="AA421:AA426" si="466">IF(SUM(V421-X421-Z421)&lt;0,0,SUM(V421-X421-Z421))</f>
        <v>0</v>
      </c>
      <c r="AB421" s="47"/>
      <c r="AC421" s="50"/>
      <c r="AD421" s="33">
        <f t="shared" si="439"/>
        <v>0</v>
      </c>
      <c r="AE421" s="33">
        <f t="shared" si="396"/>
        <v>0</v>
      </c>
    </row>
    <row r="422" spans="2:31" x14ac:dyDescent="0.3">
      <c r="B422" s="51">
        <f t="shared" ref="B422" si="467">B414+1</f>
        <v>52</v>
      </c>
      <c r="C422" s="14" t="s">
        <v>7</v>
      </c>
      <c r="D422" s="43">
        <f t="shared" si="407"/>
        <v>42368</v>
      </c>
      <c r="E422" s="29" t="s">
        <v>33</v>
      </c>
      <c r="F422" s="52"/>
      <c r="G422" s="187"/>
      <c r="H422" s="187"/>
      <c r="I422" s="187"/>
      <c r="J422" s="45">
        <f>IF(OR(E422="férié travaillé",E422="travail"),(I422-G422+IF(G422&gt;I422,1)-H422),INDEX('bases de donnée'!$E$20:'bases de donnée'!$E$32,MATCH(E422,gerald2,0)))</f>
        <v>0.22500000000000001</v>
      </c>
      <c r="K422" s="20">
        <f>IF(SUM(J422-'bases de donnée'!E$7)&lt;0,0,SUM(J422-'bases de donnée'!E$7))</f>
        <v>0</v>
      </c>
      <c r="L422" s="11">
        <f>IF(OR(E422="férié travaillé",E422="travail"),I422-G422+IF(G422&gt;I422,1),INDEX('bases de donnée'!$E$20:'bases de donnée'!$E$32,MATCH(E422,gerald2,0)))</f>
        <v>0.22500000000000001</v>
      </c>
      <c r="M422" s="21">
        <f>IF(SUM(L422-'bases de donnée'!E$4)&lt;0,0,SUM(L422-'bases de donnée'!E$4))</f>
        <v>0</v>
      </c>
      <c r="N422" s="155">
        <v>0</v>
      </c>
      <c r="O422" s="73">
        <f t="shared" ref="O422:O427" si="468">O421+J422</f>
        <v>0.52500000000000002</v>
      </c>
      <c r="P422" s="121">
        <f>IF(SUM(P421-'bases de donnée'!E$6)&lt;0,0,SUM(P421-'bases de donnée'!E$6))</f>
        <v>0</v>
      </c>
      <c r="Q422" s="120">
        <f t="shared" ref="Q422:Q427" si="469">IF(AND(G422&lt;&gt;"",I422&lt;&gt;""),1,0+OR(N(I421)&lt;N(G421),E422="récupération",E422="congé 1 jour",E422="congé 1/2 jour ",E422="congé 5h24",E422="arrêt maladie",E422="arrêt travail",E422="férié ",E422="congé parentale",E422="congé de naissance"))</f>
        <v>1</v>
      </c>
      <c r="R422" s="30"/>
      <c r="S422" s="77">
        <f>IF(SUM(MOD(I422-G422,1)-IF(I422&gt;G422,MAX(0,MIN(I422,'bases de donnée'!E$16/24)-MAX('planning '!G422,7/24)),MAX(0,'bases de donnée'!E$16/24-MAX('planning '!G422,7/24))+MAX(0,MIN('planning '!I422,'bases de donnée'!E$16/24)-7/24)))&lt;0,0,SUM(MOD('planning '!I422-'planning '!G422,1)-IF('planning '!I422&gt;'planning '!G422,MAX(0,MIN('planning '!I422,'bases de donnée'!E$16/24)-MAX('planning '!G422,7/24)),MAX(0,'bases de donnée'!E$16/24-MAX('planning '!G422,7/24))+MAX(0,MIN('planning '!I422,'bases de donnée'!E$16/24)-7/24))))</f>
        <v>0</v>
      </c>
      <c r="T422" s="82"/>
      <c r="U422" s="77" t="str">
        <f t="shared" si="464"/>
        <v>00:00</v>
      </c>
      <c r="V422" s="78">
        <f>IF(SUM(IF(O422&gt;('bases de donnée'!E$9*1),O422-('bases de donnée'!E$9*1),0)-V421)&lt;0,0,SUM(IF(O422&gt;('bases de donnée'!E$9*1),O422-('bases de donnée'!E$9*1),0)-V421))</f>
        <v>0</v>
      </c>
      <c r="W422" s="47"/>
      <c r="X422" s="48">
        <f t="shared" si="438"/>
        <v>0</v>
      </c>
      <c r="Y422" s="42"/>
      <c r="Z422" s="49">
        <f t="shared" si="465"/>
        <v>0</v>
      </c>
      <c r="AA422" s="48">
        <f t="shared" si="466"/>
        <v>0</v>
      </c>
      <c r="AB422" s="47"/>
      <c r="AC422" s="54"/>
      <c r="AD422" s="33">
        <f t="shared" si="439"/>
        <v>0</v>
      </c>
      <c r="AE422" s="33">
        <f t="shared" si="396"/>
        <v>0</v>
      </c>
    </row>
    <row r="423" spans="2:31" x14ac:dyDescent="0.3">
      <c r="B423"/>
      <c r="C423" s="14" t="s">
        <v>8</v>
      </c>
      <c r="D423" s="43">
        <f t="shared" si="407"/>
        <v>42369</v>
      </c>
      <c r="E423" s="29" t="s">
        <v>28</v>
      </c>
      <c r="F423" s="52"/>
      <c r="G423" s="187"/>
      <c r="H423" s="187"/>
      <c r="I423" s="187"/>
      <c r="J423" s="45">
        <f>IF(OR(E423="férié travaillé",E423="travail"),(I423-G423+IF(G423&gt;I423,1)-H423),INDEX('bases de donnée'!$E$20:'bases de donnée'!$E$32,MATCH(E423,gerald2,0)))</f>
        <v>0</v>
      </c>
      <c r="K423" s="20">
        <f>IF(SUM(J423-'bases de donnée'!E$7)&lt;0,0,SUM(J423-'bases de donnée'!E$7))</f>
        <v>0</v>
      </c>
      <c r="L423" s="11">
        <f>IF(OR(E423="férié travaillé",E423="travail"),I423-G423+IF(G423&gt;I423,1),INDEX('bases de donnée'!$E$20:'bases de donnée'!$E$32,MATCH(E423,gerald2,0)))</f>
        <v>0</v>
      </c>
      <c r="M423" s="21">
        <f>IF(SUM(L423-'bases de donnée'!E$4)&lt;0,0,SUM(L423-'bases de donnée'!E$4))</f>
        <v>0</v>
      </c>
      <c r="N423" s="155">
        <v>0</v>
      </c>
      <c r="O423" s="73">
        <f t="shared" si="468"/>
        <v>0.52500000000000002</v>
      </c>
      <c r="P423" s="34" t="s">
        <v>46</v>
      </c>
      <c r="Q423" s="120">
        <f t="shared" si="469"/>
        <v>0</v>
      </c>
      <c r="R423" s="30"/>
      <c r="S423" s="77">
        <f>IF(SUM(MOD(I423-G423,1)-IF(I423&gt;G423,MAX(0,MIN(I423,'bases de donnée'!E$16/24)-MAX('planning '!G423,7/24)),MAX(0,'bases de donnée'!E$16/24-MAX('planning '!G423,7/24))+MAX(0,MIN('planning '!I423,'bases de donnée'!E$16/24)-7/24)))&lt;0,0,SUM(MOD('planning '!I423-'planning '!G423,1)-IF('planning '!I423&gt;'planning '!G423,MAX(0,MIN('planning '!I423,'bases de donnée'!E$16/24)-MAX('planning '!G423,7/24)),MAX(0,'bases de donnée'!E$16/24-MAX('planning '!G423,7/24))+MAX(0,MIN('planning '!I423,'bases de donnée'!E$16/24)-7/24))))</f>
        <v>0</v>
      </c>
      <c r="T423" s="82"/>
      <c r="U423" s="77" t="str">
        <f t="shared" si="464"/>
        <v>00:00</v>
      </c>
      <c r="V423" s="78">
        <f>IF(SUM(IF(O423&gt;("36:00"*1),O423-("36:00"*1),0)-V421-V422)&lt;0,0,SUM(IF(O423&gt;("36:00"*1),O423-("36:00"*1),0)-V421-V422))</f>
        <v>0</v>
      </c>
      <c r="W423" s="47"/>
      <c r="X423" s="48">
        <f t="shared" si="438"/>
        <v>0</v>
      </c>
      <c r="Y423" s="42"/>
      <c r="Z423" s="49">
        <f t="shared" si="465"/>
        <v>0</v>
      </c>
      <c r="AA423" s="48">
        <f t="shared" si="466"/>
        <v>0</v>
      </c>
      <c r="AB423" s="47"/>
      <c r="AC423" s="54"/>
      <c r="AD423" s="33">
        <f t="shared" si="439"/>
        <v>0</v>
      </c>
      <c r="AE423" s="33">
        <f t="shared" si="396"/>
        <v>0</v>
      </c>
    </row>
    <row r="424" spans="2:31" x14ac:dyDescent="0.3">
      <c r="B424"/>
      <c r="C424" s="14" t="s">
        <v>9</v>
      </c>
      <c r="D424" s="43">
        <f t="shared" si="407"/>
        <v>42370</v>
      </c>
      <c r="E424" s="29" t="s">
        <v>28</v>
      </c>
      <c r="F424" s="52"/>
      <c r="G424" s="187"/>
      <c r="H424" s="187"/>
      <c r="I424" s="187"/>
      <c r="J424" s="45">
        <f>IF(OR(E424="férié travaillé",E424="travail"),(I424-G424+IF(G424&gt;I424,1)-H424),INDEX('bases de donnée'!$E$20:'bases de donnée'!$E$32,MATCH(E424,gerald2,0)))</f>
        <v>0</v>
      </c>
      <c r="K424" s="20">
        <f>IF(SUM(J424-'bases de donnée'!E$7)&lt;0,0,SUM(J424-'bases de donnée'!E$7))</f>
        <v>0</v>
      </c>
      <c r="L424" s="11">
        <f>IF(OR(E424="férié travaillé",E424="travail"),I424-G424+IF(G424&gt;I424,1),INDEX('bases de donnée'!$E$20:'bases de donnée'!$E$32,MATCH(E424,gerald2,0)))</f>
        <v>0</v>
      </c>
      <c r="M424" s="21">
        <f>IF(SUM(L424-'bases de donnée'!E$4)&lt;0,0,SUM(L424-'bases de donnée'!E$4))</f>
        <v>0</v>
      </c>
      <c r="N424" s="155">
        <v>0</v>
      </c>
      <c r="O424" s="73">
        <f t="shared" si="468"/>
        <v>0.52500000000000002</v>
      </c>
      <c r="P424" s="86">
        <f>O427</f>
        <v>0.52500000000000002</v>
      </c>
      <c r="Q424" s="120">
        <f t="shared" si="469"/>
        <v>0</v>
      </c>
      <c r="R424" s="30"/>
      <c r="S424" s="77">
        <f>IF(SUM(MOD(I424-G424,1)-IF(I424&gt;G424,MAX(0,MIN(I424,'bases de donnée'!E$16/24)-MAX('planning '!G424,7/24)),MAX(0,'bases de donnée'!E$16/24-MAX('planning '!G424,7/24))+MAX(0,MIN('planning '!I424,'bases de donnée'!E$16/24)-7/24)))&lt;0,0,SUM(MOD('planning '!I424-'planning '!G424,1)-IF('planning '!I424&gt;'planning '!G424,MAX(0,MIN('planning '!I424,'bases de donnée'!E$16/24)-MAX('planning '!G424,7/24)),MAX(0,'bases de donnée'!E$16/24-MAX('planning '!G424,7/24))+MAX(0,MIN('planning '!I424,'bases de donnée'!E$16/24)-7/24))))</f>
        <v>0</v>
      </c>
      <c r="T424" s="82"/>
      <c r="U424" s="77" t="str">
        <f t="shared" si="464"/>
        <v>00:00</v>
      </c>
      <c r="V424" s="78">
        <f>IF(SUM(IF(O424&gt;("36:00"*1),O424-("36:00"*1),0)-V422-V423)&lt;0,0,SUM(IF(O424&gt;("36:00"*1),O424-("36:00"*1),0)-V421-V422-V423))</f>
        <v>0</v>
      </c>
      <c r="W424" s="47"/>
      <c r="X424" s="48">
        <f t="shared" si="438"/>
        <v>0</v>
      </c>
      <c r="Y424" s="42"/>
      <c r="Z424" s="49">
        <f t="shared" si="465"/>
        <v>0</v>
      </c>
      <c r="AA424" s="48">
        <f t="shared" si="466"/>
        <v>0</v>
      </c>
      <c r="AB424" s="47"/>
      <c r="AC424" s="54"/>
      <c r="AD424" s="33">
        <f t="shared" si="439"/>
        <v>0</v>
      </c>
      <c r="AE424" s="33">
        <f t="shared" si="396"/>
        <v>0</v>
      </c>
    </row>
    <row r="425" spans="2:31" x14ac:dyDescent="0.3">
      <c r="B425"/>
      <c r="C425" s="14" t="s">
        <v>3</v>
      </c>
      <c r="D425" s="43">
        <f t="shared" si="407"/>
        <v>42371</v>
      </c>
      <c r="E425" s="29" t="s">
        <v>28</v>
      </c>
      <c r="F425" s="52"/>
      <c r="G425" s="187"/>
      <c r="H425" s="187"/>
      <c r="I425" s="187"/>
      <c r="J425" s="45">
        <f>IF(OR(E425="férié travaillé",E425="travail"),(I425-G425+IF(G425&gt;I425,1)-H425),INDEX('bases de donnée'!$E$20:'bases de donnée'!$E$32,MATCH(E425,gerald2,0)))</f>
        <v>0</v>
      </c>
      <c r="K425" s="20">
        <f>IF(SUM(J425-'bases de donnée'!E$7)&lt;0,0,SUM(J425-'bases de donnée'!E$7))</f>
        <v>0</v>
      </c>
      <c r="L425" s="11">
        <f>IF(OR(E425="férié travaillé",E425="travail"),I425-G425+IF(G425&gt;I425,1),INDEX('bases de donnée'!$E$20:'bases de donnée'!$E$32,MATCH(E425,gerald2,0)))</f>
        <v>0</v>
      </c>
      <c r="M425" s="21">
        <f>IF(SUM(L425-'bases de donnée'!E$4)&lt;0,0,SUM(L425-'bases de donnée'!E$4))</f>
        <v>0</v>
      </c>
      <c r="N425" s="155">
        <v>0</v>
      </c>
      <c r="O425" s="73">
        <f t="shared" si="468"/>
        <v>0.52500000000000002</v>
      </c>
      <c r="P425" s="12" t="s">
        <v>48</v>
      </c>
      <c r="Q425" s="120">
        <f t="shared" si="469"/>
        <v>0</v>
      </c>
      <c r="R425" s="30"/>
      <c r="S425" s="77">
        <f>IF(SUM(MOD(I425-G425,1)-IF(I425&gt;G425,MAX(0,MIN(I425,'bases de donnée'!E$16/24)-MAX('planning '!G425,7/24)),MAX(0,'bases de donnée'!E$16/24-MAX('planning '!G425,7/24))+MAX(0,MIN('planning '!I425,'bases de donnée'!E$16/24)-7/24)))&lt;0,0,SUM(MOD('planning '!I425-'planning '!G425,1)-IF('planning '!I425&gt;'planning '!G425,MAX(0,MIN('planning '!I425,'bases de donnée'!E$16/24)-MAX('planning '!G425,7/24)),MAX(0,'bases de donnée'!E$16/24-MAX('planning '!G425,7/24))+MAX(0,MIN('planning '!I425,'bases de donnée'!E$16/24)-7/24))))</f>
        <v>0</v>
      </c>
      <c r="T425" s="82"/>
      <c r="U425" s="77" t="str">
        <f t="shared" si="464"/>
        <v>00:00</v>
      </c>
      <c r="V425" s="78">
        <f>IF(SUM(IF(O425&gt;("36:00"*1),O425-("36:00"*1),0)-V423-V424)&lt;0,0,SUM(IF(O425&gt;("36:00"*1),O425-("36:00"*1),0)-V421-V422-V423-V424))</f>
        <v>0</v>
      </c>
      <c r="W425" s="47"/>
      <c r="X425" s="48">
        <f t="shared" si="438"/>
        <v>0</v>
      </c>
      <c r="Y425" s="42"/>
      <c r="Z425" s="49">
        <f t="shared" si="465"/>
        <v>0</v>
      </c>
      <c r="AA425" s="48">
        <f t="shared" si="466"/>
        <v>0</v>
      </c>
      <c r="AB425" s="47"/>
      <c r="AC425" s="54"/>
      <c r="AD425" s="33">
        <f t="shared" si="439"/>
        <v>0</v>
      </c>
      <c r="AE425" s="33">
        <f t="shared" si="396"/>
        <v>0</v>
      </c>
    </row>
    <row r="426" spans="2:31" x14ac:dyDescent="0.3">
      <c r="B426"/>
      <c r="C426" s="14" t="s">
        <v>4</v>
      </c>
      <c r="D426" s="43">
        <f t="shared" si="407"/>
        <v>42372</v>
      </c>
      <c r="E426" s="29" t="s">
        <v>28</v>
      </c>
      <c r="F426" s="71"/>
      <c r="G426" s="187"/>
      <c r="H426" s="187"/>
      <c r="I426" s="187"/>
      <c r="J426" s="45">
        <f>IF(OR(E426="férié travaillé",E426="travail"),(I426-G426+IF(G426&gt;I426,1)-H426),INDEX('bases de donnée'!$E$20:'bases de donnée'!$E$32,MATCH(E426,gerald2,0)))</f>
        <v>0</v>
      </c>
      <c r="K426" s="20">
        <f>IF(SUM(J426-'bases de donnée'!E$7)&lt;0,0,SUM(J426-'bases de donnée'!E$7))</f>
        <v>0</v>
      </c>
      <c r="L426" s="11">
        <f>IF(OR(E426="férié travaillé",E426="travail"),I426-G426+IF(G426&gt;I426,1),INDEX('bases de donnée'!$E$20:'bases de donnée'!$E$32,MATCH(E426,gerald2,0)))</f>
        <v>0</v>
      </c>
      <c r="M426" s="21">
        <f>IF(SUM(L426-'bases de donnée'!E$4)&lt;0,0,SUM(L426-'bases de donnée'!E$4))</f>
        <v>0</v>
      </c>
      <c r="N426" s="155">
        <v>0</v>
      </c>
      <c r="O426" s="73">
        <f t="shared" si="468"/>
        <v>0.52500000000000002</v>
      </c>
      <c r="P426" s="68">
        <f>'bases de donnée'!E$10</f>
        <v>2</v>
      </c>
      <c r="Q426" s="120">
        <f t="shared" si="469"/>
        <v>0</v>
      </c>
      <c r="R426" s="30"/>
      <c r="S426" s="77">
        <f>IF(SUM(MOD(I426-G426,1)-IF(I426&gt;G426,MAX(0,MIN(I426,'bases de donnée'!E$16/24)-MAX('planning '!G426,7/24)),MAX(0,'bases de donnée'!E$16/24-MAX('planning '!G426,7/24))+MAX(0,MIN('planning '!I426,'bases de donnée'!E$16/24)-7/24)))&lt;0,0,SUM(MOD('planning '!I426-'planning '!G426,1)-IF('planning '!I426&gt;'planning '!G426,MAX(0,MIN('planning '!I426,'bases de donnée'!E$16/24)-MAX('planning '!G426,7/24)),MAX(0,'bases de donnée'!E$16/24-MAX('planning '!G426,7/24))+MAX(0,MIN('planning '!I426,'bases de donnée'!E$16/24)-7/24))))</f>
        <v>0</v>
      </c>
      <c r="T426" s="82"/>
      <c r="U426" s="77" t="str">
        <f t="shared" si="464"/>
        <v>00:00</v>
      </c>
      <c r="V426" s="78">
        <f>IF(SUM(IF(O426&gt;("36:00"*1),O426-("36:00"*1),0)-V424-V425)&lt;0,0,SUM(IF(O426&gt;("36:00"*1),O426-("36:00"*1),0)-V421-V422-V423-V424-V425))</f>
        <v>0</v>
      </c>
      <c r="W426" s="47"/>
      <c r="X426" s="48">
        <f t="shared" si="438"/>
        <v>0</v>
      </c>
      <c r="Y426" s="32"/>
      <c r="Z426" s="49">
        <f t="shared" si="465"/>
        <v>0</v>
      </c>
      <c r="AA426" s="48">
        <f t="shared" si="466"/>
        <v>0</v>
      </c>
      <c r="AB426" s="47"/>
      <c r="AC426" s="55"/>
      <c r="AD426" s="33">
        <f t="shared" si="439"/>
        <v>0</v>
      </c>
      <c r="AE426" s="33">
        <f t="shared" si="396"/>
        <v>0</v>
      </c>
    </row>
    <row r="427" spans="2:31" x14ac:dyDescent="0.3">
      <c r="B427"/>
      <c r="C427" s="94" t="s">
        <v>5</v>
      </c>
      <c r="D427" s="95">
        <f t="shared" si="407"/>
        <v>42373</v>
      </c>
      <c r="E427" s="29" t="s">
        <v>28</v>
      </c>
      <c r="F427" s="71"/>
      <c r="G427" s="186"/>
      <c r="H427" s="186"/>
      <c r="I427" s="186"/>
      <c r="J427" s="45">
        <f>IF(OR(E427="férié travaillé",E427="travail"),(I427-G427+IF(G427&gt;I427,1)-H427),INDEX('bases de donnée'!$E$20:'bases de donnée'!$E$32,MATCH(E427,gerald2,0)))</f>
        <v>0</v>
      </c>
      <c r="K427" s="20">
        <f>IF(SUM(J427-'bases de donnée'!E$7)&lt;0,0,SUM(J427-'bases de donnée'!E$7))</f>
        <v>0</v>
      </c>
      <c r="L427" s="11">
        <f>IF(OR(E427="férié travaillé",E427="travail"),I427-G427+IF(G427&gt;I427,1),INDEX('bases de donnée'!$E$20:'bases de donnée'!$E$32,MATCH(E427,gerald2,0)))</f>
        <v>0</v>
      </c>
      <c r="M427" s="21">
        <f>IF(SUM(L427-'bases de donnée'!E$4)&lt;0,0,SUM(L427-'bases de donnée'!E$4))</f>
        <v>0</v>
      </c>
      <c r="N427" s="155">
        <v>0</v>
      </c>
      <c r="O427" s="98">
        <f t="shared" si="468"/>
        <v>0.52500000000000002</v>
      </c>
      <c r="P427" s="57">
        <f>IF(SUM(O427-'bases de donnée'!E$10)&lt;0,0,SUM(O427-'bases de donnée'!E$10))</f>
        <v>0</v>
      </c>
      <c r="Q427" s="120">
        <f t="shared" si="469"/>
        <v>0</v>
      </c>
      <c r="R427" s="30"/>
      <c r="S427" s="77">
        <f>IF(SUM(MOD(I427-G427,1)-IF(I427&gt;G427,MAX(0,MIN(I427,'bases de donnée'!E$16/24)-MAX('planning '!G427,7/24)),MAX(0,'bases de donnée'!E$16/24-MAX('planning '!G427,7/24))+MAX(0,MIN('planning '!I427,'bases de donnée'!E$16/24)-7/24)))&lt;0,0,SUM(MOD('planning '!I427-'planning '!G427,1)-IF('planning '!I427&gt;'planning '!G427,MAX(0,MIN('planning '!I427,'bases de donnée'!E$16/24)-MAX('planning '!G427,7/24)),MAX(0,'bases de donnée'!E$16/24-MAX('planning '!G427,7/24))+MAX(0,MIN('planning '!I427,'bases de donnée'!E$16/24)-7/24))))</f>
        <v>0</v>
      </c>
      <c r="T427" s="77">
        <f>J427</f>
        <v>0</v>
      </c>
      <c r="U427" s="77" t="str">
        <f t="shared" si="464"/>
        <v>00:00</v>
      </c>
      <c r="V427" s="78">
        <f>IF(SUM(IF(O427&gt;("36:00"*1),O427-("36:00"*1),0)-V425-V426)&lt;0,0,SUM(IF(O427&gt;("36:00"*1),O427-("36:00"*1),0)-V421-V422-V423-V424-V425-V426))</f>
        <v>0</v>
      </c>
      <c r="W427" s="47"/>
      <c r="X427" s="48">
        <f t="shared" si="438"/>
        <v>0</v>
      </c>
      <c r="Y427" s="48">
        <f t="shared" ref="Y427" si="470">IF(SUM(T427-S427)&lt;0,0,SUM(T427-S427))</f>
        <v>0</v>
      </c>
      <c r="Z427" s="56">
        <f t="shared" ref="Z427" si="471">IF(SUM(U427-T427-S427)&lt;0,0,SUM(U427-T427-S427))</f>
        <v>0</v>
      </c>
      <c r="AA427" s="48">
        <f>IF(SUM(V427-S427-T427-U427)&lt;0,0,SUM(V427-S427-T427-U427))</f>
        <v>0</v>
      </c>
      <c r="AB427" s="47"/>
      <c r="AC427" s="57">
        <f t="shared" ref="AC427" si="472">IF(SUM(T427-Y427)&lt;0,0,SUM(T427-Y427))</f>
        <v>0</v>
      </c>
      <c r="AD427" s="33">
        <f t="shared" si="439"/>
        <v>0</v>
      </c>
      <c r="AE427" s="33">
        <f t="shared" si="396"/>
        <v>0</v>
      </c>
    </row>
    <row r="428" spans="2:31" x14ac:dyDescent="0.3">
      <c r="G428"/>
      <c r="H428"/>
      <c r="I428"/>
      <c r="Q428" s="30"/>
      <c r="R428" s="30"/>
    </row>
    <row r="429" spans="2:31" x14ac:dyDescent="0.3">
      <c r="B429" s="14" t="s">
        <v>40</v>
      </c>
      <c r="C429" s="14" t="s">
        <v>6</v>
      </c>
      <c r="D429" s="43">
        <f>D427+1</f>
        <v>42374</v>
      </c>
      <c r="E429" s="29" t="s">
        <v>28</v>
      </c>
      <c r="F429" s="44"/>
      <c r="G429" s="187"/>
      <c r="H429" s="187"/>
      <c r="I429" s="187"/>
      <c r="J429" s="45">
        <f>IF(OR(E429="férié travaillé",E429="travail"),(I429-G429+IF(G429&gt;I429,1)-H429),INDEX('bases de donnée'!$E$20:'bases de donnée'!$E$32,MATCH(E429,gerald2,0)))</f>
        <v>0</v>
      </c>
      <c r="K429" s="20">
        <f>IF(SUM(J429-'bases de donnée'!E$7)&lt;0,0,SUM(J429-'bases de donnée'!E$7))</f>
        <v>0</v>
      </c>
      <c r="L429" s="11">
        <f>IF(OR(E429="férié travaillé",E429="travail"),I429-G429+IF(G429&gt;I429,1),INDEX('bases de donnée'!$E$20:'bases de donnée'!$E$32,MATCH(E429,gerald2,0)))</f>
        <v>0</v>
      </c>
      <c r="M429" s="21">
        <f>IF(SUM(L429-'bases de donnée'!E$4)&lt;0,0,SUM(L429-'bases de donnée'!E$4))</f>
        <v>0</v>
      </c>
      <c r="N429" s="155">
        <v>0</v>
      </c>
      <c r="O429" s="45">
        <f t="shared" ref="O429" si="473">J429</f>
        <v>0</v>
      </c>
      <c r="P429" s="122">
        <f>SUM(Q429:Q435)</f>
        <v>0</v>
      </c>
      <c r="Q429" s="120">
        <f>IF(AND(G429&lt;&gt;"",I429&lt;&gt;""),1,0+OR(N(I428)&lt;N(G428),E429="récupération",E429="congé 1 jour",E429="congé 1/2 jour ",E429="congé 5h24",E429="arrêt maladie",E429="arrêt travail",E429="férié ",E429="congé parentale",E429="congé de naissance"))</f>
        <v>0</v>
      </c>
      <c r="R429" s="30"/>
      <c r="S429" s="77">
        <f>IF(SUM(MOD(I429-G429,1)-IF(I429&gt;G429,MAX(0,MIN(I429,'bases de donnée'!E$16/24)-MAX('planning '!G429,7/24)),MAX(0,'bases de donnée'!E$16/24-MAX('planning '!G429,7/24))+MAX(0,MIN('planning '!I429,'bases de donnée'!E$16/24)-7/24)))&lt;0,0,SUM(MOD('planning '!I429-'planning '!G429,1)-IF('planning '!I429&gt;'planning '!G429,MAX(0,MIN('planning '!I429,'bases de donnée'!E$16/24)-MAX('planning '!G429,7/24)),MAX(0,'bases de donnée'!E$16/24-MAX('planning '!G429,7/24))+MAX(0,MIN('planning '!I429,'bases de donnée'!E$16/24)-7/24))))</f>
        <v>0</v>
      </c>
      <c r="T429" s="81"/>
      <c r="U429" s="77" t="str">
        <f t="shared" ref="U429:U435" si="474">IF(E429&lt;&gt;"travail",IF(E429="férié travaillé",MOD(I429-G429,1)-H429,"00:00"),"00:00")</f>
        <v>00:00</v>
      </c>
      <c r="V429" s="78"/>
      <c r="W429" s="47"/>
      <c r="X429" s="48">
        <f t="shared" ref="X429:X435" si="475">S429</f>
        <v>0</v>
      </c>
      <c r="Y429" s="31"/>
      <c r="Z429" s="49">
        <f t="shared" ref="Z429:Z434" si="476">IF(SUM(U429-X429)&lt;0,0,SUM(U429-X429))</f>
        <v>0</v>
      </c>
      <c r="AA429" s="48">
        <f t="shared" ref="AA429:AA434" si="477">IF(SUM(V429-X429-Z429)&lt;0,0,SUM(V429-X429-Z429))</f>
        <v>0</v>
      </c>
      <c r="AB429" s="47"/>
      <c r="AC429" s="50"/>
      <c r="AD429" s="33">
        <f t="shared" ref="AD429:AD435" si="478">IF(SUM(U429-Z429)&lt;0,0,SUM(U429-Z429))</f>
        <v>0</v>
      </c>
      <c r="AE429" s="33">
        <f t="shared" ref="AE429:AE435" si="479">IF(SUM(V429-AA429)&lt;0,0,SUM(V429-AA429))</f>
        <v>0</v>
      </c>
    </row>
    <row r="430" spans="2:31" x14ac:dyDescent="0.3">
      <c r="B430" s="51">
        <v>0</v>
      </c>
      <c r="C430" s="14" t="s">
        <v>7</v>
      </c>
      <c r="D430" s="43">
        <f t="shared" ref="D430:D435" si="480">D429+1</f>
        <v>42375</v>
      </c>
      <c r="E430" s="29" t="s">
        <v>28</v>
      </c>
      <c r="F430" s="52"/>
      <c r="G430" s="187"/>
      <c r="H430" s="187"/>
      <c r="I430" s="187"/>
      <c r="J430" s="45">
        <f>IF(OR(E430="férié travaillé",E430="travail"),(I430-G430+IF(G430&gt;I430,1)-H430),INDEX('bases de donnée'!$E$20:'bases de donnée'!$E$32,MATCH(E430,gerald2,0)))</f>
        <v>0</v>
      </c>
      <c r="K430" s="20">
        <f>IF(SUM(J430-'bases de donnée'!E$7)&lt;0,0,SUM(J430-'bases de donnée'!E$7))</f>
        <v>0</v>
      </c>
      <c r="L430" s="11">
        <f>IF(OR(E430="férié travaillé",E430="travail"),I430-G430+IF(G430&gt;I430,1),INDEX('bases de donnée'!$E$20:'bases de donnée'!$E$32,MATCH(E430,gerald2,0)))</f>
        <v>0</v>
      </c>
      <c r="M430" s="21">
        <f>IF(SUM(L430-'bases de donnée'!E$4)&lt;0,0,SUM(L430-'bases de donnée'!E$4))</f>
        <v>0</v>
      </c>
      <c r="N430" s="155">
        <v>0</v>
      </c>
      <c r="O430" s="73">
        <f t="shared" ref="O430:O435" si="481">O429+J430</f>
        <v>0</v>
      </c>
      <c r="P430" s="121">
        <f>IF(SUM(P429-'bases de donnée'!E$6)&lt;0,0,SUM(P429-'bases de donnée'!E$6))</f>
        <v>0</v>
      </c>
      <c r="Q430" s="120">
        <f t="shared" ref="Q430:Q435" si="482">IF(AND(G430&lt;&gt;"",I430&lt;&gt;""),1,0+OR(N(I429)&lt;N(G429),E430="récupération",E430="congé 1 jour",E430="congé 1/2 jour ",E430="congé 5h24",E430="arrêt maladie",E430="arrêt travail",E430="férié ",E430="congé parentale",E430="congé de naissance"))</f>
        <v>0</v>
      </c>
      <c r="R430" s="30"/>
      <c r="S430" s="77">
        <f>IF(SUM(MOD(I430-G430,1)-IF(I430&gt;G430,MAX(0,MIN(I430,'bases de donnée'!E$16/24)-MAX('planning '!G430,7/24)),MAX(0,'bases de donnée'!E$16/24-MAX('planning '!G430,7/24))+MAX(0,MIN('planning '!I430,'bases de donnée'!E$16/24)-7/24)))&lt;0,0,SUM(MOD('planning '!I430-'planning '!G430,1)-IF('planning '!I430&gt;'planning '!G430,MAX(0,MIN('planning '!I430,'bases de donnée'!E$16/24)-MAX('planning '!G430,7/24)),MAX(0,'bases de donnée'!E$16/24-MAX('planning '!G430,7/24))+MAX(0,MIN('planning '!I430,'bases de donnée'!E$16/24)-7/24))))</f>
        <v>0</v>
      </c>
      <c r="T430" s="82"/>
      <c r="U430" s="77" t="str">
        <f t="shared" si="474"/>
        <v>00:00</v>
      </c>
      <c r="V430" s="78">
        <f>IF(SUM(IF(O430&gt;('bases de donnée'!E$9*1),O430-('bases de donnée'!E$9*1),0)-V429)&lt;0,0,SUM(IF(O430&gt;('bases de donnée'!E$9*1),O430-('bases de donnée'!E$9*1),0)-V429))</f>
        <v>0</v>
      </c>
      <c r="W430" s="47"/>
      <c r="X430" s="48">
        <f t="shared" si="475"/>
        <v>0</v>
      </c>
      <c r="Y430" s="42"/>
      <c r="Z430" s="49">
        <f t="shared" si="476"/>
        <v>0</v>
      </c>
      <c r="AA430" s="48">
        <f t="shared" si="477"/>
        <v>0</v>
      </c>
      <c r="AB430" s="47"/>
      <c r="AC430" s="54"/>
      <c r="AD430" s="33">
        <f t="shared" si="478"/>
        <v>0</v>
      </c>
      <c r="AE430" s="33">
        <f t="shared" si="479"/>
        <v>0</v>
      </c>
    </row>
    <row r="431" spans="2:31" x14ac:dyDescent="0.3">
      <c r="B431"/>
      <c r="C431" s="14" t="s">
        <v>8</v>
      </c>
      <c r="D431" s="43">
        <f t="shared" si="480"/>
        <v>42376</v>
      </c>
      <c r="E431" s="29" t="s">
        <v>28</v>
      </c>
      <c r="F431" s="52"/>
      <c r="G431" s="187"/>
      <c r="H431" s="187"/>
      <c r="I431" s="187"/>
      <c r="J431" s="45">
        <f>IF(OR(E431="férié travaillé",E431="travail"),(I431-G431+IF(G431&gt;I431,1)-H431),INDEX('bases de donnée'!$E$20:'bases de donnée'!$E$32,MATCH(E431,gerald2,0)))</f>
        <v>0</v>
      </c>
      <c r="K431" s="20">
        <f>IF(SUM(J431-'bases de donnée'!E$7)&lt;0,0,SUM(J431-'bases de donnée'!E$7))</f>
        <v>0</v>
      </c>
      <c r="L431" s="11">
        <f>IF(OR(E431="férié travaillé",E431="travail"),I431-G431+IF(G431&gt;I431,1),INDEX('bases de donnée'!$E$20:'bases de donnée'!$E$32,MATCH(E431,gerald2,0)))</f>
        <v>0</v>
      </c>
      <c r="M431" s="21">
        <f>IF(SUM(L431-'bases de donnée'!E$4)&lt;0,0,SUM(L431-'bases de donnée'!E$4))</f>
        <v>0</v>
      </c>
      <c r="N431" s="155">
        <v>0</v>
      </c>
      <c r="O431" s="73">
        <f t="shared" si="481"/>
        <v>0</v>
      </c>
      <c r="P431" s="34" t="s">
        <v>46</v>
      </c>
      <c r="Q431" s="120">
        <f t="shared" si="482"/>
        <v>0</v>
      </c>
      <c r="R431" s="30"/>
      <c r="S431" s="77">
        <f>IF(SUM(MOD(I431-G431,1)-IF(I431&gt;G431,MAX(0,MIN(I431,'bases de donnée'!E$16/24)-MAX('planning '!G431,7/24)),MAX(0,'bases de donnée'!E$16/24-MAX('planning '!G431,7/24))+MAX(0,MIN('planning '!I431,'bases de donnée'!E$16/24)-7/24)))&lt;0,0,SUM(MOD('planning '!I431-'planning '!G431,1)-IF('planning '!I431&gt;'planning '!G431,MAX(0,MIN('planning '!I431,'bases de donnée'!E$16/24)-MAX('planning '!G431,7/24)),MAX(0,'bases de donnée'!E$16/24-MAX('planning '!G431,7/24))+MAX(0,MIN('planning '!I431,'bases de donnée'!E$16/24)-7/24))))</f>
        <v>0</v>
      </c>
      <c r="T431" s="82"/>
      <c r="U431" s="77" t="str">
        <f t="shared" si="474"/>
        <v>00:00</v>
      </c>
      <c r="V431" s="78">
        <f>IF(SUM(IF(O431&gt;("36:00"*1),O431-("36:00"*1),0)-V429-V430)&lt;0,0,SUM(IF(O431&gt;("36:00"*1),O431-("36:00"*1),0)-V429-V430))</f>
        <v>0</v>
      </c>
      <c r="W431" s="47"/>
      <c r="X431" s="48">
        <f t="shared" si="475"/>
        <v>0</v>
      </c>
      <c r="Y431" s="42"/>
      <c r="Z431" s="49">
        <f t="shared" si="476"/>
        <v>0</v>
      </c>
      <c r="AA431" s="48">
        <f t="shared" si="477"/>
        <v>0</v>
      </c>
      <c r="AB431" s="47"/>
      <c r="AC431" s="54"/>
      <c r="AD431" s="33">
        <f t="shared" si="478"/>
        <v>0</v>
      </c>
      <c r="AE431" s="33">
        <f t="shared" si="479"/>
        <v>0</v>
      </c>
    </row>
    <row r="432" spans="2:31" x14ac:dyDescent="0.3">
      <c r="B432"/>
      <c r="C432" s="14" t="s">
        <v>9</v>
      </c>
      <c r="D432" s="43">
        <f t="shared" si="480"/>
        <v>42377</v>
      </c>
      <c r="E432" s="29" t="s">
        <v>28</v>
      </c>
      <c r="F432" s="52"/>
      <c r="G432" s="187"/>
      <c r="H432" s="187"/>
      <c r="I432" s="187"/>
      <c r="J432" s="45">
        <f>IF(OR(E432="férié travaillé",E432="travail"),(I432-G432+IF(G432&gt;I432,1)-H432),INDEX('bases de donnée'!$E$20:'bases de donnée'!$E$32,MATCH(E432,gerald2,0)))</f>
        <v>0</v>
      </c>
      <c r="K432" s="20">
        <f>IF(SUM(J432-'bases de donnée'!E$7)&lt;0,0,SUM(J432-'bases de donnée'!E$7))</f>
        <v>0</v>
      </c>
      <c r="L432" s="11">
        <f>IF(OR(E432="férié travaillé",E432="travail"),I432-G432+IF(G432&gt;I432,1),INDEX('bases de donnée'!$E$20:'bases de donnée'!$E$32,MATCH(E432,gerald2,0)))</f>
        <v>0</v>
      </c>
      <c r="M432" s="21">
        <f>IF(SUM(L432-'bases de donnée'!E$4)&lt;0,0,SUM(L432-'bases de donnée'!E$4))</f>
        <v>0</v>
      </c>
      <c r="N432" s="155">
        <v>0</v>
      </c>
      <c r="O432" s="73">
        <f t="shared" si="481"/>
        <v>0</v>
      </c>
      <c r="P432" s="86">
        <f>O435</f>
        <v>0</v>
      </c>
      <c r="Q432" s="120">
        <f t="shared" si="482"/>
        <v>0</v>
      </c>
      <c r="R432" s="30"/>
      <c r="S432" s="77">
        <f>IF(SUM(MOD(I432-G432,1)-IF(I432&gt;G432,MAX(0,MIN(I432,'bases de donnée'!E$16/24)-MAX('planning '!G432,7/24)),MAX(0,'bases de donnée'!E$16/24-MAX('planning '!G432,7/24))+MAX(0,MIN('planning '!I432,'bases de donnée'!E$16/24)-7/24)))&lt;0,0,SUM(MOD('planning '!I432-'planning '!G432,1)-IF('planning '!I432&gt;'planning '!G432,MAX(0,MIN('planning '!I432,'bases de donnée'!E$16/24)-MAX('planning '!G432,7/24)),MAX(0,'bases de donnée'!E$16/24-MAX('planning '!G432,7/24))+MAX(0,MIN('planning '!I432,'bases de donnée'!E$16/24)-7/24))))</f>
        <v>0</v>
      </c>
      <c r="T432" s="82"/>
      <c r="U432" s="77" t="str">
        <f t="shared" si="474"/>
        <v>00:00</v>
      </c>
      <c r="V432" s="78">
        <f>IF(SUM(IF(O432&gt;("36:00"*1),O432-("36:00"*1),0)-V430-V431)&lt;0,0,SUM(IF(O432&gt;("36:00"*1),O432-("36:00"*1),0)-V429-V430-V431))</f>
        <v>0</v>
      </c>
      <c r="W432" s="47"/>
      <c r="X432" s="48">
        <f t="shared" si="475"/>
        <v>0</v>
      </c>
      <c r="Y432" s="42"/>
      <c r="Z432" s="49">
        <f t="shared" si="476"/>
        <v>0</v>
      </c>
      <c r="AA432" s="48">
        <f t="shared" si="477"/>
        <v>0</v>
      </c>
      <c r="AB432" s="47"/>
      <c r="AC432" s="54"/>
      <c r="AD432" s="33">
        <f t="shared" si="478"/>
        <v>0</v>
      </c>
      <c r="AE432" s="33">
        <f t="shared" si="479"/>
        <v>0</v>
      </c>
    </row>
    <row r="433" spans="2:31" x14ac:dyDescent="0.3">
      <c r="B433"/>
      <c r="C433" s="14" t="s">
        <v>3</v>
      </c>
      <c r="D433" s="43">
        <f t="shared" si="480"/>
        <v>42378</v>
      </c>
      <c r="E433" s="29" t="s">
        <v>28</v>
      </c>
      <c r="F433" s="52"/>
      <c r="G433" s="187"/>
      <c r="H433" s="187"/>
      <c r="I433" s="187"/>
      <c r="J433" s="45">
        <f>IF(OR(E433="férié travaillé",E433="travail"),(I433-G433+IF(G433&gt;I433,1)-H433),INDEX('bases de donnée'!$E$20:'bases de donnée'!$E$32,MATCH(E433,gerald2,0)))</f>
        <v>0</v>
      </c>
      <c r="K433" s="20">
        <f>IF(SUM(J433-'bases de donnée'!E$7)&lt;0,0,SUM(J433-'bases de donnée'!E$7))</f>
        <v>0</v>
      </c>
      <c r="L433" s="11">
        <f>IF(OR(E433="férié travaillé",E433="travail"),I433-G433+IF(G433&gt;I433,1),INDEX('bases de donnée'!$E$20:'bases de donnée'!$E$32,MATCH(E433,gerald2,0)))</f>
        <v>0</v>
      </c>
      <c r="M433" s="21">
        <f>IF(SUM(L433-'bases de donnée'!E$4)&lt;0,0,SUM(L433-'bases de donnée'!E$4))</f>
        <v>0</v>
      </c>
      <c r="N433" s="155">
        <v>0</v>
      </c>
      <c r="O433" s="73">
        <f t="shared" si="481"/>
        <v>0</v>
      </c>
      <c r="P433" s="12" t="s">
        <v>48</v>
      </c>
      <c r="Q433" s="120">
        <f t="shared" si="482"/>
        <v>0</v>
      </c>
      <c r="R433" s="30"/>
      <c r="S433" s="77">
        <f>IF(SUM(MOD(I433-G433,1)-IF(I433&gt;G433,MAX(0,MIN(I433,'bases de donnée'!E$16/24)-MAX('planning '!G433,7/24)),MAX(0,'bases de donnée'!E$16/24-MAX('planning '!G433,7/24))+MAX(0,MIN('planning '!I433,'bases de donnée'!E$16/24)-7/24)))&lt;0,0,SUM(MOD('planning '!I433-'planning '!G433,1)-IF('planning '!I433&gt;'planning '!G433,MAX(0,MIN('planning '!I433,'bases de donnée'!E$16/24)-MAX('planning '!G433,7/24)),MAX(0,'bases de donnée'!E$16/24-MAX('planning '!G433,7/24))+MAX(0,MIN('planning '!I433,'bases de donnée'!E$16/24)-7/24))))</f>
        <v>0</v>
      </c>
      <c r="T433" s="82"/>
      <c r="U433" s="77" t="str">
        <f t="shared" si="474"/>
        <v>00:00</v>
      </c>
      <c r="V433" s="78">
        <f>IF(SUM(IF(O433&gt;("36:00"*1),O433-("36:00"*1),0)-V431-V432)&lt;0,0,SUM(IF(O433&gt;("36:00"*1),O433-("36:00"*1),0)-V429-V430-V431-V432))</f>
        <v>0</v>
      </c>
      <c r="W433" s="47"/>
      <c r="X433" s="48">
        <f t="shared" si="475"/>
        <v>0</v>
      </c>
      <c r="Y433" s="42"/>
      <c r="Z433" s="49">
        <f t="shared" si="476"/>
        <v>0</v>
      </c>
      <c r="AA433" s="48">
        <f t="shared" si="477"/>
        <v>0</v>
      </c>
      <c r="AB433" s="47"/>
      <c r="AC433" s="54"/>
      <c r="AD433" s="33">
        <f t="shared" si="478"/>
        <v>0</v>
      </c>
      <c r="AE433" s="33">
        <f t="shared" si="479"/>
        <v>0</v>
      </c>
    </row>
    <row r="434" spans="2:31" x14ac:dyDescent="0.3">
      <c r="B434"/>
      <c r="C434" s="14" t="s">
        <v>4</v>
      </c>
      <c r="D434" s="43">
        <f t="shared" si="480"/>
        <v>42379</v>
      </c>
      <c r="E434" s="29" t="s">
        <v>28</v>
      </c>
      <c r="F434" s="71"/>
      <c r="G434" s="187"/>
      <c r="H434" s="187"/>
      <c r="I434" s="187"/>
      <c r="J434" s="45">
        <f>IF(OR(E434="férié travaillé",E434="travail"),(I434-G434+IF(G434&gt;I434,1)-H434),INDEX('bases de donnée'!$E$20:'bases de donnée'!$E$32,MATCH(E434,gerald2,0)))</f>
        <v>0</v>
      </c>
      <c r="K434" s="20">
        <f>IF(SUM(J434-'bases de donnée'!E$7)&lt;0,0,SUM(J434-'bases de donnée'!E$7))</f>
        <v>0</v>
      </c>
      <c r="L434" s="11">
        <f>IF(OR(E434="férié travaillé",E434="travail"),I434-G434+IF(G434&gt;I434,1),INDEX('bases de donnée'!$E$20:'bases de donnée'!$E$32,MATCH(E434,gerald2,0)))</f>
        <v>0</v>
      </c>
      <c r="M434" s="21">
        <f>IF(SUM(L434-'bases de donnée'!E$4)&lt;0,0,SUM(L434-'bases de donnée'!E$4))</f>
        <v>0</v>
      </c>
      <c r="N434" s="155">
        <v>0</v>
      </c>
      <c r="O434" s="73">
        <f t="shared" si="481"/>
        <v>0</v>
      </c>
      <c r="P434" s="68">
        <f>'bases de donnée'!E$10</f>
        <v>2</v>
      </c>
      <c r="Q434" s="120">
        <f t="shared" si="482"/>
        <v>0</v>
      </c>
      <c r="R434" s="30"/>
      <c r="S434" s="77">
        <f>IF(SUM(MOD(I434-G434,1)-IF(I434&gt;G434,MAX(0,MIN(I434,'bases de donnée'!E$16/24)-MAX('planning '!G434,7/24)),MAX(0,'bases de donnée'!E$16/24-MAX('planning '!G434,7/24))+MAX(0,MIN('planning '!I434,'bases de donnée'!E$16/24)-7/24)))&lt;0,0,SUM(MOD('planning '!I434-'planning '!G434,1)-IF('planning '!I434&gt;'planning '!G434,MAX(0,MIN('planning '!I434,'bases de donnée'!E$16/24)-MAX('planning '!G434,7/24)),MAX(0,'bases de donnée'!E$16/24-MAX('planning '!G434,7/24))+MAX(0,MIN('planning '!I434,'bases de donnée'!E$16/24)-7/24))))</f>
        <v>0</v>
      </c>
      <c r="T434" s="82"/>
      <c r="U434" s="77" t="str">
        <f t="shared" si="474"/>
        <v>00:00</v>
      </c>
      <c r="V434" s="78">
        <f>IF(SUM(IF(O434&gt;("36:00"*1),O434-("36:00"*1),0)-V432-V433)&lt;0,0,SUM(IF(O434&gt;("36:00"*1),O434-("36:00"*1),0)-V429-V430-V431-V432-V433))</f>
        <v>0</v>
      </c>
      <c r="W434" s="47"/>
      <c r="X434" s="48">
        <f t="shared" si="475"/>
        <v>0</v>
      </c>
      <c r="Y434" s="32"/>
      <c r="Z434" s="49">
        <f t="shared" si="476"/>
        <v>0</v>
      </c>
      <c r="AA434" s="48">
        <f t="shared" si="477"/>
        <v>0</v>
      </c>
      <c r="AB434" s="47"/>
      <c r="AC434" s="55"/>
      <c r="AD434" s="33">
        <f t="shared" si="478"/>
        <v>0</v>
      </c>
      <c r="AE434" s="33">
        <f t="shared" si="479"/>
        <v>0</v>
      </c>
    </row>
    <row r="435" spans="2:31" x14ac:dyDescent="0.3">
      <c r="B435"/>
      <c r="C435" s="94" t="s">
        <v>5</v>
      </c>
      <c r="D435" s="95">
        <f t="shared" si="480"/>
        <v>42380</v>
      </c>
      <c r="E435" s="29" t="s">
        <v>28</v>
      </c>
      <c r="F435" s="71"/>
      <c r="G435" s="186"/>
      <c r="H435" s="186"/>
      <c r="I435" s="186"/>
      <c r="J435" s="45">
        <f>IF(OR(E435="férié travaillé",E435="travail"),(I435-G435+IF(G435&gt;I435,1)-H435),INDEX('bases de donnée'!$E$20:'bases de donnée'!$E$32,MATCH(E435,gerald2,0)))</f>
        <v>0</v>
      </c>
      <c r="K435" s="20">
        <f>IF(SUM(J435-'bases de donnée'!E$7)&lt;0,0,SUM(J435-'bases de donnée'!E$7))</f>
        <v>0</v>
      </c>
      <c r="L435" s="11">
        <f>IF(OR(E435="férié travaillé",E435="travail"),I435-G435+IF(G435&gt;I435,1),INDEX('bases de donnée'!$E$20:'bases de donnée'!$E$32,MATCH(E435,gerald2,0)))</f>
        <v>0</v>
      </c>
      <c r="M435" s="21">
        <f>IF(SUM(L435-'bases de donnée'!E$4)&lt;0,0,SUM(L435-'bases de donnée'!E$4))</f>
        <v>0</v>
      </c>
      <c r="N435" s="155">
        <v>0</v>
      </c>
      <c r="O435" s="98">
        <f t="shared" si="481"/>
        <v>0</v>
      </c>
      <c r="P435" s="57">
        <f>IF(SUM(O435-'bases de donnée'!E$10)&lt;0,0,SUM(O435-'bases de donnée'!E$10))</f>
        <v>0</v>
      </c>
      <c r="Q435" s="120">
        <f t="shared" si="482"/>
        <v>0</v>
      </c>
      <c r="R435" s="30"/>
      <c r="S435" s="77">
        <f>IF(SUM(MOD(I435-G435,1)-IF(I435&gt;G435,MAX(0,MIN(I435,'bases de donnée'!E$16/24)-MAX('planning '!G435,7/24)),MAX(0,'bases de donnée'!E$16/24-MAX('planning '!G435,7/24))+MAX(0,MIN('planning '!I435,'bases de donnée'!E$16/24)-7/24)))&lt;0,0,SUM(MOD('planning '!I435-'planning '!G435,1)-IF('planning '!I435&gt;'planning '!G435,MAX(0,MIN('planning '!I435,'bases de donnée'!E$16/24)-MAX('planning '!G435,7/24)),MAX(0,'bases de donnée'!E$16/24-MAX('planning '!G435,7/24))+MAX(0,MIN('planning '!I435,'bases de donnée'!E$16/24)-7/24))))</f>
        <v>0</v>
      </c>
      <c r="T435" s="77">
        <f>J435</f>
        <v>0</v>
      </c>
      <c r="U435" s="77" t="str">
        <f t="shared" si="474"/>
        <v>00:00</v>
      </c>
      <c r="V435" s="78">
        <f>IF(SUM(IF(O435&gt;("36:00"*1),O435-("36:00"*1),0)-V433-V434)&lt;0,0,SUM(IF(O435&gt;("36:00"*1),O435-("36:00"*1),0)-V429-V430-V431-V432-V433-V434))</f>
        <v>0</v>
      </c>
      <c r="W435" s="47"/>
      <c r="X435" s="48">
        <f t="shared" si="475"/>
        <v>0</v>
      </c>
      <c r="Y435" s="48">
        <f t="shared" ref="Y435" si="483">IF(SUM(T435-S435)&lt;0,0,SUM(T435-S435))</f>
        <v>0</v>
      </c>
      <c r="Z435" s="56">
        <f t="shared" ref="Z435" si="484">IF(SUM(U435-T435-S435)&lt;0,0,SUM(U435-T435-S435))</f>
        <v>0</v>
      </c>
      <c r="AA435" s="48">
        <f>IF(SUM(V435-S435-T435-U435)&lt;0,0,SUM(V435-S435-T435-U435))</f>
        <v>0</v>
      </c>
      <c r="AB435" s="47"/>
      <c r="AC435" s="57">
        <f t="shared" ref="AC435" si="485">IF(SUM(T435-Y435)&lt;0,0,SUM(T435-Y435))</f>
        <v>0</v>
      </c>
      <c r="AD435" s="33">
        <f t="shared" si="478"/>
        <v>0</v>
      </c>
      <c r="AE435" s="33">
        <f t="shared" si="479"/>
        <v>0</v>
      </c>
    </row>
  </sheetData>
  <dataValidations count="2">
    <dataValidation type="list" allowBlank="1" showInputMessage="1" showErrorMessage="1" sqref="E420 E12 E20 E28 E36 E44 E52 E60 E68 E76 E84 E92 E100 E108 E116 E124 E132 E140 E148 E156 E164 E172 E180 E188 E196 E204 E212 E220 E228 E236 E244 E252 E260 E268 E276 E284 E292 E300 E308 E316 E324 E332 E340 E348 E356 E364 E372 E380 E388 E396 E404 E412" xr:uid="{00000000-0002-0000-0000-000000000000}">
      <formula1>gérald</formula1>
    </dataValidation>
    <dataValidation type="list" allowBlank="1" showInputMessage="1" showErrorMessage="1" sqref="E5:E11 E421:E427 E13:E19 E21:E27 E29:E35 E37:E43 E45:E51 E53:E59 E61:E67 E69:E75 E77:E83 E85:E91 E93:E99 E101:E107 E109:E115 E117:E123 E125:E131 E133:E139 E141:E147 E149:E155 E157:E163 E165:E171 E173:E179 E181:E187 E189:E195 E197:E203 E205:E211 E213:E219 E221:E227 E229:E235 E237:E243 E245:E251 E253:E259 E261:E267 E269:E275 E277:E283 E285:E291 E293:E299 E301:E307 E309:E315 E317:E323 E325:E331 E333:E339 E341:E347 E349:E355 E357:E363 E365:E371 E373:E379 E381:E387 E389:E395 E397:E403 E405:E411 E413:E419 E429:E435" xr:uid="{9A451A42-28BE-4DE2-AE90-7E8130358878}">
      <formula1>gerald2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T37"/>
  <sheetViews>
    <sheetView topLeftCell="B1" zoomScale="75" zoomScaleNormal="75" workbookViewId="0">
      <selection activeCell="D22" sqref="D22"/>
    </sheetView>
  </sheetViews>
  <sheetFormatPr baseColWidth="10" defaultRowHeight="14.4" x14ac:dyDescent="0.3"/>
  <cols>
    <col min="1" max="1" width="6.109375" customWidth="1"/>
    <col min="2" max="2" width="31.109375" customWidth="1"/>
    <col min="3" max="3" width="13.33203125" customWidth="1"/>
    <col min="4" max="4" width="14.5546875" customWidth="1"/>
    <col min="5" max="5" width="12.5546875" customWidth="1"/>
    <col min="6" max="6" width="25.88671875" customWidth="1"/>
    <col min="7" max="7" width="15.33203125" customWidth="1"/>
    <col min="8" max="8" width="9.6640625" customWidth="1"/>
    <col min="9" max="9" width="6.6640625" hidden="1" customWidth="1"/>
    <col min="10" max="10" width="12.44140625" customWidth="1"/>
    <col min="11" max="11" width="13" customWidth="1"/>
    <col min="12" max="12" width="8.33203125" customWidth="1"/>
    <col min="13" max="13" width="7" customWidth="1"/>
    <col min="14" max="14" width="11.44140625" customWidth="1"/>
    <col min="15" max="15" width="14.6640625" customWidth="1"/>
    <col min="16" max="16" width="5" customWidth="1"/>
    <col min="17" max="17" width="31.109375" customWidth="1"/>
    <col min="18" max="18" width="21.109375" customWidth="1"/>
  </cols>
  <sheetData>
    <row r="2" spans="1:20" x14ac:dyDescent="0.3">
      <c r="A2" s="25"/>
      <c r="B2" s="131"/>
      <c r="C2" s="132" t="s">
        <v>98</v>
      </c>
      <c r="F2" s="131"/>
      <c r="G2" s="175" t="s">
        <v>94</v>
      </c>
      <c r="H2" s="176"/>
      <c r="K2" s="152"/>
      <c r="L2" s="172" t="s">
        <v>87</v>
      </c>
      <c r="M2" s="153"/>
      <c r="N2" s="152"/>
      <c r="O2" s="170" t="s">
        <v>99</v>
      </c>
      <c r="Q2" s="164"/>
      <c r="R2" s="165" t="s">
        <v>102</v>
      </c>
    </row>
    <row r="3" spans="1:20" x14ac:dyDescent="0.3">
      <c r="A3" s="25"/>
      <c r="B3" s="140"/>
      <c r="C3" s="182" t="s">
        <v>63</v>
      </c>
      <c r="D3" s="27"/>
      <c r="F3" s="133" t="s">
        <v>31</v>
      </c>
      <c r="G3" s="134">
        <f>COUNTIF('planning '!$E$6:$E$422,F3)</f>
        <v>33</v>
      </c>
      <c r="H3" s="138">
        <f>G3*'bases de donnée'!E5</f>
        <v>9.9</v>
      </c>
      <c r="K3" s="171" t="s">
        <v>86</v>
      </c>
      <c r="L3" s="154"/>
      <c r="M3" s="154" t="s">
        <v>61</v>
      </c>
      <c r="N3" s="160" t="s">
        <v>84</v>
      </c>
      <c r="O3" s="154" t="s">
        <v>85</v>
      </c>
      <c r="Q3" s="166" t="s">
        <v>41</v>
      </c>
      <c r="R3" s="23">
        <f>SUM('planning '!AC6:AC422)</f>
        <v>0</v>
      </c>
    </row>
    <row r="4" spans="1:20" x14ac:dyDescent="0.3">
      <c r="A4" s="25"/>
      <c r="B4" s="133" t="s">
        <v>29</v>
      </c>
      <c r="C4" s="134">
        <f>COUNTIF('planning '!$E$6:$E$422,B4)</f>
        <v>178</v>
      </c>
      <c r="F4" s="133" t="s">
        <v>32</v>
      </c>
      <c r="G4" s="134">
        <f>COUNTIF('planning '!$E$6:$E$422,F4)</f>
        <v>0</v>
      </c>
      <c r="H4" s="137">
        <f>SUM(G4*'bases de donnée'!E24)</f>
        <v>0</v>
      </c>
      <c r="K4" s="150" t="s">
        <v>49</v>
      </c>
      <c r="L4" s="151">
        <f>SUMPRODUCT((YEAR('planning '!$D$6:$D$422)='bases de donnée'!E$2)*(MONTH('planning '!$D$6:$D$422)=MONTH(1&amp;K4))*('planning '!$V$6:$V$422))</f>
        <v>0.2416666666666667</v>
      </c>
      <c r="M4" s="22">
        <f>IF(SUM(L4-'bases de donnée'!E$12)&lt;0,0,SUM(L4-'bases de donnée'!E$12))</f>
        <v>0</v>
      </c>
      <c r="N4" s="151">
        <f>SUMPRODUCT((YEAR('planning '!$D$6:$D$422)='bases de donnée'!E$2)*(MONTH('planning '!$D$6:$D$422)=MONTH(1&amp;K4))*('planning '!$AA$6:$AA$422))</f>
        <v>0.2416666666666667</v>
      </c>
      <c r="O4" s="151">
        <f>IF(N4&lt;0.625,N4*'bases de donnée'!$E$14,(0.583333*'bases de donnée'!$E$14)+(N4-0.583333)*'bases de donnée'!$E$15)*24</f>
        <v>0.30208333333333337</v>
      </c>
      <c r="Q4" s="167" t="s">
        <v>45</v>
      </c>
      <c r="R4" s="33">
        <f>SUM('planning '!AD6:AD422)</f>
        <v>0</v>
      </c>
    </row>
    <row r="5" spans="1:20" x14ac:dyDescent="0.3">
      <c r="A5" s="25"/>
      <c r="B5" s="133" t="s">
        <v>28</v>
      </c>
      <c r="C5" s="134">
        <f>COUNTIF('planning '!$E$6:$E$422,B5)</f>
        <v>113</v>
      </c>
      <c r="F5" s="133" t="s">
        <v>33</v>
      </c>
      <c r="G5" s="134">
        <f>COUNTIF('planning '!$E$6:$E$422,F5)</f>
        <v>1</v>
      </c>
      <c r="H5" s="138">
        <f>G5*'bases de donnée'!E25</f>
        <v>0.22500000000000001</v>
      </c>
      <c r="K5" s="150" t="s">
        <v>50</v>
      </c>
      <c r="L5" s="151">
        <f>SUMPRODUCT((YEAR('planning '!$D$6:$D$422)='bases de donnée'!E$2)*(MONTH('planning '!$D$6:$D$422)=MONTH(1&amp;K5))*('planning '!$V$6:$V$422))</f>
        <v>0.6875</v>
      </c>
      <c r="M5" s="22">
        <f>IF(SUM(L5-'bases de donnée'!E$12)&lt;0,0,SUM(L5-'bases de donnée'!E$12))</f>
        <v>0</v>
      </c>
      <c r="N5" s="151">
        <f>SUMPRODUCT((YEAR('planning '!$D$6:$D$422)='bases de donnée'!E$2)*(MONTH('planning '!$D$6:$D$422)=MONTH(1&amp;K5))*('planning '!$AA$6:$AA$422))</f>
        <v>0.5625</v>
      </c>
      <c r="O5" s="151">
        <f>IF(N5&lt;0.625,N5*'bases de donnée'!$E$14,(0.583333*'bases de donnée'!$E$14)+(N5-0.583333)*'bases de donnée'!$E$15)*24</f>
        <v>0.703125</v>
      </c>
      <c r="Q5" s="167" t="s">
        <v>79</v>
      </c>
      <c r="R5" s="33">
        <f>SUM('planning '!AE6:AE422)</f>
        <v>0.22916666666666674</v>
      </c>
    </row>
    <row r="6" spans="1:20" x14ac:dyDescent="0.3">
      <c r="B6" s="133" t="s">
        <v>30</v>
      </c>
      <c r="C6" s="134">
        <f>COUNTIF('planning '!$E$6:$E$426,B6)</f>
        <v>25</v>
      </c>
      <c r="D6" s="47"/>
      <c r="F6" s="133" t="s">
        <v>91</v>
      </c>
      <c r="G6" s="177">
        <f>SUM(G3:G5)</f>
        <v>34</v>
      </c>
      <c r="H6" s="137">
        <f>SUM(H3+H4+H5)</f>
        <v>10.125</v>
      </c>
      <c r="K6" s="150" t="s">
        <v>51</v>
      </c>
      <c r="L6" s="151">
        <f>SUMPRODUCT((YEAR('planning '!$D$6:$D$422)='bases de donnée'!E$2)*(MONTH('planning '!$D$6:$D$422)=MONTH(1&amp;K6))*('planning '!$V$6:$V$422))</f>
        <v>0.41250000000000009</v>
      </c>
      <c r="M6" s="22">
        <f>IF(SUM(L6-'bases de donnée'!E$12)&lt;0,0,SUM(L6-'bases de donnée'!E$12))</f>
        <v>0</v>
      </c>
      <c r="N6" s="151">
        <f>SUMPRODUCT((YEAR('planning '!$D$6:$D$422)='bases de donnée'!E$2)*(MONTH('planning '!$D$6:$D$422)=MONTH(1&amp;K6))*('planning '!$AA$6:$AA$422))</f>
        <v>0.41250000000000009</v>
      </c>
      <c r="O6" s="151">
        <f>IF(N6&lt;0.625,N6*'bases de donnée'!$E$14,(0.583333*'bases de donnée'!$E$14)+(N6-0.583333)*'bases de donnée'!$E$15)*24</f>
        <v>0.51562500000000022</v>
      </c>
    </row>
    <row r="7" spans="1:20" x14ac:dyDescent="0.3">
      <c r="B7" s="133" t="s">
        <v>34</v>
      </c>
      <c r="C7" s="134">
        <f>COUNTIF('planning '!$E$6:$E$422,B7)</f>
        <v>5</v>
      </c>
      <c r="D7" s="47"/>
      <c r="K7" s="150" t="s">
        <v>52</v>
      </c>
      <c r="L7" s="151">
        <f>SUMPRODUCT((YEAR('planning '!$D$6:$D$422)='bases de donnée'!E$2)*(MONTH('planning '!$D$6:$D$422)=MONTH(1&amp;K7))*('planning '!$V$6:$V$422))</f>
        <v>8.9583333333333348E-2</v>
      </c>
      <c r="M7" s="22">
        <f>IF(SUM(L7-'bases de donnée'!E$12)&lt;0,0,SUM(L7-'bases de donnée'!E$12))</f>
        <v>0</v>
      </c>
      <c r="N7" s="151">
        <f>SUMPRODUCT((YEAR('planning '!$D$6:$D$422)='bases de donnée'!E$2)*(MONTH('planning '!$D$6:$D$422)=MONTH(1&amp;K7))*('planning '!$AA$6:$AA$422))</f>
        <v>8.9583333333333348E-2</v>
      </c>
      <c r="O7" s="151">
        <f>IF(N7&lt;0.625,N7*'bases de donnée'!$E$14,(0.583333*'bases de donnée'!$E$14)+(N7-0.583333)*'bases de donnée'!$E$15)*24</f>
        <v>0.11197916666666669</v>
      </c>
      <c r="S7" s="25"/>
      <c r="T7" s="26"/>
    </row>
    <row r="8" spans="1:20" x14ac:dyDescent="0.3">
      <c r="B8" s="133" t="s">
        <v>35</v>
      </c>
      <c r="C8" s="134">
        <f>COUNTIF('planning '!$E$6:$E$422,B8)</f>
        <v>0</v>
      </c>
      <c r="D8" s="47"/>
      <c r="F8" s="131"/>
      <c r="G8" s="180" t="s">
        <v>95</v>
      </c>
      <c r="K8" s="150" t="s">
        <v>53</v>
      </c>
      <c r="L8" s="151">
        <f>SUMPRODUCT((YEAR('planning '!$D$6:$D$422)='bases de donnée'!E$2)*(MONTH('planning '!$D$6:$D$422)=MONTH(1&amp;K8))*('planning '!$V$6:$V$422))</f>
        <v>0.39166666666666661</v>
      </c>
      <c r="M8" s="22">
        <f>IF(SUM(L8-'bases de donnée'!E$12)&lt;0,0,SUM(L8-'bases de donnée'!E$12))</f>
        <v>0</v>
      </c>
      <c r="N8" s="151">
        <f>SUMPRODUCT((YEAR('planning '!$D$6:$D$422)='bases de donnée'!E$2)*(MONTH('planning '!$D$6:$D$422)=MONTH(1&amp;K8))*('planning '!$AA$6:$AA$422))</f>
        <v>0.37083333333333324</v>
      </c>
      <c r="O8" s="151">
        <f>IF(N8&lt;0.625,N8*'bases de donnée'!$E$14,(0.583333*'bases de donnée'!$E$14)+(N8-0.583333)*'bases de donnée'!$E$15)*24</f>
        <v>0.46354166666666663</v>
      </c>
    </row>
    <row r="9" spans="1:20" x14ac:dyDescent="0.3">
      <c r="B9" s="133" t="s">
        <v>36</v>
      </c>
      <c r="C9" s="134">
        <f>COUNTIF('planning '!$E$6:$E$422,B9)</f>
        <v>10</v>
      </c>
      <c r="D9" s="47"/>
      <c r="F9" s="174" t="s">
        <v>89</v>
      </c>
      <c r="G9" s="134">
        <f>COUNTIF('planning '!$E$6:$E$422,F9)</f>
        <v>0</v>
      </c>
      <c r="H9" s="181"/>
      <c r="K9" s="150" t="s">
        <v>54</v>
      </c>
      <c r="L9" s="151">
        <f>SUMPRODUCT((YEAR('planning '!$D$6:$D$422)='bases de donnée'!E$2)*(MONTH('planning '!$D$6:$D$422)=MONTH(1&amp;K9))*('planning '!$V$6:$V$422))</f>
        <v>0.72916666666666696</v>
      </c>
      <c r="M9" s="22">
        <f>IF(SUM(L9-'bases de donnée'!E$12)&lt;0,0,SUM(L9-'bases de donnée'!E$12))</f>
        <v>0</v>
      </c>
      <c r="N9" s="151">
        <f>SUMPRODUCT((YEAR('planning '!$D$6:$D$422)='bases de donnée'!E$2)*(MONTH('planning '!$D$6:$D$422)=MONTH(1&amp;K9))*('planning '!$AA$6:$AA$422))</f>
        <v>0.64583333333333359</v>
      </c>
      <c r="O9" s="151">
        <f>IF(N9&lt;0.625,N9*'bases de donnée'!$E$14,(0.583333*'bases de donnée'!$E$14)+(N9-0.583333)*'bases de donnée'!$E$15)*24</f>
        <v>0.82291675000000031</v>
      </c>
      <c r="R9" s="1"/>
    </row>
    <row r="10" spans="1:20" x14ac:dyDescent="0.3">
      <c r="B10" s="133" t="s">
        <v>37</v>
      </c>
      <c r="C10" s="134">
        <f>COUNTIF('planning '!$E$6:$E$422,B10)</f>
        <v>0</v>
      </c>
      <c r="D10" s="1"/>
      <c r="F10" s="174" t="s">
        <v>90</v>
      </c>
      <c r="G10" s="134">
        <f>COUNTIF('planning '!$E$6:$E$422,F10)</f>
        <v>0</v>
      </c>
      <c r="H10" s="181"/>
      <c r="K10" s="150" t="s">
        <v>55</v>
      </c>
      <c r="L10" s="151">
        <f>SUMPRODUCT((YEAR('planning '!$D$6:$D$422)='bases de donnée'!E$2)*(MONTH('planning '!$D$6:$D$422)=MONTH(1&amp;K10))*('planning '!$V$6:$V$422))</f>
        <v>0</v>
      </c>
      <c r="M10" s="22">
        <f>IF(SUM(L10-'bases de donnée'!E$12)&lt;0,0,SUM(L10-'bases de donnée'!E$12))</f>
        <v>0</v>
      </c>
      <c r="N10" s="151">
        <f>SUMPRODUCT((YEAR('planning '!$D$6:$D$422)='bases de donnée'!E$2)*(MONTH('planning '!$D$6:$D$422)=MONTH(1&amp;K10))*('planning '!$AA$6:$AA$422))</f>
        <v>0</v>
      </c>
      <c r="O10" s="151">
        <f>IF(N10&lt;0.625,N10*'bases de donnée'!$E$14,(0.583333*'bases de donnée'!$E$14)+(N10-0.583333)*'bases de donnée'!$E$15)*24</f>
        <v>0</v>
      </c>
      <c r="R10" s="1"/>
    </row>
    <row r="11" spans="1:20" x14ac:dyDescent="0.3">
      <c r="F11" s="174" t="s">
        <v>88</v>
      </c>
      <c r="G11" s="134">
        <f>COUNTIF('planning '!$E$9:$E$422,F11)</f>
        <v>0</v>
      </c>
      <c r="H11" s="181"/>
      <c r="K11" s="150" t="s">
        <v>56</v>
      </c>
      <c r="L11" s="151">
        <f>SUMPRODUCT((YEAR('planning '!$D$6:$D$422)='bases de donnée'!E$2)*(MONTH('planning '!$D$6:$D$422)=MONTH(1&amp;K11))*('planning '!$V$6:$V$422))</f>
        <v>0</v>
      </c>
      <c r="M11" s="22">
        <f>IF(SUM(L11-'bases de donnée'!E$12)&lt;0,0,SUM(L11-'bases de donnée'!E$12))</f>
        <v>0</v>
      </c>
      <c r="N11" s="151">
        <f>SUMPRODUCT((YEAR('planning '!$D$6:$D$422)='bases de donnée'!E$2)*(MONTH('planning '!$D$6:$D$422)=MONTH(1&amp;K11))*('planning '!$AA$6:$AA$422))</f>
        <v>0</v>
      </c>
      <c r="O11" s="151">
        <f>IF(N11&lt;0.625,N11*'bases de donnée'!$E$14,(0.583333*'bases de donnée'!$E$14)+(N11-0.583333)*'bases de donnée'!$E$15)*24</f>
        <v>0</v>
      </c>
      <c r="R11" s="1"/>
    </row>
    <row r="12" spans="1:20" x14ac:dyDescent="0.3">
      <c r="B12" s="136" t="s">
        <v>72</v>
      </c>
      <c r="C12" s="139">
        <f>SUM(C4+C5+C6+C7+C8+C9+C10+G6+G12+G13)</f>
        <v>365</v>
      </c>
      <c r="F12" s="178" t="s">
        <v>92</v>
      </c>
      <c r="G12" s="177">
        <f>G9+G10</f>
        <v>0</v>
      </c>
      <c r="K12" s="150" t="s">
        <v>57</v>
      </c>
      <c r="L12" s="151">
        <f>SUMPRODUCT((YEAR('planning '!$D$6:$D$422)='bases de donnée'!E$2)*(MONTH('planning '!$D$6:$D$422)=MONTH(1&amp;K12))*('planning '!$V$6:$V$422))</f>
        <v>0</v>
      </c>
      <c r="M12" s="22">
        <f>IF(SUM(L12-'bases de donnée'!E$12)&lt;0,0,SUM(L12-'bases de donnée'!E$12))</f>
        <v>0</v>
      </c>
      <c r="N12" s="151">
        <f>SUMPRODUCT((YEAR('planning '!$D$6:$D$422)='bases de donnée'!E$2)*(MONTH('planning '!$D$6:$D$422)=MONTH(1&amp;K12))*('planning '!$AA$6:$AA$422))</f>
        <v>0</v>
      </c>
      <c r="O12" s="151">
        <f>IF(N12&lt;0.625,N12*'bases de donnée'!$E$14,(0.583333*'bases de donnée'!$E$14)+(N12-0.583333)*'bases de donnée'!$E$15)*24</f>
        <v>0</v>
      </c>
    </row>
    <row r="13" spans="1:20" ht="15" customHeight="1" x14ac:dyDescent="0.4">
      <c r="B13" s="133" t="s">
        <v>96</v>
      </c>
      <c r="C13" s="135">
        <f>SUMPRODUCT((YEAR('planning '!$D$6:$D$422)='bases de donnée'!E$2)*('planning '!$J$6:$J$422))-H6</f>
        <v>66.67916666666649</v>
      </c>
      <c r="F13" s="179" t="s">
        <v>93</v>
      </c>
      <c r="G13" s="177">
        <f>G11</f>
        <v>0</v>
      </c>
      <c r="K13" s="150" t="s">
        <v>58</v>
      </c>
      <c r="L13" s="151">
        <f>SUMPRODUCT((YEAR('planning '!$D$5:$D$435)='bases de donnée'!E$2)*(MONTH('planning '!$D$5:$D$435)=MONTH(1&amp;K13))*('planning '!$V$5:$V$435))</f>
        <v>0</v>
      </c>
      <c r="M13" s="22">
        <f>IF(SUM(L13-'bases de donnée'!E$12)&lt;0,0,SUM(L13-'bases de donnée'!E$12))</f>
        <v>0</v>
      </c>
      <c r="N13" s="151">
        <f>SUMPRODUCT((YEAR('planning '!$D$6:$D$422)='bases de donnée'!E$2)*(MONTH('planning '!$D$6:$D$422)=MONTH(1&amp;K13))*('planning '!$AA$6:$AA$422))</f>
        <v>0</v>
      </c>
      <c r="O13" s="151">
        <f>IF(N13&lt;0.625,N13*'bases de donnée'!$E$14,(0.583333*'bases de donnée'!$E$14)+(N13-0.583333)*'bases de donnée'!$E$15)*24</f>
        <v>0</v>
      </c>
      <c r="R13" s="76"/>
    </row>
    <row r="14" spans="1:20" ht="15" customHeight="1" x14ac:dyDescent="0.3">
      <c r="K14" s="150" t="s">
        <v>59</v>
      </c>
      <c r="L14" s="151">
        <f>SUMPRODUCT((YEAR('planning '!$D$6:$D$422)='bases de donnée'!E$2)*(MONTH('planning '!$D$6:$D$422)=MONTH(1&amp;K14))*('planning '!$V$6:$V$422))</f>
        <v>0</v>
      </c>
      <c r="M14" s="22">
        <f>IF(SUM(L14-'bases de donnée'!E$12)&lt;0,0,SUM(L14-'bases de donnée'!E$12))</f>
        <v>0</v>
      </c>
      <c r="N14" s="151">
        <f>SUMPRODUCT((YEAR('planning '!$D$6:$D$422)='bases de donnée'!E$2)*(MONTH('planning '!$D$6:$D$422)=MONTH(1&amp;K14))*('planning '!$AA$6:$AA$422))</f>
        <v>0</v>
      </c>
      <c r="O14" s="151">
        <f>IF(N14&lt;0.625,N14*'bases de donnée'!$E$14,(0.583333*'bases de donnée'!$E$14)+(N14-0.583333)*'bases de donnée'!$E$15)*24</f>
        <v>0</v>
      </c>
    </row>
    <row r="15" spans="1:20" x14ac:dyDescent="0.3">
      <c r="K15" s="150" t="s">
        <v>60</v>
      </c>
      <c r="L15" s="151">
        <f>SUMPRODUCT((YEAR('planning '!$D$6:$D$422)='bases de donnée'!E$2)*(MONTH('planning '!$D$6:$D$422)=MONTH(1&amp;K15))*('planning '!$V$6:$V$422))</f>
        <v>0</v>
      </c>
      <c r="M15" s="22">
        <f>IF(SUM(L15-'bases de donnée'!E$12)&lt;0,0,SUM(L15-'bases de donnée'!E$12))</f>
        <v>0</v>
      </c>
      <c r="N15" s="151">
        <f>SUMPRODUCT((YEAR('planning '!$D$6:$D$422)='bases de donnée'!E$2)*(MONTH('planning '!$D$6:$D$422)=MONTH(1&amp;K15))*('planning '!$AA$6:$AA$422))</f>
        <v>0</v>
      </c>
      <c r="O15" s="151">
        <f>IF(N15&lt;0.625,N15*'bases de donnée'!$E$14,(0.583333*'bases de donnée'!$E$14)+(N15-0.583333)*'bases de donnée'!$E$15)*24</f>
        <v>0</v>
      </c>
    </row>
    <row r="16" spans="1:20" x14ac:dyDescent="0.3">
      <c r="B16" s="128"/>
      <c r="C16" s="129"/>
      <c r="D16" s="130" t="s">
        <v>76</v>
      </c>
      <c r="E16" s="27"/>
      <c r="F16" s="148"/>
      <c r="G16" s="149"/>
      <c r="H16" s="143" t="s">
        <v>78</v>
      </c>
    </row>
    <row r="17" spans="2:20" x14ac:dyDescent="0.3">
      <c r="B17" s="159"/>
      <c r="C17" s="69" t="s">
        <v>64</v>
      </c>
      <c r="D17" s="159" t="s">
        <v>85</v>
      </c>
      <c r="E17" s="3"/>
      <c r="F17" s="142"/>
      <c r="G17" s="143"/>
      <c r="H17" s="18" t="s">
        <v>61</v>
      </c>
    </row>
    <row r="18" spans="2:20" x14ac:dyDescent="0.3">
      <c r="B18" s="69" t="s">
        <v>70</v>
      </c>
      <c r="C18" s="158">
        <f>SUM(N4:N15)</f>
        <v>2.322916666666667</v>
      </c>
      <c r="D18" s="63">
        <f>SUM(O4:O15)</f>
        <v>2.919270916666667</v>
      </c>
      <c r="E18" s="25"/>
      <c r="F18" s="144"/>
      <c r="G18" s="143" t="s">
        <v>105</v>
      </c>
      <c r="H18" s="35">
        <f>IF(SUM(C13-'bases de donnée'!E$3)&lt;0,0,SUM(C13-'bases de donnée'!E$3))</f>
        <v>0.84583333333316091</v>
      </c>
    </row>
    <row r="19" spans="2:20" x14ac:dyDescent="0.3">
      <c r="B19" s="69" t="s">
        <v>39</v>
      </c>
      <c r="C19" s="62">
        <f>SUMPRODUCT((YEAR('planning '!$D$6:$D$422)='bases de donnée'!E$2)*('planning '!$X$6:$X$422))</f>
        <v>1.4895833333333339</v>
      </c>
      <c r="D19" s="62">
        <f>SUM(C19*'bases de donnée'!E17)*24</f>
        <v>3.7239583333333353</v>
      </c>
      <c r="E19" s="3"/>
      <c r="F19" s="144"/>
      <c r="G19" s="143" t="s">
        <v>81</v>
      </c>
      <c r="H19" s="35">
        <f>SUM('planning '!K5:K435)</f>
        <v>0.57291666666666652</v>
      </c>
      <c r="O19" s="25"/>
    </row>
    <row r="20" spans="2:20" x14ac:dyDescent="0.3">
      <c r="B20" s="69" t="s">
        <v>38</v>
      </c>
      <c r="C20" s="62">
        <f>SUMPRODUCT((YEAR('planning '!$D$6:$D$422)='bases de donnée'!E$2)*('planning '!$Y$6:$Y$422))</f>
        <v>0</v>
      </c>
      <c r="D20" s="62">
        <f>SUM(C20*'bases de donnée'!E18)*24</f>
        <v>0</v>
      </c>
      <c r="F20" s="144"/>
      <c r="G20" s="143" t="s">
        <v>80</v>
      </c>
      <c r="H20" s="35">
        <f>SUM('planning '!M5:M435)</f>
        <v>0.1875</v>
      </c>
      <c r="O20" s="25"/>
    </row>
    <row r="21" spans="2:20" ht="15" thickBot="1" x14ac:dyDescent="0.35">
      <c r="B21" s="69" t="s">
        <v>71</v>
      </c>
      <c r="C21" s="126">
        <f>SUMPRODUCT((YEAR('planning '!$D$6:$D$422)='bases de donnée'!E$2)*('planning '!$Z$6:$Z$422))</f>
        <v>0</v>
      </c>
      <c r="D21" s="126">
        <f>SUM(C21*'bases de donnée'!E19)*24</f>
        <v>0</v>
      </c>
      <c r="F21" s="144"/>
      <c r="G21" s="143" t="s">
        <v>103</v>
      </c>
      <c r="H21" s="183">
        <f>SUM('planning '!P6+'planning '!P14+'planning '!P22+'planning '!P30+'planning '!P38+'planning '!P46+'planning '!P54+'planning '!P62+'planning '!P70+'planning '!P78+'planning '!P94+'planning '!P102+'planning '!P110+'planning '!P118+'planning '!P126+'planning '!P134+'planning '!P142+'planning '!P150+'planning '!P158+'planning '!P166+'planning '!P174+'planning '!P182+'planning '!P190+'planning '!P198+'planning '!P206+'planning '!P214+'planning '!P222+'planning '!P230+'planning '!P238+'planning '!P246++'planning '!P254+'planning '!P262+'planning '!P270+'planning '!P278+'planning '!P286+'planning '!P294+'planning '!P302+'planning '!P310+'planning '!P318+'planning '!P326+'planning '!P334+'planning '!P342+'planning '!P350+'planning '!P358+'planning '!P366+'planning '!P374+'planning '!P382+'planning '!P390+'planning '!P398+'planning '!P406+'planning '!P414+'planning '!P422+'planning '!P430)</f>
        <v>0</v>
      </c>
      <c r="O21" s="25"/>
    </row>
    <row r="22" spans="2:20" ht="15" thickBot="1" x14ac:dyDescent="0.35">
      <c r="B22" s="127" t="s">
        <v>106</v>
      </c>
      <c r="C22" s="128"/>
      <c r="D22" s="200">
        <v>3.6041666666666665</v>
      </c>
      <c r="F22" s="145"/>
      <c r="G22" s="146" t="s">
        <v>100</v>
      </c>
      <c r="H22" s="141">
        <f>SUM('planning '!P11+'planning '!P19+'planning '!P27+'planning '!P35+'planning '!P43+'planning '!P51+'planning '!P59+'planning '!P67+'planning '!P75+'planning '!P83+'planning '!P91+'planning '!P99+'planning '!P107+'planning '!P115++'planning '!P123+'planning '!P131+'planning '!P139+'planning '!P147+'planning '!P155+'planning '!P163+'planning '!P171+'planning '!P179+'planning '!P187+'planning '!P195+'planning '!P203+'planning '!P211+'planning '!P219+'planning '!P227+'planning '!P235+'planning '!P243+'planning '!P251+'planning '!P259+'planning '!P267+'planning '!P275+'planning '!P283+'planning '!P291+'planning '!P299+'planning '!P307+'planning '!P315+'planning '!P323+'planning '!P331+'planning '!P339+'planning '!P347+'planning '!P355+'planning '!P363+'planning '!P371+'planning '!P379+'planning '!P387+'planning '!P395+'planning '!P403+'planning '!P411+'planning '!P419+'planning '!P427+'planning '!P435)</f>
        <v>0</v>
      </c>
      <c r="O22" s="25"/>
    </row>
    <row r="23" spans="2:20" x14ac:dyDescent="0.3">
      <c r="B23" s="127" t="s">
        <v>77</v>
      </c>
      <c r="C23" s="169"/>
      <c r="D23" s="199">
        <f>SUM(C6*'bases de donnée'!E5)</f>
        <v>7.5</v>
      </c>
      <c r="F23" s="142"/>
      <c r="G23" s="147" t="s">
        <v>62</v>
      </c>
      <c r="H23" s="33">
        <f>IF(SUM(H6-'bases de donnée'!E$13)&lt;0,0,SUM(H6-'bases de donnée'!E$13))</f>
        <v>0</v>
      </c>
      <c r="O23" s="25"/>
    </row>
    <row r="24" spans="2:20" x14ac:dyDescent="0.3">
      <c r="C24" s="127" t="s">
        <v>97</v>
      </c>
      <c r="D24" s="62">
        <f>SUM(D18+D19+D20+D21+D22-D23)</f>
        <v>2.7473959166666688</v>
      </c>
      <c r="F24" s="161"/>
      <c r="G24" s="162" t="s">
        <v>83</v>
      </c>
      <c r="H24" s="163">
        <f>SUM('planning '!N5:N435)</f>
        <v>0</v>
      </c>
      <c r="O24" s="201"/>
    </row>
    <row r="25" spans="2:20" x14ac:dyDescent="0.3">
      <c r="F25" s="142"/>
      <c r="G25" s="143" t="s">
        <v>101</v>
      </c>
      <c r="H25" s="33">
        <f>SUM(M4:M15)</f>
        <v>0</v>
      </c>
      <c r="O25" s="185"/>
      <c r="P25" s="26"/>
    </row>
    <row r="26" spans="2:20" x14ac:dyDescent="0.3">
      <c r="I26" s="91"/>
      <c r="J26" s="91"/>
      <c r="K26" s="91"/>
      <c r="O26" s="201"/>
      <c r="P26" s="26"/>
    </row>
    <row r="27" spans="2:20" x14ac:dyDescent="0.3">
      <c r="O27" s="25"/>
      <c r="P27" s="26"/>
    </row>
    <row r="28" spans="2:20" x14ac:dyDescent="0.3">
      <c r="O28" s="25"/>
      <c r="P28" s="26"/>
    </row>
    <row r="29" spans="2:20" x14ac:dyDescent="0.3">
      <c r="G29" s="3"/>
      <c r="H29" s="3"/>
      <c r="O29" s="25"/>
      <c r="P29" s="26"/>
    </row>
    <row r="30" spans="2:20" x14ac:dyDescent="0.3">
      <c r="G30" s="2"/>
      <c r="H30" s="3"/>
      <c r="O30" s="25"/>
      <c r="P30" s="26"/>
      <c r="Q30" s="1"/>
      <c r="R30" s="2"/>
      <c r="S30" s="3"/>
      <c r="T30" s="3"/>
    </row>
    <row r="31" spans="2:20" x14ac:dyDescent="0.3">
      <c r="O31" s="25"/>
    </row>
    <row r="32" spans="2:20" x14ac:dyDescent="0.3">
      <c r="O32" s="25"/>
    </row>
    <row r="37" spans="1:5" x14ac:dyDescent="0.3">
      <c r="A37" s="1"/>
      <c r="B37" s="2"/>
      <c r="C37" s="2"/>
      <c r="D37" s="2"/>
      <c r="E37" s="3"/>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C2:V36"/>
  <sheetViews>
    <sheetView zoomScale="75" zoomScaleNormal="75" workbookViewId="0">
      <selection activeCell="E4" sqref="E4"/>
    </sheetView>
  </sheetViews>
  <sheetFormatPr baseColWidth="10" defaultColWidth="11.44140625" defaultRowHeight="14.4" x14ac:dyDescent="0.3"/>
  <cols>
    <col min="1" max="1" width="6.33203125" style="3" customWidth="1"/>
    <col min="2" max="2" width="8.5546875" style="3" customWidth="1"/>
    <col min="3" max="3" width="14.5546875" style="3" customWidth="1"/>
    <col min="4" max="4" width="21.6640625" style="3" customWidth="1"/>
    <col min="5" max="5" width="13.6640625" style="3" customWidth="1"/>
    <col min="6" max="6" width="9.109375" style="3" customWidth="1"/>
    <col min="7" max="7" width="3.88671875" style="3" customWidth="1"/>
    <col min="8" max="8" width="18.33203125" style="3" customWidth="1"/>
    <col min="9" max="9" width="10.6640625" style="3" customWidth="1"/>
    <col min="10" max="11" width="11.44140625" style="3"/>
    <col min="12" max="12" width="13.33203125" style="3" customWidth="1"/>
    <col min="13" max="13" width="15" style="3" customWidth="1"/>
    <col min="14" max="15" width="11.44140625" style="3"/>
    <col min="16" max="16" width="12.33203125" style="3" customWidth="1"/>
    <col min="17" max="17" width="14.5546875" style="3" customWidth="1"/>
    <col min="18" max="16384" width="11.44140625" style="3"/>
  </cols>
  <sheetData>
    <row r="2" spans="3:15" x14ac:dyDescent="0.3">
      <c r="C2" s="4"/>
      <c r="D2" s="213" t="s">
        <v>104</v>
      </c>
      <c r="E2" s="209">
        <v>2019</v>
      </c>
    </row>
    <row r="3" spans="3:15" x14ac:dyDescent="0.3">
      <c r="C3" s="5"/>
      <c r="D3" s="205" t="s">
        <v>27</v>
      </c>
      <c r="E3" s="173">
        <v>65.833333333333329</v>
      </c>
    </row>
    <row r="4" spans="3:15" x14ac:dyDescent="0.3">
      <c r="C4" s="5"/>
      <c r="D4" s="206" t="s">
        <v>13</v>
      </c>
      <c r="E4" s="210">
        <v>0.5</v>
      </c>
    </row>
    <row r="5" spans="3:15" x14ac:dyDescent="0.3">
      <c r="C5" s="5"/>
      <c r="D5" s="205" t="s">
        <v>19</v>
      </c>
      <c r="E5" s="173">
        <v>0.3</v>
      </c>
      <c r="O5" s="3">
        <f>IF(SUM(O4-'bases de donnée'!E$6)&lt;0,0,SUM(O4-'bases de donnée'!E$6))</f>
        <v>0</v>
      </c>
    </row>
    <row r="6" spans="3:15" x14ac:dyDescent="0.3">
      <c r="C6" s="5"/>
      <c r="D6" s="207" t="s">
        <v>74</v>
      </c>
      <c r="E6" s="211">
        <v>6</v>
      </c>
    </row>
    <row r="7" spans="3:15" x14ac:dyDescent="0.3">
      <c r="C7" s="5"/>
      <c r="D7" s="205" t="s">
        <v>14</v>
      </c>
      <c r="E7" s="210">
        <v>0.41666666666666669</v>
      </c>
    </row>
    <row r="8" spans="3:15" x14ac:dyDescent="0.3">
      <c r="C8" s="5"/>
      <c r="D8" s="205" t="s">
        <v>16</v>
      </c>
      <c r="E8" s="210">
        <v>0.45833333333333331</v>
      </c>
    </row>
    <row r="9" spans="3:15" x14ac:dyDescent="0.3">
      <c r="C9" s="5"/>
      <c r="D9" s="205" t="s">
        <v>18</v>
      </c>
      <c r="E9" s="173">
        <v>1.5</v>
      </c>
    </row>
    <row r="10" spans="3:15" x14ac:dyDescent="0.3">
      <c r="C10" s="5"/>
      <c r="D10" s="205" t="s">
        <v>10</v>
      </c>
      <c r="E10" s="173">
        <v>2</v>
      </c>
    </row>
    <row r="11" spans="3:15" x14ac:dyDescent="0.3">
      <c r="C11" s="5"/>
      <c r="D11" s="205" t="s">
        <v>11</v>
      </c>
      <c r="E11" s="173">
        <v>1.4583333333333333</v>
      </c>
    </row>
    <row r="12" spans="3:15" x14ac:dyDescent="0.3">
      <c r="C12" s="5"/>
      <c r="D12" s="205" t="s">
        <v>12</v>
      </c>
      <c r="E12" s="173">
        <v>1.0416666666666667</v>
      </c>
    </row>
    <row r="13" spans="3:15" x14ac:dyDescent="0.3">
      <c r="C13" s="5"/>
      <c r="D13" s="205" t="s">
        <v>20</v>
      </c>
      <c r="E13" s="173">
        <v>10.125</v>
      </c>
    </row>
    <row r="14" spans="3:15" x14ac:dyDescent="0.3">
      <c r="C14" s="5"/>
      <c r="D14" s="208" t="s">
        <v>21</v>
      </c>
      <c r="E14" s="173">
        <v>5.2083333333333336E-2</v>
      </c>
    </row>
    <row r="15" spans="3:15" x14ac:dyDescent="0.3">
      <c r="C15" s="5"/>
      <c r="D15" s="205" t="s">
        <v>22</v>
      </c>
      <c r="E15" s="173">
        <v>6.25E-2</v>
      </c>
    </row>
    <row r="16" spans="3:15" x14ac:dyDescent="0.3">
      <c r="C16" s="5"/>
      <c r="D16" s="205" t="s">
        <v>24</v>
      </c>
      <c r="E16" s="209">
        <v>21</v>
      </c>
    </row>
    <row r="17" spans="3:20" x14ac:dyDescent="0.3">
      <c r="C17" s="5"/>
      <c r="D17" s="205" t="s">
        <v>15</v>
      </c>
      <c r="E17" s="173">
        <v>0.10416666666666667</v>
      </c>
    </row>
    <row r="18" spans="3:20" x14ac:dyDescent="0.3">
      <c r="C18" s="5"/>
      <c r="D18" s="205" t="s">
        <v>17</v>
      </c>
      <c r="E18" s="173">
        <v>8.3333333333333329E-2</v>
      </c>
    </row>
    <row r="19" spans="3:20" x14ac:dyDescent="0.3">
      <c r="C19" s="5"/>
      <c r="D19" s="205" t="s">
        <v>23</v>
      </c>
      <c r="E19" s="173">
        <v>8.3333333333333329E-2</v>
      </c>
    </row>
    <row r="20" spans="3:20" x14ac:dyDescent="0.3">
      <c r="C20" s="6"/>
      <c r="D20" s="207" t="s">
        <v>28</v>
      </c>
      <c r="E20" s="212">
        <v>0</v>
      </c>
    </row>
    <row r="21" spans="3:20" x14ac:dyDescent="0.3">
      <c r="C21" s="5"/>
      <c r="D21" s="207" t="s">
        <v>29</v>
      </c>
      <c r="E21" s="212">
        <v>0</v>
      </c>
    </row>
    <row r="22" spans="3:20" x14ac:dyDescent="0.3">
      <c r="C22" s="5"/>
      <c r="D22" s="207" t="s">
        <v>30</v>
      </c>
      <c r="E22" s="212">
        <f>E5</f>
        <v>0.3</v>
      </c>
    </row>
    <row r="23" spans="3:20" x14ac:dyDescent="0.3">
      <c r="C23" s="5"/>
      <c r="D23" s="207" t="s">
        <v>31</v>
      </c>
      <c r="E23" s="212">
        <f>E5</f>
        <v>0.3</v>
      </c>
    </row>
    <row r="24" spans="3:20" x14ac:dyDescent="0.3">
      <c r="C24" s="5"/>
      <c r="D24" s="207" t="s">
        <v>32</v>
      </c>
      <c r="E24" s="212">
        <v>0.16388888888888889</v>
      </c>
    </row>
    <row r="25" spans="3:20" x14ac:dyDescent="0.3">
      <c r="C25" s="5"/>
      <c r="D25" s="207" t="s">
        <v>33</v>
      </c>
      <c r="E25" s="212">
        <v>0.22500000000000001</v>
      </c>
    </row>
    <row r="26" spans="3:20" x14ac:dyDescent="0.3">
      <c r="C26" s="5"/>
      <c r="D26" s="207" t="s">
        <v>34</v>
      </c>
      <c r="E26" s="212">
        <f>E5</f>
        <v>0.3</v>
      </c>
    </row>
    <row r="27" spans="3:20" x14ac:dyDescent="0.3">
      <c r="C27" s="5"/>
      <c r="D27" s="207" t="s">
        <v>35</v>
      </c>
      <c r="E27" s="212">
        <f>E5</f>
        <v>0.3</v>
      </c>
    </row>
    <row r="28" spans="3:20" x14ac:dyDescent="0.3">
      <c r="C28" s="5"/>
      <c r="D28" s="207" t="s">
        <v>36</v>
      </c>
      <c r="E28" s="212">
        <f>E5</f>
        <v>0.3</v>
      </c>
    </row>
    <row r="29" spans="3:20" x14ac:dyDescent="0.3">
      <c r="C29" s="5"/>
      <c r="D29" s="207" t="s">
        <v>37</v>
      </c>
      <c r="E29" s="212">
        <v>0</v>
      </c>
    </row>
    <row r="30" spans="3:20" x14ac:dyDescent="0.3">
      <c r="C30" s="5"/>
      <c r="D30" s="207" t="s">
        <v>89</v>
      </c>
      <c r="E30" s="173">
        <f>E5</f>
        <v>0.3</v>
      </c>
      <c r="I30" s="2"/>
      <c r="J30" s="2"/>
      <c r="Q30" s="28"/>
      <c r="R30" s="26"/>
      <c r="S30" s="1"/>
      <c r="T30" s="2"/>
    </row>
    <row r="31" spans="3:20" x14ac:dyDescent="0.3">
      <c r="C31" s="5"/>
      <c r="D31" s="207" t="s">
        <v>90</v>
      </c>
      <c r="E31" s="173">
        <v>0</v>
      </c>
      <c r="I31" s="2"/>
      <c r="J31" s="2"/>
      <c r="K31" s="2"/>
      <c r="L31" s="2"/>
      <c r="M31" s="2"/>
      <c r="N31" s="2"/>
      <c r="O31" s="2"/>
      <c r="Q31" s="28"/>
      <c r="R31" s="26"/>
      <c r="S31" s="1"/>
      <c r="T31" s="2"/>
    </row>
    <row r="32" spans="3:20" x14ac:dyDescent="0.3">
      <c r="C32" s="7"/>
      <c r="D32" s="214" t="s">
        <v>88</v>
      </c>
      <c r="E32" s="173">
        <f>E5</f>
        <v>0.3</v>
      </c>
      <c r="I32" s="2"/>
      <c r="J32" s="2"/>
      <c r="K32" s="2"/>
      <c r="L32" s="2"/>
      <c r="M32" s="2"/>
      <c r="N32" s="2"/>
      <c r="O32" s="2"/>
      <c r="Q32" s="28"/>
      <c r="R32" s="26"/>
      <c r="S32" s="1"/>
      <c r="T32" s="2"/>
    </row>
    <row r="33" spans="9:22" x14ac:dyDescent="0.3">
      <c r="I33" s="10"/>
      <c r="J33" s="2"/>
      <c r="K33" s="2"/>
      <c r="L33" s="2"/>
      <c r="M33" s="2"/>
      <c r="N33" s="2"/>
      <c r="O33" s="2"/>
      <c r="Q33" s="28"/>
      <c r="R33" s="26"/>
      <c r="S33" s="1"/>
      <c r="T33" s="2"/>
    </row>
    <row r="34" spans="9:22" x14ac:dyDescent="0.3">
      <c r="I34" s="10"/>
      <c r="J34" s="10"/>
      <c r="K34" s="10"/>
      <c r="L34" s="2"/>
      <c r="M34" s="2"/>
      <c r="N34" s="2"/>
      <c r="O34" s="2"/>
      <c r="Q34" s="28"/>
      <c r="R34" s="26"/>
      <c r="S34" s="1"/>
      <c r="T34" s="2"/>
      <c r="U34" s="2"/>
      <c r="V34" s="2"/>
    </row>
    <row r="35" spans="9:22" x14ac:dyDescent="0.3">
      <c r="I35" s="2"/>
      <c r="J35" s="2"/>
      <c r="K35" s="2"/>
      <c r="L35" s="2"/>
      <c r="M35" s="2"/>
      <c r="N35" s="2"/>
      <c r="O35" s="2"/>
      <c r="Q35" s="28"/>
      <c r="R35" s="26"/>
      <c r="S35" s="1"/>
      <c r="T35" s="2"/>
      <c r="U35" s="2"/>
      <c r="V35" s="2"/>
    </row>
    <row r="36" spans="9:22" x14ac:dyDescent="0.3">
      <c r="Q36" s="28"/>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planning </vt:lpstr>
      <vt:lpstr>résultat </vt:lpstr>
      <vt:lpstr>bases de donnée</vt:lpstr>
      <vt:lpstr>gérald</vt:lpstr>
      <vt:lpstr>gérald1</vt:lpstr>
      <vt:lpstr>gerald2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dc:creator>
  <cp:lastModifiedBy>victorine</cp:lastModifiedBy>
  <dcterms:created xsi:type="dcterms:W3CDTF">2016-10-24T13:04:51Z</dcterms:created>
  <dcterms:modified xsi:type="dcterms:W3CDTF">2020-06-04T21:16:25Z</dcterms:modified>
</cp:coreProperties>
</file>